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ate1904="1" codeName="ThisWorkbook"/>
  <mc:AlternateContent xmlns:mc="http://schemas.openxmlformats.org/markup-compatibility/2006">
    <mc:Choice Requires="x15">
      <x15ac:absPath xmlns:x15ac="http://schemas.microsoft.com/office/spreadsheetml/2010/11/ac" url="D:\models-_-\"/>
    </mc:Choice>
  </mc:AlternateContent>
  <xr:revisionPtr revIDLastSave="0" documentId="13_ncr:1_{58CC285C-1D3E-4975-A6F1-BC57A29B4592}" xr6:coauthVersionLast="47" xr6:coauthVersionMax="47" xr10:uidLastSave="{00000000-0000-0000-0000-000000000000}"/>
  <bookViews>
    <workbookView xWindow="-120" yWindow="-120" windowWidth="29040" windowHeight="15720" tabRatio="772" activeTab="3" xr2:uid="{00000000-000D-0000-FFFF-FFFF00000000}"/>
  </bookViews>
  <sheets>
    <sheet name="Input sheet" sheetId="11" r:id="rId1"/>
    <sheet name="Valuation output" sheetId="13" r:id="rId2"/>
    <sheet name="main" sheetId="33" r:id="rId3"/>
    <sheet name="Sheet2" sheetId="34" r:id="rId4"/>
    <sheet name="ratios yearly " sheetId="35" r:id="rId5"/>
    <sheet name="Stories to Numbers" sheetId="28" r:id="rId6"/>
    <sheet name="Valuation as picture" sheetId="32" r:id="rId7"/>
    <sheet name="Diagnostics" sheetId="12" r:id="rId8"/>
    <sheet name="Option value" sheetId="14" r:id="rId9"/>
    <sheet name="Synthetic rating" sheetId="20" r:id="rId10"/>
    <sheet name="R&amp; D converter" sheetId="25" r:id="rId11"/>
    <sheet name="Operating lease converter" sheetId="18" r:id="rId12"/>
    <sheet name="Cost of capital worksheet" sheetId="19" r:id="rId13"/>
    <sheet name="Failure Rate worksheet" sheetId="30" r:id="rId14"/>
    <sheet name="Country equity risk premiums" sheetId="23" r:id="rId15"/>
    <sheet name="Industry Averages(US)" sheetId="8" r:id="rId16"/>
    <sheet name="Industry Average Beta (Global)" sheetId="26" r:id="rId17"/>
    <sheet name="Input Stat Distributioons" sheetId="31" r:id="rId18"/>
    <sheet name="Trailing 12 month Worskheet" sheetId="24" r:id="rId19"/>
    <sheet name="Answer keys" sheetId="21" r:id="rId20"/>
  </sheets>
  <calcPr calcId="191029" iterate="1" iterateDelta="9.8999999999999999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8" i="34" l="1"/>
  <c r="BF19" i="34"/>
  <c r="BF21" i="34"/>
  <c r="BF22" i="34"/>
  <c r="BF24" i="34"/>
  <c r="BF25" i="34"/>
  <c r="BW4" i="34"/>
  <c r="BW6" i="34"/>
  <c r="BW7" i="34"/>
  <c r="BW8" i="34"/>
  <c r="BW9" i="34"/>
  <c r="BW13" i="34"/>
  <c r="BW15" i="34"/>
  <c r="BW3" i="34"/>
  <c r="BF5" i="34"/>
  <c r="BF10" i="34" s="1"/>
  <c r="BF11" i="34"/>
  <c r="BW11" i="34" s="1"/>
  <c r="BE21" i="34"/>
  <c r="BE22" i="34"/>
  <c r="BA19" i="34"/>
  <c r="BB19" i="34"/>
  <c r="BC19" i="34"/>
  <c r="BD19" i="34"/>
  <c r="BE19" i="34"/>
  <c r="BE18" i="34"/>
  <c r="BE11" i="34"/>
  <c r="BE5" i="34"/>
  <c r="BE10" i="34" s="1"/>
  <c r="AO40" i="35"/>
  <c r="AN40" i="35"/>
  <c r="AM40" i="35"/>
  <c r="AL40" i="35"/>
  <c r="AK40" i="35"/>
  <c r="AJ40" i="35"/>
  <c r="AI40" i="35"/>
  <c r="AH40" i="35"/>
  <c r="AG40" i="35"/>
  <c r="AF40" i="35"/>
  <c r="AE40" i="35"/>
  <c r="AD40" i="35"/>
  <c r="AC40" i="35"/>
  <c r="AN38" i="35"/>
  <c r="AM38" i="35"/>
  <c r="AL38" i="35"/>
  <c r="AF38" i="35"/>
  <c r="AE38" i="35"/>
  <c r="AD38" i="35"/>
  <c r="AO35" i="35"/>
  <c r="AO38" i="35" s="1"/>
  <c r="AN35" i="35"/>
  <c r="AM35" i="35"/>
  <c r="AL35" i="35"/>
  <c r="AK35" i="35"/>
  <c r="AK38" i="35" s="1"/>
  <c r="AJ35" i="35"/>
  <c r="AJ38" i="35" s="1"/>
  <c r="AI35" i="35"/>
  <c r="AI38" i="35" s="1"/>
  <c r="AH35" i="35"/>
  <c r="AG35" i="35"/>
  <c r="AG38" i="35" s="1"/>
  <c r="AF35" i="35"/>
  <c r="AE35" i="35"/>
  <c r="AD35" i="35"/>
  <c r="AC35" i="35"/>
  <c r="AC38" i="35" s="1"/>
  <c r="AO26" i="35"/>
  <c r="AN26" i="35"/>
  <c r="AM26" i="35"/>
  <c r="AL26" i="35"/>
  <c r="AK26" i="35"/>
  <c r="AJ26" i="35"/>
  <c r="AI26" i="35"/>
  <c r="AH26" i="35"/>
  <c r="AG26" i="35"/>
  <c r="AF26" i="35"/>
  <c r="AE26" i="35"/>
  <c r="AD26" i="35"/>
  <c r="AC26" i="35"/>
  <c r="AM24" i="35"/>
  <c r="AL24" i="35"/>
  <c r="AK24" i="35"/>
  <c r="AE24" i="35"/>
  <c r="AD24" i="35"/>
  <c r="AC24" i="35"/>
  <c r="AO10" i="35"/>
  <c r="AN10" i="35"/>
  <c r="AM10" i="35"/>
  <c r="AL10" i="35"/>
  <c r="AK10" i="35"/>
  <c r="AJ10" i="35"/>
  <c r="AJ9" i="35" s="1"/>
  <c r="AJ24" i="35" s="1"/>
  <c r="AI10" i="35"/>
  <c r="AI9" i="35" s="1"/>
  <c r="AI24" i="35" s="1"/>
  <c r="AH10" i="35"/>
  <c r="AH9" i="35" s="1"/>
  <c r="AH24" i="35" s="1"/>
  <c r="AG10" i="35"/>
  <c r="AF10" i="35"/>
  <c r="AE10" i="35"/>
  <c r="AD10" i="35"/>
  <c r="AC10" i="35"/>
  <c r="AO9" i="35"/>
  <c r="AO24" i="35" s="1"/>
  <c r="AN9" i="35"/>
  <c r="AN24" i="35" s="1"/>
  <c r="AM9" i="35"/>
  <c r="AL9" i="35"/>
  <c r="AK9" i="35"/>
  <c r="AG9" i="35"/>
  <c r="AG24" i="35" s="1"/>
  <c r="AF9" i="35"/>
  <c r="AF24" i="35" s="1"/>
  <c r="AE9" i="35"/>
  <c r="AD9" i="35"/>
  <c r="AC9" i="35"/>
  <c r="AD7" i="35"/>
  <c r="AE7" i="35" s="1"/>
  <c r="AF7" i="35" s="1"/>
  <c r="AG7" i="35" s="1"/>
  <c r="AH7" i="35" s="1"/>
  <c r="AI7" i="35" s="1"/>
  <c r="AJ7" i="35" s="1"/>
  <c r="AK7" i="35" s="1"/>
  <c r="AL7" i="35" s="1"/>
  <c r="AM7" i="35" s="1"/>
  <c r="AN7" i="35" s="1"/>
  <c r="AO7" i="35" s="1"/>
  <c r="BV108" i="34"/>
  <c r="BU108" i="34"/>
  <c r="BT108" i="34"/>
  <c r="BS108" i="34"/>
  <c r="BR108" i="34"/>
  <c r="BQ108" i="34"/>
  <c r="BP108" i="34"/>
  <c r="BO108" i="34"/>
  <c r="BN108" i="34"/>
  <c r="BM108" i="34"/>
  <c r="BL108" i="34"/>
  <c r="BK108" i="34"/>
  <c r="BJ108" i="34"/>
  <c r="BV104" i="34"/>
  <c r="BU104" i="34"/>
  <c r="BT104" i="34"/>
  <c r="BS104" i="34"/>
  <c r="BR104" i="34"/>
  <c r="BQ104" i="34"/>
  <c r="BP104" i="34"/>
  <c r="BO104" i="34"/>
  <c r="BN104" i="34"/>
  <c r="BM104" i="34"/>
  <c r="BL104" i="34"/>
  <c r="BK104" i="34"/>
  <c r="BJ104" i="34"/>
  <c r="BV103" i="34"/>
  <c r="BU103" i="34"/>
  <c r="BT103" i="34"/>
  <c r="BS103" i="34"/>
  <c r="BR103" i="34"/>
  <c r="BQ103" i="34"/>
  <c r="BP103" i="34"/>
  <c r="BO103" i="34"/>
  <c r="BN103" i="34"/>
  <c r="BM103" i="34"/>
  <c r="BL103" i="34"/>
  <c r="BK103" i="34"/>
  <c r="BJ103" i="34"/>
  <c r="BV102" i="34"/>
  <c r="BU102" i="34"/>
  <c r="BT102" i="34"/>
  <c r="BS102" i="34"/>
  <c r="BR102" i="34"/>
  <c r="BQ102" i="34"/>
  <c r="BP102" i="34"/>
  <c r="BO102" i="34"/>
  <c r="BN102" i="34"/>
  <c r="BM102" i="34"/>
  <c r="BL102" i="34"/>
  <c r="BK102" i="34"/>
  <c r="BJ102" i="34"/>
  <c r="BV101" i="34"/>
  <c r="BU101" i="34"/>
  <c r="BT101" i="34"/>
  <c r="BS101" i="34"/>
  <c r="BR101" i="34"/>
  <c r="BQ101" i="34"/>
  <c r="BP101" i="34"/>
  <c r="BO101" i="34"/>
  <c r="BN101" i="34"/>
  <c r="BM101" i="34"/>
  <c r="BL101" i="34"/>
  <c r="BK101" i="34"/>
  <c r="BJ101" i="34"/>
  <c r="BV100" i="34"/>
  <c r="BU100" i="34"/>
  <c r="BT100" i="34"/>
  <c r="BS100" i="34"/>
  <c r="BR100" i="34"/>
  <c r="BQ100" i="34"/>
  <c r="BP100" i="34"/>
  <c r="BO100" i="34"/>
  <c r="BN100" i="34"/>
  <c r="BM100" i="34"/>
  <c r="BL100" i="34"/>
  <c r="BK100" i="34"/>
  <c r="BJ100" i="34"/>
  <c r="BV99" i="34"/>
  <c r="BU99" i="34"/>
  <c r="BT99" i="34"/>
  <c r="BS99" i="34"/>
  <c r="BR99" i="34"/>
  <c r="BQ99" i="34"/>
  <c r="BP99" i="34"/>
  <c r="BO99" i="34"/>
  <c r="BN99" i="34"/>
  <c r="BM99" i="34"/>
  <c r="BL99" i="34"/>
  <c r="BK99" i="34"/>
  <c r="BJ99" i="34"/>
  <c r="BV98" i="34"/>
  <c r="BU98" i="34"/>
  <c r="BT98" i="34"/>
  <c r="BS98" i="34"/>
  <c r="BR98" i="34"/>
  <c r="BQ98" i="34"/>
  <c r="BP98" i="34"/>
  <c r="BO98" i="34"/>
  <c r="BN98" i="34"/>
  <c r="BM98" i="34"/>
  <c r="BL98" i="34"/>
  <c r="BK98" i="34"/>
  <c r="BJ98" i="34"/>
  <c r="BV97" i="34"/>
  <c r="BU97" i="34"/>
  <c r="BT97" i="34"/>
  <c r="BS97" i="34"/>
  <c r="BR97" i="34"/>
  <c r="BQ97" i="34"/>
  <c r="BP97" i="34"/>
  <c r="BO97" i="34"/>
  <c r="BN97" i="34"/>
  <c r="BM97" i="34"/>
  <c r="BL97" i="34"/>
  <c r="BK97" i="34"/>
  <c r="BJ97" i="34"/>
  <c r="BV96" i="34"/>
  <c r="BU96" i="34"/>
  <c r="BT96" i="34"/>
  <c r="BS96" i="34"/>
  <c r="BR96" i="34"/>
  <c r="BQ96" i="34"/>
  <c r="BP96" i="34"/>
  <c r="BO96" i="34"/>
  <c r="BN96" i="34"/>
  <c r="BM96" i="34"/>
  <c r="BL96" i="34"/>
  <c r="BK96" i="34"/>
  <c r="BJ96" i="34"/>
  <c r="BV95" i="34"/>
  <c r="BU95" i="34"/>
  <c r="BT95" i="34"/>
  <c r="BS95" i="34"/>
  <c r="BR95" i="34"/>
  <c r="BQ95" i="34"/>
  <c r="BP95" i="34"/>
  <c r="BO95" i="34"/>
  <c r="BN95" i="34"/>
  <c r="BM95" i="34"/>
  <c r="BL95" i="34"/>
  <c r="BK95" i="34"/>
  <c r="BJ95" i="34"/>
  <c r="BV94" i="34"/>
  <c r="BU94" i="34"/>
  <c r="BT94" i="34"/>
  <c r="BS94" i="34"/>
  <c r="BR94" i="34"/>
  <c r="BQ94" i="34"/>
  <c r="BP94" i="34"/>
  <c r="BO94" i="34"/>
  <c r="BN94" i="34"/>
  <c r="BM94" i="34"/>
  <c r="BL94" i="34"/>
  <c r="BK94" i="34"/>
  <c r="BJ94" i="34"/>
  <c r="BV93" i="34"/>
  <c r="BU93" i="34"/>
  <c r="BT93" i="34"/>
  <c r="BS93" i="34"/>
  <c r="BR93" i="34"/>
  <c r="BQ93" i="34"/>
  <c r="BP93" i="34"/>
  <c r="BO93" i="34"/>
  <c r="BN93" i="34"/>
  <c r="BM93" i="34"/>
  <c r="BL93" i="34"/>
  <c r="BK93" i="34"/>
  <c r="BJ93" i="34"/>
  <c r="BV92" i="34"/>
  <c r="BU92" i="34"/>
  <c r="BT92" i="34"/>
  <c r="BS92" i="34"/>
  <c r="BR92" i="34"/>
  <c r="BQ92" i="34"/>
  <c r="BP92" i="34"/>
  <c r="BO92" i="34"/>
  <c r="BN92" i="34"/>
  <c r="BM92" i="34"/>
  <c r="BL92" i="34"/>
  <c r="BK92" i="34"/>
  <c r="BJ92" i="34"/>
  <c r="BV89" i="34"/>
  <c r="BU89" i="34"/>
  <c r="BT89" i="34"/>
  <c r="BS89" i="34"/>
  <c r="BR89" i="34"/>
  <c r="BQ89" i="34"/>
  <c r="BP89" i="34"/>
  <c r="BO89" i="34"/>
  <c r="BN89" i="34"/>
  <c r="BM89" i="34"/>
  <c r="BL89" i="34"/>
  <c r="BK89" i="34"/>
  <c r="BJ89" i="34"/>
  <c r="BV88" i="34"/>
  <c r="BU88" i="34"/>
  <c r="BT88" i="34"/>
  <c r="BS88" i="34"/>
  <c r="BR88" i="34"/>
  <c r="BQ88" i="34"/>
  <c r="BP88" i="34"/>
  <c r="BO88" i="34"/>
  <c r="BN88" i="34"/>
  <c r="BM88" i="34"/>
  <c r="BL88" i="34"/>
  <c r="BK88" i="34"/>
  <c r="BJ88" i="34"/>
  <c r="BV87" i="34"/>
  <c r="BU87" i="34"/>
  <c r="BT87" i="34"/>
  <c r="BS87" i="34"/>
  <c r="BR87" i="34"/>
  <c r="BQ87" i="34"/>
  <c r="BP87" i="34"/>
  <c r="BO87" i="34"/>
  <c r="BN87" i="34"/>
  <c r="BM87" i="34"/>
  <c r="BL87" i="34"/>
  <c r="BK87" i="34"/>
  <c r="BJ87" i="34"/>
  <c r="BV86" i="34"/>
  <c r="BU86" i="34"/>
  <c r="BT86" i="34"/>
  <c r="BS86" i="34"/>
  <c r="BR86" i="34"/>
  <c r="BQ86" i="34"/>
  <c r="BP86" i="34"/>
  <c r="BO86" i="34"/>
  <c r="BN86" i="34"/>
  <c r="BM86" i="34"/>
  <c r="BL86" i="34"/>
  <c r="BK86" i="34"/>
  <c r="BJ86" i="34"/>
  <c r="BV85" i="34"/>
  <c r="BU85" i="34"/>
  <c r="BT85" i="34"/>
  <c r="BS85" i="34"/>
  <c r="BR85" i="34"/>
  <c r="BQ85" i="34"/>
  <c r="BP85" i="34"/>
  <c r="BO85" i="34"/>
  <c r="BN85" i="34"/>
  <c r="BM85" i="34"/>
  <c r="BL85" i="34"/>
  <c r="BK85" i="34"/>
  <c r="BJ85" i="34"/>
  <c r="BV84" i="34"/>
  <c r="BU84" i="34"/>
  <c r="BT84" i="34"/>
  <c r="BS84" i="34"/>
  <c r="BR84" i="34"/>
  <c r="BQ84" i="34"/>
  <c r="BP84" i="34"/>
  <c r="BO84" i="34"/>
  <c r="BN84" i="34"/>
  <c r="BM84" i="34"/>
  <c r="BL84" i="34"/>
  <c r="BK84" i="34"/>
  <c r="BJ84" i="34"/>
  <c r="BV83" i="34"/>
  <c r="BU83" i="34"/>
  <c r="BT83" i="34"/>
  <c r="BS83" i="34"/>
  <c r="BR83" i="34"/>
  <c r="BQ83" i="34"/>
  <c r="BP83" i="34"/>
  <c r="BO83" i="34"/>
  <c r="BN83" i="34"/>
  <c r="BM83" i="34"/>
  <c r="BL83" i="34"/>
  <c r="BK83" i="34"/>
  <c r="BJ83" i="34"/>
  <c r="BV82" i="34"/>
  <c r="BU82" i="34"/>
  <c r="BT82" i="34"/>
  <c r="BS82" i="34"/>
  <c r="BR82" i="34"/>
  <c r="BQ82" i="34"/>
  <c r="BP82" i="34"/>
  <c r="BO82" i="34"/>
  <c r="BN82" i="34"/>
  <c r="BM82" i="34"/>
  <c r="BL82" i="34"/>
  <c r="BK82" i="34"/>
  <c r="BJ82" i="34"/>
  <c r="BV81" i="34"/>
  <c r="BU81" i="34"/>
  <c r="BT81" i="34"/>
  <c r="BS81" i="34"/>
  <c r="BR81" i="34"/>
  <c r="BQ81" i="34"/>
  <c r="BP81" i="34"/>
  <c r="BO81" i="34"/>
  <c r="BN81" i="34"/>
  <c r="BM81" i="34"/>
  <c r="BL81" i="34"/>
  <c r="BK81" i="34"/>
  <c r="BJ81" i="34"/>
  <c r="BV80" i="34"/>
  <c r="BV90" i="34" s="1"/>
  <c r="BU80" i="34"/>
  <c r="BT80" i="34"/>
  <c r="BS80" i="34"/>
  <c r="BR80" i="34"/>
  <c r="BQ80" i="34"/>
  <c r="BP80" i="34"/>
  <c r="BO80" i="34"/>
  <c r="BN80" i="34"/>
  <c r="BM80" i="34"/>
  <c r="BL80" i="34"/>
  <c r="BK80" i="34"/>
  <c r="BJ80" i="34"/>
  <c r="BV70" i="34"/>
  <c r="BU70" i="34"/>
  <c r="BT70" i="34"/>
  <c r="BS70" i="34"/>
  <c r="BR70" i="34"/>
  <c r="BQ70" i="34"/>
  <c r="BP70" i="34"/>
  <c r="BO70" i="34"/>
  <c r="BN70" i="34"/>
  <c r="BM70" i="34"/>
  <c r="BL70" i="34"/>
  <c r="BK70" i="34"/>
  <c r="BJ70" i="34"/>
  <c r="BV69" i="34"/>
  <c r="BU69" i="34"/>
  <c r="BT69" i="34"/>
  <c r="BS69" i="34"/>
  <c r="BR69" i="34"/>
  <c r="BQ69" i="34"/>
  <c r="BP69" i="34"/>
  <c r="BO69" i="34"/>
  <c r="BN69" i="34"/>
  <c r="BM69" i="34"/>
  <c r="BL69" i="34"/>
  <c r="BK69" i="34"/>
  <c r="BJ69" i="34"/>
  <c r="BV58" i="34"/>
  <c r="BU58" i="34"/>
  <c r="BT58" i="34"/>
  <c r="BS58" i="34"/>
  <c r="BR58" i="34"/>
  <c r="BQ58" i="34"/>
  <c r="BP58" i="34"/>
  <c r="BO58" i="34"/>
  <c r="BN58" i="34"/>
  <c r="BM58" i="34"/>
  <c r="BL58" i="34"/>
  <c r="BK58" i="34"/>
  <c r="BJ58" i="34"/>
  <c r="BV53" i="34"/>
  <c r="BU53" i="34"/>
  <c r="BT53" i="34"/>
  <c r="BS53" i="34"/>
  <c r="BR53" i="34"/>
  <c r="BQ53" i="34"/>
  <c r="BP53" i="34"/>
  <c r="BP56" i="34" s="1"/>
  <c r="BO53" i="34"/>
  <c r="BO56" i="34" s="1"/>
  <c r="BN53" i="34"/>
  <c r="BN56" i="34" s="1"/>
  <c r="BM53" i="34"/>
  <c r="BL53" i="34"/>
  <c r="BK53" i="34"/>
  <c r="BJ53" i="34"/>
  <c r="BV44" i="34"/>
  <c r="BU44" i="34"/>
  <c r="BT44" i="34"/>
  <c r="BS44" i="34"/>
  <c r="BR44" i="34"/>
  <c r="BQ44" i="34"/>
  <c r="BP44" i="34"/>
  <c r="BO44" i="34"/>
  <c r="BN44" i="34"/>
  <c r="BM44" i="34"/>
  <c r="BL44" i="34"/>
  <c r="BK44" i="34"/>
  <c r="BJ44" i="34"/>
  <c r="BV28" i="34"/>
  <c r="BV27" i="34" s="1"/>
  <c r="BV42" i="34" s="1"/>
  <c r="BU28" i="34"/>
  <c r="BU27" i="34" s="1"/>
  <c r="BU42" i="34" s="1"/>
  <c r="BT28" i="34"/>
  <c r="BT27" i="34" s="1"/>
  <c r="BT42" i="34" s="1"/>
  <c r="BS28" i="34"/>
  <c r="BS27" i="34" s="1"/>
  <c r="BS42" i="34" s="1"/>
  <c r="BR28" i="34"/>
  <c r="BR27" i="34" s="1"/>
  <c r="BR42" i="34" s="1"/>
  <c r="BQ28" i="34"/>
  <c r="BQ27" i="34" s="1"/>
  <c r="BQ42" i="34" s="1"/>
  <c r="BP28" i="34"/>
  <c r="BP27" i="34" s="1"/>
  <c r="BP42" i="34" s="1"/>
  <c r="BO28" i="34"/>
  <c r="BO27" i="34" s="1"/>
  <c r="BO42" i="34" s="1"/>
  <c r="BN28" i="34"/>
  <c r="BN27" i="34" s="1"/>
  <c r="BN42" i="34" s="1"/>
  <c r="BM28" i="34"/>
  <c r="BM27" i="34" s="1"/>
  <c r="BM42" i="34" s="1"/>
  <c r="BL28" i="34"/>
  <c r="BL27" i="34" s="1"/>
  <c r="BL42" i="34" s="1"/>
  <c r="BK28" i="34"/>
  <c r="BK27" i="34" s="1"/>
  <c r="BK42" i="34" s="1"/>
  <c r="BJ28" i="34"/>
  <c r="BJ27" i="34" s="1"/>
  <c r="BJ42" i="34" s="1"/>
  <c r="BD22" i="34"/>
  <c r="BC22" i="34"/>
  <c r="BB22" i="34"/>
  <c r="BA22" i="34"/>
  <c r="AZ22" i="34"/>
  <c r="AY22" i="34"/>
  <c r="AX22" i="34"/>
  <c r="AW22" i="34"/>
  <c r="AV22" i="34"/>
  <c r="AU22" i="34"/>
  <c r="AT22" i="34"/>
  <c r="AS22" i="34"/>
  <c r="AR22" i="34"/>
  <c r="AQ22" i="34"/>
  <c r="AP22" i="34"/>
  <c r="AO22" i="34"/>
  <c r="AN22" i="34"/>
  <c r="AK22" i="34"/>
  <c r="AJ22" i="34"/>
  <c r="AG22" i="34"/>
  <c r="AF22" i="34"/>
  <c r="AC22" i="34"/>
  <c r="AB22" i="34"/>
  <c r="Y22" i="34"/>
  <c r="X22" i="34"/>
  <c r="U22" i="34"/>
  <c r="T22" i="34"/>
  <c r="Q22" i="34"/>
  <c r="P22" i="34"/>
  <c r="M22" i="34"/>
  <c r="L22" i="34"/>
  <c r="I22" i="34"/>
  <c r="H22" i="34"/>
  <c r="E22" i="34"/>
  <c r="D22" i="34"/>
  <c r="BD21" i="34"/>
  <c r="BA21" i="34"/>
  <c r="AZ21" i="34"/>
  <c r="AY21" i="34"/>
  <c r="AX21" i="34"/>
  <c r="AW21" i="34"/>
  <c r="AV21" i="34"/>
  <c r="AU21" i="34"/>
  <c r="AT21" i="34"/>
  <c r="AS21" i="34"/>
  <c r="AR21" i="34"/>
  <c r="AQ21" i="34"/>
  <c r="AP21" i="34"/>
  <c r="AO21" i="34"/>
  <c r="AN21" i="34"/>
  <c r="AK21" i="34"/>
  <c r="AJ21" i="34"/>
  <c r="AG21" i="34"/>
  <c r="AF21" i="34"/>
  <c r="AC21" i="34"/>
  <c r="AB21" i="34"/>
  <c r="Y21" i="34"/>
  <c r="X21" i="34"/>
  <c r="U21" i="34"/>
  <c r="T21" i="34"/>
  <c r="Q21" i="34"/>
  <c r="P21" i="34"/>
  <c r="M21" i="34"/>
  <c r="L21" i="34"/>
  <c r="I21" i="34"/>
  <c r="H21" i="34"/>
  <c r="E21" i="34"/>
  <c r="D21" i="34"/>
  <c r="AZ19" i="34"/>
  <c r="AY19" i="34"/>
  <c r="AX19" i="34"/>
  <c r="AW19" i="34"/>
  <c r="AV19" i="34"/>
  <c r="AU19" i="34"/>
  <c r="AT19" i="34"/>
  <c r="AS19" i="34"/>
  <c r="AR19" i="34"/>
  <c r="AQ19" i="34"/>
  <c r="AO19" i="34"/>
  <c r="AN19" i="34"/>
  <c r="AM19" i="34"/>
  <c r="AK19" i="34"/>
  <c r="AJ19" i="34"/>
  <c r="AI19" i="34"/>
  <c r="AG19" i="34"/>
  <c r="AF19" i="34"/>
  <c r="AE19" i="34"/>
  <c r="AC19" i="34"/>
  <c r="AB19" i="34"/>
  <c r="AA19" i="34"/>
  <c r="Y19" i="34"/>
  <c r="X19" i="34"/>
  <c r="W19" i="34"/>
  <c r="U19" i="34"/>
  <c r="T19" i="34"/>
  <c r="S19" i="34"/>
  <c r="Q19" i="34"/>
  <c r="P19" i="34"/>
  <c r="O19" i="34"/>
  <c r="M19" i="34"/>
  <c r="L19" i="34"/>
  <c r="K19" i="34"/>
  <c r="I19" i="34"/>
  <c r="H19" i="34"/>
  <c r="G19" i="34"/>
  <c r="BD18" i="34"/>
  <c r="BC18" i="34"/>
  <c r="BA18" i="34"/>
  <c r="AZ18" i="34"/>
  <c r="AY18" i="34"/>
  <c r="AX18" i="34"/>
  <c r="AW18" i="34"/>
  <c r="AV18" i="34"/>
  <c r="AU18" i="34"/>
  <c r="AT18" i="34"/>
  <c r="AS18" i="34"/>
  <c r="AR18" i="34"/>
  <c r="AQ18" i="34"/>
  <c r="AO18" i="34"/>
  <c r="AN18" i="34"/>
  <c r="AM18" i="34"/>
  <c r="AK18" i="34"/>
  <c r="AJ18" i="34"/>
  <c r="AI18" i="34"/>
  <c r="AG18" i="34"/>
  <c r="AF18" i="34"/>
  <c r="AE18" i="34"/>
  <c r="AC18" i="34"/>
  <c r="AB18" i="34"/>
  <c r="AA18" i="34"/>
  <c r="Y18" i="34"/>
  <c r="X18" i="34"/>
  <c r="W18" i="34"/>
  <c r="U18" i="34"/>
  <c r="T18" i="34"/>
  <c r="S18" i="34"/>
  <c r="Q18" i="34"/>
  <c r="P18" i="34"/>
  <c r="O18" i="34"/>
  <c r="M18" i="34"/>
  <c r="L18" i="34"/>
  <c r="K18" i="34"/>
  <c r="I18" i="34"/>
  <c r="H18" i="34"/>
  <c r="G18" i="34"/>
  <c r="BV15" i="34"/>
  <c r="BU15" i="34"/>
  <c r="BT15" i="34"/>
  <c r="BS15" i="34"/>
  <c r="BR15" i="34"/>
  <c r="BQ15" i="34"/>
  <c r="BP15" i="34"/>
  <c r="BO15" i="34"/>
  <c r="BN15" i="34"/>
  <c r="BM15" i="34"/>
  <c r="BL15" i="34"/>
  <c r="BK15" i="34"/>
  <c r="BJ15" i="34"/>
  <c r="BV13" i="34"/>
  <c r="BU13" i="34"/>
  <c r="BT13" i="34"/>
  <c r="BS13" i="34"/>
  <c r="BJ13" i="34"/>
  <c r="AL13" i="34"/>
  <c r="AH13" i="34"/>
  <c r="BQ13" i="34" s="1"/>
  <c r="AD13" i="34"/>
  <c r="BP13" i="34" s="1"/>
  <c r="Z13" i="34"/>
  <c r="BO13" i="34" s="1"/>
  <c r="V13" i="34"/>
  <c r="BN13" i="34" s="1"/>
  <c r="R13" i="34"/>
  <c r="BM13" i="34" s="1"/>
  <c r="N13" i="34"/>
  <c r="J13" i="34"/>
  <c r="BK13" i="34" s="1"/>
  <c r="AZ11" i="34"/>
  <c r="AY11" i="34"/>
  <c r="AX11" i="34"/>
  <c r="AW11" i="34"/>
  <c r="AV11" i="34"/>
  <c r="AU11" i="34"/>
  <c r="AT11" i="34"/>
  <c r="AS11" i="34"/>
  <c r="AR11" i="34"/>
  <c r="AQ11" i="34"/>
  <c r="AP11" i="34"/>
  <c r="AO11" i="34"/>
  <c r="AL11" i="34"/>
  <c r="BR11" i="34" s="1"/>
  <c r="AH11" i="34"/>
  <c r="BQ11" i="34" s="1"/>
  <c r="AD11" i="34"/>
  <c r="BP11" i="34" s="1"/>
  <c r="Y11" i="34"/>
  <c r="Z11" i="34" s="1"/>
  <c r="BO11" i="34" s="1"/>
  <c r="V11" i="34"/>
  <c r="BN11" i="34" s="1"/>
  <c r="R11" i="34"/>
  <c r="BM11" i="34" s="1"/>
  <c r="L11" i="34"/>
  <c r="I11" i="34"/>
  <c r="H11" i="34"/>
  <c r="G11" i="34"/>
  <c r="E11" i="34"/>
  <c r="D11" i="34"/>
  <c r="C11" i="34"/>
  <c r="BV9" i="34"/>
  <c r="BU9" i="34"/>
  <c r="BT9" i="34"/>
  <c r="BS9" i="34"/>
  <c r="BN9" i="34"/>
  <c r="BM9" i="34"/>
  <c r="BL9" i="34"/>
  <c r="BK9" i="34"/>
  <c r="BJ9" i="34"/>
  <c r="AL9" i="34"/>
  <c r="BR9" i="34" s="1"/>
  <c r="AH9" i="34"/>
  <c r="BQ9" i="34" s="1"/>
  <c r="AD9" i="34"/>
  <c r="BP9" i="34" s="1"/>
  <c r="Z9" i="34"/>
  <c r="BO9" i="34" s="1"/>
  <c r="BV8" i="34"/>
  <c r="BU8" i="34"/>
  <c r="BT8" i="34"/>
  <c r="BS8" i="34"/>
  <c r="AL8" i="34"/>
  <c r="BR8" i="34" s="1"/>
  <c r="AH8" i="34"/>
  <c r="BQ8" i="34" s="1"/>
  <c r="AD8" i="34"/>
  <c r="BP8" i="34" s="1"/>
  <c r="Z8" i="34"/>
  <c r="BO8" i="34" s="1"/>
  <c r="V8" i="34"/>
  <c r="BN8" i="34" s="1"/>
  <c r="R8" i="34"/>
  <c r="BM8" i="34" s="1"/>
  <c r="N8" i="34"/>
  <c r="BL8" i="34" s="1"/>
  <c r="J8" i="34"/>
  <c r="BK8" i="34" s="1"/>
  <c r="F8" i="34"/>
  <c r="BJ8" i="34" s="1"/>
  <c r="BV7" i="34"/>
  <c r="BU7" i="34"/>
  <c r="BT7" i="34"/>
  <c r="BS7" i="34"/>
  <c r="AL7" i="34"/>
  <c r="BR7" i="34" s="1"/>
  <c r="AE7" i="34"/>
  <c r="AD7" i="34"/>
  <c r="BP7" i="34" s="1"/>
  <c r="Z7" i="34"/>
  <c r="BO7" i="34" s="1"/>
  <c r="V7" i="34"/>
  <c r="BN7" i="34" s="1"/>
  <c r="R7" i="34"/>
  <c r="BM7" i="34" s="1"/>
  <c r="N7" i="34"/>
  <c r="BL7" i="34" s="1"/>
  <c r="J7" i="34"/>
  <c r="BK7" i="34" s="1"/>
  <c r="F7" i="34"/>
  <c r="BJ7" i="34" s="1"/>
  <c r="BV6" i="34"/>
  <c r="BU6" i="34"/>
  <c r="BT6" i="34"/>
  <c r="BS6" i="34"/>
  <c r="AL6" i="34"/>
  <c r="BR6" i="34" s="1"/>
  <c r="AH6" i="34"/>
  <c r="BQ6" i="34" s="1"/>
  <c r="AD6" i="34"/>
  <c r="BP6" i="34" s="1"/>
  <c r="Z6" i="34"/>
  <c r="BO6" i="34" s="1"/>
  <c r="V6" i="34"/>
  <c r="BN6" i="34" s="1"/>
  <c r="R6" i="34"/>
  <c r="BM6" i="34" s="1"/>
  <c r="N6" i="34"/>
  <c r="BL6" i="34" s="1"/>
  <c r="J6" i="34"/>
  <c r="BK6" i="34" s="1"/>
  <c r="F6" i="34"/>
  <c r="BJ6" i="34" s="1"/>
  <c r="BD5" i="34"/>
  <c r="BD25" i="34" s="1"/>
  <c r="BC5" i="34"/>
  <c r="BC10" i="34" s="1"/>
  <c r="BC12" i="34" s="1"/>
  <c r="BA5" i="34"/>
  <c r="AZ5" i="34"/>
  <c r="AY5" i="34"/>
  <c r="AX5" i="34"/>
  <c r="AW5" i="34"/>
  <c r="AW25" i="34" s="1"/>
  <c r="AV5" i="34"/>
  <c r="AV25" i="34" s="1"/>
  <c r="AU5" i="34"/>
  <c r="AT5" i="34"/>
  <c r="AT10" i="34" s="1"/>
  <c r="AS5" i="34"/>
  <c r="AR5" i="34"/>
  <c r="AQ5" i="34"/>
  <c r="AP5" i="34"/>
  <c r="AO5" i="34"/>
  <c r="AO25" i="34" s="1"/>
  <c r="AN5" i="34"/>
  <c r="AN25" i="34" s="1"/>
  <c r="AM5" i="34"/>
  <c r="AK5" i="34"/>
  <c r="AJ5" i="34"/>
  <c r="AI5" i="34"/>
  <c r="AG5" i="34"/>
  <c r="AG25" i="34" s="1"/>
  <c r="AF5" i="34"/>
  <c r="AF25" i="34" s="1"/>
  <c r="AE5" i="34"/>
  <c r="AC5" i="34"/>
  <c r="AB5" i="34"/>
  <c r="AA5" i="34"/>
  <c r="Y5" i="34"/>
  <c r="Y25" i="34" s="1"/>
  <c r="X5" i="34"/>
  <c r="X25" i="34" s="1"/>
  <c r="W5" i="34"/>
  <c r="W10" i="34" s="1"/>
  <c r="U5" i="34"/>
  <c r="T5" i="34"/>
  <c r="S5" i="34"/>
  <c r="Q5" i="34"/>
  <c r="Q25" i="34" s="1"/>
  <c r="P5" i="34"/>
  <c r="P25" i="34" s="1"/>
  <c r="O5" i="34"/>
  <c r="O10" i="34" s="1"/>
  <c r="M5" i="34"/>
  <c r="L5" i="34"/>
  <c r="K5" i="34"/>
  <c r="I5" i="34"/>
  <c r="I25" i="34" s="1"/>
  <c r="H5" i="34"/>
  <c r="H25" i="34" s="1"/>
  <c r="G5" i="34"/>
  <c r="G10" i="34" s="1"/>
  <c r="E5" i="34"/>
  <c r="D5" i="34"/>
  <c r="C5" i="34"/>
  <c r="BV4" i="34"/>
  <c r="BU4" i="34"/>
  <c r="BT4" i="34"/>
  <c r="BS4" i="34"/>
  <c r="AL4" i="34"/>
  <c r="AM22" i="34" s="1"/>
  <c r="AH4" i="34"/>
  <c r="BQ4" i="34" s="1"/>
  <c r="AD4" i="34"/>
  <c r="AH19" i="34" s="1"/>
  <c r="Z4" i="34"/>
  <c r="BO4" i="34" s="1"/>
  <c r="V4" i="34"/>
  <c r="R4" i="34"/>
  <c r="BM4" i="34" s="1"/>
  <c r="N4" i="34"/>
  <c r="O22" i="34" s="1"/>
  <c r="J4" i="34"/>
  <c r="F4" i="34"/>
  <c r="F22" i="34" s="1"/>
  <c r="BU3" i="34"/>
  <c r="BT3" i="34"/>
  <c r="BS3" i="34"/>
  <c r="BL3" i="34"/>
  <c r="BB3" i="34"/>
  <c r="BB5" i="34" s="1"/>
  <c r="BB10" i="34" s="1"/>
  <c r="BB12" i="34" s="1"/>
  <c r="AL3" i="34"/>
  <c r="AH3" i="34"/>
  <c r="AH21" i="34" s="1"/>
  <c r="AD3" i="34"/>
  <c r="Z3" i="34"/>
  <c r="Z21" i="34" s="1"/>
  <c r="V3" i="34"/>
  <c r="R3" i="34"/>
  <c r="N3" i="34"/>
  <c r="N5" i="34" s="1"/>
  <c r="J3" i="34"/>
  <c r="BK3" i="34" s="1"/>
  <c r="F3" i="34"/>
  <c r="BJ1" i="34"/>
  <c r="BK1" i="34" s="1"/>
  <c r="BL1" i="34" s="1"/>
  <c r="BM1" i="34" s="1"/>
  <c r="BN1" i="34" s="1"/>
  <c r="BO1" i="34" s="1"/>
  <c r="BP1" i="34" s="1"/>
  <c r="BQ1" i="34" s="1"/>
  <c r="BR1" i="34" s="1"/>
  <c r="BS1" i="34" s="1"/>
  <c r="BT1" i="34" s="1"/>
  <c r="BU1" i="34" s="1"/>
  <c r="BV1" i="34" s="1"/>
  <c r="BW1" i="34" s="1"/>
  <c r="BX1" i="34" s="1"/>
  <c r="BY1" i="34" s="1"/>
  <c r="BZ1" i="34" s="1"/>
  <c r="CA1" i="34" s="1"/>
  <c r="CB1" i="34" s="1"/>
  <c r="CC1" i="34" s="1"/>
  <c r="CD1" i="34" s="1"/>
  <c r="CE1" i="34" s="1"/>
  <c r="U6" i="33"/>
  <c r="U5" i="33"/>
  <c r="U3" i="33"/>
  <c r="U4" i="33" s="1"/>
  <c r="U7" i="33" s="1"/>
  <c r="D193" i="23"/>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BQ56" i="34" l="1"/>
  <c r="V5" i="34"/>
  <c r="BJ56" i="34"/>
  <c r="BQ90" i="34"/>
  <c r="BR90" i="34"/>
  <c r="AD5" i="34"/>
  <c r="AD25" i="34" s="1"/>
  <c r="BK90" i="34"/>
  <c r="BJ4" i="34"/>
  <c r="BR56" i="34"/>
  <c r="BJ90" i="34"/>
  <c r="BT5" i="34"/>
  <c r="BT25" i="34" s="1"/>
  <c r="AT12" i="34"/>
  <c r="AT14" i="34" s="1"/>
  <c r="AT16" i="34" s="1"/>
  <c r="BN90" i="34"/>
  <c r="R5" i="34"/>
  <c r="BM5" i="34" s="1"/>
  <c r="X10" i="34"/>
  <c r="X12" i="34" s="1"/>
  <c r="X24" i="34" s="1"/>
  <c r="BF12" i="34"/>
  <c r="BF14" i="34" s="1"/>
  <c r="BF16" i="34" s="1"/>
  <c r="AE10" i="34"/>
  <c r="AE12" i="34" s="1"/>
  <c r="AE14" i="34" s="1"/>
  <c r="AN10" i="34"/>
  <c r="AN12" i="34" s="1"/>
  <c r="AN14" i="34" s="1"/>
  <c r="AN16" i="34" s="1"/>
  <c r="BP90" i="34"/>
  <c r="BD10" i="34"/>
  <c r="BD12" i="34" s="1"/>
  <c r="BD24" i="34" s="1"/>
  <c r="BV56" i="34"/>
  <c r="AD10" i="34"/>
  <c r="AD12" i="34" s="1"/>
  <c r="AD14" i="34" s="1"/>
  <c r="BT11" i="34"/>
  <c r="BE12" i="34"/>
  <c r="BW10" i="34"/>
  <c r="BV11" i="34"/>
  <c r="BO3" i="34"/>
  <c r="BO18" i="34" s="1"/>
  <c r="AH5" i="34"/>
  <c r="BQ5" i="34" s="1"/>
  <c r="H10" i="34"/>
  <c r="H12" i="34" s="1"/>
  <c r="H14" i="34" s="1"/>
  <c r="AE25" i="34"/>
  <c r="BU56" i="34"/>
  <c r="BO90" i="34"/>
  <c r="BP3" i="34"/>
  <c r="N11" i="34"/>
  <c r="BL11" i="34" s="1"/>
  <c r="BR4" i="34"/>
  <c r="BE25" i="34"/>
  <c r="BW5" i="34"/>
  <c r="BW25" i="34" s="1"/>
  <c r="BP5" i="34"/>
  <c r="F11" i="34"/>
  <c r="BJ11" i="34" s="1"/>
  <c r="BS90" i="34"/>
  <c r="N10" i="34"/>
  <c r="J11" i="34"/>
  <c r="BK11" i="34" s="1"/>
  <c r="BM56" i="34"/>
  <c r="V10" i="34"/>
  <c r="V12" i="34" s="1"/>
  <c r="V14" i="34" s="1"/>
  <c r="V25" i="34"/>
  <c r="G21" i="34"/>
  <c r="F21" i="34"/>
  <c r="AM21" i="34"/>
  <c r="AL18" i="34"/>
  <c r="AL21" i="34"/>
  <c r="AP18" i="34"/>
  <c r="K22" i="34"/>
  <c r="J22" i="34"/>
  <c r="F5" i="34"/>
  <c r="W22" i="34"/>
  <c r="K21" i="34"/>
  <c r="J18" i="34"/>
  <c r="BC21" i="34"/>
  <c r="BB18" i="34"/>
  <c r="BB21" i="34"/>
  <c r="BQ3" i="34"/>
  <c r="N22" i="34"/>
  <c r="N19" i="34"/>
  <c r="BK4" i="34"/>
  <c r="G12" i="34"/>
  <c r="O12" i="34"/>
  <c r="W12" i="34"/>
  <c r="AM10" i="34"/>
  <c r="BS5" i="34"/>
  <c r="BS25" i="34" s="1"/>
  <c r="AU10" i="34"/>
  <c r="BU5" i="34"/>
  <c r="BU25" i="34" s="1"/>
  <c r="BC24" i="34"/>
  <c r="BC14" i="34"/>
  <c r="P10" i="34"/>
  <c r="P12" i="34" s="1"/>
  <c r="AV10" i="34"/>
  <c r="AV12" i="34" s="1"/>
  <c r="Z19" i="34"/>
  <c r="W25" i="34"/>
  <c r="BC25" i="34"/>
  <c r="BK56" i="34"/>
  <c r="BS56" i="34"/>
  <c r="AL5" i="34"/>
  <c r="BR5" i="34" s="1"/>
  <c r="BB24" i="34"/>
  <c r="BB14" i="34"/>
  <c r="BB16" i="34" s="1"/>
  <c r="I10" i="34"/>
  <c r="I12" i="34" s="1"/>
  <c r="AO10" i="34"/>
  <c r="AO12" i="34" s="1"/>
  <c r="BB25" i="34"/>
  <c r="O21" i="34"/>
  <c r="N18" i="34"/>
  <c r="N21" i="34"/>
  <c r="BJ3" i="34"/>
  <c r="BR3" i="34"/>
  <c r="BS18" i="34" s="1"/>
  <c r="S22" i="34"/>
  <c r="R22" i="34"/>
  <c r="BL4" i="34"/>
  <c r="Q10" i="34"/>
  <c r="Q12" i="34" s="1"/>
  <c r="AW10" i="34"/>
  <c r="AW12" i="34" s="1"/>
  <c r="R19" i="34"/>
  <c r="BL56" i="34"/>
  <c r="BT56" i="34"/>
  <c r="Z5" i="34"/>
  <c r="BO5" i="34" s="1"/>
  <c r="Y10" i="34"/>
  <c r="Y12" i="34" s="1"/>
  <c r="V22" i="34"/>
  <c r="V19" i="34"/>
  <c r="W21" i="34"/>
  <c r="V18" i="34"/>
  <c r="V21" i="34"/>
  <c r="BT18" i="34"/>
  <c r="BN4" i="34"/>
  <c r="J5" i="34"/>
  <c r="BK5" i="34" s="1"/>
  <c r="BK25" i="34" s="1"/>
  <c r="AX25" i="34"/>
  <c r="AX10" i="34"/>
  <c r="AX12" i="34" s="1"/>
  <c r="AA21" i="34"/>
  <c r="Z18" i="34"/>
  <c r="BM3" i="34"/>
  <c r="BM18" i="34" s="1"/>
  <c r="BU18" i="34"/>
  <c r="AD22" i="34"/>
  <c r="AD19" i="34"/>
  <c r="C25" i="34"/>
  <c r="C10" i="34"/>
  <c r="K25" i="34"/>
  <c r="K10" i="34"/>
  <c r="S25" i="34"/>
  <c r="S10" i="34"/>
  <c r="AA25" i="34"/>
  <c r="AA10" i="34"/>
  <c r="AI25" i="34"/>
  <c r="AI10" i="34"/>
  <c r="AQ25" i="34"/>
  <c r="AQ10" i="34"/>
  <c r="BV5" i="34"/>
  <c r="AY25" i="34"/>
  <c r="AY10" i="34"/>
  <c r="BL5" i="34"/>
  <c r="BL25" i="34" s="1"/>
  <c r="AF10" i="34"/>
  <c r="AF12" i="34" s="1"/>
  <c r="BU11" i="34"/>
  <c r="AE22" i="34"/>
  <c r="G25" i="34"/>
  <c r="AM25" i="34"/>
  <c r="AH38" i="35"/>
  <c r="J19" i="34"/>
  <c r="R21" i="34"/>
  <c r="BL18" i="34"/>
  <c r="AA22" i="34"/>
  <c r="Z22" i="34"/>
  <c r="AP25" i="34"/>
  <c r="AP10" i="34"/>
  <c r="AP12" i="34" s="1"/>
  <c r="AE21" i="34"/>
  <c r="AD18" i="34"/>
  <c r="AD21" i="34"/>
  <c r="BN3" i="34"/>
  <c r="BV3" i="34"/>
  <c r="BV18" i="34" s="1"/>
  <c r="AI22" i="34"/>
  <c r="AH22" i="34"/>
  <c r="BP4" i="34"/>
  <c r="D25" i="34"/>
  <c r="D10" i="34"/>
  <c r="D12" i="34" s="1"/>
  <c r="L25" i="34"/>
  <c r="L10" i="34"/>
  <c r="L12" i="34" s="1"/>
  <c r="T25" i="34"/>
  <c r="T10" i="34"/>
  <c r="T12" i="34" s="1"/>
  <c r="AB25" i="34"/>
  <c r="AB10" i="34"/>
  <c r="AB12" i="34" s="1"/>
  <c r="AJ25" i="34"/>
  <c r="AJ10" i="34"/>
  <c r="AJ12" i="34" s="1"/>
  <c r="AR25" i="34"/>
  <c r="AR10" i="34"/>
  <c r="AR12" i="34" s="1"/>
  <c r="AZ25" i="34"/>
  <c r="AZ10" i="34"/>
  <c r="AZ12" i="34" s="1"/>
  <c r="AG10" i="34"/>
  <c r="AG12" i="34" s="1"/>
  <c r="J21" i="34"/>
  <c r="G22" i="34"/>
  <c r="N25" i="34"/>
  <c r="AT25" i="34"/>
  <c r="BL90" i="34"/>
  <c r="BT90" i="34"/>
  <c r="S21" i="34"/>
  <c r="R18" i="34"/>
  <c r="AI21" i="34"/>
  <c r="AH18" i="34"/>
  <c r="AL22" i="34"/>
  <c r="AL19" i="34"/>
  <c r="E25" i="34"/>
  <c r="E10" i="34"/>
  <c r="E12" i="34" s="1"/>
  <c r="M25" i="34"/>
  <c r="M10" i="34"/>
  <c r="M12" i="34" s="1"/>
  <c r="U25" i="34"/>
  <c r="U10" i="34"/>
  <c r="U12" i="34" s="1"/>
  <c r="AC25" i="34"/>
  <c r="AC10" i="34"/>
  <c r="AC12" i="34" s="1"/>
  <c r="AK25" i="34"/>
  <c r="AK10" i="34"/>
  <c r="AK12" i="34" s="1"/>
  <c r="AS25" i="34"/>
  <c r="AS10" i="34"/>
  <c r="AS12" i="34" s="1"/>
  <c r="BA25" i="34"/>
  <c r="BA10" i="34"/>
  <c r="BA12" i="34" s="1"/>
  <c r="BN5" i="34"/>
  <c r="AN24" i="34"/>
  <c r="BS11" i="34"/>
  <c r="AP19" i="34"/>
  <c r="O25" i="34"/>
  <c r="AU25" i="34"/>
  <c r="BM90" i="34"/>
  <c r="BU90" i="34"/>
  <c r="BR13" i="34"/>
  <c r="AH7" i="34"/>
  <c r="BQ7" i="34" s="1"/>
  <c r="BL13" i="34"/>
  <c r="G38" i="13"/>
  <c r="H38" i="13"/>
  <c r="F79" i="19"/>
  <c r="F78" i="19"/>
  <c r="F77" i="19"/>
  <c r="F76" i="19"/>
  <c r="E79" i="19"/>
  <c r="E78" i="19"/>
  <c r="E77" i="19"/>
  <c r="E76" i="19"/>
  <c r="D79" i="19"/>
  <c r="D78" i="19"/>
  <c r="D77" i="19"/>
  <c r="D76" i="19"/>
  <c r="C79" i="19"/>
  <c r="C78" i="19"/>
  <c r="C77" i="19"/>
  <c r="C76" i="19"/>
  <c r="B79" i="19"/>
  <c r="B78" i="19"/>
  <c r="B77" i="19"/>
  <c r="B76" i="19"/>
  <c r="F75" i="19"/>
  <c r="E75" i="19"/>
  <c r="D75" i="19"/>
  <c r="C75" i="19"/>
  <c r="B75" i="19"/>
  <c r="B28" i="11"/>
  <c r="R10" i="34" l="1"/>
  <c r="R12" i="34" s="1"/>
  <c r="BN25" i="34"/>
  <c r="BP18" i="34"/>
  <c r="R25" i="34"/>
  <c r="H24" i="34"/>
  <c r="X14" i="34"/>
  <c r="BO25" i="34"/>
  <c r="AT24" i="34"/>
  <c r="BR25" i="34"/>
  <c r="AE24" i="34"/>
  <c r="AH25" i="34"/>
  <c r="AD24" i="34"/>
  <c r="BD14" i="34"/>
  <c r="BD16" i="34" s="1"/>
  <c r="BM25" i="34"/>
  <c r="BN18" i="34"/>
  <c r="BE14" i="34"/>
  <c r="BE16" i="34" s="1"/>
  <c r="BE24" i="34"/>
  <c r="V24" i="34"/>
  <c r="BQ18" i="34"/>
  <c r="BW18" i="34"/>
  <c r="N12" i="34"/>
  <c r="BP25" i="34"/>
  <c r="BC16" i="34"/>
  <c r="BW12" i="34"/>
  <c r="BW24" i="34" s="1"/>
  <c r="AV24" i="34"/>
  <c r="AV14" i="34"/>
  <c r="AV16" i="34" s="1"/>
  <c r="G24" i="34"/>
  <c r="G14" i="34"/>
  <c r="E24" i="34"/>
  <c r="E14" i="34"/>
  <c r="AI12" i="34"/>
  <c r="Y14" i="34"/>
  <c r="Y24" i="34"/>
  <c r="AL10" i="34"/>
  <c r="AL12" i="34" s="1"/>
  <c r="AL25" i="34"/>
  <c r="P24" i="34"/>
  <c r="P14" i="34"/>
  <c r="R14" i="34"/>
  <c r="R24" i="34"/>
  <c r="AK24" i="34"/>
  <c r="AK14" i="34"/>
  <c r="AF24" i="34"/>
  <c r="AF14" i="34"/>
  <c r="C12" i="34"/>
  <c r="Q14" i="34"/>
  <c r="Q24" i="34"/>
  <c r="AR24" i="34"/>
  <c r="AR14" i="34"/>
  <c r="AR16" i="34" s="1"/>
  <c r="L24" i="34"/>
  <c r="L14" i="34"/>
  <c r="AX14" i="34"/>
  <c r="AX16" i="34" s="1"/>
  <c r="AX24" i="34"/>
  <c r="Z25" i="34"/>
  <c r="Z10" i="34"/>
  <c r="Z12" i="34" s="1"/>
  <c r="BO12" i="34" s="1"/>
  <c r="BO24" i="34" s="1"/>
  <c r="BQ25" i="34"/>
  <c r="AW14" i="34"/>
  <c r="AW16" i="34" s="1"/>
  <c r="AW24" i="34"/>
  <c r="AH10" i="34"/>
  <c r="AZ24" i="34"/>
  <c r="AZ14" i="34"/>
  <c r="AZ16" i="34" s="1"/>
  <c r="BV10" i="34"/>
  <c r="AY12" i="34"/>
  <c r="BA24" i="34"/>
  <c r="BA14" i="34"/>
  <c r="BA16" i="34" s="1"/>
  <c r="U24" i="34"/>
  <c r="U14" i="34"/>
  <c r="BV25" i="34"/>
  <c r="BN10" i="34"/>
  <c r="S12" i="34"/>
  <c r="AO14" i="34"/>
  <c r="AO16" i="34" s="1"/>
  <c r="AO24" i="34"/>
  <c r="AU12" i="34"/>
  <c r="BU10" i="34"/>
  <c r="BM10" i="34"/>
  <c r="BP10" i="34"/>
  <c r="AA12" i="34"/>
  <c r="W24" i="34"/>
  <c r="W14" i="34"/>
  <c r="D24" i="34"/>
  <c r="D14" i="34"/>
  <c r="AG14" i="34"/>
  <c r="AG24" i="34"/>
  <c r="AB24" i="34"/>
  <c r="AB14" i="34"/>
  <c r="BT10" i="34"/>
  <c r="AQ12" i="34"/>
  <c r="J25" i="34"/>
  <c r="J10" i="34"/>
  <c r="J12" i="34" s="1"/>
  <c r="BK12" i="34" s="1"/>
  <c r="BK24" i="34" s="1"/>
  <c r="BR18" i="34"/>
  <c r="I14" i="34"/>
  <c r="I24" i="34"/>
  <c r="O24" i="34"/>
  <c r="O14" i="34"/>
  <c r="BM12" i="34"/>
  <c r="BM24" i="34" s="1"/>
  <c r="T24" i="34"/>
  <c r="T14" i="34"/>
  <c r="AC24" i="34"/>
  <c r="AC14" i="34"/>
  <c r="AJ24" i="34"/>
  <c r="AJ14" i="34"/>
  <c r="AS24" i="34"/>
  <c r="AS14" i="34"/>
  <c r="AS16" i="34" s="1"/>
  <c r="M24" i="34"/>
  <c r="M14" i="34"/>
  <c r="AP14" i="34"/>
  <c r="AP16" i="34" s="1"/>
  <c r="AP24" i="34"/>
  <c r="BL10" i="34"/>
  <c r="K12" i="34"/>
  <c r="AM12" i="34"/>
  <c r="BS10" i="34"/>
  <c r="F10" i="34"/>
  <c r="F12" i="34" s="1"/>
  <c r="BJ5" i="34"/>
  <c r="BJ25" i="34" s="1"/>
  <c r="F25" i="34"/>
  <c r="H30" i="19"/>
  <c r="D15" i="20"/>
  <c r="BW14" i="34" l="1"/>
  <c r="BW16" i="34"/>
  <c r="N14" i="34"/>
  <c r="N24" i="34"/>
  <c r="BK10" i="34"/>
  <c r="BJ10" i="34"/>
  <c r="BO10" i="34"/>
  <c r="AQ24" i="34"/>
  <c r="BT12" i="34"/>
  <c r="BT24" i="34" s="1"/>
  <c r="AQ14" i="34"/>
  <c r="AH12" i="34"/>
  <c r="BQ10" i="34"/>
  <c r="BJ12" i="34"/>
  <c r="BJ24" i="34" s="1"/>
  <c r="C24" i="34"/>
  <c r="C14" i="34"/>
  <c r="BJ14" i="34" s="1"/>
  <c r="BS12" i="34"/>
  <c r="BS24" i="34" s="1"/>
  <c r="AM24" i="34"/>
  <c r="AM14" i="34"/>
  <c r="BM14" i="34"/>
  <c r="AU24" i="34"/>
  <c r="AU14" i="34"/>
  <c r="BU12" i="34"/>
  <c r="BU24" i="34" s="1"/>
  <c r="AL14" i="34"/>
  <c r="AL24" i="34"/>
  <c r="AY24" i="34"/>
  <c r="BV12" i="34"/>
  <c r="BV24" i="34" s="1"/>
  <c r="AY14" i="34"/>
  <c r="BO14" i="34"/>
  <c r="S24" i="34"/>
  <c r="BN12" i="34"/>
  <c r="BN24" i="34" s="1"/>
  <c r="S14" i="34"/>
  <c r="BN14" i="34" s="1"/>
  <c r="BR12" i="34"/>
  <c r="BR24" i="34" s="1"/>
  <c r="AI24" i="34"/>
  <c r="AI14" i="34"/>
  <c r="K24" i="34"/>
  <c r="BL12" i="34"/>
  <c r="BL24" i="34" s="1"/>
  <c r="K14" i="34"/>
  <c r="BL14" i="34" s="1"/>
  <c r="BP12" i="34"/>
  <c r="BP24" i="34" s="1"/>
  <c r="AA24" i="34"/>
  <c r="AA14" i="34"/>
  <c r="BP14" i="34" s="1"/>
  <c r="Z14" i="34"/>
  <c r="Z24" i="34"/>
  <c r="F24" i="34"/>
  <c r="F14" i="34"/>
  <c r="J14" i="34"/>
  <c r="BK14" i="34" s="1"/>
  <c r="J24" i="34"/>
  <c r="BR10" i="34"/>
  <c r="I15" i="19"/>
  <c r="I14" i="19"/>
  <c r="I13" i="19"/>
  <c r="I12" i="19"/>
  <c r="I11" i="19"/>
  <c r="I10" i="19"/>
  <c r="I9" i="19"/>
  <c r="I8" i="19"/>
  <c r="I7" i="19"/>
  <c r="I6" i="19"/>
  <c r="I5" i="19"/>
  <c r="B72" i="19"/>
  <c r="B201" i="23"/>
  <c r="I21" i="19" s="1"/>
  <c r="D5" i="23"/>
  <c r="B210" i="23"/>
  <c r="B209" i="23"/>
  <c r="I29" i="19" s="1"/>
  <c r="B208" i="23"/>
  <c r="I28" i="19" s="1"/>
  <c r="B207" i="23"/>
  <c r="I27" i="19" s="1"/>
  <c r="B206" i="23"/>
  <c r="I26" i="19" s="1"/>
  <c r="B205" i="23"/>
  <c r="I25" i="19" s="1"/>
  <c r="B204" i="23"/>
  <c r="B203" i="23"/>
  <c r="B202" i="23"/>
  <c r="I22" i="19" s="1"/>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B37" i="19"/>
  <c r="C15" i="18" s="1"/>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B26" i="25"/>
  <c r="E26" i="25" s="1"/>
  <c r="B27" i="25"/>
  <c r="E27" i="25" s="1"/>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c r="B7" i="14"/>
  <c r="D18" i="14" s="1"/>
  <c r="B6" i="14"/>
  <c r="B19" i="14"/>
  <c r="B5" i="14"/>
  <c r="B16" i="14"/>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J8" i="19"/>
  <c r="J7" i="19"/>
  <c r="A27" i="25"/>
  <c r="A14" i="25"/>
  <c r="A26" i="25"/>
  <c r="C26" i="25"/>
  <c r="D26" i="25"/>
  <c r="K40" i="19"/>
  <c r="K46" i="19"/>
  <c r="K44" i="19"/>
  <c r="J39" i="19"/>
  <c r="A15" i="25"/>
  <c r="A28" i="25"/>
  <c r="C27" i="25"/>
  <c r="A16" i="25"/>
  <c r="A29" i="25"/>
  <c r="E28" i="25"/>
  <c r="C28" i="25"/>
  <c r="D28" i="25"/>
  <c r="A17" i="25"/>
  <c r="A30" i="25"/>
  <c r="E29" i="25"/>
  <c r="C29" i="25"/>
  <c r="D29" i="25"/>
  <c r="A31" i="25"/>
  <c r="A18" i="25"/>
  <c r="E30" i="25"/>
  <c r="C30" i="25"/>
  <c r="D30" i="25"/>
  <c r="A19" i="25"/>
  <c r="A32" i="25"/>
  <c r="E31" i="25"/>
  <c r="C31" i="25"/>
  <c r="D31" i="25"/>
  <c r="E32" i="25"/>
  <c r="C32" i="25"/>
  <c r="D32" i="25"/>
  <c r="A33" i="25"/>
  <c r="A20" i="25"/>
  <c r="A34" i="25"/>
  <c r="C34" i="25"/>
  <c r="D34" i="25"/>
  <c r="E34" i="25"/>
  <c r="C33" i="25"/>
  <c r="D33" i="25"/>
  <c r="E33" i="25"/>
  <c r="E12" i="28"/>
  <c r="I28" i="32"/>
  <c r="B30" i="13"/>
  <c r="D37" i="28" s="1"/>
  <c r="B24" i="32"/>
  <c r="BR14" i="34" l="1"/>
  <c r="BL67" i="34"/>
  <c r="BL78" i="34" s="1"/>
  <c r="BL110" i="34" s="1"/>
  <c r="BL16" i="34"/>
  <c r="BO16" i="34"/>
  <c r="BO67" i="34"/>
  <c r="BO78" i="34" s="1"/>
  <c r="BO110" i="34" s="1"/>
  <c r="AU16" i="34"/>
  <c r="BU14" i="34"/>
  <c r="AY16" i="34"/>
  <c r="BV14" i="34"/>
  <c r="BS14" i="34"/>
  <c r="AM16" i="34"/>
  <c r="AQ16" i="34"/>
  <c r="BT14" i="34"/>
  <c r="BM67" i="34"/>
  <c r="BM78" i="34" s="1"/>
  <c r="BM110" i="34" s="1"/>
  <c r="BM16" i="34"/>
  <c r="BP67" i="34"/>
  <c r="BP78" i="34" s="1"/>
  <c r="BP110" i="34" s="1"/>
  <c r="BP16" i="34"/>
  <c r="BK67" i="34"/>
  <c r="BK78" i="34" s="1"/>
  <c r="BK110" i="34" s="1"/>
  <c r="BK16" i="34"/>
  <c r="BR67" i="34"/>
  <c r="BR78" i="34" s="1"/>
  <c r="BR110" i="34" s="1"/>
  <c r="BR16" i="34"/>
  <c r="AH14" i="34"/>
  <c r="BQ14" i="34" s="1"/>
  <c r="AH24" i="34"/>
  <c r="BQ12" i="34"/>
  <c r="BQ24" i="34" s="1"/>
  <c r="BN67" i="34"/>
  <c r="BN78" i="34" s="1"/>
  <c r="BN110" i="34" s="1"/>
  <c r="BN16" i="34"/>
  <c r="BJ67" i="34"/>
  <c r="BJ78" i="34" s="1"/>
  <c r="BJ110" i="34" s="1"/>
  <c r="BJ16" i="34"/>
  <c r="L59" i="19"/>
  <c r="L62" i="19"/>
  <c r="J47" i="19"/>
  <c r="K39" i="19"/>
  <c r="K27" i="19"/>
  <c r="D17" i="12"/>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C26" i="28"/>
  <c r="M4" i="13"/>
  <c r="E12" i="12" s="1"/>
  <c r="F16" i="32"/>
  <c r="E2" i="13"/>
  <c r="F2" i="13" s="1"/>
  <c r="H16" i="32" s="1"/>
  <c r="C6" i="13"/>
  <c r="D6" i="13" s="1"/>
  <c r="E6" i="13" s="1"/>
  <c r="F6" i="13" s="1"/>
  <c r="G6" i="13" s="1"/>
  <c r="D35" i="28"/>
  <c r="D25" i="25"/>
  <c r="D35" i="25" s="1"/>
  <c r="B39" i="13" s="1"/>
  <c r="I27" i="11" s="1"/>
  <c r="B17" i="12" s="1"/>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H6" i="13"/>
  <c r="I6" i="13" s="1"/>
  <c r="J6" i="13" s="1"/>
  <c r="K6" i="13" s="1"/>
  <c r="L6" i="13" s="1"/>
  <c r="B60" i="19"/>
  <c r="E35" i="25"/>
  <c r="D37" i="25" s="1"/>
  <c r="D39" i="25" s="1"/>
  <c r="B5" i="13" s="1"/>
  <c r="B7" i="13" s="1"/>
  <c r="B11" i="32" s="1"/>
  <c r="D34" i="28"/>
  <c r="B8" i="32"/>
  <c r="B7" i="12"/>
  <c r="C3" i="13"/>
  <c r="J28" i="32"/>
  <c r="I38" i="13"/>
  <c r="G28" i="32"/>
  <c r="F38" i="13"/>
  <c r="H28" i="32" s="1"/>
  <c r="B20" i="32"/>
  <c r="C17" i="12"/>
  <c r="J18" i="32"/>
  <c r="F9" i="28"/>
  <c r="D12" i="20"/>
  <c r="D13" i="20" s="1"/>
  <c r="B7" i="32"/>
  <c r="B33" i="12"/>
  <c r="C26" i="18"/>
  <c r="C27" i="18"/>
  <c r="C22" i="18"/>
  <c r="C24" i="18"/>
  <c r="C23" i="18"/>
  <c r="C25" i="18"/>
  <c r="C62" i="19"/>
  <c r="C53" i="19"/>
  <c r="C54" i="19"/>
  <c r="C56" i="19" s="1"/>
  <c r="J38" i="19"/>
  <c r="K43" i="19"/>
  <c r="K45" i="19"/>
  <c r="J37" i="19"/>
  <c r="L37" i="19"/>
  <c r="L38" i="19"/>
  <c r="BS67" i="34" l="1"/>
  <c r="BS78" i="34" s="1"/>
  <c r="BS110" i="34" s="1"/>
  <c r="BS16" i="34"/>
  <c r="BV67" i="34"/>
  <c r="BV78" i="34" s="1"/>
  <c r="BV110" i="34" s="1"/>
  <c r="BV16" i="34"/>
  <c r="BU67" i="34"/>
  <c r="BU78" i="34" s="1"/>
  <c r="BU110" i="34" s="1"/>
  <c r="BU16" i="34"/>
  <c r="BQ67" i="34"/>
  <c r="BQ78" i="34" s="1"/>
  <c r="BQ110" i="34" s="1"/>
  <c r="BQ16" i="34"/>
  <c r="BT67" i="34"/>
  <c r="BT78" i="34" s="1"/>
  <c r="BT110" i="34" s="1"/>
  <c r="BT16" i="34"/>
  <c r="G16" i="32"/>
  <c r="F10" i="28"/>
  <c r="C27" i="28"/>
  <c r="O18" i="32"/>
  <c r="L64" i="19"/>
  <c r="K18" i="19"/>
  <c r="J18" i="19"/>
  <c r="J48" i="19"/>
  <c r="L48" i="19" s="1"/>
  <c r="B67" i="19" s="1"/>
  <c r="G2" i="13"/>
  <c r="I16" i="32" s="1"/>
  <c r="J32" i="19"/>
  <c r="K21" i="19"/>
  <c r="K32" i="19" s="1"/>
  <c r="B27" i="19" s="1"/>
  <c r="J2" i="13"/>
  <c r="L16" i="32" s="1"/>
  <c r="C7" i="12"/>
  <c r="E17" i="32"/>
  <c r="B17" i="28"/>
  <c r="D3" i="13"/>
  <c r="B18" i="28" s="1"/>
  <c r="B40" i="13"/>
  <c r="B13" i="28" s="1"/>
  <c r="B10" i="32"/>
  <c r="I29" i="11"/>
  <c r="B4" i="13"/>
  <c r="B10" i="28" s="1"/>
  <c r="D40" i="25"/>
  <c r="D14" i="20"/>
  <c r="D16" i="20" s="1"/>
  <c r="J38" i="13"/>
  <c r="K28" i="32"/>
  <c r="C28" i="18"/>
  <c r="C60" i="19"/>
  <c r="H2" i="13" l="1"/>
  <c r="J16" i="32" s="1"/>
  <c r="K2" i="13"/>
  <c r="M16" i="32" s="1"/>
  <c r="I2" i="13"/>
  <c r="K16" i="32" s="1"/>
  <c r="L2" i="13"/>
  <c r="N16" i="32" s="1"/>
  <c r="K48" i="19"/>
  <c r="C8" i="13"/>
  <c r="F17" i="32"/>
  <c r="E3" i="13"/>
  <c r="B27" i="12"/>
  <c r="B12" i="12"/>
  <c r="I26" i="11"/>
  <c r="B27" i="11" s="1"/>
  <c r="B9" i="32"/>
  <c r="L28" i="32"/>
  <c r="K38" i="13"/>
  <c r="E60" i="19"/>
  <c r="C61" i="19" s="1"/>
  <c r="C57" i="19"/>
  <c r="B62" i="19" s="1"/>
  <c r="F34" i="18"/>
  <c r="F33" i="18"/>
  <c r="F31" i="18"/>
  <c r="F32" i="18" s="1"/>
  <c r="C10" i="28" l="1"/>
  <c r="C4" i="13"/>
  <c r="E21" i="32"/>
  <c r="C39" i="13"/>
  <c r="F17" i="28"/>
  <c r="F3" i="13"/>
  <c r="E8" i="13" s="1"/>
  <c r="B19" i="28"/>
  <c r="D8" i="13"/>
  <c r="G17" i="32"/>
  <c r="L38" i="13"/>
  <c r="M28" i="32"/>
  <c r="D61" i="19"/>
  <c r="B61" i="19"/>
  <c r="H17" i="32" l="1"/>
  <c r="E18" i="32"/>
  <c r="D4" i="13"/>
  <c r="C12" i="12"/>
  <c r="F4" i="13"/>
  <c r="G4" i="13"/>
  <c r="C17" i="28"/>
  <c r="D17" i="28" s="1"/>
  <c r="E4" i="13"/>
  <c r="C5" i="13"/>
  <c r="G3" i="13"/>
  <c r="D7" i="12" s="1"/>
  <c r="B20" i="28"/>
  <c r="D39" i="13"/>
  <c r="E39" i="13" s="1"/>
  <c r="F21" i="32"/>
  <c r="F18" i="28"/>
  <c r="E61" i="19"/>
  <c r="E17" i="12"/>
  <c r="N28" i="32"/>
  <c r="G21" i="32"/>
  <c r="F19" i="28"/>
  <c r="E62" i="19"/>
  <c r="B13" i="19" s="1"/>
  <c r="B35" i="11" s="1"/>
  <c r="I31" i="11" s="1"/>
  <c r="H3" i="13" l="1"/>
  <c r="F8" i="13"/>
  <c r="B21" i="28"/>
  <c r="I17" i="32"/>
  <c r="C10" i="13"/>
  <c r="E19" i="32"/>
  <c r="C7" i="13"/>
  <c r="C20" i="28"/>
  <c r="H18" i="32"/>
  <c r="D20" i="28"/>
  <c r="G18" i="32"/>
  <c r="C19" i="28"/>
  <c r="D19" i="28" s="1"/>
  <c r="E5" i="13"/>
  <c r="E10" i="28"/>
  <c r="C21" i="28"/>
  <c r="D12" i="12"/>
  <c r="I18" i="32"/>
  <c r="F5" i="13"/>
  <c r="G5" i="13"/>
  <c r="I19" i="32" s="1"/>
  <c r="F18" i="32"/>
  <c r="C18" i="28"/>
  <c r="D18" i="28" s="1"/>
  <c r="D5" i="13"/>
  <c r="C12" i="13"/>
  <c r="E25" i="32" s="1"/>
  <c r="M12" i="13"/>
  <c r="B22" i="28"/>
  <c r="D22" i="28" s="1"/>
  <c r="H5" i="13"/>
  <c r="G8" i="13"/>
  <c r="J17" i="32"/>
  <c r="I3" i="13"/>
  <c r="F20" i="28"/>
  <c r="H21" i="32"/>
  <c r="F39" i="13"/>
  <c r="D21" i="28" l="1"/>
  <c r="D12" i="13"/>
  <c r="F25" i="32" s="1"/>
  <c r="D31" i="12"/>
  <c r="D14" i="28"/>
  <c r="C13" i="13"/>
  <c r="E26" i="32" s="1"/>
  <c r="G19" i="32"/>
  <c r="D7" i="13"/>
  <c r="F19" i="32"/>
  <c r="D10" i="13"/>
  <c r="E7" i="13" s="1"/>
  <c r="H19" i="32"/>
  <c r="E17" i="28"/>
  <c r="G17" i="28" s="1"/>
  <c r="C40" i="13"/>
  <c r="E29" i="32" s="1"/>
  <c r="E20" i="32"/>
  <c r="C9" i="13"/>
  <c r="E22" i="32" s="1"/>
  <c r="F14" i="28"/>
  <c r="P8" i="32"/>
  <c r="E31" i="12"/>
  <c r="B17" i="13"/>
  <c r="G39" i="13"/>
  <c r="F21" i="28"/>
  <c r="I21" i="32"/>
  <c r="J3" i="13"/>
  <c r="H8" i="13"/>
  <c r="I5" i="13"/>
  <c r="K17" i="32"/>
  <c r="B23" i="28"/>
  <c r="D23" i="28" s="1"/>
  <c r="J19" i="32"/>
  <c r="D13" i="13" l="1"/>
  <c r="E12" i="13"/>
  <c r="C14" i="13"/>
  <c r="E19" i="28"/>
  <c r="G19" i="28" s="1"/>
  <c r="G20" i="32"/>
  <c r="E40" i="13"/>
  <c r="G29" i="32" s="1"/>
  <c r="E9" i="13"/>
  <c r="G22" i="32" s="1"/>
  <c r="E10" i="13"/>
  <c r="E18" i="28"/>
  <c r="G18" i="28" s="1"/>
  <c r="F20" i="32"/>
  <c r="D9" i="13"/>
  <c r="F22" i="32" s="1"/>
  <c r="D40" i="13"/>
  <c r="F29" i="32" s="1"/>
  <c r="K19" i="32"/>
  <c r="J21" i="32"/>
  <c r="F22" i="28"/>
  <c r="L17" i="32"/>
  <c r="J5" i="13"/>
  <c r="K3" i="13"/>
  <c r="B24" i="28"/>
  <c r="D24" i="28" s="1"/>
  <c r="I8" i="13"/>
  <c r="H39" i="13"/>
  <c r="G25" i="32"/>
  <c r="F12" i="13"/>
  <c r="E13" i="13" l="1"/>
  <c r="E14" i="13" s="1"/>
  <c r="F26" i="32"/>
  <c r="F7" i="13"/>
  <c r="F10" i="13"/>
  <c r="D14" i="13"/>
  <c r="I39" i="13"/>
  <c r="K21" i="32"/>
  <c r="F23" i="28"/>
  <c r="K5" i="13"/>
  <c r="B25" i="28"/>
  <c r="D25" i="28" s="1"/>
  <c r="L3" i="13"/>
  <c r="J8" i="13"/>
  <c r="M17" i="32"/>
  <c r="L19" i="32"/>
  <c r="H25" i="32"/>
  <c r="G12" i="13"/>
  <c r="F13" i="13" l="1"/>
  <c r="H26" i="32" s="1"/>
  <c r="G26" i="32"/>
  <c r="G7" i="13"/>
  <c r="G10" i="13"/>
  <c r="F9" i="13"/>
  <c r="H22" i="32" s="1"/>
  <c r="E20" i="28"/>
  <c r="G20" i="28" s="1"/>
  <c r="F40" i="13"/>
  <c r="H29" i="32" s="1"/>
  <c r="H20" i="32"/>
  <c r="L21" i="32"/>
  <c r="F24" i="28"/>
  <c r="J39" i="13"/>
  <c r="K8" i="13"/>
  <c r="B26" i="28"/>
  <c r="D26" i="28" s="1"/>
  <c r="M3" i="13"/>
  <c r="E7" i="12"/>
  <c r="N17" i="32"/>
  <c r="L5" i="13"/>
  <c r="M19" i="32"/>
  <c r="H12" i="13"/>
  <c r="I25" i="32"/>
  <c r="F14" i="13" l="1"/>
  <c r="G13" i="13"/>
  <c r="H10" i="13"/>
  <c r="H7" i="13"/>
  <c r="G40" i="13"/>
  <c r="I29" i="32" s="1"/>
  <c r="I20" i="32"/>
  <c r="E21" i="28"/>
  <c r="G21" i="28" s="1"/>
  <c r="G9" i="13"/>
  <c r="I22" i="32" s="1"/>
  <c r="L8" i="13"/>
  <c r="B27" i="28"/>
  <c r="D27" i="28" s="1"/>
  <c r="J34" i="11"/>
  <c r="M5" i="13"/>
  <c r="O17" i="32"/>
  <c r="F25" i="28"/>
  <c r="M21" i="32"/>
  <c r="K39" i="13"/>
  <c r="N19" i="32"/>
  <c r="H13" i="13"/>
  <c r="I26" i="32"/>
  <c r="I12" i="13"/>
  <c r="J25" i="32"/>
  <c r="L39" i="13" l="1"/>
  <c r="J20" i="32"/>
  <c r="E22" i="28"/>
  <c r="G22" i="28" s="1"/>
  <c r="H9" i="13"/>
  <c r="J22" i="32" s="1"/>
  <c r="H40" i="13"/>
  <c r="J29" i="32" s="1"/>
  <c r="G14" i="13"/>
  <c r="I10" i="13"/>
  <c r="I7" i="13"/>
  <c r="M7" i="13"/>
  <c r="O19" i="32"/>
  <c r="J35" i="11"/>
  <c r="N5" i="13"/>
  <c r="F26" i="28"/>
  <c r="N21" i="32"/>
  <c r="J26" i="32"/>
  <c r="I13" i="13"/>
  <c r="J12" i="13"/>
  <c r="K25" i="32"/>
  <c r="H14" i="13" l="1"/>
  <c r="I9" i="13"/>
  <c r="K22" i="32" s="1"/>
  <c r="K20" i="32"/>
  <c r="E23" i="28"/>
  <c r="G23" i="28" s="1"/>
  <c r="I40" i="13"/>
  <c r="K29" i="32" s="1"/>
  <c r="J7" i="13"/>
  <c r="J10" i="13"/>
  <c r="E27" i="28"/>
  <c r="O20" i="32"/>
  <c r="L25" i="32"/>
  <c r="K12" i="13"/>
  <c r="J13" i="13"/>
  <c r="K26" i="32"/>
  <c r="I14" i="13" l="1"/>
  <c r="K10" i="13"/>
  <c r="K7" i="13"/>
  <c r="L20" i="32"/>
  <c r="J40" i="13"/>
  <c r="L29" i="32" s="1"/>
  <c r="J9" i="13"/>
  <c r="L22" i="32" s="1"/>
  <c r="E24" i="28"/>
  <c r="G24" i="28" s="1"/>
  <c r="L26" i="32"/>
  <c r="K13" i="13"/>
  <c r="M25" i="32"/>
  <c r="L12" i="13"/>
  <c r="J14" i="13" l="1"/>
  <c r="E25" i="28"/>
  <c r="G25" i="28" s="1"/>
  <c r="K40" i="13"/>
  <c r="M29" i="32" s="1"/>
  <c r="M20" i="32"/>
  <c r="K9" i="13"/>
  <c r="M22" i="32" s="1"/>
  <c r="L7" i="13"/>
  <c r="L10" i="13"/>
  <c r="M10" i="13" s="1"/>
  <c r="N25" i="32"/>
  <c r="M40" i="13"/>
  <c r="M26" i="32"/>
  <c r="L13" i="13"/>
  <c r="K14" i="13" l="1"/>
  <c r="N20" i="32"/>
  <c r="L40" i="13"/>
  <c r="L9" i="13"/>
  <c r="N22" i="32" s="1"/>
  <c r="E26" i="28"/>
  <c r="G26" i="28" s="1"/>
  <c r="C27" i="12"/>
  <c r="D13" i="28" s="1"/>
  <c r="P9" i="32"/>
  <c r="P10" i="32" s="1"/>
  <c r="F13" i="28"/>
  <c r="M8" i="13"/>
  <c r="O29" i="32"/>
  <c r="F12" i="28"/>
  <c r="E27" i="12"/>
  <c r="N26" i="32"/>
  <c r="C31" i="12"/>
  <c r="B21" i="12"/>
  <c r="C21" i="12" s="1"/>
  <c r="N29" i="32" l="1"/>
  <c r="J36" i="11"/>
  <c r="D27" i="12"/>
  <c r="L14" i="13"/>
  <c r="B20" i="13" s="1"/>
  <c r="B23" i="12" s="1"/>
  <c r="B22" i="12" s="1"/>
  <c r="C22" i="12" s="1"/>
  <c r="C23" i="12" s="1"/>
  <c r="F27" i="28"/>
  <c r="G27" i="28" s="1"/>
  <c r="M9" i="13"/>
  <c r="N8" i="13"/>
  <c r="O21" i="32"/>
  <c r="D31" i="28" l="1"/>
  <c r="B16" i="32"/>
  <c r="B16" i="13"/>
  <c r="B18" i="13" s="1"/>
  <c r="O22" i="32"/>
  <c r="N23" i="32" l="1"/>
  <c r="D29" i="28"/>
  <c r="B19" i="13"/>
  <c r="D30" i="28" l="1"/>
  <c r="B21" i="13"/>
  <c r="B15" i="32"/>
  <c r="B23" i="13" l="1"/>
  <c r="B24" i="13" s="1"/>
  <c r="D32" i="28"/>
  <c r="B29" i="13" l="1"/>
  <c r="B18" i="32"/>
  <c r="D33" i="28"/>
  <c r="D36" i="28" s="1"/>
  <c r="D39" i="28" s="1"/>
  <c r="B31" i="13" l="1"/>
  <c r="B23" i="32"/>
  <c r="B33" i="13" l="1"/>
  <c r="B25" i="32"/>
  <c r="B35" i="13" l="1"/>
  <c r="B36" i="12"/>
  <c r="B37" i="12" s="1"/>
  <c r="B27" i="32"/>
  <c r="B30" i="32" s="1"/>
  <c r="B17" i="14"/>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<sst xmlns="http://schemas.openxmlformats.org/spreadsheetml/2006/main" count="2155" uniqueCount="1218">
  <si>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</si>
  <si>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</si>
  <si>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</si>
  <si>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</si>
  <si>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Inputs</t>
  </si>
  <si>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</si>
  <si>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</si>
  <si>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</si>
  <si>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</si>
  <si>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</si>
  <si>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</si>
  <si>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</si>
  <si>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</si>
  <si>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</si>
  <si>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</si>
  <si>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</si>
  <si>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</si>
  <si>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</si>
  <si>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</si>
  <si>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</si>
  <si>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</si>
  <si>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</si>
  <si>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</si>
  <si>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</si>
  <si>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</si>
  <si>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</si>
  <si>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</si>
  <si>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</si>
  <si>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</si>
  <si>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</si>
  <si>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</si>
  <si>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</si>
  <si>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</si>
  <si>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</si>
  <si>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</si>
  <si>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</si>
  <si>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</si>
  <si>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</si>
  <si>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</si>
  <si>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</si>
  <si>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</si>
  <si>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</si>
  <si>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</si>
  <si>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</si>
  <si>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</si>
  <si>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</si>
  <si>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</si>
  <si>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</si>
  <si>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</si>
  <si>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</si>
  <si>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</si>
  <si>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</si>
  <si>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</si>
  <si>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</si>
  <si>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</si>
  <si>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</si>
  <si>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</si>
  <si>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</si>
  <si>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</si>
  <si>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</si>
  <si>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</si>
  <si>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</si>
  <si>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</si>
  <si>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</si>
  <si>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</si>
  <si>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</si>
  <si>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</si>
  <si>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</si>
  <si>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</si>
  <si>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</si>
  <si>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</si>
  <si>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</si>
  <si>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</si>
  <si>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</si>
  <si>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</si>
  <si>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</si>
  <si>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</si>
  <si>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</si>
  <si>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</si>
  <si>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</si>
  <si>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</si>
  <si>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</si>
  <si>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</si>
  <si>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</si>
  <si>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</si>
  <si>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</si>
  <si>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</si>
  <si>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</si>
  <si>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</si>
  <si>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</si>
  <si>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</si>
  <si>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</si>
  <si>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</si>
  <si>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</si>
  <si>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</si>
  <si>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</si>
  <si>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</si>
  <si>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</si>
  <si>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</si>
  <si>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</si>
  <si>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</si>
  <si>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</si>
  <si>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</si>
  <si>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</si>
  <si>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</si>
  <si>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</si>
  <si>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</si>
  <si>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</si>
  <si>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</si>
  <si>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</si>
  <si>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</si>
  <si>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</si>
  <si>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</si>
  <si>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</si>
  <si>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</si>
  <si>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</si>
  <si>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</si>
  <si>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</si>
  <si>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</si>
  <si>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</si>
  <si>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</si>
  <si>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</si>
  <si>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</si>
  <si>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</si>
  <si>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</si>
  <si>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</si>
  <si>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</si>
  <si>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</si>
  <si>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</si>
  <si>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</si>
  <si>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</si>
  <si>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</si>
  <si>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</si>
  <si>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</si>
  <si>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</si>
  <si>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</si>
  <si>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</si>
  <si>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</si>
  <si>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</si>
  <si>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</si>
  <si>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</si>
  <si>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</si>
  <si>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</si>
  <si>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</si>
  <si>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</si>
  <si>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</si>
  <si>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</si>
  <si>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</si>
  <si>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</si>
  <si>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</si>
  <si>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</si>
  <si>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</si>
  <si>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</si>
  <si>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</si>
  <si>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</si>
  <si>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</si>
  <si>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</si>
  <si>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</si>
  <si>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</si>
  <si>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</si>
  <si>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</si>
  <si>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</si>
  <si>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</si>
  <si>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</si>
  <si>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</si>
  <si>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</si>
  <si>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</si>
  <si>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</si>
  <si>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</si>
  <si>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</si>
  <si>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</si>
  <si>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</si>
  <si>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</si>
  <si>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</si>
  <si>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</si>
  <si>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</si>
  <si>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</si>
  <si>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</si>
  <si>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</si>
  <si>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</si>
  <si>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</si>
  <si>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</si>
  <si>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</si>
  <si>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</si>
  <si>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</si>
  <si>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</si>
  <si>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</si>
  <si>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</si>
  <si>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</si>
  <si>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</si>
  <si>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</si>
  <si>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</si>
  <si>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</si>
  <si>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</si>
  <si>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</si>
  <si>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</si>
  <si>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</si>
  <si>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</si>
  <si>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</si>
  <si>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</si>
  <si>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</si>
  <si>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</si>
  <si>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</si>
  <si>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</si>
  <si>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</si>
  <si>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</si>
  <si>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</si>
  <si>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</si>
  <si>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</si>
  <si>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</si>
  <si>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</si>
  <si>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</si>
  <si>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</si>
  <si>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</si>
  <si>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</si>
  <si>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</si>
  <si>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</si>
  <si>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</si>
  <si>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</si>
  <si>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</si>
  <si>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</si>
  <si>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</si>
  <si>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</si>
  <si>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</si>
  <si>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</si>
  <si>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</si>
  <si>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</si>
  <si>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</si>
  <si>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</si>
  <si>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</si>
  <si>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</si>
  <si>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</si>
  <si>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</si>
  <si>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</si>
  <si>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</si>
  <si>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</si>
  <si>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</si>
  <si>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</si>
  <si>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</si>
  <si>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</si>
  <si>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</si>
  <si>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</si>
  <si>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</si>
  <si>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</si>
  <si>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</si>
  <si>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</si>
  <si>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</si>
  <si>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</si>
  <si>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</si>
  <si>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</si>
  <si>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</si>
  <si>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</si>
  <si>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</si>
  <si>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</si>
  <si>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</si>
  <si>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</si>
  <si>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</si>
  <si>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</si>
  <si>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</si>
  <si>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</si>
  <si>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</si>
  <si>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</si>
  <si>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</si>
  <si>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</si>
  <si>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</si>
  <si>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</si>
  <si>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</si>
  <si>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</si>
  <si>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</si>
  <si>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</si>
  <si>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</si>
  <si>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</si>
  <si>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</si>
  <si>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</si>
  <si>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</si>
  <si>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</si>
  <si>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</si>
  <si>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</si>
  <si>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</si>
  <si>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</si>
  <si>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</si>
  <si>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</si>
  <si>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</si>
  <si>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</si>
  <si>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</si>
  <si>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</si>
  <si>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</si>
  <si>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</si>
  <si>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</si>
  <si>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</si>
  <si>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</si>
  <si>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</si>
  <si>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</si>
  <si>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</si>
  <si>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</si>
  <si>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</si>
  <si>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</si>
  <si>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</si>
  <si>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</si>
  <si>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</si>
  <si>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</si>
  <si>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</si>
  <si>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</si>
  <si>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</si>
  <si>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</si>
  <si>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</si>
  <si>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</si>
  <si>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</si>
  <si>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</si>
  <si>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</si>
  <si>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</si>
  <si>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</si>
  <si>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</si>
  <si>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</si>
  <si>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</si>
  <si>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</si>
  <si>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</si>
  <si>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</si>
  <si>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</si>
  <si>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</si>
  <si>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</si>
  <si>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</si>
  <si>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</si>
  <si>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</si>
  <si>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</si>
  <si>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</si>
  <si>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</si>
  <si>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</si>
  <si>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</si>
  <si>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</si>
  <si>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</si>
  <si>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</si>
  <si>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</si>
  <si>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</si>
  <si>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</si>
  <si>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</si>
  <si>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</si>
  <si>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</si>
  <si>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</si>
  <si>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</si>
  <si>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</si>
  <si>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</si>
  <si>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</si>
  <si>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</si>
  <si>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</si>
  <si>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</si>
  <si>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</si>
  <si>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</si>
  <si>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</si>
  <si>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</si>
  <si>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</si>
  <si>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</si>
  <si>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</si>
  <si>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</si>
  <si>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</si>
  <si>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</si>
  <si>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</si>
  <si>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</si>
  <si>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</si>
  <si>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</si>
  <si>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</si>
  <si>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</si>
  <si>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</si>
  <si>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</si>
  <si>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</si>
  <si>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</si>
  <si>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</si>
  <si>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</si>
  <si>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</si>
  <si>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</si>
  <si>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</si>
  <si>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</si>
  <si>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</si>
  <si>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</si>
  <si>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</si>
  <si>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</si>
  <si>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</si>
  <si>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</si>
  <si>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</si>
  <si>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</si>
  <si>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</si>
  <si>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</si>
  <si>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</si>
  <si>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</si>
  <si>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</si>
  <si>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</si>
  <si>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</si>
  <si>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</si>
  <si>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</si>
  <si>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</si>
  <si>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</si>
  <si>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</si>
  <si>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</si>
  <si>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</si>
  <si>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</si>
  <si>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</si>
  <si>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</si>
  <si>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</si>
  <si>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</si>
  <si>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</si>
  <si>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</si>
  <si>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</si>
  <si>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</si>
  <si>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</si>
  <si>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</si>
  <si>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</si>
  <si>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</si>
  <si>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</si>
  <si>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</si>
  <si>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</si>
  <si>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</si>
  <si>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</si>
  <si>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</si>
  <si>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</si>
  <si>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</si>
  <si>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</si>
  <si>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</si>
  <si>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</si>
  <si>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</si>
  <si>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</si>
  <si>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</si>
  <si>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</si>
  <si>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</si>
  <si>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</si>
  <si>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</si>
  <si>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</si>
  <si>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</si>
  <si>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</si>
  <si>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</si>
  <si>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</si>
  <si>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</si>
  <si>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</si>
  <si>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</si>
  <si>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</si>
  <si>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</si>
  <si>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</si>
  <si>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</si>
  <si>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</si>
  <si>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</si>
  <si>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</si>
  <si>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</si>
  <si>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</si>
  <si>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</si>
  <si>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</si>
  <si>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</si>
  <si>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</si>
  <si>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</si>
  <si>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</si>
  <si>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</si>
  <si>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</si>
  <si>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</si>
  <si>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</si>
  <si>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</si>
  <si>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</si>
  <si>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</si>
  <si>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</si>
  <si>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</si>
  <si>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</si>
  <si>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</si>
  <si>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</si>
  <si>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</si>
  <si>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</si>
  <si>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</si>
  <si>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</si>
  <si>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</si>
  <si>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</si>
  <si>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</si>
  <si>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</si>
  <si>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</si>
  <si>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</si>
  <si>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</si>
  <si>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</si>
  <si>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</si>
  <si>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</si>
  <si>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</si>
  <si>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</si>
  <si>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</si>
  <si>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</si>
  <si>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</si>
  <si>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</si>
  <si>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</si>
  <si>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</si>
  <si>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</si>
  <si>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</si>
  <si>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</si>
  <si>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</si>
  <si>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</si>
  <si>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</si>
  <si>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</si>
  <si>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</si>
  <si>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</si>
  <si>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</si>
  <si>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</si>
  <si>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</si>
  <si>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</si>
  <si>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</si>
  <si>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</si>
  <si>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</si>
  <si>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</si>
  <si>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</si>
  <si>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</si>
  <si>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</si>
  <si>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</si>
  <si>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</si>
  <si>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</si>
  <si>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</si>
  <si>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</si>
  <si>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</si>
  <si>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</si>
  <si>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</si>
  <si>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</si>
  <si>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</si>
  <si>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</si>
  <si>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</si>
  <si>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</si>
  <si>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</si>
  <si>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</si>
  <si>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</si>
  <si>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</si>
  <si>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</si>
  <si>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</si>
  <si>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</si>
  <si>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</si>
  <si>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</si>
  <si>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</si>
  <si>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</si>
  <si>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</si>
  <si>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</si>
  <si>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</si>
  <si>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</si>
  <si>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</si>
  <si>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</si>
  <si>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</si>
  <si>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</si>
  <si>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</si>
  <si>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</si>
  <si>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</si>
  <si>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</si>
  <si>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</si>
  <si>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</si>
  <si>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</si>
  <si>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</si>
  <si>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</si>
  <si>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</si>
  <si>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</si>
  <si>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</si>
  <si>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</si>
  <si>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</si>
  <si>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</si>
  <si>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</si>
  <si>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</si>
  <si>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</si>
  <si>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</si>
  <si>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</si>
  <si>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</si>
  <si>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</si>
  <si>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</si>
  <si>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</si>
  <si>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</si>
  <si>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</si>
  <si>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</si>
  <si>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</si>
  <si>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</si>
  <si>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</si>
  <si>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</si>
  <si>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</si>
  <si>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</si>
  <si>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</si>
  <si>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</si>
  <si>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</si>
  <si>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</si>
  <si>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</si>
  <si>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</si>
  <si>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</si>
  <si>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</si>
  <si>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</si>
  <si>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</si>
  <si>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</si>
  <si>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</si>
  <si>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</si>
  <si>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</si>
  <si>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</si>
  <si>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</si>
  <si>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</si>
  <si>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</si>
  <si>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</si>
  <si>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</si>
  <si>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</si>
  <si>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</si>
  <si>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</si>
  <si>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</si>
  <si>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</si>
  <si>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</si>
  <si>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</si>
  <si>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</si>
  <si>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</si>
  <si>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</si>
  <si>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</si>
  <si>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</si>
  <si>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</si>
  <si>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</si>
  <si>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</si>
  <si>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</si>
  <si>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</si>
  <si>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</si>
  <si>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</si>
  <si>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</si>
  <si>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</si>
  <si>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</si>
  <si>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</si>
  <si>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</si>
  <si>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</si>
  <si>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</si>
  <si>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</si>
  <si>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</si>
  <si>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</si>
  <si>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</si>
  <si>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</si>
  <si>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</si>
  <si>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</si>
  <si>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</si>
  <si>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</si>
  <si>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</si>
  <si>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</si>
  <si>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</si>
  <si>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</si>
  <si>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</si>
  <si>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</si>
  <si>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</si>
  <si>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</si>
  <si>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</si>
  <si>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</si>
  <si>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</si>
  <si>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</si>
  <si>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</si>
  <si>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</si>
  <si>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</si>
  <si>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</si>
  <si>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</si>
  <si>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</si>
  <si>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</si>
  <si>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</si>
  <si>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</si>
  <si>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</si>
  <si>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</si>
  <si>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</si>
  <si>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</si>
  <si>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</si>
  <si>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</si>
  <si>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</si>
  <si>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</si>
  <si>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</si>
  <si>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</si>
  <si>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</si>
  <si>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</si>
  <si>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</si>
  <si>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</si>
  <si>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</si>
  <si>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</si>
  <si>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</si>
  <si>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</si>
  <si>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</si>
  <si>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</si>
  <si>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</si>
  <si>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</si>
  <si>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</si>
  <si>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</si>
  <si>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</si>
  <si>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</si>
  <si>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</si>
  <si>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</si>
  <si>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</si>
  <si>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</si>
  <si>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</si>
  <si>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</si>
  <si>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</si>
  <si>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</si>
  <si>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</si>
  <si>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</si>
  <si>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</si>
  <si>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</si>
  <si>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</si>
  <si>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</si>
  <si>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</si>
  <si>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</si>
  <si>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</si>
  <si>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</si>
  <si>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</si>
  <si>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</si>
  <si>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</si>
  <si>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</si>
  <si>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</si>
  <si>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</si>
  <si>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</si>
  <si>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</si>
  <si>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</si>
  <si>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</si>
  <si>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</si>
  <si>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</si>
  <si>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</si>
  <si>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</si>
  <si>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</si>
  <si>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</si>
  <si>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</si>
  <si>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</si>
  <si>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</si>
  <si>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</si>
  <si>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</si>
  <si>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</si>
  <si>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</si>
  <si>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</si>
  <si>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</si>
  <si>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</si>
  <si>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</si>
  <si>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</si>
  <si>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</si>
  <si>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</si>
  <si>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</si>
  <si>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</si>
  <si>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</si>
  <si>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</si>
  <si>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</si>
  <si>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</si>
  <si>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</si>
  <si>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</si>
  <si>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</si>
  <si>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</si>
  <si>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</si>
  <si>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</si>
  <si>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</si>
  <si>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</si>
  <si>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</si>
  <si>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</si>
  <si>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</si>
  <si>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</si>
  <si>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</si>
  <si>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</si>
  <si>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</si>
  <si>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</si>
  <si>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</si>
  <si>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</si>
  <si>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</si>
  <si>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</si>
  <si>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</si>
  <si>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</si>
  <si>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</si>
  <si>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</si>
  <si>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</si>
  <si>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</si>
  <si>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</si>
  <si>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</si>
  <si>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</si>
  <si>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</si>
  <si>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</si>
  <si>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</si>
  <si>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</si>
  <si>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</si>
  <si>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</si>
  <si>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</si>
  <si>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</si>
  <si>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</si>
  <si>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</si>
  <si>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</si>
  <si>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</si>
  <si>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</si>
  <si>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</si>
  <si>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</si>
  <si>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</si>
  <si>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</si>
  <si>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</si>
  <si>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</si>
  <si>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</si>
  <si>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</si>
  <si>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</si>
  <si>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</si>
  <si>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</si>
  <si>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</si>
  <si>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</si>
  <si>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</si>
  <si>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</si>
  <si>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</si>
  <si>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</si>
  <si>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</si>
  <si>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</si>
  <si>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</si>
  <si>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</si>
  <si>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</si>
  <si>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</si>
  <si>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</si>
  <si>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</si>
  <si>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</si>
  <si>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</si>
  <si>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</si>
  <si>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</si>
  <si>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</si>
  <si>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</si>
  <si>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</si>
  <si>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</si>
  <si>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</si>
  <si>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</si>
  <si>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</si>
  <si>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</si>
  <si>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</si>
  <si>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</si>
  <si>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</si>
  <si>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</si>
  <si>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</si>
  <si>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</si>
  <si>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</si>
  <si>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</si>
  <si>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</si>
  <si>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</si>
  <si>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</si>
  <si>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</si>
  <si>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</si>
  <si>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</si>
  <si>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</si>
  <si>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</si>
  <si>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</si>
  <si>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</si>
  <si>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</si>
  <si>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</si>
  <si>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</si>
  <si>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</si>
  <si>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</si>
  <si>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</si>
  <si>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</si>
  <si>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</si>
  <si>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</si>
  <si>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</si>
  <si>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</si>
  <si>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</si>
  <si>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</si>
  <si>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</si>
  <si>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</si>
  <si>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</si>
  <si>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</si>
  <si>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</si>
  <si>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</si>
  <si>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</si>
  <si>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</si>
  <si>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</si>
  <si>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</si>
  <si>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</si>
  <si>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</si>
  <si>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</si>
  <si>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</si>
  <si>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</si>
  <si>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</si>
  <si>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</si>
  <si>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</si>
  <si>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</si>
  <si>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</si>
  <si>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</si>
  <si>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</si>
  <si>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</si>
  <si>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</si>
  <si>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</si>
  <si>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</si>
  <si>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</si>
  <si>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</si>
  <si>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</si>
  <si>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</si>
  <si>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</si>
  <si>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</si>
  <si>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</si>
  <si>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</si>
  <si>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</si>
  <si>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</si>
  <si>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</si>
  <si>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</si>
  <si>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</si>
  <si>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</si>
  <si>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</si>
  <si>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</si>
  <si>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</si>
  <si>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</si>
  <si>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</si>
  <si>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</si>
  <si>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</si>
  <si>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</si>
  <si>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</si>
  <si>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</si>
  <si>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</si>
  <si>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</si>
  <si>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</si>
  <si>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</si>
  <si>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</si>
  <si>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</si>
  <si>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</si>
  <si>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</si>
  <si>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</si>
  <si>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</si>
  <si>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</si>
  <si>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</si>
  <si>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</si>
  <si>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</si>
  <si>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</si>
  <si>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</si>
  <si>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</si>
  <si>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</si>
  <si>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</si>
  <si>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</si>
  <si>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t>Amazon</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</si>
  <si>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</si>
  <si>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</si>
  <si>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</si>
  <si>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</si>
  <si>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</si>
  <si>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</si>
  <si>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</si>
  <si>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</si>
  <si>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</si>
  <si>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</si>
  <si>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</si>
  <si>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</si>
  <si>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</si>
  <si>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</si>
  <si>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</si>
  <si>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</si>
  <si>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</si>
  <si>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</si>
  <si>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</si>
  <si>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</si>
  <si>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</si>
  <si>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</si>
  <si>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</si>
  <si>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</si>
  <si>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</si>
  <si>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</si>
  <si>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</si>
  <si>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</si>
  <si>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</si>
  <si>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</si>
  <si>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</si>
  <si>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</si>
  <si>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</si>
  <si>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</si>
  <si>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</si>
  <si>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</si>
  <si>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</si>
  <si>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</si>
  <si>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</si>
  <si>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</si>
  <si>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</si>
  <si>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</si>
  <si>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</si>
  <si>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</si>
  <si>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</si>
  <si>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</si>
  <si>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</si>
  <si>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</si>
  <si>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</si>
  <si>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</si>
  <si>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</si>
  <si>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</si>
  <si>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</si>
  <si>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</si>
  <si>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</si>
  <si>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</si>
  <si>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</si>
  <si>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</si>
  <si>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</si>
  <si>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</si>
  <si>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</si>
  <si>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</si>
  <si>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</si>
  <si>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</si>
  <si>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</si>
  <si>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</si>
  <si>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</si>
  <si>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</si>
  <si>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</si>
  <si>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</si>
  <si>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</si>
  <si>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</si>
  <si>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</si>
  <si>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</si>
  <si>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</si>
  <si>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</si>
  <si>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</si>
  <si>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</si>
  <si>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</si>
  <si>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</si>
  <si>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</si>
  <si>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Total GDP (in $ millions)</t>
  </si>
  <si>
    <t>Grand Total</t>
  </si>
  <si>
    <t>Total Market (without financials)</t>
  </si>
  <si>
    <t>Total Market</t>
  </si>
  <si>
    <t>Updated July 1, 2024</t>
  </si>
  <si>
    <t>Shares</t>
  </si>
  <si>
    <t>Q224</t>
  </si>
  <si>
    <t>Market Cap</t>
  </si>
  <si>
    <t>Cash</t>
  </si>
  <si>
    <t>EV</t>
  </si>
  <si>
    <t>main</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</si>
  <si>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</si>
  <si>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</si>
  <si>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</si>
  <si>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</si>
  <si>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</si>
  <si>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</si>
  <si>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</si>
  <si>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</si>
  <si>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</si>
  <si>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</si>
  <si>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</si>
  <si>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</si>
  <si>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</si>
  <si>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</si>
  <si>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</si>
  <si>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</si>
  <si>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</si>
  <si>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</si>
  <si>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</si>
  <si>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</si>
  <si>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</si>
  <si>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</si>
  <si>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</si>
  <si>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</si>
  <si>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</si>
  <si>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</si>
  <si>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</si>
  <si>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</si>
  <si>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</si>
  <si>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</si>
  <si>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</si>
  <si>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</si>
  <si>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</si>
  <si>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</si>
  <si>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</si>
  <si>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</si>
  <si>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</si>
  <si>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</si>
  <si>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</si>
  <si>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</si>
  <si>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</si>
  <si>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</si>
  <si>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</si>
  <si>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</si>
  <si>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</si>
  <si>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</si>
  <si>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</si>
  <si>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</si>
  <si>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</si>
  <si>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</si>
  <si>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</si>
  <si>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</si>
  <si>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</si>
  <si>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mlns</t>
  </si>
  <si>
    <t>COGS</t>
  </si>
  <si>
    <t>Gross Profit</t>
  </si>
  <si>
    <t>R&amp;D</t>
  </si>
  <si>
    <t>S&amp;M</t>
  </si>
  <si>
    <t xml:space="preserve">Restructuring </t>
  </si>
  <si>
    <t>Interest Income</t>
  </si>
  <si>
    <t>Pretax Income</t>
  </si>
  <si>
    <t>Tax</t>
  </si>
  <si>
    <t>NI</t>
  </si>
  <si>
    <t>EPS</t>
  </si>
  <si>
    <t>revenue y/y</t>
  </si>
  <si>
    <t>cogs y/y</t>
  </si>
  <si>
    <t>revenue q/q</t>
  </si>
  <si>
    <t>cogs q/q</t>
  </si>
  <si>
    <t>TAX RATE</t>
  </si>
  <si>
    <t>GROSS MARGIN</t>
  </si>
  <si>
    <t>Current Assets:</t>
  </si>
  <si>
    <t>Cash and Short Term Investments</t>
  </si>
  <si>
    <t>Cash &amp; Equivalents</t>
  </si>
  <si>
    <t>Short Term Investments</t>
  </si>
  <si>
    <t>Accounts receivable</t>
  </si>
  <si>
    <t>Total Inventory</t>
  </si>
  <si>
    <t>Inventories - Finished Goods</t>
  </si>
  <si>
    <t>Inventories - Raw Materials</t>
  </si>
  <si>
    <t>Prepaid Expenses</t>
  </si>
  <si>
    <t>PP&amp;E</t>
  </si>
  <si>
    <t>Goodwill, Net</t>
  </si>
  <si>
    <t>Intangibles, Net</t>
  </si>
  <si>
    <t>Note Receivable - Long Term</t>
  </si>
  <si>
    <t>Defered Income Tax - Long Term Asset</t>
  </si>
  <si>
    <t>Other Long Term Assets</t>
  </si>
  <si>
    <t>Total Assets:</t>
  </si>
  <si>
    <t>Current Liabilities:</t>
  </si>
  <si>
    <t>Accounts Payable</t>
  </si>
  <si>
    <t>Accrued Expenses</t>
  </si>
  <si>
    <t>Notes Payable/Short Term Debt</t>
  </si>
  <si>
    <t>Current Port. of LT Debt/Capital Leases</t>
  </si>
  <si>
    <t>Other Current liabilities, Total</t>
  </si>
  <si>
    <t>Deferred revenues</t>
  </si>
  <si>
    <t>Income Taxes Payable</t>
  </si>
  <si>
    <t>Other Current Liabilities</t>
  </si>
  <si>
    <t>Long-Term Liabilities:</t>
  </si>
  <si>
    <t>Long Term Debt</t>
  </si>
  <si>
    <t>Other Long Term Liabilities</t>
  </si>
  <si>
    <t>Total Liabilities:</t>
  </si>
  <si>
    <t>Shareholders equity</t>
  </si>
  <si>
    <t>Convertible Preferred Stock</t>
  </si>
  <si>
    <t>Additional Paid-In Capital</t>
  </si>
  <si>
    <t>Retained Earnings (Accumulated Deficit)</t>
  </si>
  <si>
    <t>Other comprehensive income</t>
  </si>
  <si>
    <t>Total Common Shares Outstanding</t>
  </si>
  <si>
    <t>Full-Time Employees</t>
  </si>
  <si>
    <t>Cash Flow-Operating Activities</t>
  </si>
  <si>
    <t>Net Income/Starting Line</t>
  </si>
  <si>
    <t>Depreciation</t>
  </si>
  <si>
    <t>Deferred Taxes</t>
  </si>
  <si>
    <t>Non-Cash Items</t>
  </si>
  <si>
    <t>Changes in Working Capital</t>
  </si>
  <si>
    <t>Accounts Receivable</t>
  </si>
  <si>
    <t>Inventories</t>
  </si>
  <si>
    <t>Other Assets</t>
  </si>
  <si>
    <t>Payable/Accrued</t>
  </si>
  <si>
    <t>Other Liabilities</t>
  </si>
  <si>
    <t>Cash from Operating Activities</t>
  </si>
  <si>
    <t>Cash Flow-Investing Activities</t>
  </si>
  <si>
    <t>Capital Expenditures</t>
  </si>
  <si>
    <t>Purchase of Fixed Assets</t>
  </si>
  <si>
    <t>Purchase/Acquisition of Intangibles</t>
  </si>
  <si>
    <t>Other Investing Cash Flow Items, Total</t>
  </si>
  <si>
    <t>Acquisition of Business</t>
  </si>
  <si>
    <t>Sale of Business</t>
  </si>
  <si>
    <t>Sale/Maturity of Investment</t>
  </si>
  <si>
    <t>Purchase of Investments</t>
  </si>
  <si>
    <t>Intangible, Net</t>
  </si>
  <si>
    <t>Other Investing Cash Flow</t>
  </si>
  <si>
    <t>Cash from Investing Activities</t>
  </si>
  <si>
    <t>Cash Flow-Financing Activities</t>
  </si>
  <si>
    <t>Financing Cash Flow Items</t>
  </si>
  <si>
    <t>Issuance (Retirement) of Stock, Net</t>
  </si>
  <si>
    <t>Sale/Issuance of Common</t>
  </si>
  <si>
    <t>Repurchase/Retirement of Common</t>
  </si>
  <si>
    <t>Common Stock, Net</t>
  </si>
  <si>
    <t>Sale/Issuance of Preferred</t>
  </si>
  <si>
    <t>Preferred Stock, Net</t>
  </si>
  <si>
    <t>Options Exercised</t>
  </si>
  <si>
    <t>Issuance (Retirement) of Debt, Net</t>
  </si>
  <si>
    <t>Long Term Debt Issued</t>
  </si>
  <si>
    <t>Long Term Debt Reduction</t>
  </si>
  <si>
    <t>Long Term Debt, Net</t>
  </si>
  <si>
    <t>Cash from Financing Activities</t>
  </si>
  <si>
    <t>Net Cash - Beginning Balance</t>
  </si>
  <si>
    <t>Foreign Exchange Effects</t>
  </si>
  <si>
    <t>Net Change in Cash</t>
  </si>
  <si>
    <t>Net Cash - Ending Balance</t>
  </si>
  <si>
    <t>Free Cash Flow</t>
  </si>
  <si>
    <t>Enphase Energy Inc | Ratios - Key Metrics                                14-Aug-2024 19:46</t>
  </si>
  <si>
    <t>Ratios - Key Metrics</t>
  </si>
  <si>
    <t>Annual Standardised in Millions of U.S. Dollars</t>
  </si>
  <si>
    <t>Industry Median</t>
  </si>
  <si>
    <t>Earnings Quality Score</t>
  </si>
  <si>
    <t>N/A</t>
  </si>
  <si>
    <t>Profitability</t>
  </si>
  <si>
    <t>Gross Margin</t>
  </si>
  <si>
    <t>53.1% </t>
  </si>
  <si>
    <t>-</t>
  </si>
  <si>
    <t>EBITDA Margin</t>
  </si>
  <si>
    <t>22.0% </t>
  </si>
  <si>
    <t>14.1% </t>
  </si>
  <si>
    <t>Pretax Margin</t>
  </si>
  <si>
    <t>13.5% </t>
  </si>
  <si>
    <t>Effective Tax Rate</t>
  </si>
  <si>
    <t>11.6% </t>
  </si>
  <si>
    <t>Net Margin</t>
  </si>
  <si>
    <t>12.5% </t>
  </si>
  <si>
    <t>DuPont/Earning Power</t>
  </si>
  <si>
    <t>Asset Turnover</t>
  </si>
  <si>
    <t>0.54 </t>
  </si>
  <si>
    <t>x Pretax Margin</t>
  </si>
  <si>
    <t>Pretax ROA</t>
  </si>
  <si>
    <t>6.5% </t>
  </si>
  <si>
    <t>x Leverage (Assets/Equity)</t>
  </si>
  <si>
    <t>1.56 </t>
  </si>
  <si>
    <t>Pretax ROE</t>
  </si>
  <si>
    <t>12.2% </t>
  </si>
  <si>
    <t>x Tax Complement</t>
  </si>
  <si>
    <t>0.88 </t>
  </si>
  <si>
    <t>9.6% </t>
  </si>
  <si>
    <t>x Earnings Retention</t>
  </si>
  <si>
    <t>1.00 </t>
  </si>
  <si>
    <t>7.3% </t>
  </si>
  <si>
    <t>Liquidity</t>
  </si>
  <si>
    <t>Quick Ratio</t>
  </si>
  <si>
    <t>2.36 </t>
  </si>
  <si>
    <t>Current Ratio</t>
  </si>
  <si>
    <t>3.38 </t>
  </si>
  <si>
    <t>Times Interest Earned</t>
  </si>
  <si>
    <t>12.7 </t>
  </si>
  <si>
    <t>Cash Cycle (Days)</t>
  </si>
  <si>
    <t>161.1 </t>
  </si>
  <si>
    <t>Leverage</t>
  </si>
  <si>
    <t>Assets/Equity</t>
  </si>
  <si>
    <t>Debt/Equity</t>
  </si>
  <si>
    <t>0.19 </t>
  </si>
  <si>
    <t>% LT Debt to Total Capital</t>
  </si>
  <si>
    <t>12.1% </t>
  </si>
  <si>
    <t>(Total Debt - Cash) / EBITDA</t>
  </si>
  <si>
    <t>(0.28) </t>
  </si>
  <si>
    <t>Operating</t>
  </si>
  <si>
    <t>A/R Turnover</t>
  </si>
  <si>
    <t>5.2 </t>
  </si>
  <si>
    <t>Avg. A/R Days</t>
  </si>
  <si>
    <t>70.6 </t>
  </si>
  <si>
    <t>Inv Turnover</t>
  </si>
  <si>
    <t>2.1 </t>
  </si>
  <si>
    <t>Avg. Inventory Days</t>
  </si>
  <si>
    <t>172.9 </t>
  </si>
  <si>
    <t>Avg. A/P Days</t>
  </si>
  <si>
    <t>60.0 </t>
  </si>
  <si>
    <t>Fixed Asset Turnover</t>
  </si>
  <si>
    <t>4.39 </t>
  </si>
  <si>
    <t>WC / Sales Growth</t>
  </si>
  <si>
    <t>8.4% </t>
  </si>
  <si>
    <t>Bad Debt Allowance (% of A/R)</t>
  </si>
  <si>
    <t>0.5% </t>
  </si>
  <si>
    <t>- </t>
  </si>
  <si>
    <t>Revenue per Employee ($)</t>
  </si>
  <si>
    <t>Q324</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</si>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</sst>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 numFmtId="176" formatCode="_(* #,##0.0_);_(* \(#,##0.0\);_(* &quot;-&quot;?_);_(@_)"/>
    <numFmt numFmtId="177" formatCode="0.0"/>
    <numFmt numFmtId="178" formatCode="0.0%;[Red]\(0.0%\)"/>
    <numFmt numFmtId="179" formatCode="#,##0.0_);[Red]\(#,##0.0\)"/>
  </numFmts>
  <fonts count="110">
    <font>
      <sz val="9"/>
      <name val="Geneva"/>
      <family val="2"/>
      <charset val="1"/>
    </font>
    <font>
      <sz val="11"/>
      <color theme="1"/>
      <name val="Calibri"/>
      <family val="2"/>
      <scheme val="minor"/>
    </font>
    <font>
      <sz val="11"/>
      <color theme="1"/>
      <name val="Calibri"/>
      <family val="2"/>
      <scheme val="minor"/>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sz val="12"/>
      <color rgb="FF000000"/>
      <name val="Calibri"/>
      <family val="2"/>
    </font>
    <font>
      <i/>
      <sz val="12"/>
      <name val="Calibri"/>
      <family val="2"/>
      <scheme val="minor"/>
    </font>
    <font>
      <sz val="12"/>
      <color rgb="FF000000"/>
      <name val="Calibri"/>
      <family val="2"/>
      <scheme val="minor"/>
    </font>
    <font>
      <u/>
      <sz val="11"/>
      <color theme="10"/>
      <name val="Calibri"/>
      <family val="2"/>
      <scheme val="minor"/>
    </font>
    <font>
      <sz val="11"/>
      <color theme="9"/>
      <name val="Calibri"/>
      <family val="2"/>
      <scheme val="minor"/>
    </font>
    <font>
      <sz val="10"/>
      <color theme="1"/>
      <name val="Calibri"/>
      <family val="2"/>
      <scheme val="minor"/>
    </font>
    <font>
      <sz val="10"/>
      <color theme="9"/>
      <name val="Calibri"/>
      <family val="2"/>
      <scheme val="minor"/>
    </font>
    <font>
      <b/>
      <sz val="8"/>
      <color rgb="FF000000"/>
      <name val="Tahoma"/>
      <family val="2"/>
    </font>
    <font>
      <b/>
      <sz val="10"/>
      <color theme="1"/>
      <name val="Calibri"/>
      <family val="2"/>
      <scheme val="minor"/>
    </font>
    <font>
      <b/>
      <sz val="8"/>
      <color theme="1"/>
      <name val="Calibri"/>
      <family val="2"/>
      <scheme val="minor"/>
    </font>
    <font>
      <b/>
      <sz val="8"/>
      <color rgb="FF333333"/>
      <name val="Calibri"/>
      <family val="2"/>
      <scheme val="minor"/>
    </font>
    <font>
      <b/>
      <sz val="8"/>
      <color rgb="FF888888"/>
      <name val="Calibri"/>
      <family val="2"/>
      <scheme val="minor"/>
    </font>
    <font>
      <b/>
      <sz val="8"/>
      <color rgb="FFFFFFFF"/>
      <name val="Calibri"/>
      <family val="2"/>
      <scheme val="minor"/>
    </font>
    <font>
      <b/>
      <sz val="8"/>
      <color rgb="FF000000"/>
      <name val="Calibri"/>
      <family val="2"/>
      <scheme val="minor"/>
    </font>
    <font>
      <sz val="10"/>
      <color rgb="FFDC0A0A"/>
      <name val="Calibri"/>
      <family val="2"/>
      <scheme val="minor"/>
    </font>
  </fonts>
  <fills count="25">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
      <patternFill patternType="solid">
        <fgColor rgb="FFE9EFF6"/>
        <bgColor indexed="64"/>
      </patternFill>
    </fill>
    <fill>
      <patternFill patternType="solid">
        <fgColor rgb="FFC8D7DE"/>
        <bgColor indexed="64"/>
      </patternFill>
    </fill>
    <fill>
      <patternFill patternType="solid">
        <fgColor rgb="FFABC4EA"/>
        <bgColor indexed="64"/>
      </patternFill>
    </fill>
    <fill>
      <patternFill patternType="solid">
        <fgColor rgb="FFF5F6FA"/>
        <bgColor indexed="64"/>
      </patternFill>
    </fill>
    <fill>
      <patternFill patternType="solid">
        <fgColor rgb="FFE0E0E0"/>
        <bgColor indexed="64"/>
      </patternFill>
    </fill>
    <fill>
      <patternFill patternType="solid">
        <fgColor rgb="FFFFFFFF"/>
        <bgColor indexed="64"/>
      </patternFill>
    </fill>
    <fill>
      <patternFill patternType="solid">
        <fgColor rgb="FFC51312"/>
        <bgColor indexed="64"/>
      </patternFill>
    </fill>
    <fill>
      <patternFill patternType="solid">
        <fgColor rgb="FF309724"/>
        <bgColor indexed="64"/>
      </patternFill>
    </fill>
    <fill>
      <patternFill patternType="solid">
        <fgColor rgb="FFE8A1A0"/>
        <bgColor indexed="64"/>
      </patternFill>
    </fill>
    <fill>
      <patternFill patternType="solid">
        <fgColor rgb="FFA2D09C"/>
        <bgColor indexed="64"/>
      </patternFill>
    </fill>
    <fill>
      <patternFill patternType="solid">
        <fgColor rgb="FFF2F4F9"/>
        <bgColor indexed="64"/>
      </patternFill>
    </fill>
    <fill>
      <patternFill patternType="solid">
        <fgColor rgb="FFF3F6FB"/>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
      <left/>
      <right style="medium">
        <color rgb="FFCCCCCC"/>
      </right>
      <top style="medium">
        <color rgb="FFE5EBF4"/>
      </top>
      <bottom/>
      <diagonal/>
    </border>
    <border>
      <left/>
      <right/>
      <top style="medium">
        <color rgb="FFE5EBF4"/>
      </top>
      <bottom/>
      <diagonal/>
    </border>
    <border>
      <left/>
      <right style="medium">
        <color rgb="FFCCCCCC"/>
      </right>
      <top/>
      <bottom/>
      <diagonal/>
    </border>
    <border>
      <left style="medium">
        <color rgb="FFFFFFFF"/>
      </left>
      <right style="medium">
        <color rgb="FFFFFFFF"/>
      </right>
      <top style="medium">
        <color rgb="FFFFFFFF"/>
      </top>
      <bottom style="medium">
        <color rgb="FFFFFFFF"/>
      </bottom>
      <diagonal/>
    </border>
    <border>
      <left/>
      <right style="medium">
        <color rgb="FFCCCCCC"/>
      </right>
      <top style="medium">
        <color rgb="FFC1C1C1"/>
      </top>
      <bottom style="medium">
        <color rgb="FFC1C1C1"/>
      </bottom>
      <diagonal/>
    </border>
    <border>
      <left/>
      <right/>
      <top style="medium">
        <color rgb="FFC1C1C1"/>
      </top>
      <bottom style="medium">
        <color rgb="FFC1C1C1"/>
      </bottom>
      <diagonal/>
    </border>
  </borders>
  <cellStyleXfs count="8">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91" fillId="0" borderId="0" applyNumberFormat="0" applyFill="0" applyBorder="0" applyAlignment="0" applyProtection="0"/>
    <xf numFmtId="0" fontId="2" fillId="0" borderId="0"/>
    <xf numFmtId="0" fontId="98" fillId="0" borderId="0" applyNumberFormat="0" applyFill="0" applyBorder="0" applyAlignment="0" applyProtection="0"/>
    <xf numFmtId="9" fontId="2" fillId="0" borderId="0" applyFont="0" applyFill="0" applyBorder="0" applyAlignment="0" applyProtection="0"/>
  </cellStyleXfs>
  <cellXfs count="720">
    <xf numFmtId="0" fontId="0" fillId="0" borderId="0" xfId="0"/>
    <xf numFmtId="0" fontId="0" fillId="0" borderId="1" xfId="0" applyBorder="1"/>
    <xf numFmtId="0" fontId="4" fillId="0" borderId="0" xfId="0" applyFont="1"/>
    <xf numFmtId="0" fontId="9" fillId="0" borderId="0" xfId="0" applyFont="1"/>
    <xf numFmtId="0" fontId="10" fillId="0" borderId="0" xfId="0" applyFont="1"/>
    <xf numFmtId="0" fontId="12" fillId="0" borderId="0" xfId="0" applyFont="1"/>
    <xf numFmtId="0" fontId="13" fillId="0" borderId="0" xfId="0" applyFont="1"/>
    <xf numFmtId="44" fontId="13" fillId="2" borderId="1" xfId="2" applyFont="1" applyFill="1" applyBorder="1"/>
    <xf numFmtId="0" fontId="14" fillId="0" borderId="0" xfId="0" applyFont="1"/>
    <xf numFmtId="0" fontId="15" fillId="0" borderId="0" xfId="0" applyFont="1"/>
    <xf numFmtId="0" fontId="16" fillId="0" borderId="0" xfId="0" applyFont="1"/>
    <xf numFmtId="0" fontId="17" fillId="0" borderId="0" xfId="0" applyFont="1"/>
    <xf numFmtId="0" fontId="13" fillId="0" borderId="1" xfId="0" applyFont="1" applyBorder="1"/>
    <xf numFmtId="10" fontId="13" fillId="0" borderId="1" xfId="0" applyNumberFormat="1" applyFont="1" applyBorder="1"/>
    <xf numFmtId="44" fontId="13" fillId="2" borderId="1" xfId="0" applyNumberFormat="1" applyFont="1" applyFill="1" applyBorder="1"/>
    <xf numFmtId="0" fontId="12" fillId="0" borderId="0" xfId="0" applyFont="1" applyAlignment="1">
      <alignment horizontal="centerContinuous"/>
    </xf>
    <xf numFmtId="0" fontId="13" fillId="0" borderId="1" xfId="0" applyFont="1" applyBorder="1" applyAlignment="1">
      <alignment horizontal="center"/>
    </xf>
    <xf numFmtId="0" fontId="18" fillId="0" borderId="0" xfId="0" applyFont="1"/>
    <xf numFmtId="0" fontId="13" fillId="0" borderId="2" xfId="0" applyFont="1" applyBorder="1"/>
    <xf numFmtId="44" fontId="13" fillId="3" borderId="1" xfId="2" applyFont="1" applyFill="1" applyBorder="1"/>
    <xf numFmtId="44" fontId="13" fillId="0" borderId="0" xfId="2" applyFont="1" applyBorder="1"/>
    <xf numFmtId="0" fontId="13" fillId="2" borderId="1" xfId="0" applyFont="1" applyFill="1" applyBorder="1" applyAlignment="1">
      <alignment horizontal="center"/>
    </xf>
    <xf numFmtId="0" fontId="13" fillId="0" borderId="3" xfId="0" applyFont="1" applyBorder="1"/>
    <xf numFmtId="44" fontId="13" fillId="2" borderId="3" xfId="0" applyNumberFormat="1" applyFont="1" applyFill="1" applyBorder="1"/>
    <xf numFmtId="44" fontId="13" fillId="2" borderId="3" xfId="2" applyFont="1" applyFill="1" applyBorder="1"/>
    <xf numFmtId="0" fontId="13" fillId="2" borderId="2" xfId="0" applyFont="1" applyFill="1" applyBorder="1"/>
    <xf numFmtId="44" fontId="13" fillId="2" borderId="2" xfId="0" applyNumberFormat="1" applyFont="1" applyFill="1" applyBorder="1"/>
    <xf numFmtId="44" fontId="13" fillId="2" borderId="4" xfId="0" applyNumberFormat="1" applyFont="1" applyFill="1" applyBorder="1"/>
    <xf numFmtId="0" fontId="20" fillId="0" borderId="5" xfId="0" applyFont="1" applyBorder="1" applyAlignment="1">
      <alignment horizontal="center"/>
    </xf>
    <xf numFmtId="0" fontId="20" fillId="0" borderId="1" xfId="0" applyFont="1" applyBorder="1" applyAlignment="1">
      <alignment horizontal="center"/>
    </xf>
    <xf numFmtId="0" fontId="21" fillId="0" borderId="1" xfId="0" applyFont="1" applyBorder="1"/>
    <xf numFmtId="0" fontId="21" fillId="0" borderId="0" xfId="0" applyFont="1"/>
    <xf numFmtId="0" fontId="22" fillId="0" borderId="1" xfId="0" applyFont="1" applyBorder="1"/>
    <xf numFmtId="0" fontId="21" fillId="0" borderId="1" xfId="0" applyFont="1" applyBorder="1" applyAlignment="1">
      <alignment horizontal="center"/>
    </xf>
    <xf numFmtId="0" fontId="21" fillId="0" borderId="0" xfId="0" applyFont="1" applyAlignment="1">
      <alignment horizontal="center"/>
    </xf>
    <xf numFmtId="0" fontId="23" fillId="0" borderId="0" xfId="0" applyFont="1"/>
    <xf numFmtId="0" fontId="23" fillId="0" borderId="1" xfId="0" applyFont="1" applyBorder="1"/>
    <xf numFmtId="0" fontId="24" fillId="0" borderId="0" xfId="0" applyFont="1"/>
    <xf numFmtId="10" fontId="13" fillId="4" borderId="2" xfId="0" applyNumberFormat="1" applyFont="1" applyFill="1" applyBorder="1" applyAlignment="1">
      <alignment horizontal="center"/>
    </xf>
    <xf numFmtId="8" fontId="13" fillId="2" borderId="2" xfId="0" applyNumberFormat="1" applyFont="1" applyFill="1" applyBorder="1"/>
    <xf numFmtId="0" fontId="21" fillId="5" borderId="1" xfId="0" applyFont="1" applyFill="1" applyBorder="1"/>
    <xf numFmtId="10" fontId="21" fillId="5" borderId="1" xfId="3" applyNumberFormat="1" applyFont="1" applyFill="1" applyBorder="1" applyAlignment="1">
      <alignment horizontal="center"/>
    </xf>
    <xf numFmtId="10" fontId="21" fillId="5" borderId="1" xfId="0" applyNumberFormat="1" applyFont="1" applyFill="1" applyBorder="1" applyAlignment="1">
      <alignment horizontal="center"/>
    </xf>
    <xf numFmtId="44" fontId="21" fillId="5" borderId="1" xfId="2" applyFont="1" applyFill="1" applyBorder="1"/>
    <xf numFmtId="44" fontId="21" fillId="5" borderId="1" xfId="2" applyFont="1" applyFill="1" applyBorder="1" applyAlignment="1">
      <alignment horizontal="center"/>
    </xf>
    <xf numFmtId="10" fontId="21" fillId="5" borderId="1" xfId="3" applyNumberFormat="1" applyFont="1" applyFill="1" applyBorder="1"/>
    <xf numFmtId="10" fontId="21" fillId="5" borderId="1" xfId="2" applyNumberFormat="1" applyFont="1" applyFill="1" applyBorder="1"/>
    <xf numFmtId="10" fontId="21" fillId="5" borderId="1" xfId="2" applyNumberFormat="1" applyFont="1" applyFill="1" applyBorder="1" applyAlignment="1">
      <alignment horizontal="center"/>
    </xf>
    <xf numFmtId="44" fontId="21" fillId="5" borderId="1" xfId="0" applyNumberFormat="1" applyFont="1" applyFill="1" applyBorder="1" applyAlignment="1">
      <alignment horizontal="center"/>
    </xf>
    <xf numFmtId="0" fontId="21" fillId="5" borderId="1" xfId="0" applyFont="1" applyFill="1" applyBorder="1" applyAlignment="1">
      <alignment horizontal="center"/>
    </xf>
    <xf numFmtId="44" fontId="21" fillId="5" borderId="1" xfId="0" applyNumberFormat="1" applyFont="1" applyFill="1" applyBorder="1"/>
    <xf numFmtId="10" fontId="21" fillId="5" borderId="1" xfId="0" applyNumberFormat="1" applyFont="1" applyFill="1" applyBorder="1"/>
    <xf numFmtId="164" fontId="21" fillId="5" borderId="1" xfId="0" applyNumberFormat="1" applyFont="1" applyFill="1" applyBorder="1"/>
    <xf numFmtId="8" fontId="21" fillId="5" borderId="1" xfId="0" applyNumberFormat="1" applyFont="1" applyFill="1" applyBorder="1"/>
    <xf numFmtId="43" fontId="21" fillId="5" borderId="1" xfId="1" applyFont="1" applyFill="1" applyBorder="1"/>
    <xf numFmtId="44" fontId="59" fillId="5" borderId="1" xfId="2" applyFont="1" applyFill="1" applyBorder="1"/>
    <xf numFmtId="2" fontId="21" fillId="5" borderId="1" xfId="0" applyNumberFormat="1" applyFont="1" applyFill="1" applyBorder="1" applyAlignment="1">
      <alignment horizontal="center"/>
    </xf>
    <xf numFmtId="168" fontId="21" fillId="5" borderId="1" xfId="0" applyNumberFormat="1" applyFont="1" applyFill="1" applyBorder="1"/>
    <xf numFmtId="168" fontId="21" fillId="5" borderId="1" xfId="0" applyNumberFormat="1" applyFont="1" applyFill="1" applyBorder="1" applyAlignment="1">
      <alignment horizontal="center"/>
    </xf>
    <xf numFmtId="0" fontId="25" fillId="0" borderId="0" xfId="0" applyFont="1"/>
    <xf numFmtId="0" fontId="13" fillId="3" borderId="1" xfId="0" applyFont="1" applyFill="1" applyBorder="1"/>
    <xf numFmtId="0" fontId="15" fillId="0" borderId="0" xfId="0" applyFont="1" applyAlignment="1">
      <alignment horizontal="center"/>
    </xf>
    <xf numFmtId="0" fontId="15" fillId="0" borderId="1" xfId="0" applyFont="1" applyBorder="1" applyAlignment="1">
      <alignment horizontal="center"/>
    </xf>
    <xf numFmtId="2" fontId="13" fillId="5" borderId="1" xfId="0" applyNumberFormat="1" applyFont="1" applyFill="1" applyBorder="1"/>
    <xf numFmtId="44" fontId="13" fillId="5" borderId="1" xfId="0" applyNumberFormat="1" applyFont="1" applyFill="1" applyBorder="1"/>
    <xf numFmtId="44" fontId="13" fillId="5" borderId="1" xfId="2" applyFont="1" applyFill="1" applyBorder="1"/>
    <xf numFmtId="10" fontId="13" fillId="5" borderId="1" xfId="3" applyNumberFormat="1" applyFont="1" applyFill="1" applyBorder="1"/>
    <xf numFmtId="10" fontId="13" fillId="5" borderId="3" xfId="0" applyNumberFormat="1" applyFont="1" applyFill="1" applyBorder="1"/>
    <xf numFmtId="10" fontId="13" fillId="5" borderId="1" xfId="0" applyNumberFormat="1" applyFont="1" applyFill="1" applyBorder="1"/>
    <xf numFmtId="10" fontId="13" fillId="5" borderId="6" xfId="3" applyNumberFormat="1" applyFont="1" applyFill="1" applyBorder="1"/>
    <xf numFmtId="10" fontId="13" fillId="5" borderId="2" xfId="3" applyNumberFormat="1" applyFont="1" applyFill="1" applyBorder="1"/>
    <xf numFmtId="2" fontId="13" fillId="5" borderId="1" xfId="2" applyNumberFormat="1" applyFont="1" applyFill="1" applyBorder="1"/>
    <xf numFmtId="0" fontId="26" fillId="0" borderId="0" xfId="0" applyFont="1"/>
    <xf numFmtId="0" fontId="27" fillId="0" borderId="0" xfId="0" applyFont="1"/>
    <xf numFmtId="0" fontId="19" fillId="0" borderId="0" xfId="0" applyFont="1"/>
    <xf numFmtId="0" fontId="13" fillId="3" borderId="1" xfId="0" applyFont="1" applyFill="1" applyBorder="1" applyAlignment="1">
      <alignment horizontal="center"/>
    </xf>
    <xf numFmtId="0" fontId="29" fillId="0" borderId="0" xfId="0" applyFont="1"/>
    <xf numFmtId="0" fontId="9" fillId="6" borderId="0" xfId="0" applyFont="1" applyFill="1"/>
    <xf numFmtId="0" fontId="29" fillId="0" borderId="7" xfId="0" applyFont="1" applyBorder="1"/>
    <xf numFmtId="169" fontId="21" fillId="5" borderId="1" xfId="0" applyNumberFormat="1" applyFont="1" applyFill="1" applyBorder="1" applyAlignment="1">
      <alignment horizontal="center"/>
    </xf>
    <xf numFmtId="0" fontId="0" fillId="0" borderId="1" xfId="0" applyBorder="1" applyAlignment="1">
      <alignment horizontal="center"/>
    </xf>
    <xf numFmtId="0" fontId="13" fillId="4" borderId="1" xfId="0" applyFont="1" applyFill="1" applyBorder="1"/>
    <xf numFmtId="0" fontId="13" fillId="5" borderId="1" xfId="0" applyFont="1" applyFill="1" applyBorder="1"/>
    <xf numFmtId="0" fontId="14" fillId="0" borderId="1" xfId="0" applyFont="1" applyBorder="1"/>
    <xf numFmtId="167" fontId="13" fillId="5" borderId="1" xfId="3" applyNumberFormat="1" applyFont="1" applyFill="1" applyBorder="1"/>
    <xf numFmtId="167" fontId="13" fillId="5" borderId="1" xfId="0" applyNumberFormat="1" applyFont="1" applyFill="1" applyBorder="1"/>
    <xf numFmtId="171" fontId="13" fillId="4" borderId="1" xfId="2" applyNumberFormat="1" applyFont="1" applyFill="1" applyBorder="1"/>
    <xf numFmtId="169" fontId="13" fillId="5" borderId="1" xfId="0" applyNumberFormat="1" applyFont="1" applyFill="1" applyBorder="1"/>
    <xf numFmtId="171" fontId="13" fillId="5" borderId="1" xfId="0" applyNumberFormat="1" applyFont="1" applyFill="1" applyBorder="1"/>
    <xf numFmtId="0" fontId="0" fillId="5" borderId="1" xfId="0" applyFill="1" applyBorder="1"/>
    <xf numFmtId="171" fontId="5"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3"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4" fillId="0" borderId="0" xfId="0" applyNumberFormat="1" applyFont="1" applyAlignment="1">
      <alignment horizontal="center"/>
    </xf>
    <xf numFmtId="164" fontId="4" fillId="0" borderId="0" xfId="0" applyNumberFormat="1" applyFont="1"/>
    <xf numFmtId="10" fontId="13" fillId="4" borderId="1" xfId="0" applyNumberFormat="1" applyFont="1" applyFill="1" applyBorder="1" applyAlignment="1">
      <alignment horizontal="center"/>
    </xf>
    <xf numFmtId="10" fontId="13" fillId="5" borderId="1" xfId="0" applyNumberFormat="1" applyFont="1" applyFill="1" applyBorder="1" applyAlignment="1">
      <alignment horizontal="center"/>
    </xf>
    <xf numFmtId="166" fontId="13" fillId="3" borderId="1" xfId="0" applyNumberFormat="1" applyFont="1" applyFill="1" applyBorder="1"/>
    <xf numFmtId="9" fontId="13" fillId="5" borderId="1" xfId="0" applyNumberFormat="1" applyFont="1" applyFill="1" applyBorder="1" applyAlignment="1">
      <alignment horizontal="center"/>
    </xf>
    <xf numFmtId="0" fontId="30" fillId="0" borderId="0" xfId="0" applyFont="1"/>
    <xf numFmtId="2" fontId="13" fillId="4" borderId="1" xfId="0" applyNumberFormat="1" applyFont="1" applyFill="1" applyBorder="1"/>
    <xf numFmtId="0" fontId="25" fillId="0" borderId="0" xfId="0" applyFont="1" applyAlignment="1">
      <alignment horizontal="left"/>
    </xf>
    <xf numFmtId="164" fontId="0" fillId="5" borderId="1" xfId="0" applyNumberFormat="1" applyFill="1" applyBorder="1"/>
    <xf numFmtId="0" fontId="60" fillId="0" borderId="8" xfId="0" applyFont="1" applyBorder="1" applyAlignment="1">
      <alignment horizontal="center"/>
    </xf>
    <xf numFmtId="0" fontId="60" fillId="0" borderId="9" xfId="0" applyFont="1" applyBorder="1" applyAlignment="1">
      <alignment horizontal="center"/>
    </xf>
    <xf numFmtId="16" fontId="60" fillId="0" borderId="9" xfId="0" applyNumberFormat="1" applyFont="1" applyBorder="1" applyAlignment="1">
      <alignment horizontal="center"/>
    </xf>
    <xf numFmtId="0" fontId="60" fillId="0" borderId="10" xfId="0" applyFont="1" applyBorder="1" applyAlignment="1">
      <alignment horizontal="center"/>
    </xf>
    <xf numFmtId="0" fontId="61" fillId="0" borderId="11" xfId="0" applyFont="1" applyBorder="1"/>
    <xf numFmtId="0" fontId="61" fillId="0" borderId="12" xfId="0" applyFont="1" applyBorder="1"/>
    <xf numFmtId="10" fontId="61" fillId="0" borderId="1" xfId="0" applyNumberFormat="1" applyFont="1" applyBorder="1" applyAlignment="1">
      <alignment horizontal="center"/>
    </xf>
    <xf numFmtId="0" fontId="61" fillId="0" borderId="1" xfId="0" applyFont="1" applyBorder="1" applyAlignment="1">
      <alignment horizontal="center"/>
    </xf>
    <xf numFmtId="10" fontId="61" fillId="0" borderId="13" xfId="3" applyNumberFormat="1" applyFont="1" applyBorder="1" applyAlignment="1">
      <alignment horizontal="center"/>
    </xf>
    <xf numFmtId="0" fontId="61" fillId="0" borderId="14" xfId="0" applyFont="1" applyBorder="1"/>
    <xf numFmtId="10" fontId="61" fillId="0" borderId="15" xfId="0" applyNumberFormat="1" applyFont="1" applyBorder="1" applyAlignment="1">
      <alignment horizontal="center"/>
    </xf>
    <xf numFmtId="0" fontId="61" fillId="0" borderId="12" xfId="0" applyFont="1" applyBorder="1" applyAlignment="1">
      <alignment horizontal="center"/>
    </xf>
    <xf numFmtId="10" fontId="61" fillId="0" borderId="1" xfId="3" applyNumberFormat="1" applyFont="1" applyBorder="1" applyAlignment="1">
      <alignment horizontal="center"/>
    </xf>
    <xf numFmtId="0" fontId="61" fillId="0" borderId="14" xfId="0" applyFont="1" applyBorder="1" applyAlignment="1">
      <alignment horizontal="center"/>
    </xf>
    <xf numFmtId="10" fontId="61" fillId="0" borderId="15" xfId="3" applyNumberFormat="1" applyFont="1" applyBorder="1" applyAlignment="1">
      <alignment horizontal="center"/>
    </xf>
    <xf numFmtId="168" fontId="61" fillId="0" borderId="16" xfId="2" applyNumberFormat="1" applyFont="1" applyFill="1" applyBorder="1"/>
    <xf numFmtId="0" fontId="61" fillId="0" borderId="16" xfId="0" applyFont="1" applyBorder="1"/>
    <xf numFmtId="0" fontId="61" fillId="0" borderId="17" xfId="0" applyFont="1" applyBorder="1"/>
    <xf numFmtId="168" fontId="61" fillId="0" borderId="0" xfId="2" applyNumberFormat="1" applyFont="1" applyFill="1" applyBorder="1"/>
    <xf numFmtId="0" fontId="61" fillId="0" borderId="0" xfId="0" applyFont="1"/>
    <xf numFmtId="0" fontId="61" fillId="0" borderId="18" xfId="0" applyFont="1" applyBorder="1"/>
    <xf numFmtId="0" fontId="61" fillId="0" borderId="0" xfId="0" applyFont="1" applyAlignment="1">
      <alignment horizontal="left"/>
    </xf>
    <xf numFmtId="0" fontId="61" fillId="0" borderId="19" xfId="0" applyFont="1" applyBorder="1"/>
    <xf numFmtId="10" fontId="61" fillId="0" borderId="20" xfId="3" applyNumberFormat="1" applyFont="1" applyBorder="1" applyAlignment="1">
      <alignment horizontal="center"/>
    </xf>
    <xf numFmtId="10" fontId="61" fillId="0" borderId="3" xfId="0" applyNumberFormat="1" applyFont="1" applyBorder="1" applyAlignment="1">
      <alignment horizontal="center"/>
    </xf>
    <xf numFmtId="0" fontId="61" fillId="0" borderId="21" xfId="0" applyFont="1" applyBorder="1" applyAlignment="1">
      <alignment horizontal="center"/>
    </xf>
    <xf numFmtId="164" fontId="61" fillId="0" borderId="22" xfId="0" applyNumberFormat="1" applyFont="1" applyBorder="1" applyAlignment="1">
      <alignment horizontal="left"/>
    </xf>
    <xf numFmtId="0" fontId="31" fillId="0" borderId="1" xfId="0" applyFont="1" applyBorder="1" applyAlignment="1">
      <alignment horizontal="center"/>
    </xf>
    <xf numFmtId="0" fontId="0" fillId="4" borderId="1" xfId="0" applyFill="1" applyBorder="1"/>
    <xf numFmtId="10" fontId="13" fillId="4" borderId="1" xfId="0" applyNumberFormat="1" applyFont="1" applyFill="1" applyBorder="1"/>
    <xf numFmtId="44" fontId="5" fillId="4" borderId="1" xfId="2" applyFont="1" applyFill="1" applyBorder="1" applyAlignment="1">
      <alignment horizontal="center"/>
    </xf>
    <xf numFmtId="0" fontId="62" fillId="4" borderId="1" xfId="0" applyFont="1" applyFill="1" applyBorder="1"/>
    <xf numFmtId="170" fontId="31" fillId="0" borderId="0" xfId="0" applyNumberFormat="1" applyFont="1" applyAlignment="1">
      <alignment horizontal="right"/>
    </xf>
    <xf numFmtId="44" fontId="0" fillId="0" borderId="0" xfId="0" applyNumberFormat="1"/>
    <xf numFmtId="10" fontId="0" fillId="4" borderId="1" xfId="0" applyNumberFormat="1" applyFill="1" applyBorder="1"/>
    <xf numFmtId="0" fontId="32" fillId="0" borderId="0" xfId="0" applyFont="1"/>
    <xf numFmtId="0" fontId="29" fillId="0" borderId="0" xfId="0" applyFont="1" applyAlignment="1">
      <alignment horizontal="left"/>
    </xf>
    <xf numFmtId="10" fontId="29" fillId="0" borderId="0" xfId="0" applyNumberFormat="1" applyFont="1"/>
    <xf numFmtId="2" fontId="29" fillId="0" borderId="0" xfId="0" applyNumberFormat="1" applyFont="1"/>
    <xf numFmtId="10" fontId="31" fillId="0" borderId="0" xfId="0" applyNumberFormat="1" applyFont="1"/>
    <xf numFmtId="0" fontId="63" fillId="0" borderId="0" xfId="0" applyFont="1"/>
    <xf numFmtId="17" fontId="64" fillId="0" borderId="1" xfId="0" applyNumberFormat="1" applyFont="1" applyBorder="1"/>
    <xf numFmtId="2" fontId="61" fillId="7" borderId="13" xfId="0" applyNumberFormat="1" applyFont="1" applyFill="1" applyBorder="1" applyAlignment="1">
      <alignment horizontal="center"/>
    </xf>
    <xf numFmtId="2" fontId="61" fillId="7" borderId="1" xfId="0" applyNumberFormat="1" applyFont="1" applyFill="1" applyBorder="1" applyAlignment="1">
      <alignment horizontal="center"/>
    </xf>
    <xf numFmtId="10" fontId="61" fillId="7" borderId="1" xfId="0" applyNumberFormat="1" applyFont="1" applyFill="1" applyBorder="1" applyAlignment="1">
      <alignment horizontal="center"/>
    </xf>
    <xf numFmtId="10" fontId="61" fillId="7" borderId="6" xfId="0" applyNumberFormat="1" applyFont="1" applyFill="1" applyBorder="1" applyAlignment="1">
      <alignment horizontal="center"/>
    </xf>
    <xf numFmtId="10" fontId="61" fillId="7" borderId="13" xfId="0" applyNumberFormat="1" applyFont="1" applyFill="1" applyBorder="1" applyAlignment="1">
      <alignment horizontal="center"/>
    </xf>
    <xf numFmtId="0" fontId="65" fillId="7" borderId="9" xfId="0" applyFont="1" applyFill="1" applyBorder="1"/>
    <xf numFmtId="0" fontId="66" fillId="7" borderId="9" xfId="0" applyFont="1" applyFill="1" applyBorder="1"/>
    <xf numFmtId="0" fontId="66" fillId="7" borderId="1" xfId="0" applyFont="1" applyFill="1" applyBorder="1"/>
    <xf numFmtId="10" fontId="66" fillId="7" borderId="1" xfId="3" applyNumberFormat="1" applyFont="1" applyFill="1" applyBorder="1"/>
    <xf numFmtId="0" fontId="60" fillId="0" borderId="23" xfId="0" applyFont="1" applyBorder="1" applyAlignment="1">
      <alignment horizontal="center"/>
    </xf>
    <xf numFmtId="173" fontId="60" fillId="0" borderId="23" xfId="0" applyNumberFormat="1" applyFont="1" applyBorder="1" applyAlignment="1">
      <alignment horizontal="center"/>
    </xf>
    <xf numFmtId="173" fontId="60" fillId="0" borderId="24" xfId="0" applyNumberFormat="1" applyFont="1" applyBorder="1" applyAlignment="1">
      <alignment horizontal="center"/>
    </xf>
    <xf numFmtId="164" fontId="61" fillId="0" borderId="1" xfId="2" applyNumberFormat="1" applyFont="1" applyBorder="1" applyAlignment="1">
      <alignment horizontal="center"/>
    </xf>
    <xf numFmtId="164" fontId="61" fillId="0" borderId="15" xfId="2" applyNumberFormat="1" applyFont="1" applyBorder="1" applyAlignment="1">
      <alignment horizontal="center"/>
    </xf>
    <xf numFmtId="164" fontId="61" fillId="0" borderId="6" xfId="2" applyNumberFormat="1" applyFont="1" applyBorder="1" applyAlignment="1">
      <alignment horizontal="center"/>
    </xf>
    <xf numFmtId="168" fontId="13" fillId="5" borderId="1" xfId="2" applyNumberFormat="1" applyFont="1" applyFill="1" applyBorder="1"/>
    <xf numFmtId="170" fontId="31" fillId="4" borderId="1" xfId="0" applyNumberFormat="1" applyFont="1" applyFill="1" applyBorder="1" applyAlignment="1">
      <alignment horizontal="right"/>
    </xf>
    <xf numFmtId="0" fontId="33" fillId="0" borderId="0" xfId="0" applyFont="1"/>
    <xf numFmtId="0" fontId="34" fillId="0" borderId="0" xfId="0" applyFont="1" applyAlignment="1">
      <alignment wrapText="1"/>
    </xf>
    <xf numFmtId="0" fontId="34" fillId="0" borderId="1" xfId="0" applyFont="1" applyBorder="1" applyAlignment="1">
      <alignment horizontal="center" wrapText="1"/>
    </xf>
    <xf numFmtId="0" fontId="60" fillId="0" borderId="1" xfId="0" applyFont="1" applyBorder="1" applyAlignment="1">
      <alignment horizontal="center"/>
    </xf>
    <xf numFmtId="172" fontId="67" fillId="0" borderId="1" xfId="3" applyNumberFormat="1" applyFont="1" applyBorder="1" applyAlignment="1">
      <alignment horizontal="center"/>
    </xf>
    <xf numFmtId="10" fontId="67" fillId="0" borderId="1" xfId="0" applyNumberFormat="1" applyFont="1" applyBorder="1" applyAlignment="1">
      <alignment horizontal="center"/>
    </xf>
    <xf numFmtId="2" fontId="67" fillId="0" borderId="1" xfId="0" applyNumberFormat="1" applyFont="1" applyBorder="1" applyAlignment="1">
      <alignment horizontal="center"/>
    </xf>
    <xf numFmtId="0" fontId="30" fillId="6" borderId="0" xfId="0" applyFont="1" applyFill="1"/>
    <xf numFmtId="0" fontId="30" fillId="6" borderId="25" xfId="0" applyFont="1" applyFill="1" applyBorder="1"/>
    <xf numFmtId="169" fontId="13"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3" fillId="5" borderId="1" xfId="3" applyNumberFormat="1" applyFont="1" applyFill="1" applyBorder="1" applyAlignment="1">
      <alignment horizontal="center"/>
    </xf>
    <xf numFmtId="10" fontId="5" fillId="5" borderId="1" xfId="3" applyNumberFormat="1" applyFont="1" applyFill="1" applyBorder="1" applyAlignment="1">
      <alignment horizontal="center"/>
    </xf>
    <xf numFmtId="0" fontId="13" fillId="4" borderId="3" xfId="0" applyFont="1" applyFill="1" applyBorder="1"/>
    <xf numFmtId="10" fontId="0" fillId="5" borderId="2" xfId="0" applyNumberFormat="1" applyFill="1" applyBorder="1" applyAlignment="1">
      <alignment horizontal="center"/>
    </xf>
    <xf numFmtId="0" fontId="36" fillId="0" borderId="0" xfId="0" applyFont="1" applyAlignment="1">
      <alignment horizontal="left" vertical="top" wrapText="1"/>
    </xf>
    <xf numFmtId="0" fontId="36"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6"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9" fillId="0" borderId="0" xfId="0" applyFont="1"/>
    <xf numFmtId="0" fontId="40" fillId="0" borderId="0" xfId="0" applyFont="1"/>
    <xf numFmtId="0" fontId="41" fillId="0" borderId="0" xfId="0" applyFont="1"/>
    <xf numFmtId="0" fontId="42" fillId="0" borderId="0" xfId="0" applyFont="1"/>
    <xf numFmtId="17" fontId="42" fillId="4" borderId="1" xfId="0" applyNumberFormat="1" applyFont="1" applyFill="1" applyBorder="1" applyAlignment="1">
      <alignment horizontal="center"/>
    </xf>
    <xf numFmtId="0" fontId="41" fillId="4" borderId="1" xfId="0" applyFont="1" applyFill="1" applyBorder="1"/>
    <xf numFmtId="0" fontId="43" fillId="0" borderId="1" xfId="0" applyFont="1" applyBorder="1"/>
    <xf numFmtId="0" fontId="41" fillId="0" borderId="1" xfId="0" applyFont="1" applyBorder="1"/>
    <xf numFmtId="44" fontId="41" fillId="4" borderId="1" xfId="2" applyFont="1" applyFill="1" applyBorder="1" applyAlignment="1">
      <alignment horizontal="center"/>
    </xf>
    <xf numFmtId="0" fontId="70" fillId="0" borderId="0" xfId="0" applyFont="1"/>
    <xf numFmtId="44" fontId="41" fillId="8" borderId="13" xfId="0" applyNumberFormat="1" applyFont="1" applyFill="1" applyBorder="1" applyAlignment="1">
      <alignment horizontal="center"/>
    </xf>
    <xf numFmtId="44" fontId="41" fillId="4" borderId="9" xfId="2" applyFont="1" applyFill="1" applyBorder="1" applyAlignment="1">
      <alignment horizontal="center"/>
    </xf>
    <xf numFmtId="2" fontId="41" fillId="4" borderId="9" xfId="2" applyNumberFormat="1" applyFont="1" applyFill="1" applyBorder="1" applyAlignment="1">
      <alignment horizontal="center"/>
    </xf>
    <xf numFmtId="10" fontId="41" fillId="4" borderId="1" xfId="2" applyNumberFormat="1" applyFont="1" applyFill="1" applyBorder="1" applyAlignment="1">
      <alignment horizontal="center"/>
    </xf>
    <xf numFmtId="44" fontId="41" fillId="0" borderId="0" xfId="2" applyFont="1" applyFill="1" applyBorder="1" applyAlignment="1">
      <alignment horizontal="center"/>
    </xf>
    <xf numFmtId="0" fontId="41" fillId="0" borderId="30" xfId="0" applyFont="1" applyBorder="1"/>
    <xf numFmtId="10" fontId="41" fillId="5" borderId="1" xfId="0" applyNumberFormat="1" applyFont="1" applyFill="1" applyBorder="1"/>
    <xf numFmtId="0" fontId="71" fillId="0" borderId="1" xfId="0" applyFont="1" applyBorder="1"/>
    <xf numFmtId="10" fontId="71" fillId="4" borderId="1" xfId="2" applyNumberFormat="1" applyFont="1" applyFill="1" applyBorder="1" applyAlignment="1">
      <alignment horizontal="center"/>
    </xf>
    <xf numFmtId="10" fontId="41" fillId="4" borderId="1" xfId="0" applyNumberFormat="1" applyFont="1" applyFill="1" applyBorder="1" applyAlignment="1">
      <alignment horizontal="center"/>
    </xf>
    <xf numFmtId="2" fontId="41" fillId="4" borderId="1" xfId="0" applyNumberFormat="1" applyFont="1" applyFill="1" applyBorder="1" applyAlignment="1">
      <alignment horizontal="center"/>
    </xf>
    <xf numFmtId="0" fontId="41" fillId="0" borderId="31" xfId="0" applyFont="1" applyBorder="1"/>
    <xf numFmtId="168" fontId="41" fillId="5" borderId="1" xfId="0" applyNumberFormat="1" applyFont="1" applyFill="1" applyBorder="1"/>
    <xf numFmtId="10" fontId="41" fillId="0" borderId="0" xfId="0" applyNumberFormat="1" applyFont="1"/>
    <xf numFmtId="0" fontId="41" fillId="0" borderId="32" xfId="0" applyFont="1" applyBorder="1"/>
    <xf numFmtId="10" fontId="41" fillId="6" borderId="0" xfId="0" applyNumberFormat="1" applyFont="1" applyFill="1" applyAlignment="1">
      <alignment horizontal="center"/>
    </xf>
    <xf numFmtId="2" fontId="41" fillId="0" borderId="0" xfId="0" applyNumberFormat="1" applyFont="1" applyAlignment="1">
      <alignment horizontal="center"/>
    </xf>
    <xf numFmtId="164" fontId="41" fillId="4" borderId="1" xfId="0" applyNumberFormat="1" applyFont="1" applyFill="1" applyBorder="1" applyAlignment="1">
      <alignment horizontal="center"/>
    </xf>
    <xf numFmtId="164" fontId="41" fillId="0" borderId="0" xfId="0" applyNumberFormat="1" applyFont="1" applyAlignment="1">
      <alignment horizontal="center"/>
    </xf>
    <xf numFmtId="0" fontId="43" fillId="0" borderId="0" xfId="0" applyFont="1"/>
    <xf numFmtId="10" fontId="41" fillId="0" borderId="0" xfId="0" applyNumberFormat="1" applyFont="1" applyAlignment="1">
      <alignment horizontal="center"/>
    </xf>
    <xf numFmtId="0" fontId="44" fillId="6" borderId="0" xfId="0" applyFont="1" applyFill="1"/>
    <xf numFmtId="0" fontId="43" fillId="6" borderId="0" xfId="0" applyFont="1" applyFill="1"/>
    <xf numFmtId="9" fontId="41" fillId="4" borderId="1" xfId="0" applyNumberFormat="1" applyFont="1" applyFill="1" applyBorder="1" applyAlignment="1">
      <alignment horizontal="center"/>
    </xf>
    <xf numFmtId="9" fontId="41" fillId="6" borderId="0" xfId="0" applyNumberFormat="1" applyFont="1" applyFill="1" applyAlignment="1">
      <alignment horizontal="center"/>
    </xf>
    <xf numFmtId="164" fontId="41" fillId="7" borderId="0" xfId="0" applyNumberFormat="1" applyFont="1" applyFill="1" applyAlignment="1">
      <alignment horizontal="center"/>
    </xf>
    <xf numFmtId="10" fontId="41" fillId="4" borderId="1" xfId="3" applyNumberFormat="1" applyFont="1" applyFill="1" applyBorder="1" applyAlignment="1">
      <alignment horizontal="center"/>
    </xf>
    <xf numFmtId="164" fontId="39" fillId="4" borderId="1" xfId="0" applyNumberFormat="1" applyFont="1" applyFill="1" applyBorder="1" applyAlignment="1">
      <alignment horizontal="center"/>
    </xf>
    <xf numFmtId="0" fontId="40" fillId="4" borderId="1" xfId="0" applyFont="1" applyFill="1" applyBorder="1"/>
    <xf numFmtId="0" fontId="40" fillId="5" borderId="1" xfId="0" applyFont="1" applyFill="1" applyBorder="1"/>
    <xf numFmtId="0" fontId="45" fillId="0" borderId="0" xfId="0" applyFont="1"/>
    <xf numFmtId="0" fontId="66" fillId="7" borderId="0" xfId="0" applyFont="1" applyFill="1"/>
    <xf numFmtId="0" fontId="46" fillId="0" borderId="0" xfId="0" applyFont="1"/>
    <xf numFmtId="0" fontId="72" fillId="0" borderId="0" xfId="0" applyFont="1"/>
    <xf numFmtId="0" fontId="72" fillId="0" borderId="1" xfId="0" applyFont="1" applyBorder="1"/>
    <xf numFmtId="0" fontId="73" fillId="0" borderId="1" xfId="0" applyFont="1" applyBorder="1" applyAlignment="1">
      <alignment horizontal="center"/>
    </xf>
    <xf numFmtId="10" fontId="72" fillId="7" borderId="1" xfId="0" applyNumberFormat="1" applyFont="1" applyFill="1" applyBorder="1" applyAlignment="1">
      <alignment horizontal="center"/>
    </xf>
    <xf numFmtId="10" fontId="0" fillId="0" borderId="0" xfId="0" applyNumberFormat="1"/>
    <xf numFmtId="0" fontId="72" fillId="0" borderId="1" xfId="0" applyFont="1" applyBorder="1" applyAlignment="1">
      <alignment horizontal="center"/>
    </xf>
    <xf numFmtId="0" fontId="47" fillId="0" borderId="0" xfId="0" applyFont="1"/>
    <xf numFmtId="0" fontId="72" fillId="0" borderId="0" xfId="0" applyFont="1" applyAlignment="1">
      <alignment horizontal="center"/>
    </xf>
    <xf numFmtId="10" fontId="72" fillId="0" borderId="0" xfId="0" applyNumberFormat="1" applyFont="1" applyAlignment="1">
      <alignment horizontal="center"/>
    </xf>
    <xf numFmtId="0" fontId="61" fillId="7" borderId="5" xfId="0" applyFont="1" applyFill="1" applyBorder="1" applyAlignment="1">
      <alignment horizontal="left"/>
    </xf>
    <xf numFmtId="0" fontId="61" fillId="7" borderId="5" xfId="0" applyFont="1" applyFill="1" applyBorder="1" applyAlignment="1">
      <alignment wrapText="1"/>
    </xf>
    <xf numFmtId="0" fontId="61" fillId="7" borderId="5" xfId="0" applyFont="1" applyFill="1" applyBorder="1"/>
    <xf numFmtId="0" fontId="61" fillId="7" borderId="27" xfId="0" applyFont="1" applyFill="1" applyBorder="1"/>
    <xf numFmtId="0" fontId="61" fillId="7" borderId="33" xfId="0" applyFont="1" applyFill="1" applyBorder="1"/>
    <xf numFmtId="0" fontId="10" fillId="0" borderId="0" xfId="0" applyFont="1" applyAlignment="1">
      <alignment horizontal="center"/>
    </xf>
    <xf numFmtId="0" fontId="48" fillId="0" borderId="0" xfId="0" applyFont="1" applyAlignment="1">
      <alignment horizontal="center"/>
    </xf>
    <xf numFmtId="0" fontId="10" fillId="0" borderId="1" xfId="0" applyFont="1" applyBorder="1"/>
    <xf numFmtId="0" fontId="49" fillId="0" borderId="1" xfId="0" applyFont="1" applyBorder="1" applyAlignment="1">
      <alignment horizontal="center"/>
    </xf>
    <xf numFmtId="0" fontId="47" fillId="0" borderId="7" xfId="0" applyFont="1" applyBorder="1"/>
    <xf numFmtId="0" fontId="47" fillId="0" borderId="16" xfId="0" applyFont="1" applyBorder="1" applyAlignment="1">
      <alignment horizontal="center"/>
    </xf>
    <xf numFmtId="0" fontId="10" fillId="0" borderId="16" xfId="0" applyFont="1" applyBorder="1" applyAlignment="1">
      <alignment horizontal="center"/>
    </xf>
    <xf numFmtId="0" fontId="10" fillId="0" borderId="30" xfId="0" applyFont="1" applyBorder="1"/>
    <xf numFmtId="0" fontId="49" fillId="0" borderId="0" xfId="0" applyFont="1" applyAlignment="1">
      <alignment horizontal="center"/>
    </xf>
    <xf numFmtId="0" fontId="49" fillId="0" borderId="18" xfId="0" applyFont="1" applyBorder="1" applyAlignment="1">
      <alignment horizontal="center"/>
    </xf>
    <xf numFmtId="0" fontId="10" fillId="0" borderId="17" xfId="0" applyFont="1" applyBorder="1" applyAlignment="1">
      <alignment horizontal="center"/>
    </xf>
    <xf numFmtId="0" fontId="10" fillId="0" borderId="18" xfId="0" applyFont="1" applyBorder="1" applyAlignment="1">
      <alignment horizontal="center"/>
    </xf>
    <xf numFmtId="0" fontId="48" fillId="0" borderId="7" xfId="0" applyFont="1" applyBorder="1"/>
    <xf numFmtId="0" fontId="49" fillId="0" borderId="16" xfId="0" applyFont="1" applyBorder="1" applyAlignment="1">
      <alignment horizontal="center"/>
    </xf>
    <xf numFmtId="0" fontId="49" fillId="0" borderId="17" xfId="0" applyFont="1" applyBorder="1" applyAlignment="1">
      <alignment horizontal="center"/>
    </xf>
    <xf numFmtId="0" fontId="49" fillId="0" borderId="30" xfId="0" applyFont="1" applyBorder="1"/>
    <xf numFmtId="0" fontId="10" fillId="0" borderId="1" xfId="0" applyFont="1" applyBorder="1" applyAlignment="1">
      <alignment wrapText="1"/>
    </xf>
    <xf numFmtId="0" fontId="10" fillId="0" borderId="31" xfId="0" applyFont="1" applyBorder="1" applyAlignment="1">
      <alignment horizontal="center"/>
    </xf>
    <xf numFmtId="0" fontId="10" fillId="0" borderId="32" xfId="0" applyFont="1" applyBorder="1" applyAlignment="1">
      <alignment horizontal="center"/>
    </xf>
    <xf numFmtId="10" fontId="29" fillId="7" borderId="3" xfId="0" applyNumberFormat="1" applyFont="1" applyFill="1" applyBorder="1" applyAlignment="1">
      <alignment horizontal="center"/>
    </xf>
    <xf numFmtId="0" fontId="52" fillId="6" borderId="35" xfId="0" applyFont="1" applyFill="1" applyBorder="1" applyAlignment="1">
      <alignment vertical="center"/>
    </xf>
    <xf numFmtId="0" fontId="52" fillId="6" borderId="36" xfId="0" applyFont="1" applyFill="1" applyBorder="1"/>
    <xf numFmtId="0" fontId="52" fillId="6" borderId="37" xfId="0" applyFont="1" applyFill="1" applyBorder="1"/>
    <xf numFmtId="0" fontId="29" fillId="7" borderId="19" xfId="0" applyFont="1" applyFill="1" applyBorder="1"/>
    <xf numFmtId="0" fontId="29" fillId="0" borderId="0" xfId="0" applyFont="1" applyAlignment="1">
      <alignment horizontal="center"/>
    </xf>
    <xf numFmtId="0" fontId="29" fillId="0" borderId="18" xfId="0" applyFont="1" applyBorder="1"/>
    <xf numFmtId="0" fontId="13" fillId="0" borderId="0" xfId="0" applyFont="1" applyAlignment="1">
      <alignment horizontal="center"/>
    </xf>
    <xf numFmtId="0" fontId="13" fillId="0" borderId="18" xfId="0" applyFont="1" applyBorder="1"/>
    <xf numFmtId="0" fontId="13" fillId="0" borderId="31" xfId="0" applyFont="1" applyBorder="1" applyAlignment="1">
      <alignment horizontal="center"/>
    </xf>
    <xf numFmtId="0" fontId="13" fillId="0" borderId="32" xfId="0" applyFont="1" applyBorder="1"/>
    <xf numFmtId="0" fontId="50" fillId="6" borderId="35" xfId="0" applyFont="1" applyFill="1" applyBorder="1" applyAlignment="1">
      <alignment horizontal="center" vertical="center" wrapText="1"/>
    </xf>
    <xf numFmtId="44" fontId="40" fillId="2" borderId="1" xfId="0" applyNumberFormat="1" applyFont="1" applyFill="1" applyBorder="1"/>
    <xf numFmtId="44" fontId="40" fillId="2" borderId="1" xfId="2" applyFont="1" applyFill="1" applyBorder="1"/>
    <xf numFmtId="2" fontId="40" fillId="2" borderId="1" xfId="0" applyNumberFormat="1" applyFont="1" applyFill="1" applyBorder="1"/>
    <xf numFmtId="10" fontId="40" fillId="2" borderId="1" xfId="3" applyNumberFormat="1" applyFont="1" applyFill="1" applyBorder="1"/>
    <xf numFmtId="10" fontId="40" fillId="2" borderId="1" xfId="0" applyNumberFormat="1" applyFont="1" applyFill="1" applyBorder="1"/>
    <xf numFmtId="4" fontId="40" fillId="2" borderId="1" xfId="0" applyNumberFormat="1" applyFont="1" applyFill="1" applyBorder="1"/>
    <xf numFmtId="0" fontId="53" fillId="0" borderId="0" xfId="0" applyFont="1"/>
    <xf numFmtId="0" fontId="55" fillId="0" borderId="0" xfId="0" applyFont="1"/>
    <xf numFmtId="0" fontId="40" fillId="0" borderId="1" xfId="0" applyFont="1" applyBorder="1"/>
    <xf numFmtId="44" fontId="40" fillId="5" borderId="2" xfId="2" applyFont="1" applyFill="1" applyBorder="1"/>
    <xf numFmtId="8" fontId="40" fillId="5" borderId="2" xfId="0" applyNumberFormat="1" applyFont="1" applyFill="1" applyBorder="1"/>
    <xf numFmtId="0" fontId="40" fillId="0" borderId="1" xfId="0" applyFont="1" applyBorder="1" applyAlignment="1">
      <alignment horizontal="center"/>
    </xf>
    <xf numFmtId="3" fontId="40" fillId="0" borderId="1" xfId="0" applyNumberFormat="1" applyFont="1" applyBorder="1" applyAlignment="1">
      <alignment horizontal="center"/>
    </xf>
    <xf numFmtId="10" fontId="47" fillId="0" borderId="1" xfId="0" applyNumberFormat="1" applyFont="1" applyBorder="1" applyAlignment="1">
      <alignment horizontal="center"/>
    </xf>
    <xf numFmtId="165" fontId="47" fillId="0" borderId="1" xfId="1" applyNumberFormat="1" applyFont="1" applyBorder="1" applyAlignment="1">
      <alignment horizontal="center"/>
    </xf>
    <xf numFmtId="10" fontId="40" fillId="0" borderId="1" xfId="0" applyNumberFormat="1" applyFont="1" applyBorder="1" applyAlignment="1">
      <alignment horizontal="center"/>
    </xf>
    <xf numFmtId="0" fontId="40" fillId="0" borderId="0" xfId="0" applyFont="1" applyAlignment="1">
      <alignment horizontal="center"/>
    </xf>
    <xf numFmtId="169" fontId="40" fillId="0" borderId="1" xfId="0" applyNumberFormat="1" applyFont="1" applyBorder="1" applyAlignment="1">
      <alignment horizontal="center"/>
    </xf>
    <xf numFmtId="0" fontId="47" fillId="0" borderId="6" xfId="0" applyFont="1" applyBorder="1" applyAlignment="1">
      <alignment horizontal="center"/>
    </xf>
    <xf numFmtId="0" fontId="54" fillId="0" borderId="0" xfId="0" applyFont="1"/>
    <xf numFmtId="0" fontId="56" fillId="0" borderId="0" xfId="0" applyFont="1"/>
    <xf numFmtId="0" fontId="57" fillId="0" borderId="0" xfId="0" applyFont="1"/>
    <xf numFmtId="0" fontId="52" fillId="0" borderId="0" xfId="0" applyFont="1"/>
    <xf numFmtId="10" fontId="47" fillId="0" borderId="0" xfId="0" applyNumberFormat="1" applyFont="1"/>
    <xf numFmtId="44" fontId="40" fillId="0" borderId="0" xfId="2" applyFont="1"/>
    <xf numFmtId="164" fontId="47" fillId="0" borderId="6" xfId="0" applyNumberFormat="1" applyFont="1" applyBorder="1" applyAlignment="1">
      <alignment horizontal="center"/>
    </xf>
    <xf numFmtId="0" fontId="50" fillId="0" borderId="0" xfId="0" applyFont="1"/>
    <xf numFmtId="0" fontId="74" fillId="7" borderId="9" xfId="0" applyFont="1" applyFill="1" applyBorder="1"/>
    <xf numFmtId="0" fontId="75" fillId="7" borderId="9" xfId="0" applyFont="1" applyFill="1" applyBorder="1"/>
    <xf numFmtId="0" fontId="75" fillId="7" borderId="1" xfId="0" applyFont="1" applyFill="1" applyBorder="1"/>
    <xf numFmtId="10" fontId="75" fillId="7" borderId="1" xfId="3" applyNumberFormat="1" applyFont="1" applyFill="1" applyBorder="1"/>
    <xf numFmtId="44" fontId="40" fillId="5" borderId="1" xfId="0" applyNumberFormat="1" applyFont="1" applyFill="1" applyBorder="1"/>
    <xf numFmtId="164" fontId="40" fillId="5" borderId="2" xfId="0" applyNumberFormat="1" applyFont="1" applyFill="1" applyBorder="1"/>
    <xf numFmtId="10" fontId="40" fillId="5" borderId="2" xfId="0" applyNumberFormat="1" applyFont="1" applyFill="1" applyBorder="1"/>
    <xf numFmtId="2" fontId="47" fillId="5" borderId="2" xfId="0" applyNumberFormat="1" applyFont="1" applyFill="1" applyBorder="1" applyAlignment="1">
      <alignment horizontal="center"/>
    </xf>
    <xf numFmtId="0" fontId="47" fillId="5" borderId="4" xfId="0" applyFont="1" applyFill="1" applyBorder="1" applyAlignment="1">
      <alignment horizontal="center"/>
    </xf>
    <xf numFmtId="10" fontId="47" fillId="5" borderId="2" xfId="3" applyNumberFormat="1" applyFont="1" applyFill="1" applyBorder="1" applyAlignment="1">
      <alignment horizontal="center"/>
    </xf>
    <xf numFmtId="10" fontId="47" fillId="5" borderId="2" xfId="0" applyNumberFormat="1" applyFont="1" applyFill="1" applyBorder="1" applyAlignment="1">
      <alignment horizontal="center"/>
    </xf>
    <xf numFmtId="10" fontId="47" fillId="0" borderId="0" xfId="0" applyNumberFormat="1" applyFont="1" applyAlignment="1">
      <alignment horizontal="center"/>
    </xf>
    <xf numFmtId="10" fontId="53" fillId="0" borderId="0" xfId="0" applyNumberFormat="1" applyFont="1" applyAlignment="1">
      <alignment horizontal="center"/>
    </xf>
    <xf numFmtId="0" fontId="55" fillId="0" borderId="1" xfId="0" applyFont="1" applyBorder="1" applyAlignment="1">
      <alignment horizontal="centerContinuous"/>
    </xf>
    <xf numFmtId="0" fontId="55" fillId="0" borderId="1" xfId="0" applyFont="1" applyBorder="1"/>
    <xf numFmtId="0" fontId="55" fillId="0" borderId="1" xfId="0" applyFont="1" applyBorder="1" applyAlignment="1">
      <alignment horizontal="center"/>
    </xf>
    <xf numFmtId="10" fontId="40" fillId="0" borderId="38" xfId="3" applyNumberFormat="1" applyFont="1" applyBorder="1" applyAlignment="1">
      <alignment horizontal="center"/>
    </xf>
    <xf numFmtId="2" fontId="40" fillId="0" borderId="1" xfId="0" applyNumberFormat="1" applyFont="1" applyBorder="1" applyAlignment="1">
      <alignment horizontal="center"/>
    </xf>
    <xf numFmtId="0" fontId="40" fillId="0" borderId="1" xfId="0" applyFont="1" applyBorder="1" applyAlignment="1">
      <alignment horizontal="centerContinuous"/>
    </xf>
    <xf numFmtId="0" fontId="44" fillId="0" borderId="39" xfId="0" applyFont="1" applyBorder="1"/>
    <xf numFmtId="0" fontId="54" fillId="0" borderId="0" xfId="0" applyFont="1" applyAlignment="1">
      <alignment horizontal="centerContinuous"/>
    </xf>
    <xf numFmtId="0" fontId="52" fillId="3" borderId="1" xfId="0" applyFont="1" applyFill="1" applyBorder="1" applyAlignment="1">
      <alignment horizontal="center"/>
    </xf>
    <xf numFmtId="44" fontId="52" fillId="3" borderId="1" xfId="2" applyFont="1" applyFill="1" applyBorder="1"/>
    <xf numFmtId="2" fontId="56" fillId="0" borderId="1" xfId="0" applyNumberFormat="1" applyFont="1" applyBorder="1" applyAlignment="1">
      <alignment horizontal="center"/>
    </xf>
    <xf numFmtId="2" fontId="56" fillId="0" borderId="0" xfId="0" applyNumberFormat="1" applyFont="1"/>
    <xf numFmtId="2" fontId="52" fillId="0" borderId="0" xfId="0" applyNumberFormat="1" applyFont="1"/>
    <xf numFmtId="1" fontId="56" fillId="0" borderId="1" xfId="0" applyNumberFormat="1" applyFont="1" applyBorder="1" applyAlignment="1">
      <alignment horizontal="center"/>
    </xf>
    <xf numFmtId="2" fontId="58" fillId="0" borderId="0" xfId="0" applyNumberFormat="1" applyFont="1"/>
    <xf numFmtId="2" fontId="56" fillId="0" borderId="6" xfId="0" applyNumberFormat="1" applyFont="1" applyBorder="1" applyAlignment="1">
      <alignment horizontal="centerContinuous"/>
    </xf>
    <xf numFmtId="2" fontId="56" fillId="0" borderId="13" xfId="0" applyNumberFormat="1" applyFont="1" applyBorder="1" applyAlignment="1">
      <alignment horizontal="centerContinuous"/>
    </xf>
    <xf numFmtId="44" fontId="56" fillId="0" borderId="1" xfId="2" applyFont="1" applyBorder="1"/>
    <xf numFmtId="2" fontId="56" fillId="0" borderId="3" xfId="0" applyNumberFormat="1" applyFont="1" applyBorder="1" applyAlignment="1">
      <alignment horizontal="center"/>
    </xf>
    <xf numFmtId="44" fontId="56" fillId="0" borderId="3" xfId="2" applyFont="1" applyBorder="1"/>
    <xf numFmtId="44" fontId="52" fillId="0" borderId="2" xfId="2" applyFont="1" applyBorder="1"/>
    <xf numFmtId="44" fontId="56" fillId="0" borderId="0" xfId="2" applyFont="1"/>
    <xf numFmtId="44" fontId="52" fillId="0" borderId="0" xfId="2" applyFont="1"/>
    <xf numFmtId="164" fontId="52" fillId="0" borderId="40" xfId="0" applyNumberFormat="1" applyFont="1" applyBorder="1"/>
    <xf numFmtId="6" fontId="52" fillId="0" borderId="1" xfId="2" applyNumberFormat="1" applyFont="1" applyBorder="1"/>
    <xf numFmtId="0" fontId="41" fillId="0" borderId="1" xfId="0" applyFont="1" applyBorder="1" applyAlignment="1">
      <alignment vertical="center"/>
    </xf>
    <xf numFmtId="10" fontId="41" fillId="5" borderId="1" xfId="0" applyNumberFormat="1" applyFont="1" applyFill="1" applyBorder="1" applyAlignment="1">
      <alignment horizontal="center" vertical="center"/>
    </xf>
    <xf numFmtId="0" fontId="63" fillId="0" borderId="1" xfId="0" applyFont="1" applyBorder="1" applyAlignment="1">
      <alignment horizontal="center" wrapText="1"/>
    </xf>
    <xf numFmtId="0" fontId="63" fillId="0" borderId="13" xfId="0" applyFont="1" applyBorder="1" applyAlignment="1">
      <alignment horizontal="center" wrapText="1"/>
    </xf>
    <xf numFmtId="0" fontId="63" fillId="0" borderId="0" xfId="0" applyFont="1" applyAlignment="1">
      <alignment vertical="center"/>
    </xf>
    <xf numFmtId="0" fontId="43" fillId="0" borderId="1" xfId="0" applyFont="1" applyBorder="1" applyAlignment="1">
      <alignment horizontal="center"/>
    </xf>
    <xf numFmtId="10" fontId="41" fillId="5" borderId="9" xfId="3" applyNumberFormat="1" applyFont="1" applyFill="1" applyBorder="1" applyAlignment="1">
      <alignment horizontal="center"/>
    </xf>
    <xf numFmtId="10" fontId="41" fillId="5" borderId="1" xfId="3" applyNumberFormat="1" applyFont="1" applyFill="1" applyBorder="1" applyAlignment="1">
      <alignment horizontal="center"/>
    </xf>
    <xf numFmtId="2" fontId="41" fillId="5" borderId="1" xfId="0" applyNumberFormat="1" applyFont="1" applyFill="1" applyBorder="1" applyAlignment="1">
      <alignment horizontal="center"/>
    </xf>
    <xf numFmtId="44" fontId="76" fillId="9" borderId="1" xfId="2" applyFont="1" applyFill="1" applyBorder="1" applyAlignment="1">
      <alignment horizontal="center"/>
    </xf>
    <xf numFmtId="44" fontId="77" fillId="9" borderId="1" xfId="0" applyNumberFormat="1" applyFont="1" applyFill="1" applyBorder="1"/>
    <xf numFmtId="9" fontId="41" fillId="0" borderId="0" xfId="0" applyNumberFormat="1" applyFont="1" applyAlignment="1">
      <alignment horizontal="center"/>
    </xf>
    <xf numFmtId="1" fontId="41" fillId="4" borderId="1" xfId="0" applyNumberFormat="1" applyFont="1" applyFill="1" applyBorder="1" applyAlignment="1">
      <alignment horizontal="center"/>
    </xf>
    <xf numFmtId="44" fontId="21" fillId="0" borderId="0" xfId="0" applyNumberFormat="1" applyFont="1" applyAlignment="1">
      <alignment horizontal="center"/>
    </xf>
    <xf numFmtId="44" fontId="21" fillId="0" borderId="0" xfId="0" applyNumberFormat="1" applyFont="1" applyAlignment="1">
      <alignment horizontal="left"/>
    </xf>
    <xf numFmtId="0" fontId="52" fillId="0" borderId="1" xfId="0" applyFont="1" applyBorder="1"/>
    <xf numFmtId="0" fontId="52" fillId="7" borderId="1" xfId="0" applyFont="1" applyFill="1" applyBorder="1"/>
    <xf numFmtId="10" fontId="52" fillId="0" borderId="1" xfId="0" applyNumberFormat="1" applyFont="1" applyBorder="1"/>
    <xf numFmtId="0" fontId="52" fillId="0" borderId="1" xfId="0" applyFont="1" applyBorder="1" applyAlignment="1">
      <alignment horizontal="center"/>
    </xf>
    <xf numFmtId="0" fontId="52" fillId="7" borderId="1" xfId="0" applyFont="1" applyFill="1" applyBorder="1" applyAlignment="1">
      <alignment horizontal="center"/>
    </xf>
    <xf numFmtId="10" fontId="52" fillId="7" borderId="1" xfId="0" applyNumberFormat="1" applyFont="1" applyFill="1" applyBorder="1"/>
    <xf numFmtId="168" fontId="52" fillId="0" borderId="1" xfId="0" applyNumberFormat="1" applyFont="1" applyBorder="1"/>
    <xf numFmtId="168" fontId="52" fillId="7" borderId="1" xfId="0" applyNumberFormat="1" applyFont="1" applyFill="1" applyBorder="1"/>
    <xf numFmtId="169" fontId="52" fillId="0" borderId="1" xfId="0" applyNumberFormat="1" applyFont="1" applyBorder="1"/>
    <xf numFmtId="44" fontId="52" fillId="7" borderId="1" xfId="0" applyNumberFormat="1" applyFont="1" applyFill="1" applyBorder="1"/>
    <xf numFmtId="175" fontId="52" fillId="0" borderId="1" xfId="0" applyNumberFormat="1" applyFont="1" applyBorder="1"/>
    <xf numFmtId="168" fontId="52" fillId="7" borderId="41" xfId="0" applyNumberFormat="1" applyFont="1" applyFill="1" applyBorder="1"/>
    <xf numFmtId="168" fontId="52" fillId="7" borderId="34" xfId="0" applyNumberFormat="1" applyFont="1" applyFill="1" applyBorder="1"/>
    <xf numFmtId="10" fontId="52" fillId="7" borderId="34" xfId="0" applyNumberFormat="1" applyFont="1" applyFill="1" applyBorder="1"/>
    <xf numFmtId="175" fontId="52" fillId="7" borderId="34" xfId="0" applyNumberFormat="1" applyFont="1" applyFill="1" applyBorder="1"/>
    <xf numFmtId="43" fontId="52" fillId="7" borderId="34" xfId="0" applyNumberFormat="1" applyFont="1" applyFill="1" applyBorder="1"/>
    <xf numFmtId="0" fontId="52" fillId="0" borderId="9" xfId="0" applyFont="1" applyBorder="1"/>
    <xf numFmtId="2" fontId="52" fillId="7" borderId="1" xfId="0" applyNumberFormat="1" applyFont="1" applyFill="1" applyBorder="1"/>
    <xf numFmtId="164" fontId="52" fillId="7" borderId="42" xfId="0" applyNumberFormat="1" applyFont="1" applyFill="1" applyBorder="1"/>
    <xf numFmtId="164" fontId="52" fillId="7" borderId="1" xfId="0" applyNumberFormat="1" applyFont="1" applyFill="1" applyBorder="1"/>
    <xf numFmtId="10" fontId="52" fillId="7" borderId="1" xfId="3" applyNumberFormat="1" applyFont="1" applyFill="1" applyBorder="1"/>
    <xf numFmtId="164" fontId="52" fillId="0" borderId="26" xfId="0" applyNumberFormat="1" applyFont="1" applyBorder="1"/>
    <xf numFmtId="0" fontId="20"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1" xfId="0" applyBorder="1"/>
    <xf numFmtId="9" fontId="0" fillId="0" borderId="51" xfId="0" applyNumberFormat="1" applyBorder="1"/>
    <xf numFmtId="10" fontId="61" fillId="7" borderId="13" xfId="0" applyNumberFormat="1" applyFont="1" applyFill="1" applyBorder="1" applyAlignment="1">
      <alignment horizontal="left"/>
    </xf>
    <xf numFmtId="0" fontId="40" fillId="12" borderId="2" xfId="0" applyFont="1" applyFill="1" applyBorder="1" applyAlignment="1">
      <alignment horizontal="center"/>
    </xf>
    <xf numFmtId="44" fontId="41"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4"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5" fillId="9" borderId="26" xfId="0" applyFont="1" applyFill="1" applyBorder="1"/>
    <xf numFmtId="0" fontId="85" fillId="9" borderId="27" xfId="0" applyFont="1" applyFill="1" applyBorder="1"/>
    <xf numFmtId="0" fontId="85" fillId="9" borderId="20" xfId="0" applyFont="1" applyFill="1" applyBorder="1"/>
    <xf numFmtId="0" fontId="85" fillId="9" borderId="28" xfId="0" applyFont="1" applyFill="1" applyBorder="1"/>
    <xf numFmtId="0" fontId="85" fillId="9" borderId="0" xfId="0" applyFont="1" applyFill="1"/>
    <xf numFmtId="0" fontId="85" fillId="9" borderId="29" xfId="0" applyFont="1" applyFill="1" applyBorder="1"/>
    <xf numFmtId="2" fontId="41" fillId="0" borderId="1" xfId="0" applyNumberFormat="1" applyFont="1" applyBorder="1" applyAlignment="1">
      <alignment horizontal="center"/>
    </xf>
    <xf numFmtId="44" fontId="41" fillId="4" borderId="6" xfId="2" applyFont="1" applyFill="1" applyBorder="1" applyAlignment="1">
      <alignment horizontal="center"/>
    </xf>
    <xf numFmtId="0" fontId="43" fillId="0" borderId="3" xfId="0" applyFont="1" applyBorder="1"/>
    <xf numFmtId="44" fontId="70" fillId="10" borderId="13" xfId="0" applyNumberFormat="1" applyFont="1" applyFill="1" applyBorder="1" applyAlignment="1">
      <alignment horizontal="left"/>
    </xf>
    <xf numFmtId="0" fontId="69" fillId="4" borderId="3" xfId="0" applyFont="1" applyFill="1" applyBorder="1" applyAlignment="1">
      <alignment horizontal="center"/>
    </xf>
    <xf numFmtId="0" fontId="88" fillId="0" borderId="38" xfId="0" applyFont="1" applyBorder="1"/>
    <xf numFmtId="0" fontId="88" fillId="0" borderId="25" xfId="0" applyFont="1" applyBorder="1" applyAlignment="1">
      <alignment horizontal="center"/>
    </xf>
    <xf numFmtId="0" fontId="87" fillId="0" borderId="38" xfId="0" applyFont="1" applyBorder="1"/>
    <xf numFmtId="0" fontId="87" fillId="0" borderId="25" xfId="0" applyFont="1" applyBorder="1" applyAlignment="1">
      <alignment horizontal="left"/>
    </xf>
    <xf numFmtId="0" fontId="88" fillId="0" borderId="29" xfId="0" applyFont="1" applyBorder="1"/>
    <xf numFmtId="0" fontId="88" fillId="0" borderId="0" xfId="0" applyFont="1" applyAlignment="1">
      <alignment horizontal="center"/>
    </xf>
    <xf numFmtId="1" fontId="56" fillId="0" borderId="51" xfId="0" applyNumberFormat="1" applyFont="1" applyBorder="1" applyAlignment="1">
      <alignment horizontal="center"/>
    </xf>
    <xf numFmtId="2" fontId="56" fillId="3" borderId="51" xfId="0" applyNumberFormat="1" applyFont="1" applyFill="1" applyBorder="1" applyAlignment="1">
      <alignment horizontal="center"/>
    </xf>
    <xf numFmtId="0" fontId="43" fillId="0" borderId="55" xfId="0" applyFont="1" applyBorder="1"/>
    <xf numFmtId="0" fontId="41" fillId="0" borderId="56" xfId="0" applyFont="1" applyBorder="1"/>
    <xf numFmtId="0" fontId="42" fillId="0" borderId="55" xfId="0" applyFont="1" applyBorder="1"/>
    <xf numFmtId="0" fontId="43" fillId="0" borderId="63" xfId="0" applyFont="1" applyBorder="1" applyAlignment="1">
      <alignment horizontal="center"/>
    </xf>
    <xf numFmtId="0" fontId="41" fillId="0" borderId="55" xfId="0" applyFont="1" applyBorder="1"/>
    <xf numFmtId="10" fontId="41" fillId="5" borderId="64" xfId="3" applyNumberFormat="1" applyFont="1" applyFill="1" applyBorder="1" applyAlignment="1">
      <alignment horizontal="center"/>
    </xf>
    <xf numFmtId="10" fontId="41" fillId="5" borderId="63" xfId="3" applyNumberFormat="1" applyFont="1" applyFill="1" applyBorder="1" applyAlignment="1">
      <alignment horizontal="center"/>
    </xf>
    <xf numFmtId="2" fontId="41" fillId="5" borderId="63" xfId="0" applyNumberFormat="1" applyFont="1" applyFill="1" applyBorder="1" applyAlignment="1">
      <alignment horizontal="center"/>
    </xf>
    <xf numFmtId="2" fontId="41" fillId="0" borderId="56" xfId="0" applyNumberFormat="1" applyFont="1" applyBorder="1" applyAlignment="1">
      <alignment horizontal="center"/>
    </xf>
    <xf numFmtId="0" fontId="0" fillId="0" borderId="56" xfId="0" applyBorder="1"/>
    <xf numFmtId="0" fontId="41" fillId="0" borderId="57" xfId="0" applyFont="1" applyBorder="1"/>
    <xf numFmtId="0" fontId="41" fillId="0" borderId="58" xfId="0" applyFont="1" applyBorder="1"/>
    <xf numFmtId="10" fontId="41" fillId="5" borderId="65" xfId="3" applyNumberFormat="1" applyFont="1" applyFill="1" applyBorder="1" applyAlignment="1">
      <alignment horizontal="center"/>
    </xf>
    <xf numFmtId="10" fontId="41" fillId="5" borderId="66" xfId="3" applyNumberFormat="1" applyFont="1" applyFill="1" applyBorder="1" applyAlignment="1">
      <alignment horizontal="center"/>
    </xf>
    <xf numFmtId="10" fontId="41" fillId="5" borderId="67" xfId="3" applyNumberFormat="1" applyFont="1" applyFill="1" applyBorder="1" applyAlignment="1">
      <alignment horizontal="center"/>
    </xf>
    <xf numFmtId="0" fontId="43" fillId="0" borderId="13" xfId="0" applyFont="1" applyBorder="1" applyAlignment="1">
      <alignment horizontal="center"/>
    </xf>
    <xf numFmtId="10" fontId="41" fillId="5" borderId="13" xfId="0" applyNumberFormat="1" applyFont="1" applyFill="1" applyBorder="1" applyAlignment="1">
      <alignment horizontal="center"/>
    </xf>
    <xf numFmtId="10" fontId="41" fillId="5" borderId="13" xfId="3" applyNumberFormat="1" applyFont="1" applyFill="1" applyBorder="1" applyAlignment="1">
      <alignment horizontal="center"/>
    </xf>
    <xf numFmtId="2" fontId="41" fillId="5" borderId="13" xfId="0" applyNumberFormat="1" applyFont="1" applyFill="1" applyBorder="1" applyAlignment="1">
      <alignment horizontal="center"/>
    </xf>
    <xf numFmtId="2" fontId="41" fillId="0" borderId="13" xfId="0" applyNumberFormat="1" applyFont="1" applyBorder="1" applyAlignment="1">
      <alignment horizontal="center"/>
    </xf>
    <xf numFmtId="0" fontId="85" fillId="9" borderId="68" xfId="0" applyFont="1" applyFill="1" applyBorder="1" applyAlignment="1">
      <alignment horizontal="center"/>
    </xf>
    <xf numFmtId="10" fontId="85" fillId="9" borderId="68" xfId="0" applyNumberFormat="1" applyFont="1" applyFill="1" applyBorder="1" applyAlignment="1">
      <alignment horizontal="center"/>
    </xf>
    <xf numFmtId="2" fontId="85" fillId="9" borderId="68" xfId="0" applyNumberFormat="1" applyFont="1" applyFill="1" applyBorder="1" applyAlignment="1">
      <alignment horizontal="center"/>
    </xf>
    <xf numFmtId="10" fontId="85" fillId="9" borderId="68" xfId="3" applyNumberFormat="1" applyFont="1" applyFill="1" applyBorder="1" applyAlignment="1">
      <alignment horizontal="center"/>
    </xf>
    <xf numFmtId="10" fontId="85" fillId="9" borderId="68" xfId="3" applyNumberFormat="1" applyFont="1" applyFill="1" applyBorder="1"/>
    <xf numFmtId="164" fontId="84" fillId="9" borderId="68" xfId="2" applyNumberFormat="1" applyFont="1" applyFill="1" applyBorder="1"/>
    <xf numFmtId="43" fontId="84" fillId="9" borderId="68" xfId="0" applyNumberFormat="1" applyFont="1" applyFill="1" applyBorder="1"/>
    <xf numFmtId="10" fontId="52" fillId="0" borderId="0" xfId="0" applyNumberFormat="1" applyFont="1"/>
    <xf numFmtId="0" fontId="52" fillId="0" borderId="55" xfId="0" applyFont="1" applyBorder="1"/>
    <xf numFmtId="0" fontId="52" fillId="0" borderId="56" xfId="0" applyFont="1" applyBorder="1"/>
    <xf numFmtId="0" fontId="52" fillId="0" borderId="75" xfId="0" applyFont="1" applyBorder="1"/>
    <xf numFmtId="10" fontId="52" fillId="0" borderId="63" xfId="0" applyNumberFormat="1" applyFont="1" applyBorder="1"/>
    <xf numFmtId="10" fontId="52" fillId="0" borderId="56" xfId="0" applyNumberFormat="1" applyFont="1" applyBorder="1"/>
    <xf numFmtId="44" fontId="52" fillId="7" borderId="76" xfId="0" applyNumberFormat="1" applyFont="1" applyFill="1" applyBorder="1"/>
    <xf numFmtId="0" fontId="52" fillId="0" borderId="56" xfId="0" applyFont="1" applyBorder="1" applyAlignment="1">
      <alignment horizontal="center"/>
    </xf>
    <xf numFmtId="0" fontId="52" fillId="7" borderId="75" xfId="0" applyFont="1" applyFill="1" applyBorder="1"/>
    <xf numFmtId="10" fontId="52" fillId="7" borderId="75" xfId="0" applyNumberFormat="1" applyFont="1" applyFill="1" applyBorder="1"/>
    <xf numFmtId="43" fontId="52" fillId="7" borderId="75" xfId="0" applyNumberFormat="1" applyFont="1" applyFill="1" applyBorder="1"/>
    <xf numFmtId="0" fontId="52" fillId="7" borderId="77" xfId="0" applyFont="1" applyFill="1" applyBorder="1"/>
    <xf numFmtId="0" fontId="52" fillId="0" borderId="77" xfId="0" applyFont="1" applyBorder="1"/>
    <xf numFmtId="0" fontId="52" fillId="0" borderId="57" xfId="0" applyFont="1" applyBorder="1"/>
    <xf numFmtId="0" fontId="52" fillId="0" borderId="58" xfId="0" applyFont="1" applyBorder="1"/>
    <xf numFmtId="0" fontId="52" fillId="0" borderId="59" xfId="0" applyFont="1" applyBorder="1"/>
    <xf numFmtId="0" fontId="89" fillId="9" borderId="68" xfId="0" applyFont="1" applyFill="1" applyBorder="1"/>
    <xf numFmtId="44" fontId="89" fillId="9" borderId="68" xfId="0" applyNumberFormat="1" applyFont="1" applyFill="1" applyBorder="1" applyAlignment="1">
      <alignment horizontal="center"/>
    </xf>
    <xf numFmtId="10" fontId="89" fillId="9" borderId="68" xfId="0" applyNumberFormat="1" applyFont="1" applyFill="1" applyBorder="1" applyAlignment="1">
      <alignment horizontal="center"/>
    </xf>
    <xf numFmtId="2" fontId="89" fillId="9" borderId="68" xfId="0" applyNumberFormat="1" applyFont="1" applyFill="1" applyBorder="1" applyAlignment="1">
      <alignment horizontal="center"/>
    </xf>
    <xf numFmtId="164" fontId="10" fillId="0" borderId="3" xfId="0" applyNumberFormat="1" applyFont="1" applyBorder="1" applyAlignment="1">
      <alignment horizontal="center"/>
    </xf>
    <xf numFmtId="10" fontId="10" fillId="0" borderId="3" xfId="3" applyNumberFormat="1" applyFont="1" applyBorder="1" applyAlignment="1">
      <alignment horizontal="center"/>
    </xf>
    <xf numFmtId="164" fontId="10" fillId="0" borderId="9" xfId="0" applyNumberFormat="1" applyFont="1" applyBorder="1" applyAlignment="1">
      <alignment horizontal="center"/>
    </xf>
    <xf numFmtId="10" fontId="10" fillId="0" borderId="9" xfId="0" applyNumberFormat="1" applyFont="1" applyBorder="1" applyAlignment="1">
      <alignment horizontal="center"/>
    </xf>
    <xf numFmtId="164" fontId="89" fillId="9" borderId="68" xfId="0" applyNumberFormat="1" applyFont="1" applyFill="1" applyBorder="1" applyAlignment="1">
      <alignment horizontal="center"/>
    </xf>
    <xf numFmtId="10" fontId="89" fillId="9" borderId="68" xfId="3" applyNumberFormat="1" applyFont="1" applyFill="1" applyBorder="1" applyAlignment="1">
      <alignment horizontal="center"/>
    </xf>
    <xf numFmtId="0" fontId="51" fillId="6" borderId="48" xfId="0" applyFont="1" applyFill="1" applyBorder="1" applyAlignment="1">
      <alignment horizontal="center" vertical="center" wrapText="1"/>
    </xf>
    <xf numFmtId="0" fontId="51" fillId="6" borderId="78" xfId="0" applyFont="1" applyFill="1" applyBorder="1" applyAlignment="1">
      <alignment horizontal="center" vertical="center" wrapText="1"/>
    </xf>
    <xf numFmtId="0" fontId="90" fillId="9" borderId="68" xfId="0" applyFont="1" applyFill="1" applyBorder="1" applyAlignment="1">
      <alignment horizontal="left" vertical="top" wrapText="1"/>
    </xf>
    <xf numFmtId="9" fontId="90" fillId="9" borderId="68" xfId="3" applyFont="1" applyFill="1" applyBorder="1" applyAlignment="1">
      <alignment horizontal="left" vertical="top" wrapText="1"/>
    </xf>
    <xf numFmtId="10" fontId="90"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175" fontId="93" fillId="7" borderId="1" xfId="0" applyNumberFormat="1" applyFont="1" applyFill="1" applyBorder="1" applyAlignment="1">
      <alignment horizontal="center" wrapText="1"/>
    </xf>
    <xf numFmtId="0" fontId="94" fillId="0" borderId="0" xfId="0" applyFont="1"/>
    <xf numFmtId="0" fontId="93" fillId="0" borderId="0" xfId="0" applyFont="1"/>
    <xf numFmtId="175" fontId="94" fillId="0" borderId="1" xfId="0" applyNumberFormat="1" applyFont="1" applyBorder="1" applyAlignment="1">
      <alignment horizontal="center"/>
    </xf>
    <xf numFmtId="0" fontId="34" fillId="0" borderId="1" xfId="0" applyFont="1" applyBorder="1"/>
    <xf numFmtId="0" fontId="34" fillId="0" borderId="1" xfId="0" applyFont="1" applyBorder="1" applyAlignment="1">
      <alignment horizontal="center"/>
    </xf>
    <xf numFmtId="175" fontId="0" fillId="0" borderId="1" xfId="0" applyNumberFormat="1" applyBorder="1" applyAlignment="1">
      <alignment horizontal="center"/>
    </xf>
    <xf numFmtId="0" fontId="87" fillId="0" borderId="1" xfId="0" applyFont="1" applyBorder="1" applyAlignment="1">
      <alignment wrapText="1"/>
    </xf>
    <xf numFmtId="0" fontId="87" fillId="0" borderId="1" xfId="0" applyFont="1" applyBorder="1" applyAlignment="1">
      <alignment horizontal="center" wrapText="1"/>
    </xf>
    <xf numFmtId="10" fontId="87" fillId="0" borderId="1" xfId="0" applyNumberFormat="1" applyFont="1" applyBorder="1" applyAlignment="1">
      <alignment horizontal="center" wrapText="1"/>
    </xf>
    <xf numFmtId="2" fontId="87" fillId="0" borderId="1" xfId="0" applyNumberFormat="1" applyFont="1" applyBorder="1" applyAlignment="1">
      <alignment horizontal="center" wrapText="1"/>
    </xf>
    <xf numFmtId="10" fontId="0" fillId="0" borderId="0" xfId="0" applyNumberFormat="1" applyAlignment="1">
      <alignment horizontal="center"/>
    </xf>
    <xf numFmtId="10" fontId="95" fillId="0" borderId="0" xfId="0" applyNumberFormat="1" applyFont="1" applyAlignment="1">
      <alignment horizontal="center"/>
    </xf>
    <xf numFmtId="10" fontId="21" fillId="0" borderId="6" xfId="0" applyNumberFormat="1" applyFont="1" applyBorder="1" applyAlignment="1">
      <alignment horizontal="center"/>
    </xf>
    <xf numFmtId="0" fontId="33" fillId="0" borderId="0" xfId="0" applyFont="1" applyAlignment="1">
      <alignment horizontal="center"/>
    </xf>
    <xf numFmtId="10" fontId="3" fillId="0" borderId="1" xfId="3" applyNumberFormat="1" applyFont="1" applyBorder="1" applyAlignment="1">
      <alignment horizontal="center"/>
    </xf>
    <xf numFmtId="0" fontId="96" fillId="0" borderId="1" xfId="0" applyFont="1" applyBorder="1"/>
    <xf numFmtId="0" fontId="61" fillId="0" borderId="1" xfId="0" applyFont="1" applyBorder="1"/>
    <xf numFmtId="0" fontId="3" fillId="0" borderId="1" xfId="0" applyFont="1" applyBorder="1"/>
    <xf numFmtId="0" fontId="61" fillId="7" borderId="1" xfId="0" applyFont="1" applyFill="1" applyBorder="1" applyAlignment="1">
      <alignment horizontal="center"/>
    </xf>
    <xf numFmtId="0" fontId="96" fillId="7" borderId="1" xfId="0" applyFont="1" applyFill="1" applyBorder="1" applyAlignment="1">
      <alignment horizontal="center"/>
    </xf>
    <xf numFmtId="0" fontId="3" fillId="0" borderId="1" xfId="0" applyFont="1" applyBorder="1" applyAlignment="1">
      <alignment horizontal="left"/>
    </xf>
    <xf numFmtId="0" fontId="97" fillId="0" borderId="1" xfId="0" applyFont="1" applyBorder="1" applyAlignment="1">
      <alignment horizontal="center"/>
    </xf>
    <xf numFmtId="10" fontId="97" fillId="0" borderId="1" xfId="0" applyNumberFormat="1" applyFont="1" applyBorder="1" applyAlignment="1">
      <alignment horizontal="center"/>
    </xf>
    <xf numFmtId="0" fontId="2" fillId="0" borderId="0" xfId="5"/>
    <xf numFmtId="41" fontId="2" fillId="0" borderId="0" xfId="5" applyNumberFormat="1"/>
    <xf numFmtId="2" fontId="2" fillId="0" borderId="0" xfId="5" applyNumberFormat="1"/>
    <xf numFmtId="43" fontId="2" fillId="0" borderId="0" xfId="5" applyNumberFormat="1"/>
    <xf numFmtId="0" fontId="98" fillId="0" borderId="0" xfId="6"/>
    <xf numFmtId="176" fontId="2" fillId="0" borderId="0" xfId="5" applyNumberFormat="1"/>
    <xf numFmtId="176" fontId="2" fillId="0" borderId="0" xfId="5" applyNumberFormat="1" applyAlignment="1">
      <alignment wrapText="1"/>
    </xf>
    <xf numFmtId="176" fontId="2" fillId="6" borderId="0" xfId="5" applyNumberFormat="1" applyFill="1"/>
    <xf numFmtId="176" fontId="0" fillId="0" borderId="0" xfId="7" applyNumberFormat="1" applyFont="1"/>
    <xf numFmtId="44" fontId="2" fillId="0" borderId="0" xfId="5" applyNumberFormat="1"/>
    <xf numFmtId="172" fontId="2" fillId="0" borderId="0" xfId="5" applyNumberFormat="1"/>
    <xf numFmtId="8" fontId="2" fillId="0" borderId="0" xfId="5" applyNumberFormat="1"/>
    <xf numFmtId="10" fontId="2" fillId="0" borderId="0" xfId="5" applyNumberFormat="1"/>
    <xf numFmtId="177" fontId="2" fillId="0" borderId="0" xfId="5" applyNumberFormat="1"/>
    <xf numFmtId="0" fontId="99" fillId="0" borderId="0" xfId="5" applyFont="1"/>
    <xf numFmtId="176" fontId="99" fillId="0" borderId="0" xfId="5" applyNumberFormat="1" applyFont="1"/>
    <xf numFmtId="0" fontId="100" fillId="6" borderId="79" xfId="5" applyFont="1" applyFill="1" applyBorder="1" applyAlignment="1">
      <alignment horizontal="left"/>
    </xf>
    <xf numFmtId="176" fontId="100" fillId="6" borderId="80" xfId="5" applyNumberFormat="1" applyFont="1" applyFill="1" applyBorder="1" applyAlignment="1">
      <alignment horizontal="right" wrapText="1"/>
    </xf>
    <xf numFmtId="0" fontId="100" fillId="6" borderId="79" xfId="5" applyFont="1" applyFill="1" applyBorder="1" applyAlignment="1">
      <alignment horizontal="left" indent="2"/>
    </xf>
    <xf numFmtId="0" fontId="100" fillId="0" borderId="79" xfId="5" applyFont="1" applyBorder="1" applyAlignment="1">
      <alignment horizontal="left"/>
    </xf>
    <xf numFmtId="176" fontId="100" fillId="0" borderId="80" xfId="5" applyNumberFormat="1" applyFont="1" applyBorder="1" applyAlignment="1">
      <alignment horizontal="right" wrapText="1"/>
    </xf>
    <xf numFmtId="176" fontId="100" fillId="6" borderId="0" xfId="5" applyNumberFormat="1" applyFont="1" applyFill="1" applyAlignment="1">
      <alignment horizontal="right" wrapText="1"/>
    </xf>
    <xf numFmtId="0" fontId="101" fillId="6" borderId="81" xfId="5" applyFont="1" applyFill="1" applyBorder="1" applyAlignment="1">
      <alignment horizontal="left"/>
    </xf>
    <xf numFmtId="0" fontId="62" fillId="6" borderId="79" xfId="5" applyFont="1" applyFill="1" applyBorder="1" applyAlignment="1">
      <alignment horizontal="left"/>
    </xf>
    <xf numFmtId="0" fontId="100" fillId="13" borderId="79" xfId="5" applyFont="1" applyFill="1" applyBorder="1" applyAlignment="1">
      <alignment horizontal="left"/>
    </xf>
    <xf numFmtId="176" fontId="100" fillId="13" borderId="80" xfId="5" applyNumberFormat="1" applyFont="1" applyFill="1" applyBorder="1" applyAlignment="1">
      <alignment horizontal="right" wrapText="1"/>
    </xf>
    <xf numFmtId="41" fontId="100" fillId="13" borderId="80" xfId="5" applyNumberFormat="1" applyFont="1" applyFill="1" applyBorder="1" applyAlignment="1">
      <alignment horizontal="right" wrapText="1"/>
    </xf>
    <xf numFmtId="0" fontId="100" fillId="14" borderId="0" xfId="5" applyFont="1" applyFill="1" applyAlignment="1">
      <alignment horizontal="left" wrapText="1"/>
    </xf>
    <xf numFmtId="0" fontId="100" fillId="14" borderId="0" xfId="5" applyFont="1" applyFill="1" applyAlignment="1">
      <alignment horizontal="left"/>
    </xf>
    <xf numFmtId="0" fontId="100" fillId="0" borderId="0" xfId="5" applyFont="1"/>
    <xf numFmtId="0" fontId="2" fillId="0" borderId="29" xfId="5" applyBorder="1"/>
    <xf numFmtId="0" fontId="102" fillId="0" borderId="0" xfId="5" applyFont="1"/>
    <xf numFmtId="0" fontId="103" fillId="15" borderId="82" xfId="5" applyFont="1" applyFill="1" applyBorder="1" applyAlignment="1">
      <alignment horizontal="center"/>
    </xf>
    <xf numFmtId="0" fontId="103" fillId="15" borderId="82" xfId="5" applyFont="1" applyFill="1" applyBorder="1" applyAlignment="1">
      <alignment horizontal="right"/>
    </xf>
    <xf numFmtId="0" fontId="104" fillId="16" borderId="83" xfId="5" applyFont="1" applyFill="1" applyBorder="1" applyAlignment="1">
      <alignment horizontal="left"/>
    </xf>
    <xf numFmtId="0" fontId="105" fillId="17" borderId="84" xfId="5" applyFont="1" applyFill="1" applyBorder="1" applyAlignment="1">
      <alignment horizontal="center" vertical="top"/>
    </xf>
    <xf numFmtId="0" fontId="106" fillId="18" borderId="84" xfId="5" applyFont="1" applyFill="1" applyBorder="1" applyAlignment="1">
      <alignment horizontal="center" vertical="top"/>
    </xf>
    <xf numFmtId="0" fontId="107" fillId="19" borderId="84" xfId="5" applyFont="1" applyFill="1" applyBorder="1" applyAlignment="1">
      <alignment horizontal="center" vertical="top"/>
    </xf>
    <xf numFmtId="0" fontId="107" fillId="20" borderId="84" xfId="5" applyFont="1" applyFill="1" applyBorder="1" applyAlignment="1">
      <alignment horizontal="center" vertical="top"/>
    </xf>
    <xf numFmtId="0" fontId="108" fillId="21" borderId="84" xfId="5" applyFont="1" applyFill="1" applyBorder="1" applyAlignment="1">
      <alignment horizontal="center" vertical="top"/>
    </xf>
    <xf numFmtId="0" fontId="108" fillId="22" borderId="84" xfId="5" applyFont="1" applyFill="1" applyBorder="1" applyAlignment="1">
      <alignment horizontal="center" vertical="top"/>
    </xf>
    <xf numFmtId="0" fontId="100" fillId="23" borderId="79" xfId="5" applyFont="1" applyFill="1" applyBorder="1"/>
    <xf numFmtId="0" fontId="100" fillId="23" borderId="80" xfId="5" applyFont="1" applyFill="1" applyBorder="1" applyAlignment="1">
      <alignment horizontal="right" wrapText="1"/>
    </xf>
    <xf numFmtId="0" fontId="100" fillId="18" borderId="79" xfId="5" applyFont="1" applyFill="1" applyBorder="1" applyAlignment="1">
      <alignment horizontal="left"/>
    </xf>
    <xf numFmtId="38" fontId="100" fillId="24" borderId="80" xfId="5" applyNumberFormat="1" applyFont="1" applyFill="1" applyBorder="1" applyAlignment="1">
      <alignment horizontal="right" wrapText="1"/>
    </xf>
    <xf numFmtId="178" fontId="100" fillId="0" borderId="80" xfId="5" applyNumberFormat="1" applyFont="1" applyBorder="1" applyAlignment="1">
      <alignment horizontal="right"/>
    </xf>
    <xf numFmtId="40" fontId="100" fillId="0" borderId="80" xfId="5" applyNumberFormat="1" applyFont="1" applyBorder="1" applyAlignment="1">
      <alignment horizontal="right"/>
    </xf>
    <xf numFmtId="179" fontId="100" fillId="0" borderId="80" xfId="5" applyNumberFormat="1" applyFont="1" applyBorder="1" applyAlignment="1">
      <alignment horizontal="right"/>
    </xf>
    <xf numFmtId="38" fontId="109" fillId="24" borderId="80" xfId="5" applyNumberFormat="1" applyFont="1" applyFill="1" applyBorder="1" applyAlignment="1">
      <alignment horizontal="right" wrapText="1"/>
    </xf>
    <xf numFmtId="8" fontId="100" fillId="0" borderId="0" xfId="5" applyNumberFormat="1" applyFont="1"/>
    <xf numFmtId="0" fontId="44" fillId="0" borderId="0" xfId="0" applyFont="1"/>
    <xf numFmtId="0" fontId="42" fillId="7" borderId="60" xfId="0" applyFont="1" applyFill="1" applyBorder="1" applyAlignment="1">
      <alignment horizontal="center"/>
    </xf>
    <xf numFmtId="0" fontId="42" fillId="7" borderId="61" xfId="0" applyFont="1" applyFill="1" applyBorder="1" applyAlignment="1">
      <alignment horizontal="center"/>
    </xf>
    <xf numFmtId="0" fontId="42" fillId="7" borderId="62" xfId="0" applyFont="1" applyFill="1" applyBorder="1" applyAlignment="1">
      <alignment horizontal="center"/>
    </xf>
    <xf numFmtId="0" fontId="42" fillId="0" borderId="7" xfId="0" applyFont="1" applyBorder="1" applyAlignment="1">
      <alignment horizontal="left"/>
    </xf>
    <xf numFmtId="0" fontId="42" fillId="0" borderId="16" xfId="0" applyFont="1" applyBorder="1" applyAlignment="1">
      <alignment horizontal="left"/>
    </xf>
    <xf numFmtId="0" fontId="42" fillId="0" borderId="17" xfId="0" applyFont="1" applyBorder="1" applyAlignment="1">
      <alignment horizontal="left"/>
    </xf>
    <xf numFmtId="0" fontId="70" fillId="0" borderId="28" xfId="0" applyFont="1" applyBorder="1" applyAlignment="1">
      <alignment horizontal="center" wrapText="1"/>
    </xf>
    <xf numFmtId="0" fontId="70" fillId="0" borderId="18" xfId="0" applyFont="1" applyBorder="1" applyAlignment="1">
      <alignment horizontal="center" wrapText="1"/>
    </xf>
    <xf numFmtId="0" fontId="43" fillId="0" borderId="1" xfId="0" applyFont="1" applyBorder="1" applyAlignment="1">
      <alignment horizontal="center"/>
    </xf>
    <xf numFmtId="0" fontId="43" fillId="0" borderId="63" xfId="0" applyFont="1" applyBorder="1" applyAlignment="1">
      <alignment horizontal="center"/>
    </xf>
    <xf numFmtId="0" fontId="42" fillId="0" borderId="52" xfId="0" applyFont="1" applyBorder="1" applyAlignment="1">
      <alignment horizontal="center"/>
    </xf>
    <xf numFmtId="0" fontId="42" fillId="0" borderId="53" xfId="0" applyFont="1" applyBorder="1" applyAlignment="1">
      <alignment horizontal="center"/>
    </xf>
    <xf numFmtId="0" fontId="42" fillId="0" borderId="54" xfId="0" applyFont="1" applyBorder="1" applyAlignment="1">
      <alignment horizontal="center"/>
    </xf>
    <xf numFmtId="2" fontId="41" fillId="4" borderId="51" xfId="0" applyNumberFormat="1" applyFont="1" applyFill="1" applyBorder="1" applyAlignment="1">
      <alignment horizontal="center" vertical="center"/>
    </xf>
    <xf numFmtId="0" fontId="92" fillId="7" borderId="7" xfId="4" applyFont="1" applyFill="1" applyBorder="1" applyAlignment="1">
      <alignment horizontal="left" vertical="top" wrapText="1"/>
    </xf>
    <xf numFmtId="0" fontId="92" fillId="7" borderId="16" xfId="4" applyFont="1" applyFill="1" applyBorder="1" applyAlignment="1">
      <alignment horizontal="left" vertical="top" wrapText="1"/>
    </xf>
    <xf numFmtId="0" fontId="92" fillId="7" borderId="17" xfId="4" applyFont="1" applyFill="1" applyBorder="1" applyAlignment="1">
      <alignment horizontal="left" vertical="top" wrapText="1"/>
    </xf>
    <xf numFmtId="0" fontId="92" fillId="7" borderId="30" xfId="4" applyFont="1" applyFill="1" applyBorder="1" applyAlignment="1">
      <alignment horizontal="left" vertical="top" wrapText="1"/>
    </xf>
    <xf numFmtId="0" fontId="92" fillId="7" borderId="0" xfId="4" applyFont="1" applyFill="1" applyBorder="1" applyAlignment="1">
      <alignment horizontal="left" vertical="top" wrapText="1"/>
    </xf>
    <xf numFmtId="0" fontId="92" fillId="7" borderId="18" xfId="4" applyFont="1" applyFill="1" applyBorder="1" applyAlignment="1">
      <alignment horizontal="left" vertical="top" wrapText="1"/>
    </xf>
    <xf numFmtId="0" fontId="92" fillId="7" borderId="39" xfId="4" applyFont="1" applyFill="1" applyBorder="1" applyAlignment="1">
      <alignment horizontal="left" vertical="top" wrapText="1"/>
    </xf>
    <xf numFmtId="0" fontId="92" fillId="7" borderId="31" xfId="4" applyFont="1" applyFill="1" applyBorder="1" applyAlignment="1">
      <alignment horizontal="left" vertical="top" wrapText="1"/>
    </xf>
    <xf numFmtId="0" fontId="92" fillId="7" borderId="32" xfId="4" applyFont="1" applyFill="1" applyBorder="1" applyAlignment="1">
      <alignment horizontal="left" vertical="top" wrapText="1"/>
    </xf>
    <xf numFmtId="0" fontId="76" fillId="9" borderId="0" xfId="0" applyFont="1" applyFill="1" applyAlignment="1">
      <alignment horizontal="left" vertical="top" wrapText="1"/>
    </xf>
    <xf numFmtId="0" fontId="61" fillId="0" borderId="35" xfId="0" applyFont="1" applyBorder="1" applyAlignment="1">
      <alignment horizontal="left"/>
    </xf>
    <xf numFmtId="0" fontId="61" fillId="0" borderId="5" xfId="0" applyFont="1" applyBorder="1" applyAlignment="1">
      <alignment horizontal="left"/>
    </xf>
    <xf numFmtId="0" fontId="61" fillId="0" borderId="44" xfId="0" applyFont="1" applyBorder="1" applyAlignment="1">
      <alignment horizontal="right"/>
    </xf>
    <xf numFmtId="0" fontId="61" fillId="0" borderId="12" xfId="0" applyFont="1" applyBorder="1" applyAlignment="1">
      <alignment horizontal="left"/>
    </xf>
    <xf numFmtId="0" fontId="61" fillId="0" borderId="1" xfId="0" applyFont="1" applyBorder="1" applyAlignment="1">
      <alignment horizontal="left"/>
    </xf>
    <xf numFmtId="0" fontId="61" fillId="0" borderId="6" xfId="0" applyFont="1" applyBorder="1" applyAlignment="1">
      <alignment horizontal="left"/>
    </xf>
    <xf numFmtId="0" fontId="64" fillId="0" borderId="6" xfId="0" applyFont="1" applyBorder="1" applyAlignment="1">
      <alignment horizontal="center"/>
    </xf>
    <xf numFmtId="0" fontId="64" fillId="0" borderId="5" xfId="0" applyFont="1" applyBorder="1" applyAlignment="1">
      <alignment horizontal="center"/>
    </xf>
    <xf numFmtId="0" fontId="64" fillId="0" borderId="13" xfId="0" applyFont="1" applyBorder="1" applyAlignment="1">
      <alignment horizontal="center"/>
    </xf>
    <xf numFmtId="0" fontId="61" fillId="0" borderId="45" xfId="0" applyFont="1" applyBorder="1" applyAlignment="1">
      <alignment horizontal="left"/>
    </xf>
    <xf numFmtId="0" fontId="61" fillId="0" borderId="46" xfId="0" applyFont="1" applyBorder="1" applyAlignment="1">
      <alignment horizontal="left"/>
    </xf>
    <xf numFmtId="0" fontId="67" fillId="7" borderId="26" xfId="0" applyFont="1" applyFill="1" applyBorder="1" applyAlignment="1">
      <alignment horizontal="left" vertical="top" wrapText="1"/>
    </xf>
    <xf numFmtId="0" fontId="67" fillId="7" borderId="27" xfId="0" applyFont="1" applyFill="1" applyBorder="1" applyAlignment="1">
      <alignment horizontal="left" vertical="top" wrapText="1"/>
    </xf>
    <xf numFmtId="0" fontId="67" fillId="7" borderId="20" xfId="0" applyFont="1" applyFill="1" applyBorder="1" applyAlignment="1">
      <alignment horizontal="left" vertical="top" wrapText="1"/>
    </xf>
    <xf numFmtId="0" fontId="67" fillId="7" borderId="28" xfId="0" applyFont="1" applyFill="1" applyBorder="1" applyAlignment="1">
      <alignment horizontal="left" vertical="top" wrapText="1"/>
    </xf>
    <xf numFmtId="0" fontId="67" fillId="7" borderId="0" xfId="0" applyFont="1" applyFill="1" applyAlignment="1">
      <alignment horizontal="left" vertical="top" wrapText="1"/>
    </xf>
    <xf numFmtId="0" fontId="67" fillId="7" borderId="29" xfId="0" applyFont="1" applyFill="1" applyBorder="1" applyAlignment="1">
      <alignment horizontal="left" vertical="top" wrapText="1"/>
    </xf>
    <xf numFmtId="0" fontId="67" fillId="7" borderId="47" xfId="0" applyFont="1" applyFill="1" applyBorder="1" applyAlignment="1">
      <alignment horizontal="left" vertical="top" wrapText="1"/>
    </xf>
    <xf numFmtId="0" fontId="67" fillId="7" borderId="25" xfId="0" applyFont="1" applyFill="1" applyBorder="1" applyAlignment="1">
      <alignment horizontal="left" vertical="top" wrapText="1"/>
    </xf>
    <xf numFmtId="0" fontId="67" fillId="7" borderId="38" xfId="0" applyFont="1" applyFill="1" applyBorder="1" applyAlignment="1">
      <alignment horizontal="left" vertical="top" wrapText="1"/>
    </xf>
    <xf numFmtId="0" fontId="78" fillId="0" borderId="26" xfId="0" applyFont="1" applyBorder="1" applyAlignment="1">
      <alignment horizontal="left" wrapText="1"/>
    </xf>
    <xf numFmtId="0" fontId="79" fillId="0" borderId="27" xfId="0" applyFont="1" applyBorder="1" applyAlignment="1">
      <alignment horizontal="left" wrapText="1"/>
    </xf>
    <xf numFmtId="0" fontId="79" fillId="0" borderId="20" xfId="0" applyFont="1" applyBorder="1" applyAlignment="1">
      <alignment horizontal="left" wrapText="1"/>
    </xf>
    <xf numFmtId="0" fontId="79" fillId="0" borderId="28" xfId="0" applyFont="1" applyBorder="1" applyAlignment="1">
      <alignment horizontal="left" wrapText="1"/>
    </xf>
    <xf numFmtId="0" fontId="79" fillId="0" borderId="0" xfId="0" applyFont="1" applyAlignment="1">
      <alignment horizontal="left" wrapText="1"/>
    </xf>
    <xf numFmtId="0" fontId="79" fillId="0" borderId="29" xfId="0" applyFont="1" applyBorder="1" applyAlignment="1">
      <alignment horizontal="left" wrapText="1"/>
    </xf>
    <xf numFmtId="0" fontId="79" fillId="0" borderId="47" xfId="0" applyFont="1" applyBorder="1" applyAlignment="1">
      <alignment horizontal="left" wrapText="1"/>
    </xf>
    <xf numFmtId="0" fontId="79" fillId="0" borderId="25" xfId="0" applyFont="1" applyBorder="1" applyAlignment="1">
      <alignment horizontal="left" wrapText="1"/>
    </xf>
    <xf numFmtId="0" fontId="79" fillId="0" borderId="38" xfId="0" applyFont="1" applyBorder="1" applyAlignment="1">
      <alignment horizontal="left" wrapText="1"/>
    </xf>
    <xf numFmtId="0" fontId="68" fillId="0" borderId="26" xfId="0" applyFont="1" applyBorder="1" applyAlignment="1">
      <alignment horizontal="left" vertical="center" wrapText="1"/>
    </xf>
    <xf numFmtId="0" fontId="68" fillId="0" borderId="27" xfId="0" applyFont="1" applyBorder="1" applyAlignment="1">
      <alignment horizontal="left" vertical="center" wrapText="1"/>
    </xf>
    <xf numFmtId="0" fontId="68" fillId="0" borderId="20" xfId="0" applyFont="1" applyBorder="1" applyAlignment="1">
      <alignment horizontal="left" vertical="center" wrapText="1"/>
    </xf>
    <xf numFmtId="0" fontId="68" fillId="0" borderId="28" xfId="0" applyFont="1" applyBorder="1" applyAlignment="1">
      <alignment horizontal="left" vertical="center" wrapText="1"/>
    </xf>
    <xf numFmtId="0" fontId="68" fillId="0" borderId="0" xfId="0" applyFont="1" applyAlignment="1">
      <alignment horizontal="left" vertical="center" wrapText="1"/>
    </xf>
    <xf numFmtId="0" fontId="68" fillId="0" borderId="29" xfId="0" applyFont="1" applyBorder="1" applyAlignment="1">
      <alignment horizontal="left" vertical="center" wrapText="1"/>
    </xf>
    <xf numFmtId="0" fontId="68" fillId="0" borderId="47" xfId="0" applyFont="1" applyBorder="1" applyAlignment="1">
      <alignment horizontal="left" vertical="center" wrapText="1"/>
    </xf>
    <xf numFmtId="0" fontId="68" fillId="0" borderId="25" xfId="0" applyFont="1" applyBorder="1" applyAlignment="1">
      <alignment horizontal="left" vertical="center" wrapText="1"/>
    </xf>
    <xf numFmtId="0" fontId="68" fillId="0" borderId="38" xfId="0" applyFont="1" applyBorder="1" applyAlignment="1">
      <alignment horizontal="left" vertical="center" wrapText="1"/>
    </xf>
    <xf numFmtId="0" fontId="80" fillId="0" borderId="26" xfId="0" applyFont="1" applyBorder="1" applyAlignment="1">
      <alignment horizontal="left" vertical="center" wrapText="1"/>
    </xf>
    <xf numFmtId="0" fontId="61" fillId="0" borderId="27" xfId="0" applyFont="1" applyBorder="1" applyAlignment="1">
      <alignment horizontal="left" vertical="center" wrapText="1"/>
    </xf>
    <xf numFmtId="0" fontId="61" fillId="0" borderId="20" xfId="0" applyFont="1" applyBorder="1" applyAlignment="1">
      <alignment horizontal="left" vertical="center" wrapText="1"/>
    </xf>
    <xf numFmtId="0" fontId="61" fillId="0" borderId="28" xfId="0" applyFont="1" applyBorder="1" applyAlignment="1">
      <alignment horizontal="left" vertical="center" wrapText="1"/>
    </xf>
    <xf numFmtId="0" fontId="61" fillId="0" borderId="0" xfId="0" applyFont="1" applyAlignment="1">
      <alignment horizontal="left" vertical="center" wrapText="1"/>
    </xf>
    <xf numFmtId="0" fontId="61" fillId="0" borderId="29" xfId="0" applyFont="1" applyBorder="1" applyAlignment="1">
      <alignment horizontal="left" vertical="center" wrapText="1"/>
    </xf>
    <xf numFmtId="0" fontId="61" fillId="0" borderId="47" xfId="0" applyFont="1" applyBorder="1" applyAlignment="1">
      <alignment horizontal="left" vertical="center" wrapText="1"/>
    </xf>
    <xf numFmtId="0" fontId="61" fillId="0" borderId="25" xfId="0" applyFont="1" applyBorder="1" applyAlignment="1">
      <alignment horizontal="left" vertical="center" wrapText="1"/>
    </xf>
    <xf numFmtId="0" fontId="61" fillId="0" borderId="38" xfId="0" applyFont="1" applyBorder="1" applyAlignment="1">
      <alignment horizontal="left" vertical="center" wrapText="1"/>
    </xf>
    <xf numFmtId="0" fontId="68" fillId="0" borderId="30" xfId="0" applyFont="1" applyBorder="1" applyAlignment="1">
      <alignment horizontal="left" vertical="center" wrapText="1"/>
    </xf>
    <xf numFmtId="168" fontId="61" fillId="7" borderId="5" xfId="2" applyNumberFormat="1" applyFont="1" applyFill="1" applyBorder="1" applyAlignment="1">
      <alignment horizontal="right"/>
    </xf>
    <xf numFmtId="10" fontId="61" fillId="7" borderId="6" xfId="3" applyNumberFormat="1" applyFont="1" applyFill="1" applyBorder="1" applyAlignment="1">
      <alignment horizontal="center"/>
    </xf>
    <xf numFmtId="10" fontId="61" fillId="7" borderId="13" xfId="3" applyNumberFormat="1" applyFont="1" applyFill="1" applyBorder="1" applyAlignment="1">
      <alignment horizontal="center"/>
    </xf>
    <xf numFmtId="0" fontId="81" fillId="7" borderId="1" xfId="0" applyFont="1" applyFill="1" applyBorder="1" applyAlignment="1">
      <alignment horizontal="center"/>
    </xf>
    <xf numFmtId="0" fontId="81" fillId="0" borderId="6" xfId="0" applyFont="1" applyBorder="1" applyAlignment="1">
      <alignment horizontal="center"/>
    </xf>
    <xf numFmtId="0" fontId="81" fillId="0" borderId="5" xfId="0" applyFont="1" applyBorder="1" applyAlignment="1">
      <alignment horizontal="center"/>
    </xf>
    <xf numFmtId="0" fontId="81" fillId="0" borderId="13" xfId="0" applyFont="1" applyBorder="1" applyAlignment="1">
      <alignment horizontal="center"/>
    </xf>
    <xf numFmtId="0" fontId="81" fillId="0" borderId="48" xfId="0" applyFont="1" applyBorder="1" applyAlignment="1">
      <alignment horizontal="center"/>
    </xf>
    <xf numFmtId="0" fontId="61" fillId="0" borderId="14" xfId="0" applyFont="1" applyBorder="1" applyAlignment="1">
      <alignment horizontal="left"/>
    </xf>
    <xf numFmtId="0" fontId="61" fillId="0" borderId="15" xfId="0" applyFont="1" applyBorder="1" applyAlignment="1">
      <alignment horizontal="left"/>
    </xf>
    <xf numFmtId="0" fontId="61" fillId="0" borderId="21" xfId="0" applyFont="1" applyBorder="1" applyAlignment="1">
      <alignment horizontal="left"/>
    </xf>
    <xf numFmtId="0" fontId="50" fillId="0" borderId="7" xfId="0" applyFont="1" applyBorder="1" applyAlignment="1">
      <alignment horizontal="center"/>
    </xf>
    <xf numFmtId="0" fontId="50" fillId="0" borderId="17" xfId="0" applyFont="1" applyBorder="1" applyAlignment="1">
      <alignment horizontal="center"/>
    </xf>
    <xf numFmtId="0" fontId="50" fillId="0" borderId="16" xfId="0" applyFont="1" applyBorder="1" applyAlignment="1">
      <alignment horizontal="center"/>
    </xf>
    <xf numFmtId="0" fontId="52" fillId="7" borderId="1" xfId="0" applyFont="1" applyFill="1" applyBorder="1" applyAlignment="1">
      <alignment horizontal="left" vertical="top" wrapText="1"/>
    </xf>
    <xf numFmtId="0" fontId="52" fillId="7" borderId="65" xfId="0" applyFont="1" applyFill="1" applyBorder="1" applyAlignment="1">
      <alignment horizontal="left" vertical="top" wrapText="1"/>
    </xf>
    <xf numFmtId="0" fontId="50" fillId="0" borderId="74" xfId="0" applyFont="1" applyBorder="1" applyAlignment="1">
      <alignment horizontal="center"/>
    </xf>
    <xf numFmtId="0" fontId="50" fillId="0" borderId="49" xfId="0" applyFont="1" applyBorder="1" applyAlignment="1">
      <alignment horizontal="center"/>
    </xf>
    <xf numFmtId="0" fontId="50" fillId="0" borderId="50" xfId="0" applyFont="1" applyBorder="1" applyAlignment="1">
      <alignment horizontal="center"/>
    </xf>
    <xf numFmtId="17" fontId="50" fillId="0" borderId="72" xfId="0" applyNumberFormat="1" applyFont="1" applyBorder="1" applyAlignment="1">
      <alignment horizontal="center"/>
    </xf>
    <xf numFmtId="0" fontId="50" fillId="0" borderId="73" xfId="0" applyFont="1" applyBorder="1" applyAlignment="1">
      <alignment horizontal="center"/>
    </xf>
    <xf numFmtId="0" fontId="52" fillId="7" borderId="26" xfId="0" applyFont="1" applyFill="1" applyBorder="1" applyAlignment="1">
      <alignment horizontal="left" vertical="top" wrapText="1"/>
    </xf>
    <xf numFmtId="0" fontId="52" fillId="7" borderId="20" xfId="0" applyFont="1" applyFill="1" applyBorder="1" applyAlignment="1">
      <alignment horizontal="left" vertical="top" wrapText="1"/>
    </xf>
    <xf numFmtId="0" fontId="52" fillId="7" borderId="28" xfId="0" applyFont="1" applyFill="1" applyBorder="1" applyAlignment="1">
      <alignment horizontal="left" vertical="top" wrapText="1"/>
    </xf>
    <xf numFmtId="0" fontId="52" fillId="7" borderId="29" xfId="0" applyFont="1" applyFill="1" applyBorder="1" applyAlignment="1">
      <alignment horizontal="left" vertical="top" wrapText="1"/>
    </xf>
    <xf numFmtId="0" fontId="52" fillId="7" borderId="47" xfId="0" applyFont="1" applyFill="1" applyBorder="1" applyAlignment="1">
      <alignment horizontal="left" vertical="top" wrapText="1"/>
    </xf>
    <xf numFmtId="0" fontId="52" fillId="7" borderId="38" xfId="0" applyFont="1" applyFill="1" applyBorder="1" applyAlignment="1">
      <alignment horizontal="left" vertical="top" wrapText="1"/>
    </xf>
    <xf numFmtId="0" fontId="47" fillId="0" borderId="69" xfId="0" applyFont="1" applyBorder="1" applyAlignment="1">
      <alignment horizontal="center"/>
    </xf>
    <xf numFmtId="0" fontId="47" fillId="0" borderId="70" xfId="0" applyFont="1" applyBorder="1" applyAlignment="1">
      <alignment horizontal="center"/>
    </xf>
    <xf numFmtId="0" fontId="47" fillId="0" borderId="71" xfId="0" applyFont="1" applyBorder="1" applyAlignment="1">
      <alignment horizontal="center"/>
    </xf>
    <xf numFmtId="0" fontId="57" fillId="0" borderId="1" xfId="0" applyFont="1" applyBorder="1" applyAlignment="1">
      <alignment horizontal="center"/>
    </xf>
    <xf numFmtId="0" fontId="57" fillId="0" borderId="63" xfId="0" applyFont="1" applyBorder="1" applyAlignment="1">
      <alignment horizontal="center"/>
    </xf>
    <xf numFmtId="10" fontId="82" fillId="0" borderId="43" xfId="0" applyNumberFormat="1" applyFont="1" applyBorder="1" applyAlignment="1">
      <alignment horizontal="center"/>
    </xf>
    <xf numFmtId="10" fontId="82" fillId="0" borderId="22" xfId="0" applyNumberFormat="1" applyFont="1" applyBorder="1" applyAlignment="1">
      <alignment horizontal="center"/>
    </xf>
    <xf numFmtId="0" fontId="48" fillId="0" borderId="16" xfId="0" applyFont="1" applyBorder="1" applyAlignment="1">
      <alignment horizontal="center"/>
    </xf>
    <xf numFmtId="0" fontId="48" fillId="0" borderId="17" xfId="0" applyFont="1" applyBorder="1" applyAlignment="1">
      <alignment horizontal="center"/>
    </xf>
    <xf numFmtId="0" fontId="54" fillId="7" borderId="30" xfId="0" applyFont="1" applyFill="1" applyBorder="1" applyAlignment="1">
      <alignment horizontal="left" vertical="top" wrapText="1"/>
    </xf>
    <xf numFmtId="0" fontId="54" fillId="7" borderId="0" xfId="0" applyFont="1" applyFill="1" applyAlignment="1">
      <alignment horizontal="left" vertical="top" wrapText="1"/>
    </xf>
    <xf numFmtId="0" fontId="47" fillId="7" borderId="43" xfId="0" applyFont="1" applyFill="1" applyBorder="1" applyAlignment="1">
      <alignment horizontal="center"/>
    </xf>
    <xf numFmtId="0" fontId="47" fillId="7" borderId="44" xfId="0" applyFont="1" applyFill="1" applyBorder="1" applyAlignment="1">
      <alignment horizontal="center"/>
    </xf>
    <xf numFmtId="0" fontId="47" fillId="7" borderId="22" xfId="0" applyFont="1" applyFill="1" applyBorder="1" applyAlignment="1">
      <alignment horizontal="center"/>
    </xf>
    <xf numFmtId="0" fontId="40" fillId="7" borderId="7" xfId="0" applyFont="1" applyFill="1" applyBorder="1" applyAlignment="1">
      <alignment horizontal="left" wrapText="1"/>
    </xf>
    <xf numFmtId="0" fontId="40" fillId="7" borderId="16" xfId="0" applyFont="1" applyFill="1" applyBorder="1" applyAlignment="1">
      <alignment horizontal="left" wrapText="1"/>
    </xf>
    <xf numFmtId="0" fontId="40" fillId="7" borderId="17" xfId="0" applyFont="1" applyFill="1" applyBorder="1" applyAlignment="1">
      <alignment horizontal="left" wrapText="1"/>
    </xf>
    <xf numFmtId="0" fontId="40" fillId="7" borderId="39" xfId="0" applyFont="1" applyFill="1" applyBorder="1" applyAlignment="1">
      <alignment horizontal="left" wrapText="1"/>
    </xf>
    <xf numFmtId="0" fontId="40" fillId="7" borderId="31" xfId="0" applyFont="1" applyFill="1" applyBorder="1" applyAlignment="1">
      <alignment horizontal="left" wrapText="1"/>
    </xf>
    <xf numFmtId="0" fontId="40" fillId="7" borderId="32" xfId="0" applyFont="1" applyFill="1" applyBorder="1" applyAlignment="1">
      <alignment horizontal="left"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6" fillId="7" borderId="7" xfId="0" applyFont="1" applyFill="1" applyBorder="1" applyAlignment="1">
      <alignment horizontal="left" vertical="top" wrapText="1"/>
    </xf>
    <xf numFmtId="0" fontId="36" fillId="7" borderId="16" xfId="0" applyFont="1" applyFill="1" applyBorder="1" applyAlignment="1">
      <alignment horizontal="left" vertical="top" wrapText="1"/>
    </xf>
    <xf numFmtId="0" fontId="36" fillId="7" borderId="17" xfId="0" applyFont="1" applyFill="1" applyBorder="1" applyAlignment="1">
      <alignment horizontal="left" vertical="top" wrapText="1"/>
    </xf>
    <xf numFmtId="0" fontId="36" fillId="7" borderId="30" xfId="0" applyFont="1" applyFill="1" applyBorder="1" applyAlignment="1">
      <alignment horizontal="left" vertical="top" wrapText="1"/>
    </xf>
    <xf numFmtId="0" fontId="36" fillId="7" borderId="0" xfId="0" applyFont="1" applyFill="1" applyAlignment="1">
      <alignment horizontal="left" vertical="top" wrapText="1"/>
    </xf>
    <xf numFmtId="0" fontId="36" fillId="7" borderId="18" xfId="0" applyFont="1" applyFill="1" applyBorder="1" applyAlignment="1">
      <alignment horizontal="left" vertical="top" wrapText="1"/>
    </xf>
    <xf numFmtId="0" fontId="36" fillId="7" borderId="39" xfId="0" applyFont="1" applyFill="1" applyBorder="1" applyAlignment="1">
      <alignment horizontal="left" vertical="top" wrapText="1"/>
    </xf>
    <xf numFmtId="0" fontId="36" fillId="7" borderId="31" xfId="0" applyFont="1" applyFill="1" applyBorder="1" applyAlignment="1">
      <alignment horizontal="left" vertical="top" wrapText="1"/>
    </xf>
    <xf numFmtId="0" fontId="36"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3" fillId="11" borderId="0" xfId="0" applyFont="1" applyFill="1" applyAlignment="1">
      <alignment horizontal="center" vertical="center" wrapText="1"/>
    </xf>
    <xf numFmtId="0" fontId="4" fillId="7" borderId="1" xfId="0" applyFont="1" applyFill="1" applyBorder="1" applyAlignment="1">
      <alignment horizontal="left" vertical="top" wrapText="1"/>
    </xf>
    <xf numFmtId="0" fontId="25" fillId="0" borderId="27" xfId="0" applyFont="1" applyBorder="1" applyAlignment="1">
      <alignment horizontal="center"/>
    </xf>
    <xf numFmtId="0" fontId="37" fillId="0" borderId="43" xfId="0" applyFont="1" applyBorder="1" applyAlignment="1">
      <alignment horizontal="center"/>
    </xf>
    <xf numFmtId="0" fontId="37" fillId="0" borderId="44" xfId="0" applyFont="1" applyBorder="1" applyAlignment="1">
      <alignment horizontal="center"/>
    </xf>
    <xf numFmtId="0" fontId="37" fillId="0" borderId="22" xfId="0" applyFont="1" applyBorder="1" applyAlignment="1">
      <alignment horizontal="center"/>
    </xf>
    <xf numFmtId="0" fontId="27" fillId="0" borderId="43" xfId="0" applyFont="1" applyBorder="1" applyAlignment="1">
      <alignment horizontal="center"/>
    </xf>
    <xf numFmtId="0" fontId="27" fillId="0" borderId="44" xfId="0" applyFont="1" applyBorder="1" applyAlignment="1">
      <alignment horizontal="center"/>
    </xf>
    <xf numFmtId="0" fontId="27" fillId="0" borderId="22" xfId="0" applyFont="1" applyBorder="1" applyAlignment="1">
      <alignment horizontal="center"/>
    </xf>
    <xf numFmtId="0" fontId="27" fillId="0" borderId="16" xfId="0" applyFont="1" applyBorder="1" applyAlignment="1">
      <alignment horizontal="center"/>
    </xf>
    <xf numFmtId="0" fontId="28" fillId="7" borderId="43" xfId="0" applyFont="1" applyFill="1" applyBorder="1" applyAlignment="1">
      <alignment horizontal="center"/>
    </xf>
    <xf numFmtId="0" fontId="28" fillId="7" borderId="44" xfId="0" applyFont="1" applyFill="1" applyBorder="1" applyAlignment="1">
      <alignment horizontal="center"/>
    </xf>
    <xf numFmtId="0" fontId="28" fillId="7" borderId="22" xfId="0" applyFont="1" applyFill="1" applyBorder="1" applyAlignment="1">
      <alignment horizontal="center"/>
    </xf>
    <xf numFmtId="0" fontId="83" fillId="0" borderId="3" xfId="0" applyFont="1" applyBorder="1" applyAlignment="1">
      <alignment horizontal="center" vertical="center" textRotation="90" wrapText="1"/>
    </xf>
    <xf numFmtId="0" fontId="83" fillId="0" borderId="48" xfId="0" applyFont="1" applyBorder="1" applyAlignment="1">
      <alignment horizontal="center" vertical="center" textRotation="90" wrapText="1"/>
    </xf>
    <xf numFmtId="0" fontId="83" fillId="0" borderId="9" xfId="0" applyFont="1" applyBorder="1" applyAlignment="1">
      <alignment horizontal="center" vertical="center" textRotation="90" wrapText="1"/>
    </xf>
    <xf numFmtId="0" fontId="0" fillId="0" borderId="0" xfId="0" applyAlignment="1">
      <alignment horizontal="center"/>
    </xf>
    <xf numFmtId="0" fontId="63" fillId="0" borderId="25" xfId="0" applyFont="1" applyBorder="1" applyAlignment="1">
      <alignment horizontal="center"/>
    </xf>
    <xf numFmtId="2" fontId="63"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9"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1" fillId="0" borderId="0" xfId="5" applyFont="1"/>
  </cellXfs>
  <cellStyles count="8">
    <cellStyle name="Comma" xfId="1" builtinId="3"/>
    <cellStyle name="Currency" xfId="2" builtinId="4"/>
    <cellStyle name="Hyperlink" xfId="4" builtinId="8"/>
    <cellStyle name="Hyperlink 2" xfId="6" xr:uid="{851FE0BF-A73A-4E9B-8EB5-2F3DF6C35989}"/>
    <cellStyle name="Normal" xfId="0" builtinId="0"/>
    <cellStyle name="Normal 2" xfId="5" xr:uid="{26878DBF-2EA5-4806-BC96-35BCE3DB5AFE}"/>
    <cellStyle name="Percent" xfId="3" builtinId="5"/>
    <cellStyle name="Percent 2" xfId="7" xr:uid="{3B68F6F8-88C3-4DA6-BD98-68C08F530B64}"/>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12700</xdr:rowOff>
    </xdr:from>
    <xdr:to>
      <xdr:col>13</xdr:col>
      <xdr:colOff>685800</xdr:colOff>
      <xdr:row>16</xdr:row>
      <xdr:rowOff>152400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0" y="12700"/>
          <a:ext cx="31623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zoomScaleNormal="100" workbookViewId="0">
      <selection activeCell="B1" sqref="B1"/>
    </sheetView>
  </sheetViews>
  <sheetFormatPr defaultColWidth="10.85546875" defaultRowHeight="10.5"/>
  <cols>
    <col min="1" max="1" width="73.5703125" style="3" customWidth="1"/>
    <col min="2" max="2" width="26.42578125" style="3" customWidth="1"/>
    <col min="3" max="3" width="23.140625" style="3" customWidth="1"/>
    <col min="4" max="4" width="19.5703125" style="3" customWidth="1"/>
    <col min="5" max="7" width="10.85546875" style="3"/>
    <col min="8" max="8" width="11" style="3" bestFit="1" customWidth="1"/>
    <col min="9" max="9" width="21.85546875" style="3" customWidth="1"/>
    <col min="10" max="10" width="15" style="3" bestFit="1" customWidth="1"/>
    <col min="11" max="11" width="17.42578125" style="3" bestFit="1" customWidth="1"/>
    <col min="12" max="16384" width="10.85546875" style="3"/>
  </cols>
  <sheetData>
    <row r="1" spans="1:10" s="191" customFormat="1" ht="15">
      <c r="B1" s="228"/>
      <c r="C1" s="191" t="s">
        <v>747</v>
      </c>
      <c r="D1" s="229"/>
      <c r="E1" s="191" t="s">
        <v>748</v>
      </c>
    </row>
    <row r="2" spans="1:10" s="192" customFormat="1" ht="15.75"/>
    <row r="3" spans="1:10" s="192" customFormat="1" ht="15.75">
      <c r="A3" s="193" t="s">
        <v>364</v>
      </c>
      <c r="B3" s="194">
        <v>43861</v>
      </c>
      <c r="C3" s="397" t="s">
        <v>904</v>
      </c>
      <c r="D3" s="398"/>
      <c r="E3" s="398"/>
      <c r="F3" s="398"/>
      <c r="G3" s="398"/>
      <c r="H3" s="398"/>
      <c r="I3" s="398"/>
      <c r="J3" s="399"/>
    </row>
    <row r="4" spans="1:10" s="192" customFormat="1" ht="16.5" thickBot="1">
      <c r="A4" s="193" t="s">
        <v>28</v>
      </c>
      <c r="B4" s="407" t="s">
        <v>903</v>
      </c>
      <c r="C4" s="400" t="s">
        <v>90</v>
      </c>
      <c r="D4" s="401"/>
      <c r="E4" s="401"/>
      <c r="F4" s="401"/>
      <c r="G4" s="401"/>
      <c r="H4" s="401"/>
      <c r="I4" s="401"/>
      <c r="J4" s="402"/>
    </row>
    <row r="5" spans="1:10" s="192" customFormat="1" ht="16.5" thickBot="1">
      <c r="A5" s="550" t="s">
        <v>905</v>
      </c>
      <c r="B5" s="551"/>
      <c r="C5" s="551"/>
      <c r="D5" s="551"/>
      <c r="E5" s="551"/>
      <c r="F5" s="551"/>
      <c r="G5" s="551"/>
      <c r="H5" s="551"/>
      <c r="I5" s="551"/>
      <c r="J5" s="552"/>
    </row>
    <row r="6" spans="1:10" s="192" customFormat="1" ht="16.5" thickBot="1">
      <c r="A6" s="193" t="s">
        <v>906</v>
      </c>
      <c r="B6" s="193"/>
      <c r="C6" s="193"/>
      <c r="E6"/>
      <c r="F6"/>
      <c r="G6"/>
      <c r="H6"/>
      <c r="I6"/>
      <c r="J6"/>
    </row>
    <row r="7" spans="1:10" s="192" customFormat="1" ht="15.75">
      <c r="A7" s="192" t="s">
        <v>417</v>
      </c>
      <c r="B7" s="195" t="s">
        <v>327</v>
      </c>
      <c r="C7" s="193"/>
      <c r="F7" s="564" t="s">
        <v>982</v>
      </c>
      <c r="G7" s="565"/>
      <c r="H7" s="565"/>
      <c r="I7" s="566"/>
    </row>
    <row r="8" spans="1:10" s="192" customFormat="1" ht="15.75">
      <c r="A8" s="192" t="s">
        <v>408</v>
      </c>
      <c r="B8" s="195" t="s">
        <v>629</v>
      </c>
      <c r="F8" s="567"/>
      <c r="G8" s="568"/>
      <c r="H8" s="568"/>
      <c r="I8" s="569"/>
    </row>
    <row r="9" spans="1:10" s="192" customFormat="1" ht="15.75">
      <c r="A9" s="192" t="s">
        <v>409</v>
      </c>
      <c r="B9" s="195" t="s">
        <v>629</v>
      </c>
      <c r="C9"/>
      <c r="D9"/>
      <c r="F9" s="567"/>
      <c r="G9" s="568"/>
      <c r="H9" s="568"/>
      <c r="I9" s="569"/>
    </row>
    <row r="10" spans="1:10" s="192" customFormat="1" ht="15.75">
      <c r="B10" s="348" t="s">
        <v>902</v>
      </c>
      <c r="C10" s="348" t="s">
        <v>981</v>
      </c>
      <c r="D10" s="405" t="s">
        <v>497</v>
      </c>
      <c r="F10" s="567"/>
      <c r="G10" s="568"/>
      <c r="H10" s="568"/>
      <c r="I10" s="569"/>
    </row>
    <row r="11" spans="1:10" s="192" customFormat="1" ht="16.5" thickBot="1">
      <c r="A11" s="197" t="s">
        <v>5</v>
      </c>
      <c r="B11" s="198">
        <v>574785</v>
      </c>
      <c r="C11" s="404">
        <v>513983</v>
      </c>
      <c r="D11" s="563">
        <v>1</v>
      </c>
      <c r="F11" s="570"/>
      <c r="G11" s="571"/>
      <c r="H11" s="571"/>
      <c r="I11" s="572"/>
    </row>
    <row r="12" spans="1:10" s="192" customFormat="1" ht="15.75">
      <c r="A12" s="197" t="s">
        <v>23</v>
      </c>
      <c r="B12" s="198">
        <v>36852</v>
      </c>
      <c r="C12" s="404">
        <v>12248</v>
      </c>
      <c r="D12" s="563"/>
    </row>
    <row r="13" spans="1:10" s="192" customFormat="1" ht="15.75">
      <c r="A13" s="197" t="s">
        <v>410</v>
      </c>
      <c r="B13" s="198">
        <v>3182</v>
      </c>
      <c r="C13" s="404">
        <v>2367</v>
      </c>
      <c r="D13" s="563"/>
    </row>
    <row r="14" spans="1:10" s="192" customFormat="1" ht="15.75">
      <c r="A14" s="197" t="s">
        <v>24</v>
      </c>
      <c r="B14" s="198">
        <v>201875</v>
      </c>
      <c r="C14" s="404">
        <v>146043</v>
      </c>
      <c r="D14" s="563"/>
    </row>
    <row r="15" spans="1:10" s="192" customFormat="1" ht="15.75">
      <c r="A15" s="197" t="s">
        <v>25</v>
      </c>
      <c r="B15" s="198">
        <v>161574</v>
      </c>
      <c r="C15" s="404">
        <v>169938</v>
      </c>
      <c r="D15" s="563"/>
    </row>
    <row r="16" spans="1:10" s="192" customFormat="1" ht="15.75">
      <c r="A16" s="197" t="s">
        <v>400</v>
      </c>
      <c r="B16" s="200" t="s">
        <v>49</v>
      </c>
      <c r="C16" s="406" t="s">
        <v>842</v>
      </c>
      <c r="D16" s="199"/>
    </row>
    <row r="17" spans="1:14" s="192" customFormat="1" ht="15.75">
      <c r="A17" s="197" t="s">
        <v>225</v>
      </c>
      <c r="B17" s="200" t="s">
        <v>44</v>
      </c>
      <c r="C17" s="199" t="s">
        <v>843</v>
      </c>
      <c r="D17" s="199"/>
    </row>
    <row r="18" spans="1:14" s="192" customFormat="1" ht="15.75">
      <c r="A18" s="197" t="s">
        <v>483</v>
      </c>
      <c r="B18" s="198">
        <v>86780</v>
      </c>
      <c r="C18" s="198">
        <v>70026</v>
      </c>
      <c r="D18" s="199"/>
    </row>
    <row r="19" spans="1:14" s="192" customFormat="1" ht="15.75">
      <c r="A19" s="197" t="s">
        <v>484</v>
      </c>
      <c r="B19" s="201">
        <v>2954</v>
      </c>
      <c r="C19" s="198">
        <v>2815</v>
      </c>
      <c r="D19" s="199"/>
    </row>
    <row r="20" spans="1:14" s="192" customFormat="1" ht="16.5" thickBot="1">
      <c r="A20" s="197" t="s">
        <v>369</v>
      </c>
      <c r="B20" s="201">
        <v>0</v>
      </c>
      <c r="C20" s="198">
        <v>0</v>
      </c>
      <c r="D20" s="199"/>
    </row>
    <row r="21" spans="1:14" s="192" customFormat="1" ht="15.75">
      <c r="A21" s="197" t="s">
        <v>26</v>
      </c>
      <c r="B21" s="202">
        <v>10492</v>
      </c>
      <c r="C21" s="199"/>
      <c r="E21" s="560" t="s">
        <v>224</v>
      </c>
      <c r="F21" s="561"/>
      <c r="G21" s="561"/>
      <c r="H21" s="561"/>
      <c r="I21" s="561"/>
      <c r="J21" s="561"/>
      <c r="K21" s="561"/>
      <c r="L21" s="561"/>
      <c r="M21" s="561"/>
      <c r="N21" s="562"/>
    </row>
    <row r="22" spans="1:14" s="192" customFormat="1" ht="15.75">
      <c r="A22" s="197" t="s">
        <v>27</v>
      </c>
      <c r="B22" s="198">
        <v>169</v>
      </c>
      <c r="C22" s="199"/>
      <c r="E22" s="416" t="s">
        <v>403</v>
      </c>
      <c r="N22" s="417"/>
    </row>
    <row r="23" spans="1:14" s="192" customFormat="1" ht="15.75">
      <c r="A23" s="192" t="s">
        <v>94</v>
      </c>
      <c r="B23" s="203">
        <v>0.19</v>
      </c>
      <c r="C23" s="199"/>
      <c r="E23" s="418"/>
      <c r="J23" s="196" t="s">
        <v>408</v>
      </c>
      <c r="K23" s="196" t="s">
        <v>409</v>
      </c>
      <c r="L23" s="558" t="s">
        <v>830</v>
      </c>
      <c r="M23" s="558"/>
      <c r="N23" s="559"/>
    </row>
    <row r="24" spans="1:14" s="192" customFormat="1" ht="15.75">
      <c r="A24" s="192" t="s">
        <v>95</v>
      </c>
      <c r="B24" s="203">
        <v>0.25</v>
      </c>
      <c r="C24" s="199"/>
      <c r="E24" s="418"/>
      <c r="I24" s="436" t="s">
        <v>221</v>
      </c>
      <c r="J24" s="431" t="s">
        <v>829</v>
      </c>
      <c r="K24" s="348" t="s">
        <v>829</v>
      </c>
      <c r="L24" s="348" t="s">
        <v>831</v>
      </c>
      <c r="M24" s="348" t="s">
        <v>738</v>
      </c>
      <c r="N24" s="419" t="s">
        <v>832</v>
      </c>
    </row>
    <row r="25" spans="1:14" s="192" customFormat="1" ht="15.75">
      <c r="A25" s="193" t="s">
        <v>29</v>
      </c>
      <c r="B25" s="204"/>
      <c r="C25" s="199"/>
      <c r="E25" s="420" t="s">
        <v>159</v>
      </c>
      <c r="I25" s="437">
        <f>IF(C11&gt;0,(B11/C11)^(1/D11)-1, "NA")</f>
        <v>0.1182957412988368</v>
      </c>
      <c r="J25" s="432">
        <f>VLOOKUP(B8,'Industry Averages(US)'!A2:S95,3)</f>
        <v>0.18063052631578944</v>
      </c>
      <c r="K25" s="350">
        <f>VLOOKUP(B9,'Industry Average Beta (Global)'!A2:N95,3)</f>
        <v>9.6226153846153892E-3</v>
      </c>
      <c r="L25" s="349">
        <f>VLOOKUP($B$9,'Input Stat Distributioons'!$A$3:$R$96,3,FALSE)</f>
        <v>-7.7600000000000002E-2</v>
      </c>
      <c r="M25" s="349">
        <f>VLOOKUP($B$9,'Input Stat Distributioons'!$A$3:$R$96,4,FALSE)</f>
        <v>2.5399999999999999E-2</v>
      </c>
      <c r="N25" s="421">
        <f>VLOOKUP($B$9,'Input Stat Distributioons'!$A$3:$R$96,5,FALSE)</f>
        <v>0.111</v>
      </c>
    </row>
    <row r="26" spans="1:14" s="192" customFormat="1" ht="15.75">
      <c r="A26" s="207" t="s">
        <v>601</v>
      </c>
      <c r="B26" s="208">
        <v>0.12</v>
      </c>
      <c r="C26" s="199" t="s">
        <v>864</v>
      </c>
      <c r="E26" s="420" t="s">
        <v>160</v>
      </c>
      <c r="I26" s="437">
        <f>'Valuation output'!B4</f>
        <v>0.11332759205616014</v>
      </c>
      <c r="J26" s="433">
        <f>VLOOKUP(B8,'Industry Averages(US)'!A2:AA95,4)</f>
        <v>4.4133968058007046E-2</v>
      </c>
      <c r="K26" s="350">
        <f>VLOOKUP(B9,'Industry Average Beta (Global)'!A2:N95,4)</f>
        <v>4.3542241635271928E-2</v>
      </c>
      <c r="L26" s="350">
        <f>VLOOKUP($B$9,'Input Stat Distributioons'!$A$3:$R$96,6,FALSE)</f>
        <v>-9.2028254288597407E-3</v>
      </c>
      <c r="M26" s="350">
        <f>VLOOKUP($B$9,'Input Stat Distributioons'!$A$3:$R$96,7,FALSE)</f>
        <v>3.9183829900711613E-2</v>
      </c>
      <c r="N26" s="422">
        <f>VLOOKUP($B$9,'Input Stat Distributioons'!$A$3:$R$96,8,FALSE)</f>
        <v>8.6924532268236293E-2</v>
      </c>
    </row>
    <row r="27" spans="1:14" s="192" customFormat="1" ht="15.75">
      <c r="A27" s="207" t="s">
        <v>603</v>
      </c>
      <c r="B27" s="208">
        <f>I26</f>
        <v>0.11332759205616014</v>
      </c>
      <c r="C27" s="199" t="s">
        <v>867</v>
      </c>
      <c r="E27" s="420" t="s">
        <v>161</v>
      </c>
      <c r="I27" s="438">
        <f>B11/'Valuation output'!B39</f>
        <v>1.3373821403171053</v>
      </c>
      <c r="J27" s="434">
        <f>VLOOKUP(B8,'Industry Averages(US)'!A2:S95,14)</f>
        <v>2.411559428998697</v>
      </c>
      <c r="K27" s="351">
        <f>VLOOKUP(B9,'Industry Average Beta (Global)'!A2:N95,14)</f>
        <v>2.1335725223471855</v>
      </c>
      <c r="L27" s="351">
        <f>VLOOKUP($B$9,'Input Stat Distributioons'!$A$3:$R$96,9,FALSE)</f>
        <v>0.69201228878648224</v>
      </c>
      <c r="M27" s="351">
        <f>VLOOKUP($B$9,'Input Stat Distributioons'!$A$3:$R$96,10,FALSE)</f>
        <v>1.828811105749601</v>
      </c>
      <c r="N27" s="423">
        <f>VLOOKUP($B$9,'Input Stat Distributioons'!$A$3:$R$96,11,FALSE)</f>
        <v>3.3473735319253168</v>
      </c>
    </row>
    <row r="28" spans="1:14" s="192" customFormat="1" ht="15.75">
      <c r="A28" s="197" t="s">
        <v>602</v>
      </c>
      <c r="B28" s="209">
        <f>B26</f>
        <v>0.12</v>
      </c>
      <c r="C28" s="199" t="s">
        <v>865</v>
      </c>
      <c r="E28" s="420" t="s">
        <v>834</v>
      </c>
      <c r="I28" s="438">
        <f>IF(('Input sheet'!B11-'Input sheet'!C11)/(('Input sheet'!B14+'Input sheet'!B15-'Input sheet'!B18)-('Input sheet'!C14+'Input sheet'!C15-'Input sheet'!C18))&gt;0,('Input sheet'!B11-'Input sheet'!C11)/(('Input sheet'!B14+'Input sheet'!B15-'Input sheet'!B18)-('Input sheet'!C14+'Input sheet'!C15-'Input sheet'!C18)),"NA")</f>
        <v>1.9796184150550238</v>
      </c>
      <c r="J28" s="435"/>
      <c r="K28" s="403"/>
      <c r="L28" s="216"/>
      <c r="M28" s="216"/>
      <c r="N28" s="424"/>
    </row>
    <row r="29" spans="1:14" s="192" customFormat="1" ht="15.75">
      <c r="A29" s="197" t="s">
        <v>841</v>
      </c>
      <c r="B29" s="209">
        <v>0.14000000000000001</v>
      </c>
      <c r="C29" s="199" t="s">
        <v>866</v>
      </c>
      <c r="E29" s="420" t="s">
        <v>162</v>
      </c>
      <c r="I29" s="439">
        <f>'Valuation output'!B7/'Valuation output'!B39</f>
        <v>0.12276546107305152</v>
      </c>
      <c r="J29" s="433">
        <f>VLOOKUP(B8,'Industry Averages(US)'!A2:S95,5)</f>
        <v>9.8929938052508604E-2</v>
      </c>
      <c r="K29" s="350">
        <f>VLOOKUP(B9,'Industry Average Beta (Global)'!A2:N95,5)</f>
        <v>8.3478279708728079E-2</v>
      </c>
      <c r="L29"/>
      <c r="M29"/>
      <c r="N29" s="425"/>
    </row>
    <row r="30" spans="1:14" s="192" customFormat="1" ht="15.75">
      <c r="A30" s="197" t="s">
        <v>723</v>
      </c>
      <c r="B30" s="210">
        <v>5</v>
      </c>
      <c r="C30" s="199" t="s">
        <v>536</v>
      </c>
      <c r="E30" s="420" t="s">
        <v>363</v>
      </c>
      <c r="I30" s="440"/>
      <c r="J30" s="433">
        <f>VLOOKUP(B8,'Industry Averages(US)'!A2:S95,10)</f>
        <v>0.38283198873816127</v>
      </c>
      <c r="K30" s="350">
        <f>VLOOKUP(B8,'Industry Average Beta (Global)'!A2:Z95,10)</f>
        <v>0.29728382030674882</v>
      </c>
      <c r="L30"/>
      <c r="M30"/>
      <c r="N30" s="425"/>
    </row>
    <row r="31" spans="1:14" s="192" customFormat="1" ht="16.5" thickBot="1">
      <c r="A31" s="197" t="s">
        <v>833</v>
      </c>
      <c r="B31" s="210">
        <v>1.5</v>
      </c>
      <c r="C31" s="199" t="s">
        <v>862</v>
      </c>
      <c r="E31" s="426" t="s">
        <v>362</v>
      </c>
      <c r="F31" s="427"/>
      <c r="G31" s="427"/>
      <c r="H31" s="427"/>
      <c r="I31" s="439">
        <f>B35</f>
        <v>8.5999999999999993E-2</v>
      </c>
      <c r="J31" s="430">
        <f>VLOOKUP(B8,'Industry Averages(US)'!A2:S95,13)</f>
        <v>8.9282000671898204E-2</v>
      </c>
      <c r="K31" s="428">
        <f>VLOOKUP(B8,'Industry Average Beta (Global)'!A2:Z95,13)</f>
        <v>9.8246781920433096E-2</v>
      </c>
      <c r="L31" s="428">
        <f>VLOOKUP($B$9,'Input Stat Distributioons'!$A$3:$R$96,12,FALSE)</f>
        <v>8.2986760928724423E-2</v>
      </c>
      <c r="M31" s="428">
        <f>VLOOKUP($B$9,'Input Stat Distributioons'!$A$3:$R$96,13,FALSE)</f>
        <v>8.9362196316224662E-2</v>
      </c>
      <c r="N31" s="429">
        <f>VLOOKUP($B$9,'Input Stat Distributioons'!$A$3:$R$96,14,FALSE)</f>
        <v>9.2882864533665996E-2</v>
      </c>
    </row>
    <row r="32" spans="1:14" s="192" customFormat="1" ht="16.5" thickBot="1">
      <c r="A32" s="197" t="s">
        <v>622</v>
      </c>
      <c r="B32" s="210">
        <v>1.5</v>
      </c>
      <c r="C32" s="199" t="s">
        <v>863</v>
      </c>
    </row>
    <row r="33" spans="1:14" s="192" customFormat="1" ht="15.75">
      <c r="A33" s="193" t="s">
        <v>30</v>
      </c>
      <c r="B33" s="213"/>
      <c r="C33" s="199"/>
      <c r="E33" s="553" t="s">
        <v>485</v>
      </c>
      <c r="F33" s="554"/>
      <c r="G33" s="554"/>
      <c r="H33" s="554"/>
      <c r="I33" s="554"/>
      <c r="J33" s="555"/>
    </row>
    <row r="34" spans="1:14" s="192" customFormat="1" ht="15.75">
      <c r="A34" s="197" t="s">
        <v>21</v>
      </c>
      <c r="B34" s="209">
        <v>4.0800000000000003E-2</v>
      </c>
      <c r="C34" s="199"/>
      <c r="E34" s="205" t="s">
        <v>486</v>
      </c>
      <c r="J34" s="212">
        <f>'Valuation output'!M3</f>
        <v>1494290.2956212501</v>
      </c>
    </row>
    <row r="35" spans="1:14" s="192" customFormat="1" ht="25.15" customHeight="1">
      <c r="A35" s="343" t="s">
        <v>32</v>
      </c>
      <c r="B35" s="344">
        <f>'Cost of capital worksheet'!B13</f>
        <v>8.5999999999999993E-2</v>
      </c>
      <c r="C35" s="556" t="s">
        <v>744</v>
      </c>
      <c r="D35" s="557"/>
      <c r="E35" s="205" t="s">
        <v>488</v>
      </c>
      <c r="J35" s="212">
        <f>'Valuation output'!M5</f>
        <v>209200.64138697504</v>
      </c>
    </row>
    <row r="36" spans="1:14" s="192" customFormat="1" ht="15.75">
      <c r="A36" s="193" t="s">
        <v>80</v>
      </c>
      <c r="B36" s="215"/>
      <c r="C36" s="215"/>
      <c r="D36" s="199"/>
      <c r="E36" s="205" t="s">
        <v>487</v>
      </c>
      <c r="J36" s="206">
        <f>'Valuation output'!L40</f>
        <v>0.15739954455878594</v>
      </c>
    </row>
    <row r="37" spans="1:14" s="192" customFormat="1" ht="16.5" thickBot="1">
      <c r="A37" s="192" t="s">
        <v>227</v>
      </c>
      <c r="B37" s="200" t="s">
        <v>44</v>
      </c>
      <c r="C37" s="190"/>
      <c r="D37" s="199"/>
      <c r="E37" s="324" t="s">
        <v>489</v>
      </c>
      <c r="F37" s="211"/>
      <c r="G37" s="211"/>
      <c r="H37" s="211"/>
      <c r="I37" s="211"/>
      <c r="J37" s="214"/>
    </row>
    <row r="38" spans="1:14" s="192" customFormat="1" ht="15.75">
      <c r="A38" s="192" t="s">
        <v>81</v>
      </c>
      <c r="B38" s="210">
        <v>7.72</v>
      </c>
      <c r="C38" s="216"/>
      <c r="D38" s="199"/>
    </row>
    <row r="39" spans="1:14" s="219" customFormat="1" ht="15.75">
      <c r="A39" s="192" t="s">
        <v>82</v>
      </c>
      <c r="B39" s="217">
        <v>1.29</v>
      </c>
      <c r="C39" s="218"/>
      <c r="D39" s="199"/>
      <c r="E39" s="192"/>
      <c r="F39" s="192"/>
      <c r="G39" s="192"/>
      <c r="H39" s="192"/>
      <c r="I39" s="192"/>
      <c r="J39" s="192"/>
      <c r="K39" s="192"/>
      <c r="L39" s="192"/>
      <c r="M39" s="192"/>
      <c r="N39" s="192"/>
    </row>
    <row r="40" spans="1:14" s="192" customFormat="1" ht="15.75">
      <c r="A40" s="192" t="s">
        <v>83</v>
      </c>
      <c r="B40" s="210">
        <v>7</v>
      </c>
      <c r="C40" s="216"/>
      <c r="D40" s="199"/>
    </row>
    <row r="41" spans="1:14" s="192" customFormat="1" ht="15.75">
      <c r="A41" s="192" t="s">
        <v>84</v>
      </c>
      <c r="B41" s="209">
        <v>0.45</v>
      </c>
      <c r="C41" s="199"/>
      <c r="E41" s="219"/>
      <c r="F41" s="219"/>
      <c r="G41" s="219"/>
    </row>
    <row r="42" spans="1:14" s="219" customFormat="1" ht="15.75">
      <c r="A42" s="192"/>
      <c r="B42" s="220"/>
      <c r="C42" s="215"/>
      <c r="D42" s="199"/>
      <c r="E42" s="192"/>
      <c r="F42" s="192"/>
      <c r="G42" s="192"/>
      <c r="H42" s="192"/>
      <c r="I42" s="192"/>
      <c r="J42" s="192"/>
      <c r="K42" s="192"/>
      <c r="L42" s="192"/>
      <c r="M42" s="192"/>
      <c r="N42" s="192"/>
    </row>
    <row r="43" spans="1:14" s="192" customFormat="1" ht="15.75">
      <c r="A43" s="549" t="s">
        <v>96</v>
      </c>
      <c r="B43" s="549"/>
      <c r="C43" s="221"/>
      <c r="D43" s="199"/>
      <c r="N43" s="219"/>
    </row>
    <row r="44" spans="1:14" s="192" customFormat="1" ht="15.75">
      <c r="A44" s="219" t="s">
        <v>97</v>
      </c>
      <c r="B44" s="219"/>
      <c r="C44" s="222"/>
      <c r="D44" s="199"/>
      <c r="E44" s="219"/>
      <c r="F44" s="219"/>
      <c r="G44" s="219"/>
      <c r="H44" s="219"/>
      <c r="I44" s="219"/>
      <c r="J44" s="219"/>
      <c r="K44" s="219"/>
      <c r="L44" s="219"/>
      <c r="M44" s="219"/>
    </row>
    <row r="45" spans="1:14" s="192" customFormat="1" ht="15.75">
      <c r="A45" s="192" t="s">
        <v>33</v>
      </c>
      <c r="B45" s="390" t="s">
        <v>44</v>
      </c>
      <c r="C45" s="199" t="s">
        <v>47</v>
      </c>
    </row>
    <row r="46" spans="1:14" s="192" customFormat="1" ht="15.75">
      <c r="A46" s="192" t="s">
        <v>35</v>
      </c>
      <c r="B46" s="209">
        <v>0.08</v>
      </c>
      <c r="C46" s="199" t="s">
        <v>623</v>
      </c>
      <c r="N46" s="219"/>
    </row>
    <row r="47" spans="1:14" s="192" customFormat="1" ht="15.75">
      <c r="A47" s="219" t="s">
        <v>98</v>
      </c>
      <c r="B47" s="219"/>
      <c r="C47" s="199"/>
      <c r="D47" s="219"/>
      <c r="H47" s="219"/>
      <c r="I47" s="219"/>
      <c r="J47" s="219"/>
      <c r="K47" s="219"/>
      <c r="L47" s="219"/>
      <c r="M47" s="219"/>
    </row>
    <row r="48" spans="1:14" s="192" customFormat="1" ht="15.75">
      <c r="A48" s="192" t="s">
        <v>33</v>
      </c>
      <c r="B48" s="390" t="s">
        <v>44</v>
      </c>
      <c r="C48" s="199" t="s">
        <v>46</v>
      </c>
    </row>
    <row r="49" spans="1:14" s="192" customFormat="1" ht="15.75">
      <c r="A49" s="192" t="s">
        <v>34</v>
      </c>
      <c r="B49" s="223">
        <v>0.15</v>
      </c>
      <c r="C49" s="199" t="s">
        <v>133</v>
      </c>
    </row>
    <row r="50" spans="1:14" s="192" customFormat="1" ht="15.75">
      <c r="A50" s="219" t="s">
        <v>129</v>
      </c>
      <c r="C50" s="199"/>
    </row>
    <row r="51" spans="1:14" s="192" customFormat="1" ht="15.75">
      <c r="A51" s="192" t="s">
        <v>33</v>
      </c>
      <c r="B51" s="390" t="s">
        <v>44</v>
      </c>
      <c r="C51" s="199" t="s">
        <v>104</v>
      </c>
    </row>
    <row r="52" spans="1:14" s="192" customFormat="1" ht="15.75">
      <c r="A52" s="192" t="s">
        <v>99</v>
      </c>
      <c r="B52" s="223">
        <v>0.12</v>
      </c>
      <c r="C52" s="199" t="s">
        <v>749</v>
      </c>
    </row>
    <row r="53" spans="1:14" s="192" customFormat="1" ht="15.75">
      <c r="A53" s="192" t="s">
        <v>102</v>
      </c>
      <c r="B53" s="223" t="s">
        <v>219</v>
      </c>
      <c r="C53" s="199" t="s">
        <v>93</v>
      </c>
    </row>
    <row r="54" spans="1:14" s="192" customFormat="1" ht="15.75">
      <c r="A54" s="192" t="s">
        <v>220</v>
      </c>
      <c r="B54" s="223">
        <v>0.5</v>
      </c>
      <c r="C54" s="199" t="s">
        <v>103</v>
      </c>
    </row>
    <row r="55" spans="1:14" s="192" customFormat="1" ht="15.75">
      <c r="A55" s="192" t="s">
        <v>837</v>
      </c>
      <c r="B55" s="354"/>
      <c r="C55" s="199"/>
    </row>
    <row r="56" spans="1:14" s="192" customFormat="1" ht="15.75">
      <c r="A56" s="192" t="s">
        <v>838</v>
      </c>
      <c r="B56" s="390" t="s">
        <v>44</v>
      </c>
      <c r="C56" s="199"/>
    </row>
    <row r="57" spans="1:14" s="192" customFormat="1" ht="15.75">
      <c r="A57" s="192" t="s">
        <v>839</v>
      </c>
      <c r="B57" s="355">
        <v>1</v>
      </c>
      <c r="C57" s="199"/>
    </row>
    <row r="58" spans="1:14" s="192" customFormat="1" ht="15.75">
      <c r="A58" s="219" t="s">
        <v>131</v>
      </c>
      <c r="B58" s="224"/>
      <c r="C58" s="199"/>
    </row>
    <row r="59" spans="1:14" s="192" customFormat="1" ht="15.75">
      <c r="A59" s="192" t="s">
        <v>33</v>
      </c>
      <c r="B59" s="200" t="s">
        <v>44</v>
      </c>
      <c r="C59" s="199"/>
    </row>
    <row r="60" spans="1:14" s="192" customFormat="1" ht="15.75">
      <c r="A60" s="219" t="s">
        <v>128</v>
      </c>
      <c r="C60" s="199"/>
    </row>
    <row r="61" spans="1:14" s="192" customFormat="1" ht="15.75">
      <c r="A61" s="192" t="s">
        <v>33</v>
      </c>
      <c r="B61" s="390" t="s">
        <v>44</v>
      </c>
      <c r="C61" s="199" t="s">
        <v>48</v>
      </c>
    </row>
    <row r="62" spans="1:14" s="192" customFormat="1" ht="15.75">
      <c r="A62" s="192" t="s">
        <v>42</v>
      </c>
      <c r="B62" s="217">
        <f>474.8+256.6</f>
        <v>731.40000000000009</v>
      </c>
      <c r="C62" s="199" t="s">
        <v>134</v>
      </c>
    </row>
    <row r="63" spans="1:14" s="192" customFormat="1" ht="15.75">
      <c r="A63" s="192" t="s">
        <v>596</v>
      </c>
      <c r="B63" s="225"/>
      <c r="C63" s="199"/>
    </row>
    <row r="64" spans="1:14" s="219" customFormat="1" ht="15.75">
      <c r="A64" s="192" t="s">
        <v>33</v>
      </c>
      <c r="B64" s="390" t="s">
        <v>44</v>
      </c>
      <c r="C64" s="199" t="s">
        <v>598</v>
      </c>
      <c r="D64" s="192"/>
      <c r="E64" s="192"/>
      <c r="F64" s="192"/>
      <c r="G64" s="192"/>
      <c r="H64" s="192"/>
      <c r="I64" s="192"/>
      <c r="J64" s="192"/>
      <c r="K64" s="192"/>
      <c r="L64" s="192"/>
      <c r="M64" s="192"/>
      <c r="N64" s="192"/>
    </row>
    <row r="65" spans="1:14" s="192" customFormat="1" ht="15.75">
      <c r="A65" s="192" t="s">
        <v>597</v>
      </c>
      <c r="B65" s="226">
        <v>0.02</v>
      </c>
      <c r="C65" s="199" t="s">
        <v>599</v>
      </c>
    </row>
    <row r="66" spans="1:14" s="192" customFormat="1" ht="15.75">
      <c r="A66" s="192" t="s">
        <v>493</v>
      </c>
      <c r="B66" s="218"/>
      <c r="C66" s="199"/>
      <c r="E66" s="219"/>
      <c r="F66" s="219"/>
      <c r="G66" s="219"/>
      <c r="H66" s="219"/>
      <c r="I66" s="219"/>
      <c r="J66" s="219"/>
      <c r="K66" s="219"/>
      <c r="L66" s="219"/>
      <c r="M66" s="219"/>
      <c r="N66" s="219"/>
    </row>
    <row r="67" spans="1:14" s="192" customFormat="1" ht="15.75">
      <c r="A67" s="192" t="s">
        <v>33</v>
      </c>
      <c r="B67" s="390" t="s">
        <v>44</v>
      </c>
      <c r="C67" s="199" t="s">
        <v>600</v>
      </c>
    </row>
    <row r="68" spans="1:14" s="192" customFormat="1" ht="15.75">
      <c r="A68" s="192" t="s">
        <v>494</v>
      </c>
      <c r="B68" s="226">
        <v>-0.05</v>
      </c>
      <c r="C68" s="199" t="s">
        <v>495</v>
      </c>
    </row>
    <row r="69" spans="1:14" s="192" customFormat="1" ht="15.75">
      <c r="A69" s="219" t="s">
        <v>498</v>
      </c>
      <c r="B69" s="219"/>
      <c r="C69" s="219"/>
      <c r="D69" s="219"/>
    </row>
    <row r="70" spans="1:14" s="192" customFormat="1" ht="15.75">
      <c r="A70" s="192" t="s">
        <v>490</v>
      </c>
      <c r="B70" s="390" t="s">
        <v>44</v>
      </c>
    </row>
    <row r="71" spans="1:14" s="192" customFormat="1" ht="15.75">
      <c r="A71" s="192" t="s">
        <v>501</v>
      </c>
      <c r="B71" s="227">
        <v>140000</v>
      </c>
      <c r="C71" s="199" t="s">
        <v>499</v>
      </c>
    </row>
    <row r="72" spans="1:14" s="192" customFormat="1" ht="15.75">
      <c r="A72" s="197" t="s">
        <v>491</v>
      </c>
      <c r="B72" s="223">
        <v>0.15</v>
      </c>
      <c r="C72" s="199" t="s">
        <v>500</v>
      </c>
    </row>
    <row r="73" spans="1:14" ht="15.75">
      <c r="A73" s="77"/>
      <c r="E73" s="192"/>
      <c r="F73" s="192"/>
      <c r="G73" s="192"/>
      <c r="H73" s="192"/>
      <c r="I73" s="192"/>
      <c r="J73" s="192"/>
      <c r="K73" s="192"/>
      <c r="L73" s="192"/>
      <c r="M73" s="192"/>
      <c r="N73" s="192"/>
    </row>
    <row r="74" spans="1:14" ht="15.75">
      <c r="E74" s="192"/>
      <c r="F74" s="192"/>
      <c r="G74" s="192"/>
      <c r="H74" s="192"/>
      <c r="I74" s="192"/>
      <c r="J74" s="192"/>
      <c r="K74" s="192"/>
      <c r="L74" s="192"/>
      <c r="M74" s="192"/>
      <c r="N74" s="192"/>
    </row>
  </sheetData>
  <mergeCells count="8">
    <mergeCell ref="A43:B43"/>
    <mergeCell ref="A5:J5"/>
    <mergeCell ref="E33:J33"/>
    <mergeCell ref="C35:D35"/>
    <mergeCell ref="L23:N23"/>
    <mergeCell ref="E21:N21"/>
    <mergeCell ref="D11:D15"/>
    <mergeCell ref="F7:I11"/>
  </mergeCells>
  <phoneticPr fontId="8"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 defaultRowHeight="15"/>
  <cols>
    <col min="1" max="4" width="11.140625" style="191" bestFit="1" customWidth="1"/>
    <col min="5" max="5" width="10.85546875" style="191"/>
    <col min="6" max="6" width="12.85546875" style="191" bestFit="1" customWidth="1"/>
    <col min="7" max="7" width="10.85546875" style="191"/>
    <col min="8" max="8" width="11.140625" style="191" bestFit="1" customWidth="1"/>
    <col min="9" max="10" width="10.85546875" style="191"/>
    <col min="11" max="20" width="11.140625" style="191" bestFit="1" customWidth="1"/>
  </cols>
  <sheetData>
    <row r="1" spans="1:20">
      <c r="A1" s="663" t="s">
        <v>772</v>
      </c>
      <c r="B1" s="664"/>
      <c r="C1" s="664"/>
      <c r="D1" s="664"/>
      <c r="E1" s="664"/>
      <c r="F1" s="664"/>
      <c r="G1" s="664"/>
      <c r="H1" s="664"/>
      <c r="I1" s="664"/>
      <c r="J1" s="664"/>
      <c r="K1" s="664"/>
      <c r="L1" s="665"/>
    </row>
    <row r="2" spans="1:20" ht="21" customHeight="1" thickBot="1">
      <c r="A2" s="666"/>
      <c r="B2" s="667"/>
      <c r="C2" s="667"/>
      <c r="D2" s="667"/>
      <c r="E2" s="667"/>
      <c r="F2" s="667"/>
      <c r="G2" s="667"/>
      <c r="H2" s="667"/>
      <c r="I2" s="667"/>
      <c r="J2" s="667"/>
      <c r="K2" s="667"/>
      <c r="L2" s="668"/>
    </row>
    <row r="4" spans="1:20" ht="15.75">
      <c r="A4" s="239" t="s">
        <v>195</v>
      </c>
    </row>
    <row r="5" spans="1:20" ht="15.75">
      <c r="A5" s="239" t="s">
        <v>196</v>
      </c>
    </row>
    <row r="6" spans="1:20" s="73" customFormat="1" ht="15.75" thickBot="1">
      <c r="A6" s="284" t="s">
        <v>197</v>
      </c>
      <c r="B6" s="285"/>
      <c r="C6" s="285"/>
      <c r="D6" s="285"/>
      <c r="E6" s="285"/>
      <c r="F6" s="285"/>
      <c r="G6" s="285"/>
      <c r="H6" s="285"/>
      <c r="I6" s="285"/>
      <c r="J6" s="285"/>
      <c r="K6" s="285"/>
      <c r="L6" s="285"/>
      <c r="M6" s="285"/>
      <c r="N6" s="285"/>
      <c r="O6" s="285"/>
      <c r="P6" s="285"/>
      <c r="Q6" s="285"/>
      <c r="R6" s="285"/>
      <c r="S6" s="285"/>
      <c r="T6" s="285"/>
    </row>
    <row r="7" spans="1:20" s="74" customFormat="1" ht="15.75" thickBot="1">
      <c r="A7" s="191" t="s">
        <v>198</v>
      </c>
      <c r="B7" s="191"/>
      <c r="C7" s="389">
        <f>'Cost of capital worksheet'!B36</f>
        <v>2</v>
      </c>
      <c r="D7" s="191"/>
      <c r="E7" s="191"/>
      <c r="F7" s="191"/>
      <c r="G7" s="191"/>
      <c r="H7" s="191"/>
      <c r="I7" s="191"/>
      <c r="J7" s="191"/>
      <c r="K7" s="191"/>
      <c r="L7" s="191"/>
      <c r="M7" s="191"/>
      <c r="N7" s="191"/>
      <c r="O7" s="191"/>
      <c r="P7" s="191"/>
      <c r="Q7" s="191"/>
      <c r="R7" s="191"/>
      <c r="S7" s="191"/>
      <c r="T7" s="191"/>
    </row>
    <row r="8" spans="1:20" s="74" customFormat="1" ht="15.75" thickBot="1">
      <c r="A8" s="191" t="s">
        <v>199</v>
      </c>
      <c r="B8" s="191"/>
      <c r="C8" s="191"/>
      <c r="D8" s="191"/>
      <c r="E8" s="191"/>
      <c r="F8" s="309">
        <f>IF('Input sheet'!B17="Yes",'Input sheet'!B12+'Operating lease converter'!F32,'Input sheet'!B12)</f>
        <v>36852</v>
      </c>
      <c r="G8" s="191" t="s">
        <v>200</v>
      </c>
      <c r="H8" s="191"/>
      <c r="I8" s="191"/>
      <c r="J8" s="191"/>
      <c r="K8" s="191"/>
      <c r="L8" s="191"/>
      <c r="M8" s="191"/>
      <c r="N8" s="191"/>
      <c r="O8" s="191"/>
      <c r="P8" s="191"/>
      <c r="Q8" s="191"/>
      <c r="R8" s="191"/>
      <c r="S8" s="191"/>
      <c r="T8" s="191"/>
    </row>
    <row r="9" spans="1:20" s="74" customFormat="1" ht="15.75" thickBot="1">
      <c r="A9" s="191" t="s">
        <v>201</v>
      </c>
      <c r="B9" s="191"/>
      <c r="C9" s="191"/>
      <c r="D9" s="191"/>
      <c r="E9" s="191"/>
      <c r="F9" s="310">
        <f>IF('Input sheet'!B17="Yes",'Cost of capital worksheet'!B31+'Operating lease converter'!C28*'Operating lease converter'!C15,'Cost of capital worksheet'!B31)</f>
        <v>3182</v>
      </c>
      <c r="G9" s="191" t="s">
        <v>202</v>
      </c>
      <c r="H9" s="191"/>
      <c r="I9" s="191"/>
      <c r="J9" s="191"/>
      <c r="K9" s="191"/>
      <c r="L9" s="191"/>
      <c r="M9" s="191"/>
      <c r="N9" s="191"/>
      <c r="O9" s="191"/>
      <c r="P9" s="191"/>
      <c r="Q9" s="191"/>
      <c r="R9" s="191"/>
      <c r="S9" s="191"/>
      <c r="T9" s="191"/>
    </row>
    <row r="10" spans="1:20" s="74" customFormat="1" ht="15.75" thickBot="1">
      <c r="A10" s="191" t="s">
        <v>217</v>
      </c>
      <c r="B10" s="191"/>
      <c r="C10" s="191"/>
      <c r="D10" s="191"/>
      <c r="E10" s="191"/>
      <c r="F10" s="311">
        <f>'Input sheet'!B34</f>
        <v>4.0800000000000003E-2</v>
      </c>
      <c r="G10" s="191"/>
      <c r="H10" s="191"/>
      <c r="I10" s="191"/>
      <c r="J10" s="191"/>
      <c r="K10" s="191"/>
      <c r="L10" s="191"/>
      <c r="M10" s="191"/>
      <c r="N10" s="191"/>
      <c r="O10" s="191"/>
      <c r="P10" s="191"/>
      <c r="Q10" s="191"/>
      <c r="R10" s="191"/>
      <c r="S10" s="191"/>
      <c r="T10" s="191"/>
    </row>
    <row r="11" spans="1:20" s="74" customFormat="1" ht="16.5" thickBot="1">
      <c r="A11" s="239" t="s">
        <v>112</v>
      </c>
      <c r="B11" s="191"/>
      <c r="C11" s="191"/>
      <c r="D11" s="191"/>
      <c r="E11" s="191"/>
      <c r="F11" s="191"/>
      <c r="G11" s="191"/>
      <c r="H11" s="191"/>
      <c r="I11" s="191"/>
      <c r="J11" s="191"/>
      <c r="K11" s="191"/>
      <c r="L11" s="191"/>
      <c r="M11" s="191"/>
      <c r="N11" s="191"/>
      <c r="O11" s="191"/>
      <c r="P11" s="191"/>
      <c r="Q11" s="191"/>
      <c r="R11" s="191"/>
      <c r="S11" s="191"/>
      <c r="T11" s="191"/>
    </row>
    <row r="12" spans="1:20" s="74" customFormat="1" ht="16.5" thickBot="1">
      <c r="A12" s="191" t="s">
        <v>203</v>
      </c>
      <c r="B12" s="191"/>
      <c r="C12" s="191"/>
      <c r="D12" s="312">
        <f>IF(F9=0,1000000,IF(F8&lt;0,-100000,F8/F9))</f>
        <v>11.581395348837209</v>
      </c>
      <c r="E12" s="191"/>
      <c r="F12" s="191"/>
      <c r="G12" s="191"/>
      <c r="H12" s="191"/>
      <c r="I12" s="191"/>
      <c r="J12" s="191"/>
      <c r="K12" s="191"/>
      <c r="L12" s="191"/>
      <c r="M12" s="191"/>
      <c r="N12" s="191"/>
      <c r="O12" s="191"/>
      <c r="P12" s="191"/>
      <c r="Q12" s="191"/>
      <c r="R12" s="191"/>
      <c r="S12" s="191"/>
      <c r="T12" s="191"/>
    </row>
    <row r="13" spans="1:20" s="74" customFormat="1" ht="16.5" thickBot="1">
      <c r="A13" s="191" t="s">
        <v>204</v>
      </c>
      <c r="B13" s="191"/>
      <c r="C13" s="191"/>
      <c r="D13" s="313" t="str">
        <f>IF(C7=1,VLOOKUP(D12,A22:D36,3),(IF(C7=2,VLOOKUP(D12,A41:D55,3),VLOOKUP(D12,F22:I36,3))))</f>
        <v>Aa2/AA</v>
      </c>
      <c r="E13" s="191"/>
      <c r="F13" s="285" t="s">
        <v>205</v>
      </c>
      <c r="G13" s="191"/>
      <c r="H13" s="191"/>
      <c r="I13" s="191"/>
      <c r="J13" s="191"/>
      <c r="K13" s="191"/>
      <c r="L13" s="191"/>
      <c r="M13" s="191"/>
      <c r="N13" s="191"/>
      <c r="O13" s="191"/>
      <c r="P13" s="191"/>
      <c r="Q13" s="191"/>
      <c r="R13" s="191"/>
      <c r="S13" s="191"/>
      <c r="T13" s="191"/>
    </row>
    <row r="14" spans="1:20" s="74" customFormat="1" ht="16.5" thickBot="1">
      <c r="A14" s="191" t="s">
        <v>444</v>
      </c>
      <c r="B14" s="191"/>
      <c r="C14" s="191"/>
      <c r="D14" s="314">
        <f>IF(C7=1,VLOOKUP(D12,A22:D36,4),(IF(C7=2,VLOOKUP(D12,A41:D55,4),VLOOKUP(D12,F22:I36,4))))</f>
        <v>7.0000000000000001E-3</v>
      </c>
      <c r="E14" s="191"/>
      <c r="F14" s="285" t="s">
        <v>206</v>
      </c>
      <c r="G14" s="191"/>
      <c r="H14" s="191"/>
      <c r="I14" s="191"/>
      <c r="J14" s="191"/>
      <c r="K14" s="191"/>
      <c r="L14" s="191"/>
      <c r="M14" s="191"/>
      <c r="N14" s="191"/>
      <c r="O14" s="191"/>
      <c r="P14" s="191"/>
      <c r="Q14" s="191"/>
      <c r="R14" s="191"/>
      <c r="S14" s="191"/>
      <c r="T14" s="191"/>
    </row>
    <row r="15" spans="1:20" s="74" customFormat="1" ht="16.5" thickBot="1">
      <c r="A15" s="191" t="s">
        <v>445</v>
      </c>
      <c r="B15" s="191"/>
      <c r="C15" s="191"/>
      <c r="D15" s="314">
        <f>VLOOKUP('Input sheet'!B7,'Country equity risk premiums'!A5:C195,3)</f>
        <v>0</v>
      </c>
      <c r="E15" s="191"/>
      <c r="F15" s="285"/>
      <c r="G15" s="191"/>
      <c r="H15" s="191"/>
      <c r="I15" s="191"/>
      <c r="J15" s="191"/>
      <c r="K15" s="191"/>
      <c r="L15" s="191"/>
      <c r="M15" s="191"/>
      <c r="N15" s="191"/>
      <c r="O15" s="191"/>
      <c r="P15" s="191"/>
      <c r="Q15" s="191"/>
      <c r="R15" s="191"/>
      <c r="S15" s="191"/>
      <c r="T15" s="191"/>
    </row>
    <row r="16" spans="1:20" s="6" customFormat="1" ht="16.5" thickBot="1">
      <c r="A16" s="191" t="s">
        <v>207</v>
      </c>
      <c r="B16" s="191"/>
      <c r="C16" s="191"/>
      <c r="D16" s="315">
        <f>F10+D14+D15</f>
        <v>4.7800000000000002E-2</v>
      </c>
      <c r="E16" s="191"/>
      <c r="F16" s="191"/>
      <c r="G16" s="191"/>
      <c r="H16" s="191"/>
      <c r="I16" s="191"/>
      <c r="J16" s="191"/>
      <c r="K16" s="191"/>
      <c r="L16" s="191"/>
      <c r="M16" s="191"/>
      <c r="N16" s="191"/>
      <c r="O16" s="191"/>
      <c r="P16" s="191"/>
      <c r="Q16" s="191"/>
      <c r="R16" s="191"/>
      <c r="S16" s="191"/>
      <c r="T16" s="191"/>
    </row>
    <row r="17" spans="1:20" s="6" customFormat="1" ht="15.75">
      <c r="A17" s="191"/>
      <c r="B17" s="191"/>
      <c r="C17" s="191"/>
      <c r="D17" s="316"/>
      <c r="E17" s="191"/>
      <c r="F17" s="191"/>
      <c r="G17" s="191"/>
      <c r="H17" s="191"/>
      <c r="I17" s="191"/>
      <c r="J17" s="191"/>
      <c r="K17" s="191"/>
      <c r="L17" s="191"/>
      <c r="M17" s="191"/>
      <c r="N17" s="191"/>
      <c r="O17" s="191"/>
      <c r="P17" s="191"/>
      <c r="Q17" s="191"/>
      <c r="R17" s="191"/>
      <c r="S17" s="191"/>
      <c r="T17" s="191"/>
    </row>
    <row r="18" spans="1:20" s="9" customFormat="1" ht="15.75" thickBot="1">
      <c r="A18" s="285" t="s">
        <v>208</v>
      </c>
      <c r="B18" s="285"/>
      <c r="C18" s="285"/>
      <c r="D18" s="317"/>
      <c r="E18" s="285"/>
      <c r="F18" s="285"/>
      <c r="G18" s="285"/>
      <c r="H18" s="285"/>
      <c r="I18" s="285"/>
      <c r="J18" s="285"/>
      <c r="K18" s="285"/>
      <c r="L18" s="285"/>
      <c r="M18" s="285"/>
      <c r="N18" s="285"/>
      <c r="O18" s="285"/>
      <c r="P18" s="285"/>
      <c r="Q18" s="285"/>
      <c r="R18" s="285"/>
      <c r="S18" s="285"/>
      <c r="T18" s="285"/>
    </row>
    <row r="19" spans="1:20" s="74" customFormat="1" ht="16.5" thickBot="1">
      <c r="A19" s="239" t="s">
        <v>209</v>
      </c>
      <c r="B19" s="191"/>
      <c r="C19" s="191"/>
      <c r="D19" s="191"/>
      <c r="E19" s="191"/>
      <c r="F19" s="191"/>
      <c r="G19" s="191"/>
      <c r="H19" s="191"/>
      <c r="I19" s="191"/>
      <c r="J19" s="660" t="s">
        <v>620</v>
      </c>
      <c r="K19" s="661"/>
      <c r="L19" s="661"/>
      <c r="M19" s="661"/>
      <c r="N19" s="661"/>
      <c r="O19" s="661"/>
      <c r="P19" s="661"/>
      <c r="Q19" s="661"/>
      <c r="R19" s="661"/>
      <c r="S19" s="661"/>
      <c r="T19" s="662"/>
    </row>
    <row r="20" spans="1:20" s="74" customFormat="1" ht="15.75">
      <c r="A20" s="318" t="s">
        <v>210</v>
      </c>
      <c r="B20" s="318"/>
      <c r="C20" s="319"/>
      <c r="D20" s="319"/>
      <c r="E20" s="191"/>
      <c r="F20" s="191"/>
      <c r="G20" s="191"/>
      <c r="H20" s="191"/>
      <c r="I20" s="191"/>
      <c r="J20" s="305" t="s">
        <v>612</v>
      </c>
      <c r="K20" s="306">
        <v>1</v>
      </c>
      <c r="L20" s="306">
        <v>2</v>
      </c>
      <c r="M20" s="306">
        <v>3</v>
      </c>
      <c r="N20" s="306">
        <v>4</v>
      </c>
      <c r="O20" s="306">
        <v>5</v>
      </c>
      <c r="P20" s="306">
        <v>6</v>
      </c>
      <c r="Q20" s="306">
        <v>7</v>
      </c>
      <c r="R20" s="306">
        <v>8</v>
      </c>
      <c r="S20" s="306">
        <v>9</v>
      </c>
      <c r="T20" s="306">
        <v>10</v>
      </c>
    </row>
    <row r="21" spans="1:20" s="74" customFormat="1">
      <c r="A21" s="320" t="s">
        <v>211</v>
      </c>
      <c r="B21" s="320" t="s">
        <v>212</v>
      </c>
      <c r="C21" s="320" t="s">
        <v>213</v>
      </c>
      <c r="D21" s="320" t="s">
        <v>214</v>
      </c>
      <c r="E21" s="191"/>
      <c r="F21" s="191"/>
      <c r="G21" s="191"/>
      <c r="H21" s="191"/>
      <c r="I21" s="191"/>
      <c r="J21" s="307" t="s">
        <v>613</v>
      </c>
      <c r="K21" s="308">
        <v>0</v>
      </c>
      <c r="L21" s="308">
        <v>2.9999999999999997E-4</v>
      </c>
      <c r="M21" s="308">
        <v>1.2999999999999999E-3</v>
      </c>
      <c r="N21" s="308">
        <v>2.3999999999999998E-3</v>
      </c>
      <c r="O21" s="308">
        <v>3.4999999999999996E-3</v>
      </c>
      <c r="P21" s="308">
        <v>4.5000000000000005E-3</v>
      </c>
      <c r="Q21" s="308">
        <v>5.1000000000000004E-3</v>
      </c>
      <c r="R21" s="308">
        <v>5.8999999999999999E-3</v>
      </c>
      <c r="S21" s="308">
        <v>6.4000000000000003E-3</v>
      </c>
      <c r="T21" s="308">
        <v>6.9999999999999993E-3</v>
      </c>
    </row>
    <row r="22" spans="1:20" s="74" customFormat="1">
      <c r="A22" s="289">
        <v>-100000</v>
      </c>
      <c r="B22" s="289">
        <v>0.19999900000000001</v>
      </c>
      <c r="C22" s="289" t="s">
        <v>428</v>
      </c>
      <c r="D22" s="321">
        <v>0.2</v>
      </c>
      <c r="E22" s="191"/>
      <c r="F22" s="191"/>
      <c r="G22" s="191"/>
      <c r="H22" s="191"/>
      <c r="I22" s="191"/>
      <c r="J22" s="307" t="s">
        <v>614</v>
      </c>
      <c r="K22" s="308">
        <v>2.0000000000000001E-4</v>
      </c>
      <c r="L22" s="308">
        <v>5.9999999999999995E-4</v>
      </c>
      <c r="M22" s="308">
        <v>1.1999999999999999E-3</v>
      </c>
      <c r="N22" s="308">
        <v>2.0999999999999999E-3</v>
      </c>
      <c r="O22" s="308">
        <v>3.0999999999999999E-3</v>
      </c>
      <c r="P22" s="308">
        <v>4.1999999999999997E-3</v>
      </c>
      <c r="Q22" s="308">
        <v>5.0000000000000001E-3</v>
      </c>
      <c r="R22" s="308">
        <v>5.7999999999999996E-3</v>
      </c>
      <c r="S22" s="308">
        <v>6.5000000000000006E-3</v>
      </c>
      <c r="T22" s="308">
        <v>7.1999999999999998E-3</v>
      </c>
    </row>
    <row r="23" spans="1:20" s="74" customFormat="1">
      <c r="A23" s="289">
        <v>0.2</v>
      </c>
      <c r="B23" s="289">
        <v>0.64999899999999999</v>
      </c>
      <c r="C23" s="289" t="s">
        <v>431</v>
      </c>
      <c r="D23" s="321">
        <v>0.17</v>
      </c>
      <c r="E23" s="191"/>
      <c r="F23" s="289"/>
      <c r="G23" s="191"/>
      <c r="H23" s="191"/>
      <c r="I23" s="191"/>
      <c r="J23" s="307" t="s">
        <v>615</v>
      </c>
      <c r="K23" s="308">
        <v>5.0000000000000001E-4</v>
      </c>
      <c r="L23" s="308">
        <v>1.4000000000000002E-3</v>
      </c>
      <c r="M23" s="308">
        <v>2.3E-3</v>
      </c>
      <c r="N23" s="308">
        <v>3.4999999999999996E-3</v>
      </c>
      <c r="O23" s="308">
        <v>4.6999999999999993E-3</v>
      </c>
      <c r="P23" s="308">
        <v>6.1999999999999998E-3</v>
      </c>
      <c r="Q23" s="308">
        <v>7.9000000000000008E-3</v>
      </c>
      <c r="R23" s="308">
        <v>9.300000000000001E-3</v>
      </c>
      <c r="S23" s="308">
        <v>1.0800000000000001E-2</v>
      </c>
      <c r="T23" s="308">
        <v>1.24E-2</v>
      </c>
    </row>
    <row r="24" spans="1:20" s="74" customFormat="1">
      <c r="A24" s="289">
        <v>0.65</v>
      </c>
      <c r="B24" s="289">
        <v>0.79999900000000002</v>
      </c>
      <c r="C24" s="289" t="s">
        <v>430</v>
      </c>
      <c r="D24" s="321">
        <v>0.1178</v>
      </c>
      <c r="E24" s="191"/>
      <c r="F24" s="191"/>
      <c r="G24" s="191"/>
      <c r="H24" s="191"/>
      <c r="I24" s="191"/>
      <c r="J24" s="307" t="s">
        <v>616</v>
      </c>
      <c r="K24" s="308">
        <v>1.6000000000000001E-3</v>
      </c>
      <c r="L24" s="308">
        <v>4.5000000000000005E-3</v>
      </c>
      <c r="M24" s="308">
        <v>7.8000000000000005E-3</v>
      </c>
      <c r="N24" s="308">
        <v>1.1699999999999999E-2</v>
      </c>
      <c r="O24" s="308">
        <v>1.5800000000000002E-2</v>
      </c>
      <c r="P24" s="308">
        <v>1.9799999999999998E-2</v>
      </c>
      <c r="Q24" s="308">
        <v>2.3300000000000001E-2</v>
      </c>
      <c r="R24" s="308">
        <v>2.6699999999999998E-2</v>
      </c>
      <c r="S24" s="308">
        <v>0.03</v>
      </c>
      <c r="T24" s="308">
        <v>3.32E-2</v>
      </c>
    </row>
    <row r="25" spans="1:20" s="74" customFormat="1">
      <c r="A25" s="289">
        <v>0.8</v>
      </c>
      <c r="B25" s="289">
        <v>1.2499990000000001</v>
      </c>
      <c r="C25" s="289" t="s">
        <v>429</v>
      </c>
      <c r="D25" s="321">
        <v>8.5099999999999995E-2</v>
      </c>
      <c r="E25" s="191"/>
      <c r="F25" s="191"/>
      <c r="G25" s="191"/>
      <c r="H25" s="191"/>
      <c r="I25" s="191"/>
      <c r="J25" s="307" t="s">
        <v>617</v>
      </c>
      <c r="K25" s="308">
        <v>6.0999999999999995E-3</v>
      </c>
      <c r="L25" s="308">
        <v>1.9199999999999998E-2</v>
      </c>
      <c r="M25" s="308">
        <v>3.4799999999999998E-2</v>
      </c>
      <c r="N25" s="308">
        <v>5.0499999999999996E-2</v>
      </c>
      <c r="O25" s="308">
        <v>6.5199999999999994E-2</v>
      </c>
      <c r="P25" s="308">
        <v>7.85E-2</v>
      </c>
      <c r="Q25" s="308">
        <v>9.01E-2</v>
      </c>
      <c r="R25" s="308">
        <v>0.10039999999999999</v>
      </c>
      <c r="S25" s="308">
        <v>0.10970000000000001</v>
      </c>
      <c r="T25" s="308">
        <v>0.11779999999999999</v>
      </c>
    </row>
    <row r="26" spans="1:20" s="74" customFormat="1">
      <c r="A26" s="289">
        <v>1.25</v>
      </c>
      <c r="B26" s="289">
        <v>1.4999990000000001</v>
      </c>
      <c r="C26" s="289" t="s">
        <v>432</v>
      </c>
      <c r="D26" s="321">
        <v>5.2400000000000002E-2</v>
      </c>
      <c r="E26" s="191"/>
      <c r="F26" s="191"/>
      <c r="G26" s="191"/>
      <c r="H26" s="191"/>
      <c r="I26" s="191"/>
      <c r="J26" s="307" t="s">
        <v>92</v>
      </c>
      <c r="K26" s="308">
        <v>3.3300000000000003E-2</v>
      </c>
      <c r="L26" s="308">
        <v>7.7100000000000002E-2</v>
      </c>
      <c r="M26" s="308">
        <v>0.11550000000000001</v>
      </c>
      <c r="N26" s="308">
        <v>0.14580000000000001</v>
      </c>
      <c r="O26" s="308">
        <v>0.16930000000000001</v>
      </c>
      <c r="P26" s="308">
        <v>0.1883</v>
      </c>
      <c r="Q26" s="308">
        <v>0.2036</v>
      </c>
      <c r="R26" s="308">
        <v>0.21600000000000003</v>
      </c>
      <c r="S26" s="308">
        <v>0.22699999999999998</v>
      </c>
      <c r="T26" s="308">
        <v>0.23739999999999997</v>
      </c>
    </row>
    <row r="27" spans="1:20" s="74" customFormat="1">
      <c r="A27" s="289">
        <v>1.5</v>
      </c>
      <c r="B27" s="289">
        <v>1.7499990000000001</v>
      </c>
      <c r="C27" s="289" t="s">
        <v>433</v>
      </c>
      <c r="D27" s="321">
        <v>3.61E-2</v>
      </c>
      <c r="E27" s="191"/>
      <c r="F27" s="191"/>
      <c r="G27" s="191"/>
      <c r="H27" s="191"/>
      <c r="I27" s="191"/>
      <c r="J27" s="307" t="s">
        <v>618</v>
      </c>
      <c r="K27" s="308">
        <v>0.27079999999999999</v>
      </c>
      <c r="L27" s="308">
        <v>0.3664</v>
      </c>
      <c r="M27" s="308">
        <v>0.41409999999999997</v>
      </c>
      <c r="N27" s="308">
        <v>0.441</v>
      </c>
      <c r="O27" s="308">
        <v>0.46189999999999998</v>
      </c>
      <c r="P27" s="308">
        <v>0.47090000000000004</v>
      </c>
      <c r="Q27" s="308">
        <v>0.48259999999999997</v>
      </c>
      <c r="R27" s="308">
        <v>0.49049999999999999</v>
      </c>
      <c r="S27" s="308">
        <v>0.49759999999999999</v>
      </c>
      <c r="T27" s="308">
        <v>0.50380000000000003</v>
      </c>
    </row>
    <row r="28" spans="1:20" s="74" customFormat="1">
      <c r="A28" s="289">
        <v>1.75</v>
      </c>
      <c r="B28" s="289">
        <v>1.9999990000000001</v>
      </c>
      <c r="C28" s="289" t="s">
        <v>434</v>
      </c>
      <c r="D28" s="321">
        <v>3.1399999999999997E-2</v>
      </c>
      <c r="E28" s="191"/>
      <c r="F28" s="191"/>
      <c r="G28" s="191"/>
      <c r="H28" s="191"/>
      <c r="I28" s="191"/>
      <c r="J28" s="191"/>
      <c r="K28" s="191"/>
      <c r="L28" s="191"/>
      <c r="M28" s="191"/>
      <c r="N28" s="191"/>
      <c r="O28" s="191"/>
      <c r="P28" s="191"/>
      <c r="Q28" s="191"/>
      <c r="R28" s="191"/>
      <c r="S28" s="191"/>
      <c r="T28" s="191"/>
    </row>
    <row r="29" spans="1:20" s="74" customFormat="1">
      <c r="A29" s="289">
        <v>2</v>
      </c>
      <c r="B29" s="289">
        <v>2.2499999000000002</v>
      </c>
      <c r="C29" s="289" t="s">
        <v>435</v>
      </c>
      <c r="D29" s="321">
        <v>2.2100000000000002E-2</v>
      </c>
      <c r="E29" s="191"/>
      <c r="F29" s="191"/>
      <c r="G29" s="191"/>
      <c r="H29" s="191"/>
      <c r="I29" s="191"/>
      <c r="J29" s="191"/>
      <c r="K29" s="191"/>
      <c r="L29" s="191"/>
      <c r="M29" s="191"/>
      <c r="N29" s="191"/>
      <c r="O29" s="191"/>
      <c r="P29" s="191"/>
      <c r="Q29" s="191"/>
      <c r="R29" s="191"/>
      <c r="S29" s="191"/>
      <c r="T29" s="191"/>
    </row>
    <row r="30" spans="1:20" s="74" customFormat="1">
      <c r="A30" s="289">
        <v>2.25</v>
      </c>
      <c r="B30" s="289">
        <v>2.4999899999999999</v>
      </c>
      <c r="C30" s="289" t="s">
        <v>436</v>
      </c>
      <c r="D30" s="321">
        <v>1.7399999999999999E-2</v>
      </c>
      <c r="E30" s="191"/>
      <c r="F30" s="191"/>
      <c r="G30" s="191"/>
      <c r="H30" s="191"/>
      <c r="I30" s="191"/>
      <c r="J30" s="191"/>
      <c r="K30" s="191"/>
      <c r="L30" s="191"/>
      <c r="M30" s="191"/>
      <c r="N30" s="191"/>
      <c r="O30" s="191"/>
      <c r="P30" s="191"/>
      <c r="Q30" s="191"/>
      <c r="R30" s="191"/>
      <c r="S30" s="191"/>
      <c r="T30" s="191"/>
    </row>
    <row r="31" spans="1:20" s="74" customFormat="1">
      <c r="A31" s="289">
        <v>2.5</v>
      </c>
      <c r="B31" s="289">
        <v>2.9999989999999999</v>
      </c>
      <c r="C31" s="289" t="s">
        <v>437</v>
      </c>
      <c r="D31" s="321">
        <v>1.47E-2</v>
      </c>
      <c r="E31" s="191"/>
      <c r="F31" s="191"/>
      <c r="G31" s="191"/>
      <c r="H31" s="191"/>
      <c r="I31" s="191"/>
      <c r="J31" s="191"/>
      <c r="K31" s="191"/>
      <c r="L31" s="191"/>
      <c r="M31" s="191"/>
      <c r="N31" s="191"/>
      <c r="O31" s="191"/>
      <c r="P31" s="191"/>
      <c r="Q31" s="191"/>
      <c r="R31" s="191"/>
      <c r="S31" s="191"/>
      <c r="T31" s="191"/>
    </row>
    <row r="32" spans="1:20" s="74" customFormat="1">
      <c r="A32" s="289">
        <v>3</v>
      </c>
      <c r="B32" s="289">
        <v>4.2499989999999999</v>
      </c>
      <c r="C32" s="289" t="s">
        <v>438</v>
      </c>
      <c r="D32" s="321">
        <v>1.21E-2</v>
      </c>
      <c r="E32" s="191"/>
      <c r="F32" s="191"/>
      <c r="G32" s="191"/>
      <c r="H32" s="191"/>
      <c r="I32" s="191"/>
      <c r="J32" s="191"/>
      <c r="K32" s="191"/>
      <c r="L32" s="191"/>
      <c r="M32" s="191"/>
      <c r="N32" s="191"/>
      <c r="O32" s="191"/>
      <c r="P32" s="191"/>
      <c r="Q32" s="191"/>
      <c r="R32" s="191"/>
      <c r="S32" s="191"/>
      <c r="T32" s="191"/>
    </row>
    <row r="33" spans="1:20" s="74" customFormat="1">
      <c r="A33" s="289">
        <v>4.25</v>
      </c>
      <c r="B33" s="289">
        <v>5.4999989999999999</v>
      </c>
      <c r="C33" s="289" t="s">
        <v>439</v>
      </c>
      <c r="D33" s="321">
        <v>1.0699999999999999E-2</v>
      </c>
      <c r="E33" s="191"/>
      <c r="F33" s="191"/>
      <c r="G33" s="191"/>
      <c r="H33" s="191"/>
      <c r="I33" s="191"/>
      <c r="J33" s="191"/>
      <c r="K33" s="191"/>
      <c r="L33" s="191"/>
      <c r="M33" s="191"/>
      <c r="N33" s="191"/>
      <c r="O33" s="191"/>
      <c r="P33" s="191"/>
      <c r="Q33" s="191"/>
      <c r="R33" s="191"/>
      <c r="S33" s="191"/>
      <c r="T33" s="191"/>
    </row>
    <row r="34" spans="1:20" s="74" customFormat="1">
      <c r="A34" s="289">
        <v>5.5</v>
      </c>
      <c r="B34" s="289">
        <v>6.4999989999999999</v>
      </c>
      <c r="C34" s="289" t="s">
        <v>440</v>
      </c>
      <c r="D34" s="321">
        <v>9.1999999999999998E-3</v>
      </c>
      <c r="E34" s="191"/>
      <c r="F34" s="191"/>
      <c r="G34" s="191"/>
      <c r="H34" s="191"/>
      <c r="I34" s="191"/>
      <c r="J34" s="191"/>
      <c r="K34" s="191"/>
      <c r="L34" s="191"/>
      <c r="M34" s="191"/>
      <c r="N34" s="191"/>
      <c r="O34" s="191"/>
      <c r="P34" s="191"/>
      <c r="Q34" s="191"/>
      <c r="R34" s="191"/>
      <c r="S34" s="191"/>
      <c r="T34" s="191"/>
    </row>
    <row r="35" spans="1:20" s="74" customFormat="1">
      <c r="A35" s="289">
        <v>6.5</v>
      </c>
      <c r="B35" s="289">
        <v>8.4999990000000007</v>
      </c>
      <c r="C35" s="289" t="s">
        <v>441</v>
      </c>
      <c r="D35" s="321">
        <v>7.0000000000000001E-3</v>
      </c>
      <c r="E35" s="191"/>
      <c r="F35" s="191"/>
      <c r="G35" s="191"/>
      <c r="H35" s="191"/>
      <c r="I35" s="191"/>
      <c r="J35" s="191"/>
      <c r="K35" s="191"/>
      <c r="L35" s="191"/>
      <c r="M35" s="191"/>
      <c r="N35" s="191"/>
      <c r="O35" s="191"/>
      <c r="P35" s="191"/>
      <c r="Q35" s="191"/>
      <c r="R35" s="191"/>
      <c r="S35" s="191"/>
      <c r="T35" s="191"/>
    </row>
    <row r="36" spans="1:20" s="74" customFormat="1">
      <c r="A36" s="322">
        <v>8.5</v>
      </c>
      <c r="B36" s="289">
        <v>100000</v>
      </c>
      <c r="C36" s="289" t="s">
        <v>442</v>
      </c>
      <c r="D36" s="321">
        <v>5.8999999999999999E-3</v>
      </c>
      <c r="E36" s="191"/>
      <c r="F36" s="191"/>
      <c r="G36" s="191"/>
      <c r="H36" s="191"/>
      <c r="I36" s="191"/>
      <c r="J36" s="191"/>
      <c r="K36" s="191"/>
      <c r="L36" s="191"/>
      <c r="M36" s="191"/>
      <c r="N36" s="191"/>
      <c r="O36" s="191"/>
      <c r="P36" s="191"/>
      <c r="Q36" s="191"/>
      <c r="R36" s="191"/>
      <c r="S36" s="191"/>
      <c r="T36" s="191"/>
    </row>
    <row r="37" spans="1:20" s="74" customFormat="1">
      <c r="A37" s="191"/>
      <c r="B37" s="191"/>
      <c r="C37" s="191"/>
      <c r="D37" s="191"/>
      <c r="E37" s="191"/>
      <c r="F37" s="191"/>
      <c r="G37" s="191"/>
      <c r="H37" s="191"/>
      <c r="I37" s="191"/>
      <c r="J37" s="191"/>
      <c r="K37" s="191"/>
      <c r="L37" s="191"/>
      <c r="M37" s="191"/>
      <c r="N37" s="191"/>
      <c r="O37" s="191"/>
      <c r="P37" s="191"/>
      <c r="Q37" s="191"/>
      <c r="R37" s="191"/>
      <c r="S37" s="191"/>
      <c r="T37" s="191"/>
    </row>
    <row r="38" spans="1:20" s="74" customFormat="1" ht="15.75">
      <c r="A38" s="239" t="s">
        <v>216</v>
      </c>
      <c r="B38" s="191"/>
      <c r="C38" s="191"/>
      <c r="D38" s="191"/>
      <c r="E38" s="191"/>
      <c r="F38" s="191"/>
      <c r="G38" s="191"/>
      <c r="H38" s="191"/>
      <c r="I38" s="191"/>
      <c r="J38" s="191"/>
      <c r="K38" s="191"/>
      <c r="L38" s="191"/>
      <c r="M38" s="191"/>
      <c r="N38" s="191"/>
      <c r="O38" s="191"/>
      <c r="P38" s="191"/>
      <c r="Q38" s="191"/>
      <c r="R38" s="191"/>
      <c r="S38" s="191"/>
      <c r="T38" s="191"/>
    </row>
    <row r="39" spans="1:20" s="74" customFormat="1">
      <c r="A39" s="318" t="s">
        <v>210</v>
      </c>
      <c r="B39" s="323"/>
      <c r="C39" s="289"/>
      <c r="D39" s="289"/>
      <c r="E39" s="191"/>
      <c r="F39" s="191"/>
      <c r="G39" s="191"/>
      <c r="H39" s="191"/>
      <c r="I39" s="191"/>
      <c r="J39" s="191"/>
      <c r="K39" s="191"/>
      <c r="L39" s="191"/>
      <c r="M39" s="191"/>
      <c r="N39" s="191"/>
      <c r="O39" s="191"/>
      <c r="P39" s="191"/>
      <c r="Q39" s="191"/>
      <c r="R39" s="191"/>
      <c r="S39" s="191"/>
      <c r="T39" s="191"/>
    </row>
    <row r="40" spans="1:20" s="74" customFormat="1">
      <c r="A40" s="289" t="s">
        <v>215</v>
      </c>
      <c r="B40" s="289" t="s">
        <v>212</v>
      </c>
      <c r="C40" s="289" t="s">
        <v>213</v>
      </c>
      <c r="D40" s="289" t="s">
        <v>214</v>
      </c>
      <c r="E40" s="191"/>
      <c r="F40" s="191"/>
      <c r="G40" s="191"/>
      <c r="H40" s="191"/>
      <c r="I40" s="191"/>
      <c r="J40" s="191"/>
      <c r="K40" s="191"/>
      <c r="L40" s="191"/>
      <c r="M40" s="191"/>
      <c r="N40" s="191"/>
      <c r="O40" s="191"/>
      <c r="P40" s="191"/>
      <c r="Q40" s="191"/>
      <c r="R40" s="191"/>
      <c r="S40" s="191"/>
      <c r="T40" s="191"/>
    </row>
    <row r="41" spans="1:20" s="74" customFormat="1">
      <c r="A41" s="289">
        <v>-100000</v>
      </c>
      <c r="B41" s="289">
        <v>0.49999900000000003</v>
      </c>
      <c r="C41" s="289" t="s">
        <v>428</v>
      </c>
      <c r="D41" s="321">
        <v>0.2</v>
      </c>
      <c r="E41" s="191"/>
      <c r="F41" s="191"/>
      <c r="G41" s="320" t="s">
        <v>213</v>
      </c>
      <c r="H41" s="320" t="s">
        <v>214</v>
      </c>
      <c r="I41" s="191"/>
      <c r="J41" s="191"/>
      <c r="K41" s="191"/>
      <c r="L41" s="191"/>
      <c r="M41" s="191"/>
      <c r="N41" s="191"/>
      <c r="O41" s="191"/>
      <c r="P41" s="191"/>
      <c r="Q41" s="191"/>
      <c r="R41" s="191"/>
      <c r="S41" s="191"/>
      <c r="T41" s="191"/>
    </row>
    <row r="42" spans="1:20" s="74" customFormat="1">
      <c r="A42" s="289">
        <v>0.5</v>
      </c>
      <c r="B42" s="289">
        <v>0.79999900000000002</v>
      </c>
      <c r="C42" s="289" t="s">
        <v>431</v>
      </c>
      <c r="D42" s="321">
        <v>0.17</v>
      </c>
      <c r="E42" s="191"/>
      <c r="F42" s="191"/>
      <c r="G42" s="289" t="s">
        <v>440</v>
      </c>
      <c r="H42" s="321">
        <v>9.1999999999999998E-3</v>
      </c>
      <c r="I42" s="191"/>
      <c r="J42" s="191"/>
      <c r="K42" s="191"/>
      <c r="L42" s="191"/>
      <c r="M42" s="191"/>
      <c r="N42" s="191"/>
      <c r="O42" s="191"/>
      <c r="P42" s="191"/>
      <c r="Q42" s="191"/>
      <c r="R42" s="191"/>
      <c r="S42" s="191"/>
      <c r="T42" s="191"/>
    </row>
    <row r="43" spans="1:20" s="74" customFormat="1">
      <c r="A43" s="289">
        <v>0.8</v>
      </c>
      <c r="B43" s="289">
        <v>1.2499990000000001</v>
      </c>
      <c r="C43" s="289" t="s">
        <v>430</v>
      </c>
      <c r="D43" s="321">
        <v>0.1178</v>
      </c>
      <c r="E43" s="191"/>
      <c r="F43" s="191"/>
      <c r="G43" s="289" t="s">
        <v>439</v>
      </c>
      <c r="H43" s="321">
        <v>1.0699999999999999E-2</v>
      </c>
      <c r="I43" s="191"/>
      <c r="J43" s="191"/>
      <c r="K43" s="191"/>
      <c r="L43" s="191"/>
      <c r="M43" s="191"/>
      <c r="N43" s="191"/>
      <c r="O43" s="191"/>
      <c r="P43" s="191"/>
      <c r="Q43" s="191"/>
      <c r="R43" s="191"/>
      <c r="S43" s="191"/>
      <c r="T43" s="191"/>
    </row>
    <row r="44" spans="1:20" s="74" customFormat="1">
      <c r="A44" s="289">
        <v>1.25</v>
      </c>
      <c r="B44" s="289">
        <v>1.4999990000000001</v>
      </c>
      <c r="C44" s="289" t="s">
        <v>429</v>
      </c>
      <c r="D44" s="321">
        <v>8.5099999999999995E-2</v>
      </c>
      <c r="E44" s="191"/>
      <c r="F44" s="191"/>
      <c r="G44" s="289" t="s">
        <v>438</v>
      </c>
      <c r="H44" s="321">
        <v>1.21E-2</v>
      </c>
      <c r="I44" s="191"/>
      <c r="J44" s="191"/>
      <c r="K44" s="191"/>
      <c r="L44" s="191"/>
      <c r="M44" s="191"/>
      <c r="N44" s="191"/>
      <c r="O44" s="191"/>
      <c r="P44" s="191"/>
      <c r="Q44" s="191"/>
      <c r="R44" s="191"/>
      <c r="S44" s="191"/>
      <c r="T44" s="191"/>
    </row>
    <row r="45" spans="1:20" s="74" customFormat="1">
      <c r="A45" s="289">
        <v>1.5</v>
      </c>
      <c r="B45" s="289">
        <v>1.9999990000000001</v>
      </c>
      <c r="C45" s="289" t="s">
        <v>432</v>
      </c>
      <c r="D45" s="321">
        <v>5.2400000000000002E-2</v>
      </c>
      <c r="E45" s="191"/>
      <c r="F45" s="191"/>
      <c r="G45" s="289" t="s">
        <v>441</v>
      </c>
      <c r="H45" s="321">
        <v>7.0000000000000001E-3</v>
      </c>
      <c r="I45" s="191"/>
      <c r="J45" s="191"/>
      <c r="K45" s="191"/>
      <c r="L45" s="191"/>
      <c r="M45" s="191"/>
      <c r="N45" s="191"/>
      <c r="O45" s="191"/>
      <c r="P45" s="191"/>
      <c r="Q45" s="191"/>
      <c r="R45" s="191"/>
      <c r="S45" s="191"/>
      <c r="T45" s="191"/>
    </row>
    <row r="46" spans="1:20" s="74" customFormat="1">
      <c r="A46" s="289">
        <v>2</v>
      </c>
      <c r="B46" s="289">
        <v>2.4999989999999999</v>
      </c>
      <c r="C46" s="289" t="s">
        <v>433</v>
      </c>
      <c r="D46" s="321">
        <v>3.61E-2</v>
      </c>
      <c r="E46" s="191"/>
      <c r="F46" s="191"/>
      <c r="G46" s="289" t="s">
        <v>442</v>
      </c>
      <c r="H46" s="321">
        <v>5.8999999999999999E-3</v>
      </c>
      <c r="I46" s="191"/>
      <c r="J46" s="191"/>
      <c r="K46" s="191"/>
      <c r="L46" s="191"/>
      <c r="M46" s="191"/>
      <c r="N46" s="191"/>
      <c r="O46" s="191"/>
      <c r="P46" s="191"/>
      <c r="Q46" s="191"/>
      <c r="R46" s="191"/>
      <c r="S46" s="191"/>
      <c r="T46" s="191"/>
    </row>
    <row r="47" spans="1:20" s="74" customFormat="1">
      <c r="A47" s="289">
        <v>2.5</v>
      </c>
      <c r="B47" s="289">
        <v>2.9999989999999999</v>
      </c>
      <c r="C47" s="289" t="s">
        <v>434</v>
      </c>
      <c r="D47" s="321">
        <v>3.1399999999999997E-2</v>
      </c>
      <c r="E47" s="191"/>
      <c r="F47" s="191"/>
      <c r="G47" s="289" t="s">
        <v>434</v>
      </c>
      <c r="H47" s="321">
        <v>3.1399999999999997E-2</v>
      </c>
      <c r="I47" s="191"/>
      <c r="J47" s="191"/>
      <c r="K47" s="191"/>
      <c r="L47" s="191"/>
      <c r="M47" s="191"/>
      <c r="N47" s="191"/>
      <c r="O47" s="191"/>
      <c r="P47" s="191"/>
      <c r="Q47" s="191"/>
      <c r="R47" s="191"/>
      <c r="S47" s="191"/>
      <c r="T47" s="191"/>
    </row>
    <row r="48" spans="1:20" s="74" customFormat="1">
      <c r="A48" s="289">
        <v>3</v>
      </c>
      <c r="B48" s="289">
        <v>3.4999989999999999</v>
      </c>
      <c r="C48" s="289" t="s">
        <v>435</v>
      </c>
      <c r="D48" s="321">
        <v>2.2100000000000002E-2</v>
      </c>
      <c r="E48" s="191"/>
      <c r="F48" s="191"/>
      <c r="G48" s="289" t="s">
        <v>433</v>
      </c>
      <c r="H48" s="321">
        <v>3.61E-2</v>
      </c>
      <c r="I48" s="191"/>
      <c r="J48" s="191"/>
      <c r="K48" s="191"/>
      <c r="L48" s="191"/>
      <c r="M48" s="191"/>
      <c r="N48" s="191"/>
      <c r="O48" s="191"/>
      <c r="P48" s="191"/>
      <c r="Q48" s="191"/>
      <c r="R48" s="191"/>
      <c r="S48" s="191"/>
      <c r="T48" s="191"/>
    </row>
    <row r="49" spans="1:25" s="74" customFormat="1">
      <c r="A49" s="289">
        <v>3.5</v>
      </c>
      <c r="B49" s="289">
        <v>3.9999999000000002</v>
      </c>
      <c r="C49" s="289" t="s">
        <v>436</v>
      </c>
      <c r="D49" s="321">
        <v>1.7399999999999999E-2</v>
      </c>
      <c r="E49" s="191"/>
      <c r="F49" s="191"/>
      <c r="G49" s="289" t="s">
        <v>432</v>
      </c>
      <c r="H49" s="321">
        <v>5.2400000000000002E-2</v>
      </c>
      <c r="I49" s="191"/>
      <c r="J49" s="191"/>
      <c r="K49" s="191"/>
      <c r="L49" s="191"/>
      <c r="M49" s="191"/>
      <c r="N49" s="191"/>
      <c r="O49" s="191"/>
      <c r="P49" s="191"/>
      <c r="Q49" s="191"/>
      <c r="R49" s="191"/>
      <c r="S49" s="191"/>
      <c r="T49" s="191"/>
    </row>
    <row r="50" spans="1:25" s="74" customFormat="1">
      <c r="A50" s="289">
        <v>4</v>
      </c>
      <c r="B50" s="289">
        <v>4.4999989999999999</v>
      </c>
      <c r="C50" s="289" t="s">
        <v>437</v>
      </c>
      <c r="D50" s="321">
        <v>1.47E-2</v>
      </c>
      <c r="E50" s="191"/>
      <c r="F50" s="191"/>
      <c r="G50" s="289" t="s">
        <v>436</v>
      </c>
      <c r="H50" s="321">
        <v>1.7399999999999999E-2</v>
      </c>
      <c r="I50" s="191"/>
      <c r="J50" s="191"/>
      <c r="K50" s="191"/>
      <c r="L50" s="191"/>
      <c r="M50" s="191"/>
      <c r="N50" s="191"/>
      <c r="O50" s="191"/>
      <c r="P50" s="191"/>
      <c r="Q50" s="191"/>
      <c r="R50" s="191"/>
      <c r="S50" s="191"/>
      <c r="T50" s="191"/>
    </row>
    <row r="51" spans="1:25" s="74" customFormat="1">
      <c r="A51" s="289">
        <v>4.5</v>
      </c>
      <c r="B51" s="289">
        <v>5.9999989999999999</v>
      </c>
      <c r="C51" s="289" t="s">
        <v>438</v>
      </c>
      <c r="D51" s="321">
        <v>1.21E-2</v>
      </c>
      <c r="E51" s="191"/>
      <c r="F51" s="191"/>
      <c r="G51" s="289" t="s">
        <v>435</v>
      </c>
      <c r="H51" s="321">
        <v>2.2100000000000002E-2</v>
      </c>
      <c r="I51" s="191"/>
      <c r="J51" s="191"/>
      <c r="K51" s="191"/>
      <c r="L51" s="191"/>
      <c r="M51" s="191"/>
      <c r="N51" s="191"/>
      <c r="O51" s="191"/>
      <c r="P51" s="191"/>
      <c r="Q51" s="191"/>
      <c r="R51" s="191"/>
      <c r="S51" s="191"/>
      <c r="T51" s="191"/>
    </row>
    <row r="52" spans="1:25" s="74" customFormat="1">
      <c r="A52" s="289">
        <v>6</v>
      </c>
      <c r="B52" s="289">
        <v>7.4999989999999999</v>
      </c>
      <c r="C52" s="289" t="s">
        <v>439</v>
      </c>
      <c r="D52" s="321">
        <v>1.0699999999999999E-2</v>
      </c>
      <c r="E52" s="191"/>
      <c r="F52" s="191"/>
      <c r="G52" s="289" t="s">
        <v>437</v>
      </c>
      <c r="H52" s="321">
        <v>1.47E-2</v>
      </c>
      <c r="I52" s="191"/>
      <c r="J52" s="191"/>
      <c r="K52" s="191"/>
      <c r="L52" s="191"/>
      <c r="M52" s="191"/>
      <c r="N52" s="191"/>
      <c r="O52" s="191"/>
      <c r="P52" s="191"/>
      <c r="Q52" s="191"/>
      <c r="R52" s="191"/>
      <c r="S52" s="191"/>
      <c r="T52" s="191"/>
    </row>
    <row r="53" spans="1:25" s="74" customFormat="1">
      <c r="A53" s="289">
        <v>7.5</v>
      </c>
      <c r="B53" s="289">
        <v>9.4999990000000007</v>
      </c>
      <c r="C53" s="289" t="s">
        <v>440</v>
      </c>
      <c r="D53" s="321">
        <v>9.1999999999999998E-3</v>
      </c>
      <c r="E53" s="191"/>
      <c r="F53" s="191"/>
      <c r="G53" s="289" t="s">
        <v>431</v>
      </c>
      <c r="H53" s="321">
        <v>0.17</v>
      </c>
      <c r="I53" s="191"/>
      <c r="J53" s="191"/>
      <c r="K53" s="191"/>
      <c r="L53" s="191"/>
      <c r="M53" s="191"/>
      <c r="N53" s="191"/>
      <c r="O53" s="191"/>
      <c r="P53" s="191"/>
      <c r="Q53" s="191"/>
      <c r="R53" s="191"/>
      <c r="S53" s="191"/>
      <c r="T53" s="191"/>
    </row>
    <row r="54" spans="1:25">
      <c r="A54" s="289">
        <v>9.5</v>
      </c>
      <c r="B54" s="289">
        <v>12.499999000000001</v>
      </c>
      <c r="C54" s="289" t="s">
        <v>441</v>
      </c>
      <c r="D54" s="321">
        <v>7.0000000000000001E-3</v>
      </c>
      <c r="G54" s="289" t="s">
        <v>430</v>
      </c>
      <c r="H54" s="321">
        <v>0.1178</v>
      </c>
      <c r="U54" s="74"/>
      <c r="V54" s="74"/>
      <c r="W54" s="74"/>
      <c r="X54" s="74"/>
      <c r="Y54" s="74"/>
    </row>
    <row r="55" spans="1:25">
      <c r="A55" s="289">
        <v>12.5</v>
      </c>
      <c r="B55" s="289">
        <v>100000</v>
      </c>
      <c r="C55" s="289" t="s">
        <v>442</v>
      </c>
      <c r="D55" s="321">
        <v>5.8999999999999999E-3</v>
      </c>
      <c r="G55" s="289" t="s">
        <v>429</v>
      </c>
      <c r="H55" s="321">
        <v>8.5099999999999995E-2</v>
      </c>
      <c r="U55" s="74"/>
      <c r="V55" s="74"/>
      <c r="W55" s="74"/>
      <c r="X55" s="74"/>
      <c r="Y55" s="74"/>
    </row>
    <row r="56" spans="1:25">
      <c r="G56" s="289" t="s">
        <v>428</v>
      </c>
      <c r="H56" s="321">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36" zoomScale="141" zoomScaleNormal="141" workbookViewId="0">
      <selection activeCell="D40" sqref="D40"/>
    </sheetView>
  </sheetViews>
  <sheetFormatPr defaultColWidth="11" defaultRowHeight="12"/>
  <cols>
    <col min="1" max="1" width="28.42578125" style="298" customWidth="1"/>
    <col min="2" max="2" width="17.42578125" style="298" customWidth="1"/>
    <col min="3" max="3" width="11" style="298" bestFit="1" customWidth="1"/>
    <col min="4" max="4" width="13.5703125" style="298" customWidth="1"/>
    <col min="5" max="6" width="11.140625" style="298" bestFit="1" customWidth="1"/>
    <col min="7" max="10" width="10.85546875" style="298"/>
  </cols>
  <sheetData>
    <row r="1" spans="1:10" s="5" customFormat="1" ht="18.75">
      <c r="A1" s="325" t="s">
        <v>381</v>
      </c>
      <c r="B1" s="325"/>
      <c r="C1" s="325"/>
      <c r="D1" s="325"/>
      <c r="E1" s="325"/>
      <c r="F1" s="325"/>
      <c r="G1" s="325"/>
      <c r="H1" s="325"/>
      <c r="I1" s="325"/>
      <c r="J1" s="325"/>
    </row>
    <row r="2" spans="1:10" s="6" customFormat="1" ht="12.75">
      <c r="A2" s="300" t="s">
        <v>382</v>
      </c>
      <c r="B2" s="300"/>
      <c r="C2" s="300"/>
      <c r="D2" s="300"/>
      <c r="E2" s="300"/>
      <c r="F2" s="300"/>
      <c r="G2" s="300"/>
      <c r="H2" s="300"/>
      <c r="I2" s="300"/>
      <c r="J2" s="300"/>
    </row>
    <row r="3" spans="1:10" s="6" customFormat="1" ht="12.75">
      <c r="A3" s="300" t="s">
        <v>383</v>
      </c>
      <c r="B3" s="300"/>
      <c r="C3" s="300"/>
      <c r="D3" s="300"/>
      <c r="E3" s="300"/>
      <c r="F3" s="300"/>
      <c r="G3" s="300"/>
      <c r="H3" s="300"/>
      <c r="I3" s="300"/>
      <c r="J3" s="300"/>
    </row>
    <row r="4" spans="1:10" s="6" customFormat="1" ht="12.75">
      <c r="A4" s="300"/>
      <c r="B4" s="300"/>
      <c r="C4" s="300"/>
      <c r="D4" s="300"/>
      <c r="E4" s="300"/>
      <c r="F4" s="300"/>
      <c r="G4" s="300"/>
      <c r="H4" s="300"/>
      <c r="I4" s="300"/>
      <c r="J4" s="300"/>
    </row>
    <row r="5" spans="1:10" s="6" customFormat="1" ht="12.75">
      <c r="A5" s="304" t="s">
        <v>4</v>
      </c>
      <c r="B5" s="300"/>
      <c r="C5" s="300"/>
      <c r="D5" s="300"/>
      <c r="E5" s="300"/>
      <c r="F5" s="300"/>
      <c r="G5" s="300"/>
      <c r="H5" s="300"/>
      <c r="I5" s="300"/>
      <c r="J5" s="300"/>
    </row>
    <row r="6" spans="1:10" s="6" customFormat="1" ht="12.75">
      <c r="A6" s="300" t="s">
        <v>384</v>
      </c>
      <c r="B6" s="300"/>
      <c r="C6" s="300"/>
      <c r="D6" s="300"/>
      <c r="E6" s="300"/>
      <c r="F6" s="326">
        <v>3</v>
      </c>
      <c r="G6" s="300" t="s">
        <v>385</v>
      </c>
      <c r="H6" s="300"/>
      <c r="I6" s="300"/>
      <c r="J6" s="300"/>
    </row>
    <row r="7" spans="1:10" s="6" customFormat="1" ht="12.75">
      <c r="A7" s="300" t="s">
        <v>386</v>
      </c>
      <c r="B7" s="300"/>
      <c r="C7" s="300"/>
      <c r="D7" s="300"/>
      <c r="E7" s="300"/>
      <c r="F7" s="327">
        <v>85622</v>
      </c>
      <c r="G7" s="300" t="s">
        <v>387</v>
      </c>
      <c r="H7" s="300"/>
      <c r="I7" s="300"/>
      <c r="J7" s="300"/>
    </row>
    <row r="8" spans="1:10" s="6" customFormat="1" ht="12.75">
      <c r="A8" s="300" t="s">
        <v>388</v>
      </c>
      <c r="B8" s="300"/>
      <c r="C8" s="300"/>
      <c r="D8" s="300"/>
      <c r="E8" s="300"/>
      <c r="F8" s="300"/>
      <c r="G8" s="300"/>
      <c r="H8" s="300"/>
      <c r="I8" s="300"/>
      <c r="J8" s="300"/>
    </row>
    <row r="9" spans="1:10" s="6" customFormat="1" ht="12.75">
      <c r="A9" s="300" t="s">
        <v>389</v>
      </c>
      <c r="B9" s="300"/>
      <c r="C9" s="300"/>
      <c r="D9" s="300"/>
      <c r="E9" s="300"/>
      <c r="F9" s="300"/>
      <c r="G9" s="300"/>
      <c r="H9" s="300"/>
      <c r="I9" s="300"/>
      <c r="J9" s="300"/>
    </row>
    <row r="10" spans="1:10" s="95" customFormat="1" ht="12.75">
      <c r="A10" s="336" t="s">
        <v>108</v>
      </c>
      <c r="B10" s="336" t="s">
        <v>390</v>
      </c>
      <c r="C10" s="329"/>
      <c r="D10" s="329"/>
      <c r="E10" s="329"/>
      <c r="F10" s="329"/>
      <c r="G10" s="329"/>
      <c r="H10" s="329"/>
      <c r="I10" s="329"/>
      <c r="J10" s="330"/>
    </row>
    <row r="11" spans="1:10" s="95" customFormat="1" ht="12.75">
      <c r="A11" s="414">
        <v>-1</v>
      </c>
      <c r="B11" s="415">
        <v>73213</v>
      </c>
      <c r="C11" s="329" t="s">
        <v>978</v>
      </c>
      <c r="D11" s="329"/>
      <c r="E11" s="329"/>
      <c r="F11" s="329"/>
      <c r="G11" s="329"/>
      <c r="H11" s="329"/>
      <c r="I11" s="329"/>
      <c r="J11" s="330"/>
    </row>
    <row r="12" spans="1:10" s="95" customFormat="1" ht="12.75">
      <c r="A12" s="414">
        <f>IF((0-A11)&lt;$F$6,IF(A11&gt;-1,,A11-1),)</f>
        <v>-2</v>
      </c>
      <c r="B12" s="415">
        <v>56052</v>
      </c>
      <c r="C12" s="329" t="s">
        <v>979</v>
      </c>
      <c r="D12" s="329"/>
      <c r="E12" s="329"/>
      <c r="F12" s="329"/>
      <c r="G12" s="329"/>
      <c r="H12" s="329"/>
      <c r="I12" s="329"/>
      <c r="J12" s="330"/>
    </row>
    <row r="13" spans="1:10" s="95" customFormat="1" ht="12.75">
      <c r="A13" s="414">
        <f t="shared" ref="A13:A20" si="0">IF((0-A12)&lt;$F$6,IF(A12&gt;-1,,A12-1),)</f>
        <v>-3</v>
      </c>
      <c r="B13" s="415">
        <v>42740</v>
      </c>
      <c r="C13" s="329"/>
      <c r="D13" s="329"/>
      <c r="E13" s="329"/>
      <c r="F13" s="329"/>
      <c r="G13" s="329"/>
      <c r="H13" s="329"/>
      <c r="I13" s="329"/>
      <c r="J13" s="330"/>
    </row>
    <row r="14" spans="1:10" s="95" customFormat="1" ht="12.75">
      <c r="A14" s="414">
        <f t="shared" si="0"/>
        <v>0</v>
      </c>
      <c r="B14" s="415"/>
      <c r="C14" s="329"/>
      <c r="D14" s="329"/>
      <c r="E14" s="329"/>
      <c r="F14" s="329"/>
      <c r="G14" s="329"/>
      <c r="H14" s="329"/>
      <c r="I14" s="329"/>
      <c r="J14" s="330"/>
    </row>
    <row r="15" spans="1:10" s="95" customFormat="1" ht="12.75">
      <c r="A15" s="414">
        <f t="shared" si="0"/>
        <v>0</v>
      </c>
      <c r="B15" s="415"/>
      <c r="C15" s="329"/>
      <c r="D15" s="329"/>
      <c r="E15" s="329"/>
      <c r="F15" s="329"/>
      <c r="G15" s="329"/>
      <c r="H15" s="329"/>
      <c r="I15" s="329"/>
      <c r="J15" s="330"/>
    </row>
    <row r="16" spans="1:10" s="95" customFormat="1" ht="12.75">
      <c r="A16" s="414">
        <f t="shared" si="0"/>
        <v>0</v>
      </c>
      <c r="B16" s="415"/>
      <c r="C16" s="329"/>
      <c r="D16" s="329"/>
      <c r="E16" s="329"/>
      <c r="F16" s="329"/>
      <c r="G16" s="329"/>
      <c r="H16" s="329"/>
      <c r="I16" s="329"/>
      <c r="J16" s="330"/>
    </row>
    <row r="17" spans="1:10" s="95" customFormat="1" ht="12.75">
      <c r="A17" s="414">
        <f t="shared" si="0"/>
        <v>0</v>
      </c>
      <c r="B17" s="415"/>
      <c r="C17" s="329"/>
      <c r="D17" s="329"/>
      <c r="E17" s="329"/>
      <c r="F17" s="329"/>
      <c r="G17" s="329"/>
      <c r="H17" s="329"/>
      <c r="I17" s="329"/>
      <c r="J17" s="330"/>
    </row>
    <row r="18" spans="1:10" s="95" customFormat="1" ht="12.75">
      <c r="A18" s="414">
        <f t="shared" si="0"/>
        <v>0</v>
      </c>
      <c r="B18" s="415"/>
      <c r="C18" s="329"/>
      <c r="D18" s="329"/>
      <c r="E18" s="329"/>
      <c r="F18" s="329"/>
      <c r="G18" s="329"/>
      <c r="H18" s="329"/>
      <c r="I18" s="329"/>
      <c r="J18" s="330"/>
    </row>
    <row r="19" spans="1:10" s="95" customFormat="1" ht="12.75">
      <c r="A19" s="414">
        <f t="shared" si="0"/>
        <v>0</v>
      </c>
      <c r="B19" s="415"/>
      <c r="C19" s="329"/>
      <c r="D19" s="329"/>
      <c r="E19" s="329"/>
      <c r="F19" s="329"/>
      <c r="G19" s="329"/>
      <c r="H19" s="329"/>
      <c r="I19" s="329"/>
      <c r="J19" s="330"/>
    </row>
    <row r="20" spans="1:10" s="95" customFormat="1" ht="12.75">
      <c r="A20" s="414">
        <f t="shared" si="0"/>
        <v>0</v>
      </c>
      <c r="B20" s="415"/>
      <c r="C20" s="329"/>
      <c r="D20" s="329"/>
      <c r="E20" s="329"/>
      <c r="F20" s="329"/>
      <c r="G20" s="329"/>
      <c r="H20" s="329"/>
      <c r="I20" s="329"/>
      <c r="J20" s="330"/>
    </row>
    <row r="21" spans="1:10" s="95" customFormat="1" ht="12.75">
      <c r="A21" s="329"/>
      <c r="B21" s="329"/>
      <c r="C21" s="329"/>
      <c r="D21" s="329"/>
      <c r="E21" s="329"/>
      <c r="F21" s="329"/>
      <c r="G21" s="329"/>
      <c r="H21" s="329"/>
      <c r="I21" s="329"/>
      <c r="J21" s="330"/>
    </row>
    <row r="22" spans="1:10" s="95" customFormat="1" ht="12.75">
      <c r="A22" s="332" t="s">
        <v>112</v>
      </c>
      <c r="B22" s="329"/>
      <c r="C22" s="329"/>
      <c r="D22" s="329"/>
      <c r="E22" s="329"/>
      <c r="F22" s="329"/>
      <c r="G22" s="329"/>
      <c r="H22" s="329"/>
      <c r="I22" s="329"/>
      <c r="J22" s="330"/>
    </row>
    <row r="23" spans="1:10" s="95" customFormat="1" ht="12.75">
      <c r="A23" s="328" t="s">
        <v>108</v>
      </c>
      <c r="B23" s="328" t="s">
        <v>391</v>
      </c>
      <c r="C23" s="333" t="s">
        <v>392</v>
      </c>
      <c r="D23" s="334"/>
      <c r="E23" s="329" t="s">
        <v>393</v>
      </c>
      <c r="F23" s="329"/>
      <c r="G23" s="329"/>
      <c r="H23" s="329"/>
      <c r="I23" s="329"/>
      <c r="J23" s="330"/>
    </row>
    <row r="24" spans="1:10" s="95" customFormat="1" ht="12.75">
      <c r="A24" s="328" t="s">
        <v>394</v>
      </c>
      <c r="B24" s="328">
        <f>F7</f>
        <v>85622</v>
      </c>
      <c r="C24" s="328">
        <f>1</f>
        <v>1</v>
      </c>
      <c r="D24" s="328">
        <f>B24*C24</f>
        <v>85622</v>
      </c>
      <c r="E24" s="329"/>
      <c r="F24" s="329"/>
      <c r="G24" s="329"/>
      <c r="H24" s="329"/>
      <c r="I24" s="329"/>
      <c r="J24" s="330"/>
    </row>
    <row r="25" spans="1:10" s="95" customFormat="1" ht="12.75">
      <c r="A25" s="331">
        <f>A11</f>
        <v>-1</v>
      </c>
      <c r="B25" s="328">
        <f>B11</f>
        <v>73213</v>
      </c>
      <c r="C25" s="328">
        <f>IF(A25&lt;0,($F$6+A25)/$F$6,0)</f>
        <v>0.66666666666666663</v>
      </c>
      <c r="D25" s="328">
        <f>B25*C25</f>
        <v>48808.666666666664</v>
      </c>
      <c r="E25" s="335">
        <f t="shared" ref="E25:E34" si="1">IF(A25&lt;0,B25/$F$6,0)</f>
        <v>24404.333333333332</v>
      </c>
      <c r="F25" s="329"/>
      <c r="G25" s="329"/>
      <c r="H25" s="329"/>
      <c r="I25" s="329"/>
      <c r="J25" s="330"/>
    </row>
    <row r="26" spans="1:10" s="95" customFormat="1" ht="12.75">
      <c r="A26" s="331">
        <f t="shared" ref="A26:B34" si="2">A12</f>
        <v>-2</v>
      </c>
      <c r="B26" s="328">
        <f t="shared" si="2"/>
        <v>56052</v>
      </c>
      <c r="C26" s="328">
        <f>IF(A26&lt;0,($F$6+A26)/$F$6,0)</f>
        <v>0.33333333333333331</v>
      </c>
      <c r="D26" s="328">
        <f t="shared" ref="D26:D34" si="3">B26*C26</f>
        <v>18684</v>
      </c>
      <c r="E26" s="335">
        <f t="shared" si="1"/>
        <v>18684</v>
      </c>
      <c r="F26" s="329"/>
      <c r="G26" s="329"/>
      <c r="H26" s="329"/>
      <c r="I26" s="329"/>
      <c r="J26" s="330"/>
    </row>
    <row r="27" spans="1:10" s="95" customFormat="1" ht="12.75">
      <c r="A27" s="331">
        <f t="shared" si="2"/>
        <v>-3</v>
      </c>
      <c r="B27" s="328">
        <f t="shared" si="2"/>
        <v>42740</v>
      </c>
      <c r="C27" s="328">
        <f>IF(A27&lt;0,($F$6+A27)/$F$6,0)</f>
        <v>0</v>
      </c>
      <c r="D27" s="328">
        <f t="shared" si="3"/>
        <v>0</v>
      </c>
      <c r="E27" s="335">
        <f t="shared" si="1"/>
        <v>14246.666666666666</v>
      </c>
      <c r="F27" s="329"/>
      <c r="G27" s="329"/>
      <c r="H27" s="329"/>
      <c r="I27" s="329"/>
      <c r="J27" s="330"/>
    </row>
    <row r="28" spans="1:10" s="95" customFormat="1" ht="12.75">
      <c r="A28" s="331">
        <f t="shared" si="2"/>
        <v>0</v>
      </c>
      <c r="B28" s="328">
        <f t="shared" si="2"/>
        <v>0</v>
      </c>
      <c r="C28" s="328">
        <f t="shared" ref="C28:C34" si="4">IF(A28&lt;0,($F$6+A28)/$F$6,0)</f>
        <v>0</v>
      </c>
      <c r="D28" s="328">
        <f t="shared" si="3"/>
        <v>0</v>
      </c>
      <c r="E28" s="335">
        <f t="shared" si="1"/>
        <v>0</v>
      </c>
      <c r="F28" s="329"/>
      <c r="G28" s="329"/>
      <c r="H28" s="329"/>
      <c r="I28" s="329"/>
      <c r="J28" s="330"/>
    </row>
    <row r="29" spans="1:10" s="95" customFormat="1" ht="12.75">
      <c r="A29" s="331">
        <f t="shared" si="2"/>
        <v>0</v>
      </c>
      <c r="B29" s="328">
        <f t="shared" si="2"/>
        <v>0</v>
      </c>
      <c r="C29" s="328">
        <f t="shared" si="4"/>
        <v>0</v>
      </c>
      <c r="D29" s="328">
        <f t="shared" si="3"/>
        <v>0</v>
      </c>
      <c r="E29" s="335">
        <f t="shared" si="1"/>
        <v>0</v>
      </c>
      <c r="F29" s="329"/>
      <c r="G29" s="329"/>
      <c r="H29" s="329"/>
      <c r="I29" s="329"/>
      <c r="J29" s="330"/>
    </row>
    <row r="30" spans="1:10" s="95" customFormat="1" ht="12.75">
      <c r="A30" s="331">
        <f t="shared" si="2"/>
        <v>0</v>
      </c>
      <c r="B30" s="328">
        <f t="shared" si="2"/>
        <v>0</v>
      </c>
      <c r="C30" s="328">
        <f t="shared" si="4"/>
        <v>0</v>
      </c>
      <c r="D30" s="328">
        <f t="shared" si="3"/>
        <v>0</v>
      </c>
      <c r="E30" s="335">
        <f t="shared" si="1"/>
        <v>0</v>
      </c>
      <c r="F30" s="329"/>
      <c r="G30" s="329"/>
      <c r="H30" s="329"/>
      <c r="I30" s="329"/>
      <c r="J30" s="330"/>
    </row>
    <row r="31" spans="1:10" s="95" customFormat="1" ht="12.75">
      <c r="A31" s="331">
        <f t="shared" si="2"/>
        <v>0</v>
      </c>
      <c r="B31" s="328">
        <f t="shared" si="2"/>
        <v>0</v>
      </c>
      <c r="C31" s="328">
        <f t="shared" si="4"/>
        <v>0</v>
      </c>
      <c r="D31" s="328">
        <f t="shared" si="3"/>
        <v>0</v>
      </c>
      <c r="E31" s="335">
        <f t="shared" si="1"/>
        <v>0</v>
      </c>
      <c r="F31" s="329"/>
      <c r="G31" s="329"/>
      <c r="H31" s="329"/>
      <c r="I31" s="329"/>
      <c r="J31" s="330"/>
    </row>
    <row r="32" spans="1:10" s="95" customFormat="1" ht="12.75">
      <c r="A32" s="331">
        <f t="shared" si="2"/>
        <v>0</v>
      </c>
      <c r="B32" s="328">
        <f t="shared" si="2"/>
        <v>0</v>
      </c>
      <c r="C32" s="328">
        <f t="shared" si="4"/>
        <v>0</v>
      </c>
      <c r="D32" s="328">
        <f t="shared" si="3"/>
        <v>0</v>
      </c>
      <c r="E32" s="335">
        <f t="shared" si="1"/>
        <v>0</v>
      </c>
      <c r="F32" s="329"/>
      <c r="G32" s="329"/>
      <c r="H32" s="329"/>
      <c r="I32" s="329"/>
      <c r="J32" s="330"/>
    </row>
    <row r="33" spans="1:10" s="95" customFormat="1" ht="12.75">
      <c r="A33" s="331">
        <f t="shared" si="2"/>
        <v>0</v>
      </c>
      <c r="B33" s="328">
        <f t="shared" si="2"/>
        <v>0</v>
      </c>
      <c r="C33" s="328">
        <f t="shared" si="4"/>
        <v>0</v>
      </c>
      <c r="D33" s="328">
        <f t="shared" si="3"/>
        <v>0</v>
      </c>
      <c r="E33" s="335">
        <f t="shared" si="1"/>
        <v>0</v>
      </c>
      <c r="F33" s="329"/>
      <c r="G33" s="329"/>
      <c r="H33" s="329"/>
      <c r="I33" s="329"/>
      <c r="J33" s="330"/>
    </row>
    <row r="34" spans="1:10" s="95" customFormat="1" ht="16.149999999999999" customHeight="1" thickBot="1">
      <c r="A34" s="331">
        <f t="shared" si="2"/>
        <v>0</v>
      </c>
      <c r="B34" s="328">
        <f t="shared" si="2"/>
        <v>0</v>
      </c>
      <c r="C34" s="328">
        <f t="shared" si="4"/>
        <v>0</v>
      </c>
      <c r="D34" s="336">
        <f t="shared" si="3"/>
        <v>0</v>
      </c>
      <c r="E34" s="337">
        <f t="shared" si="1"/>
        <v>0</v>
      </c>
      <c r="F34" s="329"/>
      <c r="G34" s="329"/>
      <c r="H34" s="329"/>
      <c r="I34" s="329"/>
      <c r="J34" s="330"/>
    </row>
    <row r="35" spans="1:10" s="6" customFormat="1" ht="13.5" thickBot="1">
      <c r="A35" s="300" t="s">
        <v>395</v>
      </c>
      <c r="B35" s="300"/>
      <c r="C35" s="300"/>
      <c r="D35" s="338">
        <f>SUM(D24:D34)</f>
        <v>153114.66666666666</v>
      </c>
      <c r="E35" s="338">
        <f>SUM(E25:E34)</f>
        <v>57334.999999999993</v>
      </c>
      <c r="F35" s="300"/>
      <c r="G35" s="300"/>
      <c r="H35" s="300"/>
      <c r="I35" s="300"/>
      <c r="J35" s="300"/>
    </row>
    <row r="36" spans="1:10" ht="12.75" thickBot="1">
      <c r="D36" s="339"/>
      <c r="E36" s="339"/>
    </row>
    <row r="37" spans="1:10" s="6" customFormat="1" ht="13.5" thickBot="1">
      <c r="A37" s="300" t="s">
        <v>396</v>
      </c>
      <c r="B37" s="300"/>
      <c r="C37" s="300"/>
      <c r="D37" s="338">
        <f>E35</f>
        <v>57334.999999999993</v>
      </c>
      <c r="E37" s="340"/>
      <c r="F37" s="300"/>
      <c r="G37" s="300"/>
      <c r="H37" s="300"/>
      <c r="I37" s="300"/>
      <c r="J37" s="300"/>
    </row>
    <row r="38" spans="1:10" s="6" customFormat="1" ht="13.5" thickBot="1">
      <c r="A38" s="300"/>
      <c r="B38" s="300"/>
      <c r="C38" s="300"/>
      <c r="D38" s="300"/>
      <c r="E38" s="300"/>
      <c r="F38" s="300"/>
      <c r="G38" s="300"/>
      <c r="H38" s="300"/>
      <c r="I38" s="300"/>
      <c r="J38" s="300"/>
    </row>
    <row r="39" spans="1:10" s="6" customFormat="1" ht="12.75">
      <c r="A39" s="300" t="s">
        <v>397</v>
      </c>
      <c r="B39" s="300"/>
      <c r="C39" s="300"/>
      <c r="D39" s="341">
        <f>F7-D37</f>
        <v>28287.000000000007</v>
      </c>
      <c r="E39" s="300" t="s">
        <v>398</v>
      </c>
      <c r="F39" s="300"/>
      <c r="G39" s="300"/>
      <c r="H39" s="300"/>
      <c r="I39" s="300"/>
      <c r="J39" s="300"/>
    </row>
    <row r="40" spans="1:10" ht="12.75">
      <c r="A40" s="298" t="s">
        <v>399</v>
      </c>
      <c r="D40" s="342">
        <f>D39*'Input sheet'!B24</f>
        <v>7071.7500000000018</v>
      </c>
      <c r="E40" s="300"/>
    </row>
    <row r="42" spans="1:10">
      <c r="A42" s="298" t="s">
        <v>907</v>
      </c>
    </row>
    <row r="43" spans="1:10">
      <c r="A43" s="410" t="s">
        <v>86</v>
      </c>
      <c r="B43" s="411" t="s">
        <v>908</v>
      </c>
    </row>
    <row r="44" spans="1:10">
      <c r="A44" s="408" t="s">
        <v>87</v>
      </c>
      <c r="B44" s="409">
        <v>2</v>
      </c>
    </row>
    <row r="45" spans="1:10">
      <c r="A45" s="408" t="s">
        <v>638</v>
      </c>
      <c r="B45" s="409">
        <v>10</v>
      </c>
    </row>
    <row r="46" spans="1:10">
      <c r="A46" s="408" t="s">
        <v>639</v>
      </c>
      <c r="B46" s="409">
        <v>10</v>
      </c>
    </row>
    <row r="47" spans="1:10">
      <c r="A47" s="408" t="s">
        <v>909</v>
      </c>
      <c r="B47" s="409">
        <v>5</v>
      </c>
    </row>
    <row r="48" spans="1:10">
      <c r="A48" s="408" t="s">
        <v>640</v>
      </c>
      <c r="B48" s="409">
        <v>3</v>
      </c>
    </row>
    <row r="49" spans="1:2">
      <c r="A49" s="408" t="s">
        <v>641</v>
      </c>
      <c r="B49" s="409">
        <v>10</v>
      </c>
    </row>
    <row r="50" spans="1:2">
      <c r="A50" s="408" t="s">
        <v>910</v>
      </c>
      <c r="B50" s="409">
        <v>5</v>
      </c>
    </row>
    <row r="51" spans="1:2">
      <c r="A51" s="408" t="s">
        <v>911</v>
      </c>
      <c r="B51" s="409">
        <v>5</v>
      </c>
    </row>
    <row r="52" spans="1:2">
      <c r="A52" s="408" t="s">
        <v>912</v>
      </c>
      <c r="B52" s="409">
        <v>2</v>
      </c>
    </row>
    <row r="53" spans="1:2">
      <c r="A53" s="408" t="s">
        <v>913</v>
      </c>
      <c r="B53" s="409">
        <v>2</v>
      </c>
    </row>
    <row r="54" spans="1:2">
      <c r="A54" s="408" t="s">
        <v>914</v>
      </c>
      <c r="B54" s="409">
        <v>2</v>
      </c>
    </row>
    <row r="55" spans="1:2">
      <c r="A55" s="408" t="s">
        <v>915</v>
      </c>
      <c r="B55" s="409">
        <v>2</v>
      </c>
    </row>
    <row r="56" spans="1:2">
      <c r="A56" s="408" t="s">
        <v>645</v>
      </c>
      <c r="B56" s="409">
        <v>3</v>
      </c>
    </row>
    <row r="57" spans="1:2">
      <c r="A57" s="408" t="s">
        <v>916</v>
      </c>
      <c r="B57" s="409">
        <v>3</v>
      </c>
    </row>
    <row r="58" spans="1:2">
      <c r="A58" s="408" t="s">
        <v>649</v>
      </c>
      <c r="B58" s="409">
        <v>5</v>
      </c>
    </row>
    <row r="59" spans="1:2">
      <c r="A59" s="408" t="s">
        <v>651</v>
      </c>
      <c r="B59" s="409">
        <v>10</v>
      </c>
    </row>
    <row r="60" spans="1:2">
      <c r="A60" s="408" t="s">
        <v>917</v>
      </c>
      <c r="B60" s="409">
        <v>10</v>
      </c>
    </row>
    <row r="61" spans="1:2">
      <c r="A61" s="408" t="s">
        <v>918</v>
      </c>
      <c r="B61" s="409">
        <v>10</v>
      </c>
    </row>
    <row r="62" spans="1:2">
      <c r="A62" s="408" t="s">
        <v>607</v>
      </c>
      <c r="B62" s="409">
        <v>10</v>
      </c>
    </row>
    <row r="63" spans="1:2">
      <c r="A63" s="408" t="s">
        <v>652</v>
      </c>
      <c r="B63" s="409">
        <v>10</v>
      </c>
    </row>
    <row r="64" spans="1:2">
      <c r="A64" s="408" t="s">
        <v>608</v>
      </c>
      <c r="B64" s="409">
        <v>10</v>
      </c>
    </row>
    <row r="65" spans="1:2">
      <c r="A65" s="408" t="s">
        <v>919</v>
      </c>
      <c r="B65" s="409">
        <v>5</v>
      </c>
    </row>
    <row r="66" spans="1:2">
      <c r="A66" s="408" t="s">
        <v>920</v>
      </c>
      <c r="B66" s="409">
        <v>5</v>
      </c>
    </row>
    <row r="67" spans="1:2">
      <c r="A67" s="408" t="s">
        <v>921</v>
      </c>
      <c r="B67" s="409">
        <v>3</v>
      </c>
    </row>
    <row r="68" spans="1:2">
      <c r="A68" s="408" t="s">
        <v>922</v>
      </c>
      <c r="B68" s="409">
        <v>5</v>
      </c>
    </row>
    <row r="69" spans="1:2">
      <c r="A69" s="408" t="s">
        <v>923</v>
      </c>
      <c r="B69" s="409">
        <v>5</v>
      </c>
    </row>
    <row r="70" spans="1:2">
      <c r="A70" s="408" t="s">
        <v>924</v>
      </c>
      <c r="B70" s="409">
        <v>10</v>
      </c>
    </row>
    <row r="71" spans="1:2">
      <c r="A71" s="408" t="s">
        <v>925</v>
      </c>
      <c r="B71" s="409">
        <v>3</v>
      </c>
    </row>
    <row r="72" spans="1:2">
      <c r="A72" s="408" t="s">
        <v>926</v>
      </c>
      <c r="B72" s="409">
        <v>3</v>
      </c>
    </row>
    <row r="73" spans="1:2">
      <c r="A73" s="408" t="s">
        <v>927</v>
      </c>
      <c r="B73" s="409">
        <v>10</v>
      </c>
    </row>
    <row r="74" spans="1:2">
      <c r="A74" s="408" t="s">
        <v>928</v>
      </c>
      <c r="B74" s="409">
        <v>10</v>
      </c>
    </row>
    <row r="75" spans="1:2">
      <c r="A75" s="408" t="s">
        <v>929</v>
      </c>
      <c r="B75" s="409">
        <v>10</v>
      </c>
    </row>
    <row r="76" spans="1:2">
      <c r="A76" s="408" t="s">
        <v>660</v>
      </c>
      <c r="B76" s="409">
        <v>10</v>
      </c>
    </row>
    <row r="77" spans="1:2">
      <c r="A77" s="408" t="s">
        <v>930</v>
      </c>
      <c r="B77" s="409">
        <v>5</v>
      </c>
    </row>
    <row r="78" spans="1:2">
      <c r="A78" s="408" t="s">
        <v>481</v>
      </c>
      <c r="B78" s="409">
        <v>3</v>
      </c>
    </row>
    <row r="79" spans="1:2">
      <c r="A79" s="408" t="s">
        <v>931</v>
      </c>
      <c r="B79" s="409">
        <v>5</v>
      </c>
    </row>
    <row r="80" spans="1:2">
      <c r="A80" s="408" t="s">
        <v>932</v>
      </c>
      <c r="B80" s="409">
        <v>2</v>
      </c>
    </row>
    <row r="81" spans="1:2">
      <c r="A81" s="408" t="s">
        <v>666</v>
      </c>
      <c r="B81" s="409">
        <v>3</v>
      </c>
    </row>
    <row r="82" spans="1:2">
      <c r="A82" s="408" t="s">
        <v>667</v>
      </c>
      <c r="B82" s="409">
        <v>3</v>
      </c>
    </row>
    <row r="83" spans="1:2">
      <c r="A83" s="408" t="s">
        <v>933</v>
      </c>
      <c r="B83" s="409">
        <v>5</v>
      </c>
    </row>
    <row r="84" spans="1:2">
      <c r="A84" s="408" t="s">
        <v>934</v>
      </c>
      <c r="B84" s="409">
        <v>10</v>
      </c>
    </row>
    <row r="85" spans="1:2">
      <c r="A85" s="408" t="s">
        <v>935</v>
      </c>
      <c r="B85" s="409">
        <v>3</v>
      </c>
    </row>
    <row r="86" spans="1:2">
      <c r="A86" s="408" t="s">
        <v>936</v>
      </c>
      <c r="B86" s="409">
        <v>5</v>
      </c>
    </row>
    <row r="87" spans="1:2">
      <c r="A87" s="408" t="s">
        <v>937</v>
      </c>
      <c r="B87" s="409">
        <v>2</v>
      </c>
    </row>
    <row r="88" spans="1:2">
      <c r="A88" s="408" t="s">
        <v>938</v>
      </c>
      <c r="B88" s="409">
        <v>3</v>
      </c>
    </row>
    <row r="89" spans="1:2">
      <c r="A89" s="408" t="s">
        <v>939</v>
      </c>
      <c r="B89" s="409">
        <v>5</v>
      </c>
    </row>
    <row r="90" spans="1:2">
      <c r="A90" s="408" t="s">
        <v>673</v>
      </c>
      <c r="B90" s="409">
        <v>5</v>
      </c>
    </row>
    <row r="91" spans="1:2">
      <c r="A91" s="408" t="s">
        <v>675</v>
      </c>
      <c r="B91" s="409">
        <v>3</v>
      </c>
    </row>
    <row r="92" spans="1:2">
      <c r="A92" s="408" t="s">
        <v>676</v>
      </c>
      <c r="B92" s="409">
        <v>3</v>
      </c>
    </row>
    <row r="93" spans="1:2">
      <c r="A93" s="408" t="s">
        <v>940</v>
      </c>
      <c r="B93" s="409">
        <v>3</v>
      </c>
    </row>
    <row r="94" spans="1:2">
      <c r="A94" s="408" t="s">
        <v>941</v>
      </c>
      <c r="B94" s="409">
        <v>3</v>
      </c>
    </row>
    <row r="95" spans="1:2">
      <c r="A95" s="408" t="s">
        <v>679</v>
      </c>
      <c r="B95" s="409">
        <v>3</v>
      </c>
    </row>
    <row r="96" spans="1:2">
      <c r="A96" s="408" t="s">
        <v>942</v>
      </c>
      <c r="B96" s="409">
        <v>3</v>
      </c>
    </row>
    <row r="97" spans="1:2">
      <c r="A97" s="408" t="s">
        <v>943</v>
      </c>
      <c r="B97" s="409">
        <v>3</v>
      </c>
    </row>
    <row r="98" spans="1:2">
      <c r="A98" s="408" t="s">
        <v>944</v>
      </c>
      <c r="B98" s="409">
        <v>3</v>
      </c>
    </row>
    <row r="99" spans="1:2">
      <c r="A99" s="408" t="s">
        <v>945</v>
      </c>
      <c r="B99" s="409">
        <v>3</v>
      </c>
    </row>
    <row r="100" spans="1:2">
      <c r="A100" s="408" t="s">
        <v>946</v>
      </c>
      <c r="B100" s="409">
        <v>3</v>
      </c>
    </row>
    <row r="101" spans="1:2">
      <c r="A101" s="408" t="s">
        <v>682</v>
      </c>
      <c r="B101" s="409">
        <v>10</v>
      </c>
    </row>
    <row r="102" spans="1:2">
      <c r="A102" s="408" t="s">
        <v>947</v>
      </c>
      <c r="B102" s="409">
        <v>5</v>
      </c>
    </row>
    <row r="103" spans="1:2">
      <c r="A103" s="408" t="s">
        <v>948</v>
      </c>
      <c r="B103" s="409">
        <v>10</v>
      </c>
    </row>
    <row r="104" spans="1:2">
      <c r="A104" s="408" t="s">
        <v>949</v>
      </c>
      <c r="B104" s="409">
        <v>3</v>
      </c>
    </row>
    <row r="105" spans="1:2">
      <c r="A105" s="408" t="s">
        <v>950</v>
      </c>
      <c r="B105" s="409">
        <v>5</v>
      </c>
    </row>
    <row r="106" spans="1:2">
      <c r="A106" s="408" t="s">
        <v>951</v>
      </c>
      <c r="B106" s="409">
        <v>10</v>
      </c>
    </row>
    <row r="107" spans="1:2">
      <c r="A107" s="408" t="s">
        <v>952</v>
      </c>
      <c r="B107" s="409">
        <v>5</v>
      </c>
    </row>
    <row r="108" spans="1:2">
      <c r="A108" s="408" t="s">
        <v>953</v>
      </c>
      <c r="B108" s="409">
        <v>10</v>
      </c>
    </row>
    <row r="109" spans="1:2">
      <c r="A109" s="408" t="s">
        <v>954</v>
      </c>
      <c r="B109" s="409">
        <v>10</v>
      </c>
    </row>
    <row r="110" spans="1:2">
      <c r="A110" s="408" t="s">
        <v>955</v>
      </c>
      <c r="B110" s="409">
        <v>3</v>
      </c>
    </row>
    <row r="111" spans="1:2">
      <c r="A111" s="408" t="s">
        <v>956</v>
      </c>
      <c r="B111" s="409">
        <v>5</v>
      </c>
    </row>
    <row r="112" spans="1:2">
      <c r="A112" s="408" t="s">
        <v>957</v>
      </c>
      <c r="B112" s="409">
        <v>5</v>
      </c>
    </row>
    <row r="113" spans="1:2">
      <c r="A113" s="408" t="s">
        <v>687</v>
      </c>
      <c r="B113" s="409">
        <v>5</v>
      </c>
    </row>
    <row r="114" spans="1:2">
      <c r="A114" s="408" t="s">
        <v>958</v>
      </c>
      <c r="B114" s="409">
        <v>10</v>
      </c>
    </row>
    <row r="115" spans="1:2">
      <c r="A115" s="408" t="s">
        <v>959</v>
      </c>
      <c r="B115" s="409">
        <v>5</v>
      </c>
    </row>
    <row r="116" spans="1:2">
      <c r="A116" s="408" t="s">
        <v>960</v>
      </c>
      <c r="B116" s="409">
        <v>5</v>
      </c>
    </row>
    <row r="117" spans="1:2">
      <c r="A117" s="408" t="s">
        <v>961</v>
      </c>
      <c r="B117" s="409">
        <v>5</v>
      </c>
    </row>
    <row r="118" spans="1:2">
      <c r="A118" s="408" t="s">
        <v>962</v>
      </c>
      <c r="B118" s="409">
        <v>3</v>
      </c>
    </row>
    <row r="119" spans="1:2">
      <c r="A119" s="408" t="s">
        <v>692</v>
      </c>
      <c r="B119" s="409">
        <v>3</v>
      </c>
    </row>
    <row r="120" spans="1:2">
      <c r="A120" s="408" t="s">
        <v>963</v>
      </c>
      <c r="B120" s="409">
        <v>5</v>
      </c>
    </row>
    <row r="121" spans="1:2">
      <c r="A121" s="408" t="s">
        <v>696</v>
      </c>
      <c r="B121" s="409">
        <v>5</v>
      </c>
    </row>
    <row r="122" spans="1:2">
      <c r="A122" s="408" t="s">
        <v>964</v>
      </c>
      <c r="B122" s="409">
        <v>2</v>
      </c>
    </row>
    <row r="123" spans="1:2">
      <c r="A123" s="408" t="s">
        <v>703</v>
      </c>
      <c r="B123" s="409">
        <v>2</v>
      </c>
    </row>
    <row r="124" spans="1:2">
      <c r="A124" s="408" t="s">
        <v>965</v>
      </c>
      <c r="B124" s="409">
        <v>2</v>
      </c>
    </row>
    <row r="125" spans="1:2">
      <c r="A125" s="408" t="s">
        <v>966</v>
      </c>
      <c r="B125" s="409">
        <v>2</v>
      </c>
    </row>
    <row r="126" spans="1:2">
      <c r="A126" s="408" t="s">
        <v>967</v>
      </c>
      <c r="B126" s="409">
        <v>2</v>
      </c>
    </row>
    <row r="127" spans="1:2">
      <c r="A127" s="408" t="s">
        <v>705</v>
      </c>
      <c r="B127" s="409">
        <v>5</v>
      </c>
    </row>
    <row r="128" spans="1:2">
      <c r="A128" s="408" t="s">
        <v>968</v>
      </c>
      <c r="B128" s="409">
        <v>5</v>
      </c>
    </row>
    <row r="129" spans="1:2">
      <c r="A129" s="408" t="s">
        <v>708</v>
      </c>
      <c r="B129" s="409">
        <v>3</v>
      </c>
    </row>
    <row r="130" spans="1:2">
      <c r="A130" s="408" t="s">
        <v>969</v>
      </c>
      <c r="B130" s="409">
        <v>5</v>
      </c>
    </row>
    <row r="131" spans="1:2">
      <c r="A131" s="408" t="s">
        <v>970</v>
      </c>
      <c r="B131" s="409">
        <v>5</v>
      </c>
    </row>
    <row r="132" spans="1:2">
      <c r="A132" s="408" t="s">
        <v>714</v>
      </c>
      <c r="B132" s="409">
        <v>10</v>
      </c>
    </row>
    <row r="133" spans="1:2">
      <c r="A133" s="408" t="s">
        <v>715</v>
      </c>
      <c r="B133" s="409">
        <v>5</v>
      </c>
    </row>
    <row r="134" spans="1:2">
      <c r="A134" s="408" t="s">
        <v>971</v>
      </c>
      <c r="B134" s="409">
        <v>5</v>
      </c>
    </row>
    <row r="135" spans="1:2">
      <c r="A135" s="408" t="s">
        <v>972</v>
      </c>
      <c r="B135" s="409">
        <v>2</v>
      </c>
    </row>
    <row r="136" spans="1:2">
      <c r="A136" s="408" t="s">
        <v>973</v>
      </c>
      <c r="B136" s="409">
        <v>5</v>
      </c>
    </row>
    <row r="137" spans="1:2">
      <c r="A137" s="408" t="s">
        <v>716</v>
      </c>
      <c r="B137" s="409">
        <v>5</v>
      </c>
    </row>
    <row r="138" spans="1:2">
      <c r="A138" s="408" t="s">
        <v>974</v>
      </c>
      <c r="B138" s="409">
        <v>3</v>
      </c>
    </row>
    <row r="139" spans="1:2">
      <c r="A139" s="408" t="s">
        <v>975</v>
      </c>
      <c r="B139" s="409">
        <v>5</v>
      </c>
    </row>
    <row r="140" spans="1:2">
      <c r="A140" s="408" t="s">
        <v>976</v>
      </c>
      <c r="B140" s="409">
        <v>10</v>
      </c>
    </row>
    <row r="141" spans="1:2">
      <c r="A141" s="412" t="s">
        <v>977</v>
      </c>
      <c r="B141" s="413">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 defaultRowHeight="12"/>
  <sheetData>
    <row r="1" spans="1:12" s="5" customFormat="1" ht="18.75">
      <c r="A1" s="15" t="s">
        <v>105</v>
      </c>
      <c r="B1" s="15"/>
      <c r="C1" s="15"/>
      <c r="D1" s="15"/>
      <c r="E1" s="15"/>
      <c r="F1" s="15"/>
      <c r="G1" s="15"/>
      <c r="H1" s="15"/>
      <c r="I1" s="15"/>
      <c r="J1" s="15"/>
      <c r="K1" s="15"/>
    </row>
    <row r="2" spans="1:12" s="5" customFormat="1" ht="19.5" thickBot="1">
      <c r="A2" s="15" t="s">
        <v>145</v>
      </c>
      <c r="B2" s="15"/>
      <c r="C2" s="15"/>
      <c r="D2" s="15"/>
      <c r="E2" s="15"/>
      <c r="F2" s="15"/>
      <c r="G2" s="15"/>
      <c r="H2" s="15"/>
      <c r="I2" s="15"/>
      <c r="J2" s="15"/>
      <c r="K2" s="15"/>
    </row>
    <row r="3" spans="1:12" s="11" customFormat="1" ht="13.15" customHeight="1">
      <c r="A3" s="11" t="s">
        <v>4</v>
      </c>
      <c r="H3" s="669" t="s">
        <v>722</v>
      </c>
      <c r="I3" s="670"/>
      <c r="J3" s="670"/>
      <c r="K3" s="670"/>
      <c r="L3" s="671"/>
    </row>
    <row r="4" spans="1:12" s="6" customFormat="1" ht="12.75">
      <c r="A4" s="6" t="s">
        <v>106</v>
      </c>
      <c r="E4" s="19">
        <v>295</v>
      </c>
      <c r="H4" s="672"/>
      <c r="I4" s="673"/>
      <c r="J4" s="673"/>
      <c r="K4" s="673"/>
      <c r="L4" s="674"/>
    </row>
    <row r="5" spans="1:12" s="9" customFormat="1" ht="12.75">
      <c r="A5" s="9" t="s">
        <v>107</v>
      </c>
      <c r="H5" s="672"/>
      <c r="I5" s="673"/>
      <c r="J5" s="673"/>
      <c r="K5" s="673"/>
      <c r="L5" s="674"/>
    </row>
    <row r="6" spans="1:12" s="6" customFormat="1" ht="12.75">
      <c r="A6" s="16" t="s">
        <v>108</v>
      </c>
      <c r="B6" s="16" t="s">
        <v>109</v>
      </c>
      <c r="C6" s="6" t="s">
        <v>110</v>
      </c>
      <c r="H6" s="672"/>
      <c r="I6" s="673"/>
      <c r="J6" s="673"/>
      <c r="K6" s="673"/>
      <c r="L6" s="674"/>
    </row>
    <row r="7" spans="1:12" s="6" customFormat="1" ht="12.75">
      <c r="A7" s="16">
        <v>1</v>
      </c>
      <c r="B7" s="169">
        <v>287</v>
      </c>
      <c r="H7" s="672"/>
      <c r="I7" s="673"/>
      <c r="J7" s="673"/>
      <c r="K7" s="673"/>
      <c r="L7" s="674"/>
    </row>
    <row r="8" spans="1:12" s="6" customFormat="1" ht="12.75">
      <c r="A8" s="16">
        <v>2</v>
      </c>
      <c r="B8" s="169">
        <v>235</v>
      </c>
      <c r="H8" s="672"/>
      <c r="I8" s="673"/>
      <c r="J8" s="673"/>
      <c r="K8" s="673"/>
      <c r="L8" s="674"/>
    </row>
    <row r="9" spans="1:12" s="6" customFormat="1" ht="12.75">
      <c r="A9" s="16">
        <v>3</v>
      </c>
      <c r="B9" s="169">
        <v>194</v>
      </c>
      <c r="H9" s="672"/>
      <c r="I9" s="673"/>
      <c r="J9" s="673"/>
      <c r="K9" s="673"/>
      <c r="L9" s="674"/>
    </row>
    <row r="10" spans="1:12" s="6" customFormat="1" ht="12.75">
      <c r="A10" s="16">
        <v>4</v>
      </c>
      <c r="B10" s="169">
        <v>151</v>
      </c>
      <c r="H10" s="672"/>
      <c r="I10" s="673"/>
      <c r="J10" s="673"/>
      <c r="K10" s="673"/>
      <c r="L10" s="674"/>
    </row>
    <row r="11" spans="1:12" s="6" customFormat="1" ht="13.5" thickBot="1">
      <c r="A11" s="16">
        <v>5</v>
      </c>
      <c r="B11" s="169">
        <v>98</v>
      </c>
      <c r="H11" s="675"/>
      <c r="I11" s="676"/>
      <c r="J11" s="676"/>
      <c r="K11" s="676"/>
      <c r="L11" s="677"/>
    </row>
    <row r="12" spans="1:12" s="6" customFormat="1" ht="12.75">
      <c r="A12" s="16" t="s">
        <v>111</v>
      </c>
      <c r="B12" s="142">
        <v>605</v>
      </c>
    </row>
    <row r="13" spans="1:12" s="6" customFormat="1" ht="12.75"/>
    <row r="14" spans="1:12" s="17" customFormat="1" ht="16.5" thickBot="1">
      <c r="A14" s="17" t="s">
        <v>112</v>
      </c>
    </row>
    <row r="15" spans="1:12" s="6" customFormat="1" ht="13.5" thickBot="1">
      <c r="A15" s="6" t="s">
        <v>113</v>
      </c>
      <c r="C15" s="38">
        <f>'Cost of capital worksheet'!B37</f>
        <v>0.05</v>
      </c>
      <c r="D15" s="6" t="s">
        <v>218</v>
      </c>
    </row>
    <row r="16" spans="1:12" s="6" customFormat="1" ht="12.75"/>
    <row r="17" spans="1:7" s="6" customFormat="1" ht="12.75">
      <c r="D17" s="20"/>
    </row>
    <row r="18" spans="1:7" s="6" customFormat="1" ht="12.75">
      <c r="A18" s="6" t="s">
        <v>114</v>
      </c>
      <c r="D18" s="21">
        <f>IF(B12&gt;0,ROUND(B12/AVERAGE(B7:B11),0),0)</f>
        <v>3</v>
      </c>
      <c r="E18" s="6" t="s">
        <v>115</v>
      </c>
    </row>
    <row r="19" spans="1:7" s="11" customFormat="1" ht="12.75">
      <c r="E19" s="6" t="s">
        <v>116</v>
      </c>
    </row>
    <row r="20" spans="1:7" s="9" customFormat="1" ht="12.75">
      <c r="A20" s="9" t="s">
        <v>117</v>
      </c>
    </row>
    <row r="21" spans="1:7" s="6" customFormat="1" ht="12.75">
      <c r="A21" s="16" t="s">
        <v>108</v>
      </c>
      <c r="B21" s="16" t="s">
        <v>109</v>
      </c>
      <c r="C21" s="16" t="s">
        <v>118</v>
      </c>
    </row>
    <row r="22" spans="1:7" s="6" customFormat="1" ht="12.75">
      <c r="A22" s="12">
        <f>A7</f>
        <v>1</v>
      </c>
      <c r="B22" s="14">
        <f>B7</f>
        <v>287</v>
      </c>
      <c r="C22" s="7">
        <f>B22/(1+$C$15)^A22</f>
        <v>273.33333333333331</v>
      </c>
    </row>
    <row r="23" spans="1:7" s="6" customFormat="1" ht="12.75">
      <c r="A23" s="12">
        <f t="shared" ref="A23:B26" si="0">A8</f>
        <v>2</v>
      </c>
      <c r="B23" s="14">
        <f t="shared" si="0"/>
        <v>235</v>
      </c>
      <c r="C23" s="7">
        <f>B23/(1+$C$15)^A23</f>
        <v>213.15192743764172</v>
      </c>
    </row>
    <row r="24" spans="1:7" s="6" customFormat="1" ht="12.75">
      <c r="A24" s="12">
        <f t="shared" si="0"/>
        <v>3</v>
      </c>
      <c r="B24" s="14">
        <f t="shared" si="0"/>
        <v>194</v>
      </c>
      <c r="C24" s="7">
        <f>B24/(1+$C$15)^A24</f>
        <v>167.58449411510634</v>
      </c>
    </row>
    <row r="25" spans="1:7" s="6" customFormat="1" ht="12.75">
      <c r="A25" s="12">
        <f t="shared" si="0"/>
        <v>4</v>
      </c>
      <c r="B25" s="14">
        <f t="shared" si="0"/>
        <v>151</v>
      </c>
      <c r="C25" s="7">
        <f>B25/(1+$C$15)^A25</f>
        <v>124.22807369357417</v>
      </c>
    </row>
    <row r="26" spans="1:7" s="6" customFormat="1" ht="12.75">
      <c r="A26" s="12">
        <f t="shared" si="0"/>
        <v>5</v>
      </c>
      <c r="B26" s="14">
        <f t="shared" si="0"/>
        <v>98</v>
      </c>
      <c r="C26" s="7">
        <f>B26/(1+$C$15)^A26</f>
        <v>76.785564313908978</v>
      </c>
    </row>
    <row r="27" spans="1:7" s="6" customFormat="1" ht="13.5" thickBot="1">
      <c r="A27" s="22" t="str">
        <f>A12</f>
        <v>6 and beyond</v>
      </c>
      <c r="B27" s="23">
        <f>IF(B12&gt;0,IF(D18&gt;0,B12/D18,B12),0)</f>
        <v>201.66666666666666</v>
      </c>
      <c r="C27" s="24">
        <f>IF(D18&gt;0,(B27*(1-(1+C15)^(-D18))/C15)/(1+$C$15)^5,B27/(1+C15)^6)</f>
        <v>430.3034445737465</v>
      </c>
      <c r="D27" s="6" t="s">
        <v>119</v>
      </c>
    </row>
    <row r="28" spans="1:7" s="6" customFormat="1" ht="13.5" thickBot="1">
      <c r="A28" s="18" t="s">
        <v>120</v>
      </c>
      <c r="B28" s="25"/>
      <c r="C28" s="26">
        <f>SUM(C22:C27)</f>
        <v>1285.3868374673111</v>
      </c>
    </row>
    <row r="29" spans="1:7" s="6" customFormat="1" ht="12.75"/>
    <row r="30" spans="1:7" s="6" customFormat="1" ht="12.75">
      <c r="A30" s="9" t="s">
        <v>121</v>
      </c>
    </row>
    <row r="31" spans="1:7" s="6" customFormat="1" ht="13.5" thickBot="1">
      <c r="A31" s="6" t="s">
        <v>122</v>
      </c>
      <c r="F31" s="24">
        <f>C28/(5+D18)</f>
        <v>160.67335468341389</v>
      </c>
      <c r="G31" s="6" t="s">
        <v>123</v>
      </c>
    </row>
    <row r="32" spans="1:7" s="6" customFormat="1" ht="13.5" thickBot="1">
      <c r="A32" s="6" t="s">
        <v>124</v>
      </c>
      <c r="F32" s="39">
        <f>E4-F31</f>
        <v>134.32664531658611</v>
      </c>
      <c r="G32" s="6" t="s">
        <v>126</v>
      </c>
    </row>
    <row r="33" spans="1:7" s="6" customFormat="1" ht="13.5" thickBot="1">
      <c r="A33" s="6" t="s">
        <v>125</v>
      </c>
      <c r="F33" s="27">
        <f>C28</f>
        <v>1285.3868374673111</v>
      </c>
      <c r="G33" s="6" t="s">
        <v>127</v>
      </c>
    </row>
    <row r="34" spans="1:7" ht="12.75">
      <c r="A34" s="6" t="s">
        <v>467</v>
      </c>
      <c r="F34" s="110">
        <f>C28/(5+D18)</f>
        <v>160.67335468341389</v>
      </c>
    </row>
  </sheetData>
  <mergeCells count="1">
    <mergeCell ref="H3:L11"/>
  </mergeCells>
  <pageMargins left="0.75" right="0.75" top="1" bottom="1" header="0.5" footer="0.5"/>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80" workbookViewId="0">
      <selection activeCell="D75" sqref="D75"/>
    </sheetView>
  </sheetViews>
  <sheetFormatPr defaultColWidth="11" defaultRowHeight="12"/>
  <cols>
    <col min="1" max="1" width="40.140625" bestFit="1" customWidth="1"/>
    <col min="2" max="2" width="17.42578125" bestFit="1" customWidth="1"/>
    <col min="3" max="3" width="12.85546875" bestFit="1" customWidth="1"/>
    <col min="4" max="4" width="13.5703125" customWidth="1"/>
    <col min="5" max="5" width="12" customWidth="1"/>
    <col min="7" max="7" width="19.42578125" bestFit="1" customWidth="1"/>
    <col min="8" max="8" width="16.42578125" customWidth="1"/>
    <col min="10" max="10" width="14.5703125" customWidth="1"/>
    <col min="11" max="11" width="18.140625" bestFit="1" customWidth="1"/>
    <col min="12" max="12" width="17.42578125" customWidth="1"/>
  </cols>
  <sheetData>
    <row r="1" spans="1:17">
      <c r="A1" s="691" t="s">
        <v>585</v>
      </c>
      <c r="B1" s="691"/>
      <c r="C1" s="691"/>
      <c r="D1" s="691"/>
      <c r="E1" s="691"/>
      <c r="F1" s="691"/>
      <c r="G1" s="691"/>
      <c r="H1" s="691"/>
      <c r="I1" s="691"/>
      <c r="J1" s="691"/>
      <c r="K1" s="691"/>
    </row>
    <row r="2" spans="1:17">
      <c r="A2" s="691"/>
      <c r="B2" s="691"/>
      <c r="C2" s="691"/>
      <c r="D2" s="691"/>
      <c r="E2" s="691"/>
      <c r="F2" s="691"/>
      <c r="G2" s="691"/>
      <c r="H2" s="691"/>
      <c r="I2" s="691"/>
      <c r="J2" s="691"/>
      <c r="K2" s="691"/>
    </row>
    <row r="3" spans="1:17" s="59" customFormat="1" ht="20.25" thickBot="1">
      <c r="A3" s="692" t="s">
        <v>164</v>
      </c>
      <c r="B3" s="692"/>
      <c r="C3" s="692"/>
      <c r="D3" s="692"/>
      <c r="E3" s="692"/>
      <c r="G3" s="72" t="s">
        <v>482</v>
      </c>
    </row>
    <row r="4" spans="1:17" s="8" customFormat="1" ht="15" customHeight="1">
      <c r="A4" s="680" t="s">
        <v>861</v>
      </c>
      <c r="B4" s="681"/>
      <c r="C4" s="681"/>
      <c r="D4" s="681"/>
      <c r="E4" s="682"/>
      <c r="F4" s="59"/>
      <c r="G4" s="83" t="s">
        <v>332</v>
      </c>
      <c r="H4" s="83" t="s">
        <v>5</v>
      </c>
      <c r="I4" s="83" t="s">
        <v>358</v>
      </c>
      <c r="J4" s="83" t="s">
        <v>360</v>
      </c>
      <c r="K4" s="83" t="s">
        <v>359</v>
      </c>
    </row>
    <row r="5" spans="1:17" s="6" customFormat="1" ht="15" customHeight="1">
      <c r="A5" s="683"/>
      <c r="B5" s="684"/>
      <c r="C5" s="684"/>
      <c r="D5" s="684"/>
      <c r="E5" s="685"/>
      <c r="F5" s="59"/>
      <c r="G5" s="81" t="s">
        <v>327</v>
      </c>
      <c r="H5" s="81">
        <v>193636</v>
      </c>
      <c r="I5" s="66">
        <f>IF(H5=0,0,VLOOKUP(G5,'Country equity risk premiums'!$A$5:$D$195,4))</f>
        <v>4.1099999999999998E-2</v>
      </c>
      <c r="J5" s="66">
        <f t="shared" ref="J5:J12" si="0">IF(H5&gt;0,H5/$H$18,)</f>
        <v>0.85880667580309666</v>
      </c>
      <c r="K5" s="66">
        <f t="shared" ref="K5:K12" si="1">IF(J5=0,0,I5*J5)</f>
        <v>3.529695437550727E-2</v>
      </c>
      <c r="M5" s="690" t="s">
        <v>529</v>
      </c>
      <c r="N5" s="690"/>
      <c r="O5" s="690"/>
      <c r="P5" s="690"/>
      <c r="Q5" s="690"/>
    </row>
    <row r="6" spans="1:17" s="6" customFormat="1" ht="15" customHeight="1">
      <c r="A6" s="683"/>
      <c r="B6" s="684"/>
      <c r="C6" s="684"/>
      <c r="D6" s="684"/>
      <c r="E6" s="685"/>
      <c r="F6" s="59"/>
      <c r="G6" s="81" t="s">
        <v>251</v>
      </c>
      <c r="H6" s="81">
        <v>500</v>
      </c>
      <c r="I6" s="66">
        <f>IF(H6=0,0,VLOOKUP(G6,'Country equity risk premiums'!$A$5:$D$195,4))</f>
        <v>4.9712594284146823E-2</v>
      </c>
      <c r="J6" s="66">
        <f t="shared" si="0"/>
        <v>2.2175800879048746E-3</v>
      </c>
      <c r="K6" s="66">
        <f t="shared" si="1"/>
        <v>1.1024165920261768E-4</v>
      </c>
      <c r="M6" s="690"/>
      <c r="N6" s="690"/>
      <c r="O6" s="690"/>
      <c r="P6" s="690"/>
      <c r="Q6" s="690"/>
    </row>
    <row r="7" spans="1:17" s="6" customFormat="1" ht="15" customHeight="1">
      <c r="A7" s="683"/>
      <c r="B7" s="684"/>
      <c r="C7" s="684"/>
      <c r="D7" s="684"/>
      <c r="E7" s="685"/>
      <c r="F7" s="59"/>
      <c r="G7" s="81"/>
      <c r="H7" s="81"/>
      <c r="I7" s="66">
        <f>IF(H7=0,0,VLOOKUP(G7,'Country equity risk premiums'!$A$5:$D$195,4))</f>
        <v>0</v>
      </c>
      <c r="J7" s="66">
        <f t="shared" si="0"/>
        <v>0</v>
      </c>
      <c r="K7" s="66">
        <f t="shared" si="1"/>
        <v>0</v>
      </c>
      <c r="M7" s="690"/>
      <c r="N7" s="690"/>
      <c r="O7" s="690"/>
      <c r="P7" s="690"/>
      <c r="Q7" s="690"/>
    </row>
    <row r="8" spans="1:17" s="6" customFormat="1" ht="15" customHeight="1">
      <c r="A8" s="683"/>
      <c r="B8" s="684"/>
      <c r="C8" s="684"/>
      <c r="D8" s="684"/>
      <c r="E8" s="685"/>
      <c r="F8" s="59"/>
      <c r="G8" s="81"/>
      <c r="H8" s="81"/>
      <c r="I8" s="66">
        <f>IF(H8=0,0,VLOOKUP(G8,'Country equity risk premiums'!$A$5:$D$195,4))</f>
        <v>0</v>
      </c>
      <c r="J8" s="66">
        <f t="shared" si="0"/>
        <v>0</v>
      </c>
      <c r="K8" s="66">
        <f t="shared" si="1"/>
        <v>0</v>
      </c>
      <c r="M8" s="690"/>
      <c r="N8" s="690"/>
      <c r="O8" s="690"/>
      <c r="P8" s="690"/>
      <c r="Q8" s="690"/>
    </row>
    <row r="9" spans="1:17" s="6" customFormat="1" ht="15" customHeight="1" thickBot="1">
      <c r="A9" s="686"/>
      <c r="B9" s="687"/>
      <c r="C9" s="687"/>
      <c r="D9" s="687"/>
      <c r="E9" s="688"/>
      <c r="F9" s="59"/>
      <c r="G9" s="81"/>
      <c r="H9" s="81"/>
      <c r="I9" s="66">
        <f>IF(H9=0,0,VLOOKUP(G9,'Country equity risk premiums'!$A$5:$D$195,4))</f>
        <v>0</v>
      </c>
      <c r="J9" s="66">
        <f t="shared" si="0"/>
        <v>0</v>
      </c>
      <c r="K9" s="66">
        <f t="shared" si="1"/>
        <v>0</v>
      </c>
      <c r="M9" s="690"/>
      <c r="N9" s="690"/>
      <c r="O9" s="690"/>
      <c r="P9" s="690"/>
      <c r="Q9" s="690"/>
    </row>
    <row r="10" spans="1:17" s="6" customFormat="1" ht="15" customHeight="1">
      <c r="A10" s="185"/>
      <c r="B10" s="185"/>
      <c r="C10" s="185"/>
      <c r="D10" s="185"/>
      <c r="E10" s="185"/>
      <c r="F10" s="59"/>
      <c r="G10" s="81"/>
      <c r="H10" s="81"/>
      <c r="I10" s="66">
        <f>IF(H10=0,0,VLOOKUP(G10,'Country equity risk premiums'!$A$5:$D$195,4))</f>
        <v>0</v>
      </c>
      <c r="J10" s="66">
        <f t="shared" si="0"/>
        <v>0</v>
      </c>
      <c r="K10" s="66">
        <f t="shared" si="1"/>
        <v>0</v>
      </c>
      <c r="M10" s="690"/>
      <c r="N10" s="690"/>
      <c r="O10" s="690"/>
      <c r="P10" s="690"/>
      <c r="Q10" s="690"/>
    </row>
    <row r="11" spans="1:17" s="6" customFormat="1" ht="15" customHeight="1">
      <c r="A11" s="185" t="s">
        <v>732</v>
      </c>
      <c r="B11" s="186" t="s">
        <v>743</v>
      </c>
      <c r="C11" s="185"/>
      <c r="D11" s="185"/>
      <c r="E11" s="185"/>
      <c r="F11" s="59"/>
      <c r="G11" s="81"/>
      <c r="H11" s="81"/>
      <c r="I11" s="66">
        <f>IF(H11=0,0,VLOOKUP(G11,'Country equity risk premiums'!$A$5:$D$195,4))</f>
        <v>0</v>
      </c>
      <c r="J11" s="66">
        <f t="shared" si="0"/>
        <v>0</v>
      </c>
      <c r="K11" s="66">
        <f t="shared" si="1"/>
        <v>0</v>
      </c>
      <c r="M11" s="690"/>
      <c r="N11" s="690"/>
      <c r="O11" s="690"/>
      <c r="P11" s="690"/>
      <c r="Q11" s="690"/>
    </row>
    <row r="12" spans="1:17" s="6" customFormat="1" ht="15" customHeight="1">
      <c r="A12" s="185" t="s">
        <v>736</v>
      </c>
      <c r="B12" s="187">
        <v>0.09</v>
      </c>
      <c r="C12" s="185"/>
      <c r="D12" s="185"/>
      <c r="E12" s="185"/>
      <c r="F12" s="59"/>
      <c r="G12" s="81"/>
      <c r="H12" s="81"/>
      <c r="I12" s="66">
        <f>IF(H12=0,0,VLOOKUP(G12,'Country equity risk premiums'!$A$5:$D$195,4))</f>
        <v>0</v>
      </c>
      <c r="J12" s="66">
        <f t="shared" si="0"/>
        <v>0</v>
      </c>
      <c r="K12" s="66">
        <f t="shared" si="1"/>
        <v>0</v>
      </c>
      <c r="M12" s="690"/>
      <c r="N12" s="690"/>
      <c r="O12" s="690"/>
      <c r="P12" s="690"/>
      <c r="Q12" s="690"/>
    </row>
    <row r="13" spans="1:17" s="6" customFormat="1" ht="15" customHeight="1">
      <c r="A13" s="185" t="s">
        <v>735</v>
      </c>
      <c r="B13" s="188">
        <f>IF(B11="I will input",B12,IF(B11="Detailed",E62,IF(B11="Industry Average",B67,B72)))</f>
        <v>8.5999999999999993E-2</v>
      </c>
      <c r="C13" s="185"/>
      <c r="D13" s="185"/>
      <c r="E13" s="185"/>
      <c r="F13" s="59"/>
      <c r="G13" s="81"/>
      <c r="H13" s="81"/>
      <c r="I13" s="66">
        <f>IF(H13=0,0,VLOOKUP(G13,'Country equity risk premiums'!$A$5:$D$195,4))</f>
        <v>0</v>
      </c>
      <c r="J13" s="66">
        <f>IF(H13&gt;0,H13/$H$18,)</f>
        <v>0</v>
      </c>
      <c r="K13" s="66">
        <f>IF(J13=0,0,I13*J13)</f>
        <v>0</v>
      </c>
      <c r="M13" s="690"/>
      <c r="N13" s="690"/>
      <c r="O13" s="690"/>
      <c r="P13" s="690"/>
      <c r="Q13" s="690"/>
    </row>
    <row r="14" spans="1:17" s="6" customFormat="1" ht="15" customHeight="1" thickBot="1">
      <c r="A14" s="185"/>
      <c r="B14" s="185"/>
      <c r="C14" s="185"/>
      <c r="D14" s="185"/>
      <c r="E14" s="185"/>
      <c r="F14" s="59"/>
      <c r="G14" s="81"/>
      <c r="H14" s="81"/>
      <c r="I14" s="66">
        <f>IF(H14=0,0,VLOOKUP(G14,'Country equity risk premiums'!$A$5:$D$195,4))</f>
        <v>0</v>
      </c>
      <c r="J14" s="66">
        <f>IF(H14&gt;0,H14/$H$18,)</f>
        <v>0</v>
      </c>
      <c r="K14" s="66">
        <f>IF(J14=0,0,I14*J14)</f>
        <v>0</v>
      </c>
      <c r="M14" s="690"/>
      <c r="N14" s="690"/>
      <c r="O14" s="690"/>
      <c r="P14" s="690"/>
      <c r="Q14" s="690"/>
    </row>
    <row r="15" spans="1:17" s="6" customFormat="1" ht="15" customHeight="1" thickBot="1">
      <c r="A15" s="693" t="s">
        <v>724</v>
      </c>
      <c r="B15" s="694"/>
      <c r="C15" s="694"/>
      <c r="D15" s="694"/>
      <c r="E15" s="694"/>
      <c r="F15" s="695"/>
      <c r="G15" s="81"/>
      <c r="H15" s="81"/>
      <c r="I15" s="66">
        <f>IF(H15=0,0,VLOOKUP(G15,'Country equity risk premiums'!$A$5:$D$195,4))</f>
        <v>0</v>
      </c>
      <c r="J15" s="66">
        <f>IF(H15&gt;0,H15/$H$18,)</f>
        <v>0</v>
      </c>
      <c r="K15" s="66">
        <f>IF(J15=0,0,I15*J15)</f>
        <v>0</v>
      </c>
      <c r="M15" s="690"/>
      <c r="N15" s="690"/>
      <c r="O15" s="690"/>
      <c r="P15" s="690"/>
      <c r="Q15" s="690"/>
    </row>
    <row r="16" spans="1:17" s="6" customFormat="1" ht="15" customHeight="1">
      <c r="A16" s="8" t="s">
        <v>4</v>
      </c>
      <c r="B16" s="177"/>
      <c r="C16" s="107"/>
      <c r="D16" s="8"/>
      <c r="E16" s="8"/>
      <c r="F16" s="8"/>
      <c r="G16" s="139" t="s">
        <v>588</v>
      </c>
      <c r="H16" s="81">
        <v>31335</v>
      </c>
      <c r="I16" s="145">
        <v>6.4100000000000004E-2</v>
      </c>
      <c r="J16" s="66">
        <f>IF(H16&gt;0,H16/$H$18,)</f>
        <v>0.13897574410899849</v>
      </c>
      <c r="K16" s="66">
        <f>IF(J16=0,0,I16*J16)</f>
        <v>8.9083451973868029E-3</v>
      </c>
      <c r="M16" s="690"/>
      <c r="N16" s="690"/>
      <c r="O16" s="690"/>
      <c r="P16" s="690"/>
      <c r="Q16" s="690"/>
    </row>
    <row r="17" spans="1:17" s="6" customFormat="1" ht="15" customHeight="1">
      <c r="A17" s="11" t="s">
        <v>165</v>
      </c>
      <c r="B17" s="178"/>
      <c r="G17" s="139"/>
      <c r="H17" s="81"/>
      <c r="I17" s="139"/>
      <c r="J17" s="66">
        <f>IF(H17&gt;0,H17/$H$18,)</f>
        <v>0</v>
      </c>
      <c r="K17" s="66">
        <f>IF(J17=0,0,I17*J17)</f>
        <v>0</v>
      </c>
      <c r="M17" s="690"/>
      <c r="N17" s="690"/>
      <c r="O17" s="690"/>
      <c r="P17" s="690"/>
      <c r="Q17" s="690"/>
    </row>
    <row r="18" spans="1:17" s="6" customFormat="1" ht="15" customHeight="1">
      <c r="A18" s="6" t="s">
        <v>166</v>
      </c>
      <c r="B18" s="63">
        <f>'Input sheet'!B21</f>
        <v>10492</v>
      </c>
      <c r="G18" s="82" t="s">
        <v>361</v>
      </c>
      <c r="H18" s="82">
        <f>SUM(H5:H17)</f>
        <v>225471</v>
      </c>
      <c r="I18" s="82"/>
      <c r="J18" s="66">
        <f>SUM(J5:J17)</f>
        <v>1</v>
      </c>
      <c r="K18" s="66">
        <f>SUM(K5:K17)</f>
        <v>4.4315541232096689E-2</v>
      </c>
      <c r="M18" s="690"/>
      <c r="N18" s="690"/>
      <c r="O18" s="690"/>
      <c r="P18" s="690"/>
      <c r="Q18" s="690"/>
    </row>
    <row r="19" spans="1:17" s="6" customFormat="1" ht="15" customHeight="1">
      <c r="A19" s="6" t="s">
        <v>167</v>
      </c>
      <c r="B19" s="64">
        <f>'Input sheet'!B22</f>
        <v>169</v>
      </c>
      <c r="G19" s="72" t="s">
        <v>420</v>
      </c>
      <c r="M19" s="690"/>
      <c r="N19" s="690"/>
      <c r="O19" s="690"/>
      <c r="P19" s="690"/>
      <c r="Q19" s="690"/>
    </row>
    <row r="20" spans="1:17" s="6" customFormat="1" ht="15" customHeight="1">
      <c r="G20" s="12" t="s">
        <v>335</v>
      </c>
      <c r="H20" s="12" t="s">
        <v>5</v>
      </c>
      <c r="I20" s="12" t="s">
        <v>358</v>
      </c>
      <c r="J20" s="12" t="s">
        <v>360</v>
      </c>
      <c r="K20" s="12" t="s">
        <v>359</v>
      </c>
    </row>
    <row r="21" spans="1:17" s="6" customFormat="1" ht="15" customHeight="1">
      <c r="A21" s="6" t="s">
        <v>446</v>
      </c>
      <c r="B21" s="81" t="s">
        <v>452</v>
      </c>
      <c r="G21" s="12" t="str">
        <f>'Country equity risk premiums'!A201</f>
        <v>Africa</v>
      </c>
      <c r="H21" s="81"/>
      <c r="I21" s="13">
        <f>'Country equity risk premiums'!B201</f>
        <v>0.11683734316589314</v>
      </c>
      <c r="J21" s="66">
        <f t="shared" ref="J21:J29" si="2">H21/$H$32</f>
        <v>0</v>
      </c>
      <c r="K21" s="84">
        <f>I21*J21</f>
        <v>0</v>
      </c>
    </row>
    <row r="22" spans="1:17" s="6" customFormat="1" ht="15" customHeight="1">
      <c r="A22" s="6" t="s">
        <v>448</v>
      </c>
      <c r="B22" s="108">
        <v>1.2</v>
      </c>
      <c r="G22" s="12" t="str">
        <f>'Country equity risk premiums'!A202</f>
        <v>Asia</v>
      </c>
      <c r="H22" s="81">
        <v>36154</v>
      </c>
      <c r="I22" s="13">
        <f>'Country equity risk premiums'!B202</f>
        <v>5.5121781227330989E-2</v>
      </c>
      <c r="J22" s="66">
        <f t="shared" si="2"/>
        <v>9.5087805121812016E-2</v>
      </c>
      <c r="K22" s="84">
        <f t="shared" ref="K22:K29" si="3">I22*J22</f>
        <v>5.2414091913116053E-3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1.1710629087177289</v>
      </c>
      <c r="G23" s="12" t="str">
        <f>'Country equity risk premiums'!A203</f>
        <v>Australia &amp; New Zealand</v>
      </c>
      <c r="H23" s="81"/>
      <c r="I23" s="13">
        <f>'Country equity risk premiums'!B203</f>
        <v>4.1139287052754374E-2</v>
      </c>
      <c r="J23" s="66">
        <f t="shared" si="2"/>
        <v>0</v>
      </c>
      <c r="K23" s="84">
        <f t="shared" si="3"/>
        <v>0</v>
      </c>
    </row>
    <row r="24" spans="1:17" s="6" customFormat="1" ht="15" customHeight="1">
      <c r="A24" s="6" t="s">
        <v>168</v>
      </c>
      <c r="B24" s="68">
        <f>'Input sheet'!B34</f>
        <v>4.0800000000000003E-2</v>
      </c>
      <c r="G24" s="12" t="str">
        <f>'Country equity risk premiums'!A204</f>
        <v>Caribbean</v>
      </c>
      <c r="H24" s="81"/>
      <c r="I24" s="13">
        <f>'Country equity risk premiums'!B204</f>
        <v>0.1152398876495359</v>
      </c>
      <c r="J24" s="66">
        <f t="shared" si="2"/>
        <v>0</v>
      </c>
      <c r="K24" s="84">
        <f t="shared" si="3"/>
        <v>0</v>
      </c>
    </row>
    <row r="25" spans="1:17" s="6" customFormat="1" ht="15" customHeight="1">
      <c r="A25" s="6" t="s">
        <v>412</v>
      </c>
      <c r="B25" s="103" t="s">
        <v>416</v>
      </c>
      <c r="G25" s="12" t="str">
        <f>'Country equity risk premiums'!A205</f>
        <v>Central and South America</v>
      </c>
      <c r="H25" s="81"/>
      <c r="I25" s="13">
        <f>'Country equity risk premiums'!B205</f>
        <v>8.7779347378296041E-2</v>
      </c>
      <c r="J25" s="66">
        <f t="shared" si="2"/>
        <v>0</v>
      </c>
      <c r="K25" s="84">
        <f t="shared" si="3"/>
        <v>0</v>
      </c>
    </row>
    <row r="26" spans="1:17" s="6" customFormat="1" ht="15" customHeight="1">
      <c r="A26" s="6" t="s">
        <v>418</v>
      </c>
      <c r="B26" s="103">
        <v>0.06</v>
      </c>
      <c r="G26" s="12" t="str">
        <f>'Country equity risk premiums'!A206</f>
        <v>Eastern Europe &amp; Russia</v>
      </c>
      <c r="H26" s="81"/>
      <c r="I26" s="13">
        <f>'Country equity risk premiums'!B206</f>
        <v>7.481322634397318E-2</v>
      </c>
      <c r="J26" s="66">
        <f t="shared" si="2"/>
        <v>0</v>
      </c>
      <c r="K26" s="84">
        <f t="shared" si="3"/>
        <v>0</v>
      </c>
    </row>
    <row r="27" spans="1:17" s="6" customFormat="1" ht="15" customHeight="1">
      <c r="A27" s="6" t="s">
        <v>419</v>
      </c>
      <c r="B27" s="104">
        <f>IF(B25="Will Input",B26,IF(B25="Country of Incorporation",VLOOKUP('Input sheet'!B7,'Country equity risk premiums'!A5:E181,4),IF(B25="Operating regions",'Cost of capital worksheet'!K32,'Cost of capital worksheet'!K18)))</f>
        <v>4.9015479559570481E-2</v>
      </c>
      <c r="G27" s="12" t="str">
        <f>'Country equity risk premiums'!A207</f>
        <v>Middle East</v>
      </c>
      <c r="H27" s="81"/>
      <c r="I27" s="13">
        <f>'Country equity risk premiums'!B207</f>
        <v>5.9317417528343748E-2</v>
      </c>
      <c r="J27" s="66">
        <f t="shared" si="2"/>
        <v>0</v>
      </c>
      <c r="K27" s="84">
        <f t="shared" si="3"/>
        <v>0</v>
      </c>
    </row>
    <row r="28" spans="1:17" s="6" customFormat="1" ht="15" customHeight="1">
      <c r="G28" s="12" t="str">
        <f>'Country equity risk premiums'!A208</f>
        <v>North America</v>
      </c>
      <c r="H28" s="81">
        <v>162560</v>
      </c>
      <c r="I28" s="13">
        <f>'Country equity risk premiums'!B208</f>
        <v>4.1099999999999998E-2</v>
      </c>
      <c r="J28" s="66">
        <f t="shared" si="2"/>
        <v>0.4275453228025049</v>
      </c>
      <c r="K28" s="84">
        <f t="shared" si="3"/>
        <v>1.757211276718295E-2</v>
      </c>
    </row>
    <row r="29" spans="1:17" s="6" customFormat="1" ht="15" customHeight="1">
      <c r="A29" s="11" t="s">
        <v>169</v>
      </c>
      <c r="G29" s="12" t="str">
        <f>'Country equity risk premiums'!A209</f>
        <v>Western Europe</v>
      </c>
      <c r="H29" s="81">
        <v>94294</v>
      </c>
      <c r="I29" s="13">
        <f>'Country equity risk premiums'!B209</f>
        <v>5.2371232668126128E-2</v>
      </c>
      <c r="J29" s="66">
        <f t="shared" si="2"/>
        <v>0.24800048393417443</v>
      </c>
      <c r="K29" s="84">
        <f t="shared" si="3"/>
        <v>1.2988091045924525E-2</v>
      </c>
    </row>
    <row r="30" spans="1:17" s="6" customFormat="1" ht="15" customHeight="1">
      <c r="A30" s="6" t="s">
        <v>170</v>
      </c>
      <c r="B30" s="64">
        <f>'Input sheet'!B15</f>
        <v>161574</v>
      </c>
      <c r="G30" s="81"/>
      <c r="H30" s="81">
        <f>14650</f>
        <v>14650</v>
      </c>
      <c r="I30" s="140">
        <v>6.4100000000000004E-2</v>
      </c>
      <c r="J30" s="66">
        <f>H30/$H$32</f>
        <v>3.8530628562110585E-2</v>
      </c>
      <c r="K30" s="84">
        <f>I30*J30</f>
        <v>2.4698132908312887E-3</v>
      </c>
    </row>
    <row r="31" spans="1:17" s="6" customFormat="1" ht="15" customHeight="1">
      <c r="A31" s="6" t="s">
        <v>171</v>
      </c>
      <c r="B31" s="64">
        <f>'Input sheet'!B13</f>
        <v>3182</v>
      </c>
      <c r="G31" s="81" t="s">
        <v>251</v>
      </c>
      <c r="H31" s="81">
        <v>72559</v>
      </c>
      <c r="I31" s="140">
        <v>5.6300000000000003E-2</v>
      </c>
      <c r="J31" s="66">
        <f>H31/$H$32</f>
        <v>0.19083575957939808</v>
      </c>
      <c r="K31" s="84">
        <f>I31*J31</f>
        <v>1.0744053264320113E-2</v>
      </c>
    </row>
    <row r="32" spans="1:17" s="6" customFormat="1" ht="15" customHeight="1">
      <c r="A32" s="6" t="s">
        <v>172</v>
      </c>
      <c r="B32" s="60">
        <v>3</v>
      </c>
      <c r="G32" s="82" t="s">
        <v>361</v>
      </c>
      <c r="H32" s="82">
        <f>SUM(H21:H31)</f>
        <v>380217</v>
      </c>
      <c r="I32" s="68"/>
      <c r="J32" s="66">
        <f>SUM(J21:J31)</f>
        <v>1</v>
      </c>
      <c r="K32" s="85">
        <f>SUM(K21:K31)</f>
        <v>4.9015479559570481E-2</v>
      </c>
    </row>
    <row r="33" spans="1:15" s="6" customFormat="1" ht="15" customHeight="1">
      <c r="A33" s="6" t="s">
        <v>425</v>
      </c>
      <c r="B33" s="75" t="s">
        <v>424</v>
      </c>
    </row>
    <row r="34" spans="1:15" s="6" customFormat="1" ht="15" customHeight="1">
      <c r="A34" s="6" t="s">
        <v>427</v>
      </c>
      <c r="B34" s="105">
        <v>0.04</v>
      </c>
      <c r="G34" s="59" t="s">
        <v>449</v>
      </c>
    </row>
    <row r="35" spans="1:15" s="6" customFormat="1" ht="15" customHeight="1">
      <c r="A35" s="6" t="s">
        <v>426</v>
      </c>
      <c r="B35" s="75" t="s">
        <v>440</v>
      </c>
      <c r="G35" s="12" t="s">
        <v>371</v>
      </c>
      <c r="H35" s="12" t="s">
        <v>5</v>
      </c>
      <c r="I35" s="12" t="s">
        <v>153</v>
      </c>
      <c r="J35" s="12" t="s">
        <v>372</v>
      </c>
      <c r="K35" s="12" t="s">
        <v>193</v>
      </c>
      <c r="L35" s="12" t="s">
        <v>135</v>
      </c>
    </row>
    <row r="36" spans="1:15" s="6" customFormat="1" ht="15" customHeight="1">
      <c r="A36" s="6" t="s">
        <v>443</v>
      </c>
      <c r="B36" s="75">
        <v>2</v>
      </c>
      <c r="G36" s="81" t="s">
        <v>654</v>
      </c>
      <c r="H36" s="86">
        <v>195010</v>
      </c>
      <c r="I36" s="87">
        <f>IF(G36=0,,VLOOKUP(G36,'Industry Averages(US)'!$A$2:$S$95,15))</f>
        <v>5.5117305732812101</v>
      </c>
      <c r="J36" s="88">
        <f>H36*I36</f>
        <v>1074842.5790955687</v>
      </c>
      <c r="K36" s="179">
        <f>IF(I36=0,0,VLOOKUP(G36,'Industry Averages(US)'!$A$2:$S$95,7))</f>
        <v>1.1003543807483607</v>
      </c>
      <c r="L36" s="181">
        <f>IF(I36=0,0,VLOOKUP(G36,'Industry Averages(US)'!$A$2:$S$95,13))</f>
        <v>8.7884327608428986E-2</v>
      </c>
    </row>
    <row r="37" spans="1:15" s="6" customFormat="1" ht="15" customHeight="1">
      <c r="A37" s="6" t="s">
        <v>113</v>
      </c>
      <c r="B37" s="104">
        <f>IF(B33="Direct Input",B34,IF(B33="Synthetic Rating",'Synthetic rating'!D16,B24+VLOOKUP('Cost of capital worksheet'!B35,'Synthetic rating'!G42:H56,2)))</f>
        <v>0.05</v>
      </c>
      <c r="G37" s="81" t="s">
        <v>609</v>
      </c>
      <c r="H37" s="86">
        <v>43000</v>
      </c>
      <c r="I37" s="87">
        <f>IF(G37=0,,VLOOKUP(G37,'Industry Averages(US)'!$A$2:$S$95,15))</f>
        <v>2.1770119295764263</v>
      </c>
      <c r="J37" s="88">
        <f>H37*I37</f>
        <v>93611.512971786331</v>
      </c>
      <c r="K37" s="179">
        <f>IF(I37=0,0,VLOOKUP(G37,'Industry Averages(US)'!$A$2:$S$95,7))</f>
        <v>0.8772051743933108</v>
      </c>
      <c r="L37" s="181">
        <f>IF(I37=0,0,VLOOKUP(G37,'Industry Averages(US)'!$A$2:$S$95,13))</f>
        <v>7.5361085152728532E-2</v>
      </c>
    </row>
    <row r="38" spans="1:15" s="6" customFormat="1" ht="15" customHeight="1">
      <c r="A38" s="6" t="s">
        <v>173</v>
      </c>
      <c r="B38" s="106">
        <f>'Input sheet'!B24</f>
        <v>0.25</v>
      </c>
      <c r="G38" s="81" t="s">
        <v>481</v>
      </c>
      <c r="H38" s="86">
        <v>15000</v>
      </c>
      <c r="I38" s="87">
        <f>IF(G38=0,,VLOOKUP(G38,'Industry Averages(US)'!$A$2:$S$95,15))</f>
        <v>3.0674272548861663</v>
      </c>
      <c r="J38" s="88">
        <f t="shared" ref="J38:J47" si="4">H38*I38</f>
        <v>46011.408823292491</v>
      </c>
      <c r="K38" s="179">
        <f>IF(I38=0,0,VLOOKUP(G38,'Industry Averages(US)'!$A$2:$S$95,7))</f>
        <v>0.86571919280395593</v>
      </c>
      <c r="L38" s="181">
        <f>IF(I38=0,0,VLOOKUP(G38,'Industry Averages(US)'!$A$2:$S$95,13))</f>
        <v>7.4634882763526755E-2</v>
      </c>
    </row>
    <row r="39" spans="1:15" s="6" customFormat="1" ht="15" customHeight="1">
      <c r="G39" s="81"/>
      <c r="H39" s="86"/>
      <c r="I39" s="87">
        <f>IF(G39=0,,VLOOKUP(G39,'Industry Averages(US)'!$A$2:$S$95,15))</f>
        <v>0</v>
      </c>
      <c r="J39" s="88">
        <f t="shared" si="4"/>
        <v>0</v>
      </c>
      <c r="K39" s="179">
        <f>IF(I39=0,0,VLOOKUP(G39,'Industry Averages(US)'!$A$2:$S$95,7))</f>
        <v>0</v>
      </c>
      <c r="L39" s="181">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9">
        <f>IF(I40=0,0,VLOOKUP(G40,'Industry Averages(US)'!$A$2:$S$95,7))</f>
        <v>0</v>
      </c>
      <c r="L40" s="181">
        <f>IF(I40=0,0,VLOOKUP(G40,'Industry Averages(US)'!$A$2:$S$95,13))</f>
        <v>0</v>
      </c>
    </row>
    <row r="41" spans="1:15" s="6" customFormat="1" ht="15" customHeight="1">
      <c r="A41" s="6" t="s">
        <v>175</v>
      </c>
      <c r="B41" s="60">
        <v>0</v>
      </c>
      <c r="G41" s="81"/>
      <c r="H41" s="86"/>
      <c r="I41" s="87">
        <f>IF(G41=0,,VLOOKUP(G41,'Industry Averages(US)'!$A$2:$S$95,15))</f>
        <v>0</v>
      </c>
      <c r="J41" s="88">
        <f t="shared" si="4"/>
        <v>0</v>
      </c>
      <c r="K41" s="179">
        <f>IF(I41=0,0,VLOOKUP(G41,'Industry Averages(US)'!$A$2:$S$95,7))</f>
        <v>0</v>
      </c>
      <c r="L41" s="181">
        <f>IF(I41=0,0,VLOOKUP(G41,'Industry Averages(US)'!$A$2:$S$95,13))</f>
        <v>0</v>
      </c>
    </row>
    <row r="42" spans="1:15" s="6" customFormat="1" ht="15" customHeight="1">
      <c r="A42" s="6" t="s">
        <v>176</v>
      </c>
      <c r="B42" s="60">
        <v>0</v>
      </c>
      <c r="G42" s="81"/>
      <c r="H42" s="86"/>
      <c r="I42" s="87">
        <f>IF(G42=0,,VLOOKUP(G42,'Industry Averages(US)'!$A$2:$S$95,15))</f>
        <v>0</v>
      </c>
      <c r="J42" s="88">
        <f t="shared" si="4"/>
        <v>0</v>
      </c>
      <c r="K42" s="179">
        <f>IF(I42=0,0,VLOOKUP(G42,'Industry Averages(US)'!$A$2:$S$95,7))</f>
        <v>0</v>
      </c>
      <c r="L42" s="181">
        <f>IF(I42=0,0,VLOOKUP(G42,'Industry Averages(US)'!$A$2:$S$95,13))</f>
        <v>0</v>
      </c>
    </row>
    <row r="43" spans="1:15" s="6" customFormat="1" ht="15" customHeight="1">
      <c r="A43" s="6" t="s">
        <v>177</v>
      </c>
      <c r="B43" s="60">
        <v>0</v>
      </c>
      <c r="G43" s="81"/>
      <c r="H43" s="86"/>
      <c r="I43" s="87">
        <f>IF(G43=0,,VLOOKUP(G43,'Industry Averages(US)'!$A$2:$S$95,15))</f>
        <v>0</v>
      </c>
      <c r="J43" s="88">
        <f t="shared" si="4"/>
        <v>0</v>
      </c>
      <c r="K43" s="179">
        <f>IF(I43=0,0,VLOOKUP(G43,'Industry Averages(US)'!$A$2:$S$95,7))</f>
        <v>0</v>
      </c>
      <c r="L43" s="181">
        <f>IF(I43=0,0,VLOOKUP(G43,'Industry Averages(US)'!$A$2:$S$95,13))</f>
        <v>0</v>
      </c>
    </row>
    <row r="44" spans="1:15" ht="12.75">
      <c r="A44" s="6"/>
      <c r="B44" s="6"/>
      <c r="C44" s="6"/>
      <c r="D44" s="6"/>
      <c r="E44" s="6"/>
      <c r="F44" s="6"/>
      <c r="G44" s="81"/>
      <c r="H44" s="86"/>
      <c r="I44" s="87">
        <f>IF(G44=0,,VLOOKUP(G44,'Industry Averages(US)'!$A$2:$S$95,15))</f>
        <v>0</v>
      </c>
      <c r="J44" s="88">
        <f t="shared" si="4"/>
        <v>0</v>
      </c>
      <c r="K44" s="179">
        <f>IF(I44=0,0,VLOOKUP(G44,'Industry Averages(US)'!$A$2:$S$95,7))</f>
        <v>0</v>
      </c>
      <c r="L44" s="181">
        <f>IF(I44=0,0,VLOOKUP(G44,'Industry Averages(US)'!$A$2:$S$95,13))</f>
        <v>0</v>
      </c>
      <c r="M44" s="689" t="s">
        <v>746</v>
      </c>
      <c r="N44" s="689"/>
      <c r="O44" s="689"/>
    </row>
    <row r="45" spans="1:15" ht="12.75">
      <c r="A45" s="6" t="s">
        <v>178</v>
      </c>
      <c r="B45" s="64">
        <f>IF('Input sheet'!B17="Yes",'Operating lease converter'!F33,0)</f>
        <v>0</v>
      </c>
      <c r="C45" s="6"/>
      <c r="D45" s="6"/>
      <c r="E45" s="6"/>
      <c r="F45" s="6"/>
      <c r="G45" s="81"/>
      <c r="H45" s="86"/>
      <c r="I45" s="87">
        <f>IF(G45=0,,VLOOKUP(G45,'Industry Averages(US)'!$A$2:$S$95,15))</f>
        <v>0</v>
      </c>
      <c r="J45" s="88">
        <f t="shared" si="4"/>
        <v>0</v>
      </c>
      <c r="K45" s="179">
        <f>IF(I45=0,0,VLOOKUP(G45,'Industry Averages(US)'!$A$2:$S$95,7))</f>
        <v>0</v>
      </c>
      <c r="L45" s="181">
        <f>IF(I45=0,0,VLOOKUP(G45,'Industry Averages(US)'!$A$2:$S$95,13))</f>
        <v>0</v>
      </c>
      <c r="M45" s="689"/>
      <c r="N45" s="689"/>
      <c r="O45" s="689"/>
    </row>
    <row r="46" spans="1:15" ht="12.75">
      <c r="A46" s="6"/>
      <c r="B46" s="6"/>
      <c r="C46" s="6"/>
      <c r="D46" s="6"/>
      <c r="E46" s="6"/>
      <c r="F46" s="6"/>
      <c r="G46" s="81"/>
      <c r="H46" s="86"/>
      <c r="I46" s="87">
        <f>IF(G46=0,,VLOOKUP(G46,'Industry Averages(US)'!$A$2:$S$95,15))</f>
        <v>0</v>
      </c>
      <c r="J46" s="88">
        <f t="shared" si="4"/>
        <v>0</v>
      </c>
      <c r="K46" s="179">
        <f>IF(I46=0,0,VLOOKUP(G46,'Industry Averages(US)'!$A$2:$S$95,7))</f>
        <v>0</v>
      </c>
      <c r="L46" s="181">
        <f>IF(I46=0,0,VLOOKUP(G46,'Industry Averages(US)'!$A$2:$S$95,13))</f>
        <v>0</v>
      </c>
      <c r="M46" s="689"/>
      <c r="N46" s="689"/>
      <c r="O46" s="689"/>
    </row>
    <row r="47" spans="1:15" ht="12.75">
      <c r="A47" s="11" t="s">
        <v>179</v>
      </c>
      <c r="B47" s="6"/>
      <c r="C47" s="6"/>
      <c r="D47" s="6"/>
      <c r="E47" s="6"/>
      <c r="F47" s="6"/>
      <c r="G47" s="81"/>
      <c r="H47" s="86"/>
      <c r="I47" s="87">
        <f>IF(G47=0,,VLOOKUP(G47,'Industry Averages(US)'!$A$2:$S$95,15))</f>
        <v>0</v>
      </c>
      <c r="J47" s="88">
        <f t="shared" si="4"/>
        <v>0</v>
      </c>
      <c r="K47" s="179">
        <f>IF(I47=0,0,VLOOKUP(G47,'Industry Averages(US)'!$A$2:$S$95,7))</f>
        <v>0</v>
      </c>
      <c r="L47" s="181">
        <f>IF(I47=0,0,VLOOKUP(G47,'Industry Averages(US)'!$A$2:$S$95,13))</f>
        <v>0</v>
      </c>
      <c r="M47" s="689"/>
      <c r="N47" s="689"/>
      <c r="O47" s="689"/>
    </row>
    <row r="48" spans="1:15" ht="12.75">
      <c r="A48" s="6" t="s">
        <v>180</v>
      </c>
      <c r="B48" s="60">
        <v>0</v>
      </c>
      <c r="C48" s="6"/>
      <c r="D48" s="6"/>
      <c r="E48" s="6"/>
      <c r="F48" s="6"/>
      <c r="G48" s="89" t="s">
        <v>221</v>
      </c>
      <c r="H48" s="90">
        <f>SUM(H36:H47)</f>
        <v>253010</v>
      </c>
      <c r="I48" s="91"/>
      <c r="J48" s="88">
        <f>SUM(J36:J47)</f>
        <v>1214465.5008906475</v>
      </c>
      <c r="K48" s="180">
        <f>K36*(J36/J48)+K37*J37/J48+K38*J38/J48+K39*J39/J48+K40*J40/J48+K41*J41/J48+K42*J42/J48+K43*J43/J48+K44*J44/J48+K45*J45/J48+K46*J46/J48+K47*J47/J48</f>
        <v>1.074264524462651</v>
      </c>
      <c r="L48" s="182">
        <f>L36*(J36/J48)+L37*J37/J48+L38*J38/J48+L39*J39/J48+L40*J40/J48+L41*J41/J48+L42*J42/J48+L43*J43/J48+L44*J44/J48+L45*J45/J48+L46*J46/J48+L47*J47/J48</f>
        <v>8.6417060489087774E-2</v>
      </c>
      <c r="M48" s="689"/>
      <c r="N48" s="689"/>
      <c r="O48" s="689"/>
    </row>
    <row r="49" spans="1:15" ht="12.75">
      <c r="A49" s="6" t="s">
        <v>181</v>
      </c>
      <c r="B49" s="60">
        <v>70</v>
      </c>
      <c r="C49" s="6"/>
      <c r="D49" s="6"/>
      <c r="E49" s="6"/>
      <c r="F49" s="6"/>
    </row>
    <row r="50" spans="1:15" ht="19.5">
      <c r="A50" s="6" t="s">
        <v>182</v>
      </c>
      <c r="B50" s="60">
        <v>5</v>
      </c>
      <c r="C50" s="6"/>
      <c r="D50" s="6"/>
      <c r="E50" s="6"/>
      <c r="F50" s="6"/>
      <c r="G50" s="109" t="s">
        <v>450</v>
      </c>
    </row>
    <row r="51" spans="1:15" ht="12.75">
      <c r="A51" s="6"/>
      <c r="B51" s="6"/>
      <c r="C51" s="6"/>
      <c r="D51" s="6"/>
      <c r="E51" s="6"/>
      <c r="F51" s="6"/>
      <c r="G51" s="12" t="s">
        <v>371</v>
      </c>
      <c r="H51" s="12" t="s">
        <v>5</v>
      </c>
      <c r="I51" s="12" t="s">
        <v>153</v>
      </c>
      <c r="J51" s="12" t="s">
        <v>372</v>
      </c>
      <c r="K51" s="12" t="s">
        <v>193</v>
      </c>
      <c r="L51" s="12" t="s">
        <v>135</v>
      </c>
    </row>
    <row r="52" spans="1:15" ht="13.5">
      <c r="A52" s="8" t="s">
        <v>112</v>
      </c>
      <c r="B52" s="6"/>
      <c r="C52" s="6"/>
      <c r="D52" s="6"/>
      <c r="E52" s="6"/>
      <c r="F52" s="6"/>
      <c r="G52" s="81" t="s">
        <v>609</v>
      </c>
      <c r="H52" s="86">
        <v>81363</v>
      </c>
      <c r="I52" s="87">
        <f>IF(G52=0,,VLOOKUP(G52,'Industry Average Beta (Global)'!$A$2:$O$95,15))</f>
        <v>1.5902472235868699</v>
      </c>
      <c r="J52" s="88">
        <f>H52*I52</f>
        <v>129387.28485269849</v>
      </c>
      <c r="K52" s="87">
        <f>IF(G52=0,,VLOOKUP(G52,'Industry Average Beta (Global)'!$A$2:$O$95,7))</f>
        <v>1.2783308812571208</v>
      </c>
      <c r="L52" s="181">
        <f>IF(I52=0,0,VLOOKUP(G52,'Industry Average Beta (Global)'!$A$2:$M$95,13))</f>
        <v>0.10952076242670084</v>
      </c>
    </row>
    <row r="53" spans="1:15" ht="12.75">
      <c r="A53" s="12" t="s">
        <v>183</v>
      </c>
      <c r="B53" s="12"/>
      <c r="C53" s="65">
        <f>B31*(1-(1+B37)^(-B32))/B37+B30/(1+B37)^B32</f>
        <v>148239.07137458157</v>
      </c>
      <c r="D53" s="6"/>
      <c r="E53" s="6"/>
      <c r="F53" s="6"/>
      <c r="G53" s="81"/>
      <c r="H53" s="86"/>
      <c r="I53" s="87">
        <f>IF(G53=0,,VLOOKUP(G53,'Industry Average Beta (Global)'!$A$2:$O$95,15))</f>
        <v>0</v>
      </c>
      <c r="J53" s="88">
        <f>H53*I53</f>
        <v>0</v>
      </c>
      <c r="K53" s="87">
        <f>IF(G53=0,,VLOOKUP(G53,'Industry Average Beta (Global)'!$A$2:$O$95,7))</f>
        <v>0</v>
      </c>
      <c r="L53" s="181">
        <f>IF(I53=0,0,VLOOKUP(G53,'Industry Average Beta (Global)'!$A$2:$M$95,13))</f>
        <v>0</v>
      </c>
    </row>
    <row r="54" spans="1:15" ht="12.75">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81">
        <f>IF(I54=0,0,VLOOKUP(G54,'Industry Average Beta (Global)'!$A$2:$M$95,13))</f>
        <v>0</v>
      </c>
    </row>
    <row r="55" spans="1:15" ht="12.75">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81">
        <f>IF(I55=0,0,VLOOKUP(G55,'Industry Average Beta (Global)'!$A$2:$M$95,13))</f>
        <v>0</v>
      </c>
    </row>
    <row r="56" spans="1:15" ht="12.75">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81">
        <f>IF(I56=0,0,VLOOKUP(G56,'Industry Average Beta (Global)'!$A$2:$M$95,13))</f>
        <v>0</v>
      </c>
    </row>
    <row r="57" spans="1:15" ht="12.75">
      <c r="A57" s="12" t="s">
        <v>194</v>
      </c>
      <c r="B57" s="12"/>
      <c r="C57" s="71">
        <f>IF(B21="Direct Input",B22,B23*(1+(1-B38)*(C60/B60)))</f>
        <v>1.2444904841835949</v>
      </c>
      <c r="D57" s="6"/>
      <c r="E57" s="6"/>
      <c r="F57" s="6"/>
      <c r="G57" s="81"/>
      <c r="H57" s="86"/>
      <c r="I57" s="87">
        <f>IF(G57=0,,VLOOKUP(G57,'Industry Average Beta (Global)'!$A$2:$O$95,15))</f>
        <v>0</v>
      </c>
      <c r="J57" s="88">
        <f t="shared" si="5"/>
        <v>0</v>
      </c>
      <c r="K57" s="87">
        <f>IF(G57=0,,VLOOKUP(G57,'Industry Average Beta (Global)'!$A$2:$O$95,7))</f>
        <v>0</v>
      </c>
      <c r="L57" s="181">
        <f>IF(I57=0,0,VLOOKUP(G57,'Industry Average Beta (Global)'!$A$2:$M$95,13))</f>
        <v>0</v>
      </c>
    </row>
    <row r="58" spans="1:15" ht="12.75">
      <c r="A58" s="6"/>
      <c r="B58" s="6"/>
      <c r="C58" s="71"/>
      <c r="D58" s="6"/>
      <c r="E58" s="6"/>
      <c r="F58" s="6"/>
      <c r="G58" s="81"/>
      <c r="H58" s="86"/>
      <c r="I58" s="87">
        <f>IF(G58=0,,VLOOKUP(G58,'Industry Average Beta (Global)'!$A$2:$O$95,15))</f>
        <v>0</v>
      </c>
      <c r="J58" s="88">
        <f t="shared" si="5"/>
        <v>0</v>
      </c>
      <c r="K58" s="87">
        <f>IF(G58=0,,VLOOKUP(G58,'Industry Average Beta (Global)'!$A$2:$O$95,7))</f>
        <v>0</v>
      </c>
      <c r="L58" s="181">
        <f>IF(I58=0,0,VLOOKUP(G58,'Industry Average Beta (Global)'!$A$2:$M$95,13))</f>
        <v>0</v>
      </c>
    </row>
    <row r="59" spans="1:15" ht="12.75">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81">
        <f>IF(I59=0,0,VLOOKUP(G59,'Industry Average Beta (Global)'!$A$2:$M$95,13))</f>
        <v>0</v>
      </c>
    </row>
    <row r="60" spans="1:15" ht="12.75">
      <c r="A60" s="12" t="s">
        <v>189</v>
      </c>
      <c r="B60" s="65">
        <f>B18*B19</f>
        <v>1773148</v>
      </c>
      <c r="C60" s="168">
        <f>C53+C54+C55</f>
        <v>148239.07137458157</v>
      </c>
      <c r="D60" s="65">
        <f>B48*B49</f>
        <v>0</v>
      </c>
      <c r="E60" s="168">
        <f>SUM(B60:D60)</f>
        <v>1921387.0713745817</v>
      </c>
      <c r="F60" s="6"/>
      <c r="G60" s="81"/>
      <c r="H60" s="86"/>
      <c r="I60" s="87">
        <f>IF(G60=0,,VLOOKUP(G60,'Industry Average Beta (Global)'!$A$2:$O$95,15))</f>
        <v>0</v>
      </c>
      <c r="J60" s="88">
        <f t="shared" si="5"/>
        <v>0</v>
      </c>
      <c r="K60" s="87">
        <f>IF(G60=0,,VLOOKUP(G60,'Industry Average Beta (Global)'!$A$2:$O$95,7))</f>
        <v>0</v>
      </c>
      <c r="L60" s="181">
        <f>IF(I60=0,0,VLOOKUP(G60,'Industry Average Beta (Global)'!$A$2:$M$95,13))</f>
        <v>0</v>
      </c>
      <c r="M60" s="689" t="s">
        <v>860</v>
      </c>
      <c r="N60" s="689"/>
      <c r="O60" s="689"/>
    </row>
    <row r="61" spans="1:15" ht="13.5" thickBot="1">
      <c r="A61" s="12" t="s">
        <v>190</v>
      </c>
      <c r="B61" s="66">
        <f>B60/$E$60</f>
        <v>0.92284788755837222</v>
      </c>
      <c r="C61" s="66">
        <f>C60/$E$60</f>
        <v>7.7152112441627757E-2</v>
      </c>
      <c r="D61" s="66">
        <f>D60/$E$60</f>
        <v>0</v>
      </c>
      <c r="E61" s="67">
        <f>SUM(B61:D61)</f>
        <v>1</v>
      </c>
      <c r="F61" s="6"/>
      <c r="G61" s="81"/>
      <c r="H61" s="86"/>
      <c r="I61" s="87">
        <f>IF(G61=0,,VLOOKUP(G61,'Industry Average Beta (Global)'!$A$2:$O$95,15))</f>
        <v>0</v>
      </c>
      <c r="J61" s="88">
        <f t="shared" si="5"/>
        <v>0</v>
      </c>
      <c r="K61" s="87">
        <f>IF(G61=0,,VLOOKUP(G61,'Industry Average Beta (Global)'!$A$2:$O$95,7))</f>
        <v>0</v>
      </c>
      <c r="L61" s="181">
        <f>IF(I61=0,0,VLOOKUP(G61,'Industry Average Beta (Global)'!$A$2:$M$95,13))</f>
        <v>0</v>
      </c>
      <c r="M61" s="689"/>
      <c r="N61" s="689"/>
      <c r="O61" s="689"/>
    </row>
    <row r="62" spans="1:15" ht="13.5" thickBot="1">
      <c r="A62" s="12" t="s">
        <v>191</v>
      </c>
      <c r="B62" s="68">
        <f>B24+C57*B27</f>
        <v>0.10179929788958098</v>
      </c>
      <c r="C62" s="66">
        <f>B37*(1-B38)</f>
        <v>3.7500000000000006E-2</v>
      </c>
      <c r="D62" s="69">
        <f>B50/B49</f>
        <v>7.1428571428571425E-2</v>
      </c>
      <c r="E62" s="70">
        <f>B61*B62+C61*C62+D61*D62</f>
        <v>9.6838471228886308E-2</v>
      </c>
      <c r="F62" s="6"/>
      <c r="G62" s="81"/>
      <c r="H62" s="86"/>
      <c r="I62" s="87">
        <f>IF(G62=0,,VLOOKUP(G62,'Industry Average Beta (Global)'!$A$2:$O$95,15))</f>
        <v>0</v>
      </c>
      <c r="J62" s="88">
        <f t="shared" si="5"/>
        <v>0</v>
      </c>
      <c r="K62" s="87">
        <f>IF(G62=0,,VLOOKUP(G62,'Industry Average Beta (Global)'!$A$2:$O$95,7))</f>
        <v>0</v>
      </c>
      <c r="L62" s="181">
        <f>IF(I62=0,0,VLOOKUP(G62,'Industry Average Beta (Global)'!$A$2:$M$95,13))</f>
        <v>0</v>
      </c>
      <c r="M62" s="689"/>
      <c r="N62" s="689"/>
      <c r="O62" s="689"/>
    </row>
    <row r="63" spans="1:15" ht="12.75">
      <c r="G63" s="81"/>
      <c r="H63" s="86"/>
      <c r="I63" s="87">
        <f>IF(G63=0,,VLOOKUP(G63,'Industry Average Beta (Global)'!$A$2:$O$95,15))</f>
        <v>0</v>
      </c>
      <c r="J63" s="88">
        <f t="shared" si="5"/>
        <v>0</v>
      </c>
      <c r="K63" s="87">
        <f>IF(G63=0,,VLOOKUP(G63,'Industry Average Beta (Global)'!$A$2:$O$95,7))</f>
        <v>0</v>
      </c>
      <c r="L63" s="181">
        <f>IF(I63=0,0,VLOOKUP(G63,'Industry Average Beta (Global)'!$A$2:$M$95,13))</f>
        <v>0</v>
      </c>
      <c r="M63" s="689"/>
      <c r="N63" s="689"/>
      <c r="O63" s="689"/>
    </row>
    <row r="64" spans="1:15" ht="13.5" thickBot="1">
      <c r="G64" s="89" t="s">
        <v>221</v>
      </c>
      <c r="H64" s="90">
        <f>SUM(H52:H63)</f>
        <v>81363</v>
      </c>
      <c r="I64" s="91"/>
      <c r="J64" s="88">
        <f>SUM(J52:J63)</f>
        <v>129387.28485269849</v>
      </c>
      <c r="K64" s="91">
        <f>K52*(J52/J64)+K53*J53/J64+K54*J54/J64+K55*J55/J64+K56*J56/J64+K57*J57/J64+K58*J58/J64+K59*J59/J64+K60*J60/J64+K61*J61/J64+K62*J62/J64+K63*J63/J64</f>
        <v>1.2783308812571208</v>
      </c>
      <c r="L64" s="182">
        <f>L52*(J52/J64)+L53*J53/J64+L54*J54/J64+L55*J55/J64+L56*J56/J64+L57*J57/J64+L58*J58/J64+L59*J59/J64+L60*J60/J64+L61*J61/J64+L62*J62/J64+L63*J63/J64</f>
        <v>0.10952076242670084</v>
      </c>
      <c r="M64" s="689"/>
      <c r="N64" s="689"/>
      <c r="O64" s="689"/>
    </row>
    <row r="65" spans="1:6" ht="15.75" thickBot="1">
      <c r="A65" s="696" t="s">
        <v>725</v>
      </c>
      <c r="B65" s="697"/>
      <c r="C65" s="697"/>
      <c r="D65" s="697"/>
      <c r="E65" s="697"/>
      <c r="F65" s="698"/>
    </row>
    <row r="66" spans="1:6" ht="13.5" thickBot="1">
      <c r="A66" s="6" t="s">
        <v>726</v>
      </c>
      <c r="B66" s="183" t="s">
        <v>454</v>
      </c>
    </row>
    <row r="67" spans="1:6" ht="12.75" thickBot="1">
      <c r="A67" t="s">
        <v>727</v>
      </c>
      <c r="B67" s="184">
        <f>IF(B66="Single Business(US)",(VLOOKUP('Input sheet'!B8,'Industry Averages(US)'!A2:M95,13)+('Input sheet'!B34-3.88%)),IF(B66="Multibusiness(US)",L48+('Input sheet'!B34-3.88%),IF(B66="Single Business(Global)",(VLOOKUP('Input sheet'!B8,'Industry Average Beta (Global)'!A2:M95,13)+('Input sheet'!B34-3.88%)),L64+('Input sheet'!B34-3.88%))))</f>
        <v>8.8417060489087776E-2</v>
      </c>
    </row>
    <row r="68" spans="1:6" ht="12.75" thickBot="1"/>
    <row r="69" spans="1:6" ht="15.75" thickBot="1">
      <c r="A69" s="696" t="s">
        <v>728</v>
      </c>
      <c r="B69" s="699"/>
      <c r="C69" s="697"/>
      <c r="D69" s="697"/>
      <c r="E69" s="697"/>
      <c r="F69" s="698"/>
    </row>
    <row r="70" spans="1:6">
      <c r="A70" t="s">
        <v>729</v>
      </c>
      <c r="B70" s="189" t="s">
        <v>730</v>
      </c>
    </row>
    <row r="71" spans="1:6">
      <c r="A71" t="s">
        <v>894</v>
      </c>
      <c r="B71" s="189" t="s">
        <v>738</v>
      </c>
    </row>
    <row r="72" spans="1:6">
      <c r="A72" t="s">
        <v>737</v>
      </c>
      <c r="B72" s="182">
        <f>VLOOKUP(B70,A75:F79,IF(B71="First Decile",2,IF(B71="First Quartile",3,IF(B71="Median",4,IF(B71="Third Quartile",5,6)))))</f>
        <v>8.5999999999999993E-2</v>
      </c>
    </row>
    <row r="74" spans="1:6">
      <c r="A74" s="386" t="s">
        <v>335</v>
      </c>
      <c r="B74" s="391" t="s">
        <v>895</v>
      </c>
      <c r="C74" s="392" t="s">
        <v>897</v>
      </c>
      <c r="D74" s="392" t="s">
        <v>738</v>
      </c>
      <c r="E74" s="392" t="s">
        <v>739</v>
      </c>
      <c r="F74" s="392" t="s">
        <v>896</v>
      </c>
    </row>
    <row r="75" spans="1:6">
      <c r="A75" s="386" t="s">
        <v>731</v>
      </c>
      <c r="B75" s="393">
        <f>'Input sheet'!$B$34+2.37%</f>
        <v>6.4500000000000002E-2</v>
      </c>
      <c r="C75" s="393">
        <f>'Input sheet'!$B$34+3.43%</f>
        <v>7.51E-2</v>
      </c>
      <c r="D75" s="393">
        <f>'Input sheet'!$B$34+4.74%</f>
        <v>8.8200000000000001E-2</v>
      </c>
      <c r="E75" s="393">
        <f>'Input sheet'!$B$34+5.94%</f>
        <v>0.10020000000000001</v>
      </c>
      <c r="F75" s="393">
        <f>'Input sheet'!$B$34+7.77%</f>
        <v>0.11849999999999999</v>
      </c>
    </row>
    <row r="76" spans="1:6">
      <c r="A76" s="386" t="s">
        <v>893</v>
      </c>
      <c r="B76" s="393">
        <f>'Input sheet'!$B$34+3.04%</f>
        <v>7.1199999999999999E-2</v>
      </c>
      <c r="C76" s="393">
        <f>'Input sheet'!$B$34+4.18%</f>
        <v>8.2600000000000007E-2</v>
      </c>
      <c r="D76" s="393">
        <f>'Input sheet'!$B$34+5.4%</f>
        <v>9.4800000000000009E-2</v>
      </c>
      <c r="E76" s="393">
        <f>'Input sheet'!$B$34+6.87%</f>
        <v>0.1095</v>
      </c>
      <c r="F76" s="393">
        <f>'Input sheet'!$B$34+8.77%</f>
        <v>0.1285</v>
      </c>
    </row>
    <row r="77" spans="1:6">
      <c r="A77" s="386" t="s">
        <v>466</v>
      </c>
      <c r="B77" s="393">
        <f>'Input sheet'!$B$34+1.32%</f>
        <v>5.4000000000000006E-2</v>
      </c>
      <c r="C77" s="393">
        <f>'Input sheet'!$B$34+2.45%</f>
        <v>6.5299999999999997E-2</v>
      </c>
      <c r="D77" s="393">
        <f>'Input sheet'!$B$34+4.03%</f>
        <v>8.1100000000000005E-2</v>
      </c>
      <c r="E77" s="393">
        <f>'Input sheet'!$B$34+4.99%</f>
        <v>9.0700000000000003E-2</v>
      </c>
      <c r="F77" s="393">
        <f>'Input sheet'!$B$34+5.74%</f>
        <v>9.820000000000001E-2</v>
      </c>
    </row>
    <row r="78" spans="1:6">
      <c r="A78" s="386" t="s">
        <v>279</v>
      </c>
      <c r="B78" s="393">
        <f>'Input sheet'!$B$34+2.6%</f>
        <v>6.6799999999999998E-2</v>
      </c>
      <c r="C78" s="393">
        <f>'Input sheet'!$B$34+3.58%</f>
        <v>7.6600000000000001E-2</v>
      </c>
      <c r="D78" s="393">
        <f>'Input sheet'!$B$34+4.74%</f>
        <v>8.8200000000000001E-2</v>
      </c>
      <c r="E78" s="393">
        <f>'Input sheet'!$B$34+5.59%</f>
        <v>9.6700000000000008E-2</v>
      </c>
      <c r="F78" s="393">
        <f>'Input sheet'!$B$34+6.83%</f>
        <v>0.1091</v>
      </c>
    </row>
    <row r="79" spans="1:6">
      <c r="A79" s="386" t="s">
        <v>730</v>
      </c>
      <c r="B79" s="393">
        <f>'Input sheet'!$B$34+2.35%</f>
        <v>6.4299999999999996E-2</v>
      </c>
      <c r="C79" s="393">
        <f>'Input sheet'!$B$34+3.67%</f>
        <v>7.7499999999999999E-2</v>
      </c>
      <c r="D79" s="393">
        <f>'Input sheet'!$B$34+4.52%</f>
        <v>8.5999999999999993E-2</v>
      </c>
      <c r="E79" s="393">
        <f>'Input sheet'!$B$34+4.76%</f>
        <v>8.8400000000000006E-2</v>
      </c>
      <c r="F79" s="393">
        <f>'Input sheet'!$B$34+5.29%</f>
        <v>9.3700000000000006E-2</v>
      </c>
    </row>
    <row r="80" spans="1:6">
      <c r="A80" s="678" t="s">
        <v>740</v>
      </c>
      <c r="B80" s="679"/>
      <c r="C80" s="679"/>
      <c r="D80" s="679"/>
      <c r="E80" s="679"/>
      <c r="F80" s="679"/>
    </row>
    <row r="81" spans="1:6">
      <c r="A81" s="679"/>
      <c r="B81" s="679"/>
      <c r="C81" s="679"/>
      <c r="D81" s="679"/>
      <c r="E81" s="679"/>
      <c r="F81" s="679"/>
    </row>
    <row r="84" spans="1:6">
      <c r="B84" s="394"/>
      <c r="C84" s="395"/>
      <c r="D84" s="395"/>
      <c r="E84" s="395"/>
      <c r="F84" s="395"/>
    </row>
    <row r="85" spans="1:6">
      <c r="B85" s="396"/>
      <c r="C85" s="396"/>
      <c r="D85" s="396"/>
      <c r="E85" s="396"/>
      <c r="F85" s="396"/>
    </row>
    <row r="86" spans="1:6">
      <c r="B86" s="396"/>
      <c r="C86" s="396"/>
      <c r="D86" s="396"/>
      <c r="E86" s="396"/>
      <c r="F86" s="396"/>
    </row>
    <row r="87" spans="1:6">
      <c r="B87" s="396"/>
      <c r="C87" s="396"/>
      <c r="D87" s="396"/>
      <c r="E87" s="396"/>
      <c r="F87" s="396"/>
    </row>
    <row r="88" spans="1:6">
      <c r="B88" s="396"/>
      <c r="C88" s="396"/>
      <c r="D88" s="396"/>
      <c r="E88" s="396"/>
      <c r="F88" s="396"/>
    </row>
    <row r="89" spans="1:6">
      <c r="B89" s="396"/>
      <c r="C89" s="396"/>
      <c r="D89" s="396"/>
      <c r="E89" s="396"/>
      <c r="F89" s="396"/>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 defaultRowHeight="12"/>
  <sheetData>
    <row r="1" spans="1:11" s="232" customFormat="1" ht="23.25">
      <c r="A1" s="232" t="s">
        <v>750</v>
      </c>
    </row>
    <row r="2" spans="1:11" s="230" customFormat="1" ht="18.75">
      <c r="A2" s="230" t="s">
        <v>751</v>
      </c>
    </row>
    <row r="3" spans="1:11" ht="12.75" thickBot="1"/>
    <row r="4" spans="1:11" ht="13.5" thickBot="1">
      <c r="A4" s="700" t="s">
        <v>620</v>
      </c>
      <c r="B4" s="701"/>
      <c r="C4" s="701"/>
      <c r="D4" s="701"/>
      <c r="E4" s="701"/>
      <c r="F4" s="701"/>
      <c r="G4" s="701"/>
      <c r="H4" s="701"/>
      <c r="I4" s="701"/>
      <c r="J4" s="701"/>
      <c r="K4" s="702"/>
    </row>
    <row r="5" spans="1:11" ht="15.75">
      <c r="A5" s="158" t="s">
        <v>612</v>
      </c>
      <c r="B5" s="159">
        <v>1</v>
      </c>
      <c r="C5" s="159">
        <v>2</v>
      </c>
      <c r="D5" s="159">
        <v>3</v>
      </c>
      <c r="E5" s="159">
        <v>4</v>
      </c>
      <c r="F5" s="159">
        <v>5</v>
      </c>
      <c r="G5" s="159">
        <v>6</v>
      </c>
      <c r="H5" s="159">
        <v>7</v>
      </c>
      <c r="I5" s="159">
        <v>8</v>
      </c>
      <c r="J5" s="159">
        <v>9</v>
      </c>
      <c r="K5" s="159">
        <v>10</v>
      </c>
    </row>
    <row r="6" spans="1:11" ht="15">
      <c r="A6" s="160" t="s">
        <v>613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614</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615</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616</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617</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92</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618</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31" t="s">
        <v>752</v>
      </c>
    </row>
    <row r="16" spans="1:11" s="230" customFormat="1" ht="18.75">
      <c r="A16" s="230" t="s">
        <v>763</v>
      </c>
    </row>
    <row r="17" spans="1:24">
      <c r="O17" s="706" t="s">
        <v>769</v>
      </c>
      <c r="P17" s="706"/>
      <c r="Q17" s="706"/>
      <c r="R17" s="706"/>
      <c r="S17" s="706"/>
      <c r="T17" s="706"/>
      <c r="U17" s="706"/>
      <c r="V17" s="706"/>
      <c r="W17" s="706"/>
      <c r="X17" s="706"/>
    </row>
    <row r="18" spans="1:24" ht="15.75">
      <c r="A18" s="233"/>
      <c r="B18" s="234"/>
      <c r="C18" s="235" t="s">
        <v>753</v>
      </c>
      <c r="D18" s="235" t="s">
        <v>754</v>
      </c>
      <c r="E18" s="235" t="s">
        <v>755</v>
      </c>
      <c r="F18" s="235" t="s">
        <v>756</v>
      </c>
      <c r="G18" s="235" t="s">
        <v>757</v>
      </c>
      <c r="H18" s="235" t="s">
        <v>758</v>
      </c>
      <c r="I18" s="235" t="s">
        <v>717</v>
      </c>
      <c r="J18" s="235" t="s">
        <v>759</v>
      </c>
      <c r="K18" s="235" t="s">
        <v>760</v>
      </c>
      <c r="L18" s="235" t="s">
        <v>761</v>
      </c>
      <c r="O18" s="235" t="s">
        <v>753</v>
      </c>
      <c r="P18" s="235" t="s">
        <v>754</v>
      </c>
      <c r="Q18" s="235" t="s">
        <v>755</v>
      </c>
      <c r="R18" s="235" t="s">
        <v>756</v>
      </c>
      <c r="S18" s="235" t="s">
        <v>757</v>
      </c>
      <c r="T18" s="235" t="s">
        <v>758</v>
      </c>
      <c r="U18" s="235" t="s">
        <v>717</v>
      </c>
      <c r="V18" s="235" t="s">
        <v>759</v>
      </c>
      <c r="W18" s="235" t="s">
        <v>760</v>
      </c>
      <c r="X18" s="235" t="s">
        <v>761</v>
      </c>
    </row>
    <row r="19" spans="1:24" ht="16.149999999999999" customHeight="1">
      <c r="A19" s="703" t="s">
        <v>762</v>
      </c>
      <c r="B19" s="238">
        <v>0</v>
      </c>
      <c r="C19" s="236">
        <f>1-O28</f>
        <v>0.55099999999999993</v>
      </c>
      <c r="D19" s="236">
        <f t="shared" ref="D19:L19" si="0">1-P28</f>
        <v>0.67700000000000005</v>
      </c>
      <c r="E19" s="236">
        <f t="shared" si="0"/>
        <v>0.55099999999999993</v>
      </c>
      <c r="F19" s="236">
        <f t="shared" si="0"/>
        <v>0.753</v>
      </c>
      <c r="G19" s="236">
        <f t="shared" si="0"/>
        <v>0.61899999999999999</v>
      </c>
      <c r="H19" s="236">
        <f t="shared" si="0"/>
        <v>0.61</v>
      </c>
      <c r="I19" s="236">
        <f t="shared" si="0"/>
        <v>0.71599999999999997</v>
      </c>
      <c r="J19" s="236">
        <f t="shared" si="0"/>
        <v>0.745</v>
      </c>
      <c r="K19" s="236">
        <f t="shared" si="0"/>
        <v>0.57499999999999996</v>
      </c>
      <c r="L19" s="236">
        <f t="shared" si="0"/>
        <v>0.67200000000000004</v>
      </c>
      <c r="N19">
        <v>1</v>
      </c>
      <c r="O19" s="237">
        <v>0.82299999999999995</v>
      </c>
      <c r="P19" s="237">
        <v>0.81799999999999995</v>
      </c>
      <c r="Q19" s="237">
        <v>0.84</v>
      </c>
      <c r="R19" s="237">
        <v>0.74299999999999999</v>
      </c>
      <c r="S19" s="237">
        <v>0.82799999999999996</v>
      </c>
      <c r="T19" s="237">
        <v>0.83099999999999996</v>
      </c>
      <c r="U19" s="237">
        <v>0.76900000000000002</v>
      </c>
      <c r="V19" s="237">
        <v>0.752</v>
      </c>
      <c r="W19" s="237">
        <v>0.81400000000000006</v>
      </c>
      <c r="X19" s="237">
        <v>0.78299999999999992</v>
      </c>
    </row>
    <row r="20" spans="1:24" ht="15.75">
      <c r="A20" s="704"/>
      <c r="B20" s="238">
        <v>1</v>
      </c>
      <c r="C20" s="236">
        <f>O19-O$28</f>
        <v>0.37399999999999994</v>
      </c>
      <c r="D20" s="236">
        <f t="shared" ref="D20:D29" si="1">P19-P$28</f>
        <v>0.495</v>
      </c>
      <c r="E20" s="236">
        <f t="shared" ref="E20:E29" si="2">Q19-Q$28</f>
        <v>0.39099999999999996</v>
      </c>
      <c r="F20" s="236">
        <f t="shared" ref="F20:F29" si="3">R19-R$28</f>
        <v>0.496</v>
      </c>
      <c r="G20" s="236">
        <f t="shared" ref="G20:G29" si="4">S19-S$28</f>
        <v>0.44699999999999995</v>
      </c>
      <c r="H20" s="236">
        <f t="shared" ref="H20:H29" si="5">T19-T$28</f>
        <v>0.44099999999999995</v>
      </c>
      <c r="I20" s="236">
        <f t="shared" ref="I20:I29" si="6">U19-U$28</f>
        <v>0.48500000000000004</v>
      </c>
      <c r="J20" s="236">
        <f t="shared" ref="J20:J29" si="7">V19-V$28</f>
        <v>0.497</v>
      </c>
      <c r="K20" s="236">
        <f t="shared" ref="K20:K29" si="8">W19-W$28</f>
        <v>0.38900000000000007</v>
      </c>
      <c r="L20" s="236">
        <f t="shared" ref="L20:L29" si="9">X19-X$28</f>
        <v>0.45499999999999996</v>
      </c>
      <c r="N20">
        <v>2</v>
      </c>
      <c r="O20" s="237">
        <v>0.748</v>
      </c>
      <c r="P20" s="237">
        <v>0.71200000000000008</v>
      </c>
      <c r="Q20" s="237">
        <v>0.73499999999999999</v>
      </c>
      <c r="R20" s="237">
        <v>0.59799999999999998</v>
      </c>
      <c r="S20" s="237">
        <v>0.72400000000000009</v>
      </c>
      <c r="T20" s="237">
        <v>0.72400000000000009</v>
      </c>
      <c r="U20" s="237">
        <v>0.63600000000000001</v>
      </c>
      <c r="V20" s="237">
        <v>0.627</v>
      </c>
      <c r="W20" s="237">
        <v>0.72199999999999998</v>
      </c>
      <c r="X20" s="237">
        <v>0.66200000000000003</v>
      </c>
    </row>
    <row r="21" spans="1:24" ht="15.75">
      <c r="A21" s="704"/>
      <c r="B21" s="238">
        <v>2</v>
      </c>
      <c r="C21" s="236">
        <f t="shared" ref="C21:C29" si="10">O20-O$28</f>
        <v>0.29899999999999999</v>
      </c>
      <c r="D21" s="236">
        <f t="shared" si="1"/>
        <v>0.38900000000000012</v>
      </c>
      <c r="E21" s="236">
        <f t="shared" si="2"/>
        <v>0.28599999999999998</v>
      </c>
      <c r="F21" s="236">
        <f t="shared" si="3"/>
        <v>0.35099999999999998</v>
      </c>
      <c r="G21" s="236">
        <f t="shared" si="4"/>
        <v>0.34300000000000008</v>
      </c>
      <c r="H21" s="236">
        <f t="shared" si="5"/>
        <v>0.33400000000000007</v>
      </c>
      <c r="I21" s="236">
        <f t="shared" si="6"/>
        <v>0.35200000000000004</v>
      </c>
      <c r="J21" s="236">
        <f t="shared" si="7"/>
        <v>0.372</v>
      </c>
      <c r="K21" s="236">
        <f t="shared" si="8"/>
        <v>0.29699999999999999</v>
      </c>
      <c r="L21" s="236">
        <f t="shared" si="9"/>
        <v>0.33400000000000007</v>
      </c>
      <c r="N21">
        <v>3</v>
      </c>
      <c r="O21" s="237">
        <v>0.66099999999999992</v>
      </c>
      <c r="P21" s="237">
        <v>0.629</v>
      </c>
      <c r="Q21" s="237">
        <v>0.67</v>
      </c>
      <c r="R21" s="237">
        <v>0.45600000000000002</v>
      </c>
      <c r="S21" s="237">
        <v>0.622</v>
      </c>
      <c r="T21" s="237">
        <v>0.63100000000000001</v>
      </c>
      <c r="U21" s="237">
        <v>0.52300000000000002</v>
      </c>
      <c r="V21" s="237">
        <v>0.53299999999999992</v>
      </c>
      <c r="W21" s="237">
        <v>0.67400000000000004</v>
      </c>
      <c r="X21" s="237">
        <v>0.56600000000000006</v>
      </c>
    </row>
    <row r="22" spans="1:24" ht="15.75">
      <c r="A22" s="704"/>
      <c r="B22" s="238">
        <v>3</v>
      </c>
      <c r="C22" s="236">
        <f t="shared" si="10"/>
        <v>0.21199999999999991</v>
      </c>
      <c r="D22" s="236">
        <f t="shared" si="1"/>
        <v>0.30600000000000005</v>
      </c>
      <c r="E22" s="236">
        <f t="shared" si="2"/>
        <v>0.22100000000000003</v>
      </c>
      <c r="F22" s="236">
        <f t="shared" si="3"/>
        <v>0.20900000000000002</v>
      </c>
      <c r="G22" s="236">
        <f t="shared" si="4"/>
        <v>0.24099999999999999</v>
      </c>
      <c r="H22" s="236">
        <f t="shared" si="5"/>
        <v>0.24099999999999999</v>
      </c>
      <c r="I22" s="236">
        <f t="shared" si="6"/>
        <v>0.23900000000000005</v>
      </c>
      <c r="J22" s="236">
        <f t="shared" si="7"/>
        <v>0.27799999999999991</v>
      </c>
      <c r="K22" s="236">
        <f t="shared" si="8"/>
        <v>0.24900000000000005</v>
      </c>
      <c r="L22" s="236">
        <f t="shared" si="9"/>
        <v>0.2380000000000001</v>
      </c>
      <c r="N22">
        <v>4</v>
      </c>
      <c r="O22" s="237">
        <v>0.61199999999999999</v>
      </c>
      <c r="P22" s="237">
        <v>0.53799999999999992</v>
      </c>
      <c r="Q22" s="237">
        <v>0.629</v>
      </c>
      <c r="R22" s="237">
        <v>0.371</v>
      </c>
      <c r="S22" s="237">
        <v>0.54100000000000004</v>
      </c>
      <c r="T22" s="237">
        <v>0.56499999999999995</v>
      </c>
      <c r="U22" s="237">
        <v>0.45</v>
      </c>
      <c r="V22" s="237">
        <v>0.46399999999999997</v>
      </c>
      <c r="W22" s="237">
        <v>0.61299999999999999</v>
      </c>
      <c r="X22" s="237">
        <v>0.498</v>
      </c>
    </row>
    <row r="23" spans="1:24" ht="15.75">
      <c r="A23" s="704"/>
      <c r="B23" s="238">
        <v>4</v>
      </c>
      <c r="C23" s="236">
        <f t="shared" si="10"/>
        <v>0.16299999999999998</v>
      </c>
      <c r="D23" s="236">
        <f t="shared" si="1"/>
        <v>0.21499999999999997</v>
      </c>
      <c r="E23" s="236">
        <f t="shared" si="2"/>
        <v>0.18</v>
      </c>
      <c r="F23" s="236">
        <f t="shared" si="3"/>
        <v>0.124</v>
      </c>
      <c r="G23" s="236">
        <f t="shared" si="4"/>
        <v>0.16000000000000003</v>
      </c>
      <c r="H23" s="236">
        <f t="shared" si="5"/>
        <v>0.17499999999999993</v>
      </c>
      <c r="I23" s="236">
        <f t="shared" si="6"/>
        <v>0.16600000000000004</v>
      </c>
      <c r="J23" s="236">
        <f t="shared" si="7"/>
        <v>0.20899999999999996</v>
      </c>
      <c r="K23" s="236">
        <f t="shared" si="8"/>
        <v>0.188</v>
      </c>
      <c r="L23" s="236">
        <f t="shared" si="9"/>
        <v>0.17000000000000004</v>
      </c>
      <c r="N23">
        <v>5</v>
      </c>
      <c r="O23" s="237">
        <v>0.57399999999999995</v>
      </c>
      <c r="P23" s="237">
        <v>0.51200000000000001</v>
      </c>
      <c r="Q23" s="237">
        <v>0.56499999999999995</v>
      </c>
      <c r="R23" s="237">
        <v>0.33200000000000002</v>
      </c>
      <c r="S23" s="237">
        <v>0.49399999999999999</v>
      </c>
      <c r="T23" s="237">
        <v>0.52100000000000002</v>
      </c>
      <c r="U23" s="237">
        <v>0.41100000000000003</v>
      </c>
      <c r="V23" s="237">
        <v>0.41899999999999998</v>
      </c>
      <c r="W23" s="237">
        <v>0.55899999999999994</v>
      </c>
      <c r="X23" s="237">
        <v>0.45399999999999996</v>
      </c>
    </row>
    <row r="24" spans="1:24" ht="15.75">
      <c r="A24" s="704"/>
      <c r="B24" s="238">
        <v>5</v>
      </c>
      <c r="C24" s="236">
        <f t="shared" si="10"/>
        <v>0.12499999999999994</v>
      </c>
      <c r="D24" s="236">
        <f t="shared" si="1"/>
        <v>0.18900000000000006</v>
      </c>
      <c r="E24" s="236">
        <f t="shared" si="2"/>
        <v>0.11599999999999994</v>
      </c>
      <c r="F24" s="236">
        <f t="shared" si="3"/>
        <v>8.500000000000002E-2</v>
      </c>
      <c r="G24" s="236">
        <f t="shared" si="4"/>
        <v>0.11299999999999999</v>
      </c>
      <c r="H24" s="236">
        <f t="shared" si="5"/>
        <v>0.13100000000000001</v>
      </c>
      <c r="I24" s="236">
        <f t="shared" si="6"/>
        <v>0.12700000000000006</v>
      </c>
      <c r="J24" s="236">
        <f t="shared" si="7"/>
        <v>0.16399999999999998</v>
      </c>
      <c r="K24" s="236">
        <f t="shared" si="8"/>
        <v>0.13399999999999995</v>
      </c>
      <c r="L24" s="236">
        <f t="shared" si="9"/>
        <v>0.126</v>
      </c>
      <c r="N24">
        <v>6</v>
      </c>
      <c r="O24" s="237">
        <v>0.54100000000000004</v>
      </c>
      <c r="P24" s="237">
        <v>0.47200000000000003</v>
      </c>
      <c r="Q24" s="237">
        <v>0.55600000000000005</v>
      </c>
      <c r="R24" s="237">
        <v>0.30599999999999999</v>
      </c>
      <c r="S24" s="237">
        <v>0.46299999999999997</v>
      </c>
      <c r="T24" s="237">
        <v>0.48499999999999999</v>
      </c>
      <c r="U24" s="237">
        <v>0.377</v>
      </c>
      <c r="V24" s="237">
        <v>0.37200000000000005</v>
      </c>
      <c r="W24" s="237">
        <v>0.54799999999999993</v>
      </c>
      <c r="X24" s="237">
        <v>0.42299999999999999</v>
      </c>
    </row>
    <row r="25" spans="1:24" ht="15.75">
      <c r="A25" s="704"/>
      <c r="B25" s="238">
        <v>6</v>
      </c>
      <c r="C25" s="236">
        <f t="shared" si="10"/>
        <v>9.2000000000000026E-2</v>
      </c>
      <c r="D25" s="236">
        <f t="shared" si="1"/>
        <v>0.14900000000000008</v>
      </c>
      <c r="E25" s="236">
        <f t="shared" si="2"/>
        <v>0.10700000000000004</v>
      </c>
      <c r="F25" s="236">
        <f t="shared" si="3"/>
        <v>5.8999999999999997E-2</v>
      </c>
      <c r="G25" s="236">
        <f t="shared" si="4"/>
        <v>8.1999999999999962E-2</v>
      </c>
      <c r="H25" s="236">
        <f t="shared" si="5"/>
        <v>9.4999999999999973E-2</v>
      </c>
      <c r="I25" s="236">
        <f t="shared" si="6"/>
        <v>9.3000000000000027E-2</v>
      </c>
      <c r="J25" s="236">
        <f t="shared" si="7"/>
        <v>0.11700000000000005</v>
      </c>
      <c r="K25" s="236">
        <f t="shared" si="8"/>
        <v>0.12299999999999994</v>
      </c>
      <c r="L25" s="236">
        <f t="shared" si="9"/>
        <v>9.5000000000000029E-2</v>
      </c>
      <c r="N25">
        <v>7</v>
      </c>
      <c r="O25" s="237">
        <v>0.51600000000000001</v>
      </c>
      <c r="P25" s="237">
        <v>0.42899999999999999</v>
      </c>
      <c r="Q25" s="237">
        <v>0.51600000000000001</v>
      </c>
      <c r="R25" s="237">
        <v>0.28399999999999997</v>
      </c>
      <c r="S25" s="237">
        <v>0.43799999999999994</v>
      </c>
      <c r="T25" s="237">
        <v>0.45700000000000002</v>
      </c>
      <c r="U25" s="237">
        <v>0.34899999999999998</v>
      </c>
      <c r="V25" s="237">
        <v>0.34</v>
      </c>
      <c r="W25" s="237">
        <v>0.52900000000000003</v>
      </c>
      <c r="X25" s="237">
        <v>0.39600000000000002</v>
      </c>
    </row>
    <row r="26" spans="1:24" ht="15.75">
      <c r="A26" s="704"/>
      <c r="B26" s="238">
        <v>7</v>
      </c>
      <c r="C26" s="236">
        <f t="shared" si="10"/>
        <v>6.7000000000000004E-2</v>
      </c>
      <c r="D26" s="236">
        <f t="shared" si="1"/>
        <v>0.10600000000000004</v>
      </c>
      <c r="E26" s="236">
        <f t="shared" si="2"/>
        <v>6.7000000000000004E-2</v>
      </c>
      <c r="F26" s="236">
        <f t="shared" si="3"/>
        <v>3.6999999999999977E-2</v>
      </c>
      <c r="G26" s="236">
        <f t="shared" si="4"/>
        <v>5.699999999999994E-2</v>
      </c>
      <c r="H26" s="236">
        <f t="shared" si="5"/>
        <v>6.7000000000000004E-2</v>
      </c>
      <c r="I26" s="236">
        <f t="shared" si="6"/>
        <v>6.5000000000000002E-2</v>
      </c>
      <c r="J26" s="236">
        <f t="shared" si="7"/>
        <v>8.500000000000002E-2</v>
      </c>
      <c r="K26" s="236">
        <f t="shared" si="8"/>
        <v>0.10400000000000004</v>
      </c>
      <c r="L26" s="236">
        <f t="shared" si="9"/>
        <v>6.800000000000006E-2</v>
      </c>
      <c r="N26">
        <v>8</v>
      </c>
      <c r="O26" s="237">
        <v>0.495</v>
      </c>
      <c r="P26" s="237">
        <v>0.40500000000000003</v>
      </c>
      <c r="Q26" s="237">
        <v>0.503</v>
      </c>
      <c r="R26" s="237">
        <v>0.27100000000000002</v>
      </c>
      <c r="S26" s="237">
        <v>0.41499999999999998</v>
      </c>
      <c r="T26" s="237">
        <v>0.433</v>
      </c>
      <c r="U26" s="237">
        <v>0.32400000000000001</v>
      </c>
      <c r="V26" s="237">
        <v>0.314</v>
      </c>
      <c r="W26" s="237">
        <v>0.48399999999999999</v>
      </c>
      <c r="X26" s="237">
        <v>0.371</v>
      </c>
    </row>
    <row r="27" spans="1:24" ht="15.75">
      <c r="A27" s="704"/>
      <c r="B27" s="238">
        <v>8</v>
      </c>
      <c r="C27" s="236">
        <f t="shared" si="10"/>
        <v>4.5999999999999985E-2</v>
      </c>
      <c r="D27" s="236">
        <f t="shared" si="1"/>
        <v>8.2000000000000073E-2</v>
      </c>
      <c r="E27" s="236">
        <f t="shared" si="2"/>
        <v>5.3999999999999992E-2</v>
      </c>
      <c r="F27" s="236">
        <f t="shared" si="3"/>
        <v>2.4000000000000021E-2</v>
      </c>
      <c r="G27" s="236">
        <f t="shared" si="4"/>
        <v>3.3999999999999975E-2</v>
      </c>
      <c r="H27" s="236">
        <f t="shared" si="5"/>
        <v>4.2999999999999983E-2</v>
      </c>
      <c r="I27" s="236">
        <f t="shared" si="6"/>
        <v>4.0000000000000036E-2</v>
      </c>
      <c r="J27" s="236">
        <f t="shared" si="7"/>
        <v>5.8999999999999997E-2</v>
      </c>
      <c r="K27" s="236">
        <f t="shared" si="8"/>
        <v>5.8999999999999997E-2</v>
      </c>
      <c r="L27" s="236">
        <f t="shared" si="9"/>
        <v>4.3000000000000038E-2</v>
      </c>
      <c r="N27">
        <v>9</v>
      </c>
      <c r="O27" s="237">
        <v>0.46500000000000002</v>
      </c>
      <c r="P27" s="237">
        <v>0.371</v>
      </c>
      <c r="Q27" s="237">
        <v>0.47600000000000003</v>
      </c>
      <c r="R27" s="237">
        <v>0.25800000000000001</v>
      </c>
      <c r="S27" s="237">
        <v>0.4</v>
      </c>
      <c r="T27" s="237">
        <v>0.41</v>
      </c>
      <c r="U27" s="237">
        <v>0.30499999999999999</v>
      </c>
      <c r="V27" s="237">
        <v>0.27399999999999997</v>
      </c>
      <c r="W27" s="237">
        <v>0.45500000000000002</v>
      </c>
      <c r="X27" s="237">
        <v>0.34799999999999998</v>
      </c>
    </row>
    <row r="28" spans="1:24" ht="15.75">
      <c r="A28" s="705"/>
      <c r="B28" s="238">
        <v>9</v>
      </c>
      <c r="C28" s="236">
        <f t="shared" si="10"/>
        <v>1.6000000000000014E-2</v>
      </c>
      <c r="D28" s="236">
        <f t="shared" si="1"/>
        <v>4.8000000000000043E-2</v>
      </c>
      <c r="E28" s="236">
        <f t="shared" si="2"/>
        <v>2.7000000000000024E-2</v>
      </c>
      <c r="F28" s="236">
        <f t="shared" si="3"/>
        <v>1.100000000000001E-2</v>
      </c>
      <c r="G28" s="236">
        <f t="shared" si="4"/>
        <v>1.9000000000000017E-2</v>
      </c>
      <c r="H28" s="236">
        <f t="shared" si="5"/>
        <v>1.9999999999999962E-2</v>
      </c>
      <c r="I28" s="236">
        <f t="shared" si="6"/>
        <v>2.1000000000000019E-2</v>
      </c>
      <c r="J28" s="236">
        <f t="shared" si="7"/>
        <v>1.8999999999999961E-2</v>
      </c>
      <c r="K28" s="236">
        <f t="shared" si="8"/>
        <v>3.0000000000000027E-2</v>
      </c>
      <c r="L28" s="236">
        <f t="shared" si="9"/>
        <v>2.0000000000000018E-2</v>
      </c>
      <c r="N28">
        <v>10</v>
      </c>
      <c r="O28" s="237">
        <v>0.44900000000000001</v>
      </c>
      <c r="P28" s="237">
        <v>0.32299999999999995</v>
      </c>
      <c r="Q28" s="237">
        <v>0.44900000000000001</v>
      </c>
      <c r="R28" s="237">
        <v>0.247</v>
      </c>
      <c r="S28" s="237">
        <v>0.38100000000000001</v>
      </c>
      <c r="T28" s="237">
        <v>0.39</v>
      </c>
      <c r="U28" s="237">
        <v>0.28399999999999997</v>
      </c>
      <c r="V28" s="237">
        <v>0.255</v>
      </c>
      <c r="W28" s="237">
        <v>0.42499999999999999</v>
      </c>
      <c r="X28" s="237">
        <v>0.32799999999999996</v>
      </c>
    </row>
    <row r="29" spans="1:24" ht="15.75">
      <c r="B29" s="238">
        <v>10</v>
      </c>
      <c r="C29" s="236">
        <f t="shared" si="10"/>
        <v>0</v>
      </c>
      <c r="D29" s="236">
        <f t="shared" si="1"/>
        <v>0</v>
      </c>
      <c r="E29" s="236">
        <f t="shared" si="2"/>
        <v>0</v>
      </c>
      <c r="F29" s="236">
        <f t="shared" si="3"/>
        <v>0</v>
      </c>
      <c r="G29" s="236">
        <f t="shared" si="4"/>
        <v>0</v>
      </c>
      <c r="H29" s="236">
        <f t="shared" si="5"/>
        <v>0</v>
      </c>
      <c r="I29" s="236">
        <f t="shared" si="6"/>
        <v>0</v>
      </c>
      <c r="J29" s="236">
        <f t="shared" si="7"/>
        <v>0</v>
      </c>
      <c r="K29" s="236">
        <f t="shared" si="8"/>
        <v>0</v>
      </c>
      <c r="L29" s="236">
        <f t="shared" si="9"/>
        <v>0</v>
      </c>
    </row>
    <row r="30" spans="1:24" ht="15.75">
      <c r="A30" t="s">
        <v>768</v>
      </c>
      <c r="B30" s="240"/>
      <c r="C30" s="241"/>
      <c r="D30" s="241"/>
      <c r="E30" s="241"/>
      <c r="F30" s="241"/>
      <c r="G30" s="241"/>
      <c r="H30" s="241"/>
      <c r="I30" s="241"/>
      <c r="J30" s="241"/>
      <c r="K30" s="241"/>
      <c r="L30" s="241"/>
    </row>
    <row r="31" spans="1:24" s="191" customFormat="1" ht="15">
      <c r="A31" s="191" t="s">
        <v>767</v>
      </c>
      <c r="B31"/>
      <c r="C31"/>
      <c r="D31"/>
      <c r="E31"/>
      <c r="F31"/>
      <c r="G31"/>
      <c r="H31"/>
      <c r="I31"/>
      <c r="J31"/>
      <c r="K31"/>
      <c r="L31"/>
    </row>
    <row r="32" spans="1:24" ht="15">
      <c r="B32" s="191"/>
      <c r="C32" s="191"/>
      <c r="D32" s="191"/>
      <c r="E32" s="191"/>
      <c r="F32" s="191"/>
      <c r="G32" s="191"/>
      <c r="H32" s="191"/>
      <c r="I32" s="191"/>
      <c r="J32" s="191"/>
      <c r="K32" s="191"/>
      <c r="L32" s="191"/>
    </row>
    <row r="33" spans="1:1" ht="15.75">
      <c r="A33" s="239" t="s">
        <v>764</v>
      </c>
    </row>
    <row r="34" spans="1:1" ht="15">
      <c r="A34" s="191" t="s">
        <v>765</v>
      </c>
    </row>
    <row r="35" spans="1:1" ht="15">
      <c r="A35" s="191" t="s">
        <v>770</v>
      </c>
    </row>
    <row r="36" spans="1:1" ht="15">
      <c r="A36" s="191" t="s">
        <v>771</v>
      </c>
    </row>
    <row r="37" spans="1:1" ht="15">
      <c r="A37" s="191" t="s">
        <v>766</v>
      </c>
    </row>
  </sheetData>
  <mergeCells count="3">
    <mergeCell ref="A4:K4"/>
    <mergeCell ref="A19:A28"/>
    <mergeCell ref="O17:X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10"/>
  <sheetViews>
    <sheetView topLeftCell="A82" workbookViewId="0">
      <selection activeCell="R77" sqref="R77"/>
    </sheetView>
  </sheetViews>
  <sheetFormatPr defaultColWidth="11" defaultRowHeight="15.75"/>
  <cols>
    <col min="1" max="1" width="27.42578125" bestFit="1" customWidth="1"/>
    <col min="2" max="2" width="15" bestFit="1" customWidth="1"/>
    <col min="3" max="3" width="18.42578125" bestFit="1" customWidth="1"/>
    <col min="4" max="4" width="21" style="92" bestFit="1" customWidth="1"/>
    <col min="5" max="5" width="20" bestFit="1" customWidth="1"/>
    <col min="6" max="6" width="17.5703125" bestFit="1" customWidth="1"/>
    <col min="7" max="7" width="13.5703125" style="476" bestFit="1" customWidth="1"/>
  </cols>
  <sheetData>
    <row r="1" spans="1:7">
      <c r="A1" t="s">
        <v>584</v>
      </c>
      <c r="B1" s="145">
        <v>4.1099999999999998E-2</v>
      </c>
      <c r="C1" t="s">
        <v>989</v>
      </c>
    </row>
    <row r="2" spans="1:7" s="10" customFormat="1">
      <c r="A2" s="170" t="s">
        <v>628</v>
      </c>
      <c r="B2" s="170"/>
      <c r="C2" s="170"/>
      <c r="D2" s="489"/>
      <c r="E2" s="170"/>
      <c r="F2" s="170"/>
      <c r="G2" s="477"/>
    </row>
    <row r="4" spans="1:7" ht="31.5">
      <c r="A4" s="491" t="s">
        <v>332</v>
      </c>
      <c r="B4" s="494" t="s">
        <v>537</v>
      </c>
      <c r="C4" s="495" t="s">
        <v>333</v>
      </c>
      <c r="D4" s="380" t="s">
        <v>538</v>
      </c>
      <c r="E4" s="380" t="s">
        <v>334</v>
      </c>
      <c r="F4" s="380" t="s">
        <v>492</v>
      </c>
      <c r="G4" s="475" t="s">
        <v>984</v>
      </c>
    </row>
    <row r="5" spans="1:7">
      <c r="A5" s="492" t="s">
        <v>456</v>
      </c>
      <c r="B5" s="118" t="s">
        <v>539</v>
      </c>
      <c r="C5" s="117">
        <v>4.6445295065707902E-3</v>
      </c>
      <c r="D5" s="117">
        <f>$B$1+E5</f>
        <v>4.7128815998902777E-2</v>
      </c>
      <c r="E5" s="117">
        <v>6.0288159989027772E-3</v>
      </c>
      <c r="F5" s="117">
        <v>0.15</v>
      </c>
      <c r="G5" s="478">
        <v>299500</v>
      </c>
    </row>
    <row r="6" spans="1:7">
      <c r="A6" s="492" t="s">
        <v>228</v>
      </c>
      <c r="B6" s="118" t="s">
        <v>540</v>
      </c>
      <c r="C6" s="117">
        <v>4.2353685738490778E-2</v>
      </c>
      <c r="D6" s="117">
        <f t="shared" ref="D6:D69" si="0">$B$1+E6</f>
        <v>9.6077060180470561E-2</v>
      </c>
      <c r="E6" s="117">
        <v>5.4977060180470563E-2</v>
      </c>
      <c r="F6" s="117">
        <v>0.15</v>
      </c>
      <c r="G6" s="478">
        <v>18916.37886054883</v>
      </c>
    </row>
    <row r="7" spans="1:7">
      <c r="A7" s="493" t="s">
        <v>541</v>
      </c>
      <c r="B7" s="118" t="s">
        <v>636</v>
      </c>
      <c r="C7" s="117">
        <v>2.8309513182907673E-2</v>
      </c>
      <c r="D7" s="117">
        <f t="shared" si="0"/>
        <v>7.7847068945693113E-2</v>
      </c>
      <c r="E7" s="117">
        <v>3.6747068945693115E-2</v>
      </c>
      <c r="F7" s="117">
        <v>0.26</v>
      </c>
      <c r="G7" s="478">
        <v>194998.44976908513</v>
      </c>
    </row>
    <row r="8" spans="1:7">
      <c r="A8" s="492" t="s">
        <v>474</v>
      </c>
      <c r="B8" s="118" t="s">
        <v>544</v>
      </c>
      <c r="C8" s="117">
        <v>1.5039428878419702E-2</v>
      </c>
      <c r="D8" s="117">
        <f t="shared" si="0"/>
        <v>6.0621880377399462E-2</v>
      </c>
      <c r="E8" s="117">
        <v>1.9521880377399468E-2</v>
      </c>
      <c r="F8" s="117">
        <v>0.1898</v>
      </c>
      <c r="G8" s="478">
        <v>3330</v>
      </c>
    </row>
    <row r="9" spans="1:7">
      <c r="A9" s="492" t="s">
        <v>229</v>
      </c>
      <c r="B9" s="118" t="s">
        <v>552</v>
      </c>
      <c r="C9" s="117">
        <v>6.1152971836515406E-2</v>
      </c>
      <c r="D9" s="117">
        <f t="shared" si="0"/>
        <v>0.1204794106522199</v>
      </c>
      <c r="E9" s="117">
        <v>7.9379410652219901E-2</v>
      </c>
      <c r="F9" s="117">
        <v>0.25</v>
      </c>
      <c r="G9" s="478">
        <v>106782.77071461857</v>
      </c>
    </row>
    <row r="10" spans="1:7">
      <c r="A10" s="492" t="s">
        <v>872</v>
      </c>
      <c r="B10" s="118" t="s">
        <v>636</v>
      </c>
      <c r="C10" s="117">
        <v>0.1054310997313879</v>
      </c>
      <c r="D10" s="117">
        <f t="shared" si="0"/>
        <v>0.2286348819700155</v>
      </c>
      <c r="E10" s="486">
        <v>0.1875348819700155</v>
      </c>
      <c r="F10" s="486">
        <v>0.2724561140242252</v>
      </c>
      <c r="G10" s="478" t="s">
        <v>88</v>
      </c>
    </row>
    <row r="11" spans="1:7">
      <c r="A11" s="492" t="s">
        <v>873</v>
      </c>
      <c r="B11" s="118" t="s">
        <v>636</v>
      </c>
      <c r="C11" s="117">
        <v>0.1054310997313879</v>
      </c>
      <c r="D11" s="117">
        <f t="shared" si="0"/>
        <v>0.2286348819700155</v>
      </c>
      <c r="E11" s="486">
        <v>0.1875348819700155</v>
      </c>
      <c r="F11" s="486">
        <v>0.2724561140242252</v>
      </c>
      <c r="G11" s="478" t="s">
        <v>88</v>
      </c>
    </row>
    <row r="12" spans="1:7">
      <c r="A12" s="492" t="s">
        <v>230</v>
      </c>
      <c r="B12" s="118" t="s">
        <v>604</v>
      </c>
      <c r="C12" s="117">
        <v>0.11290630062401852</v>
      </c>
      <c r="D12" s="117">
        <f t="shared" si="0"/>
        <v>0.18765764606856516</v>
      </c>
      <c r="E12" s="117">
        <v>0.14655764606856517</v>
      </c>
      <c r="F12" s="117">
        <v>0.35</v>
      </c>
      <c r="G12" s="478">
        <v>631133.38443994441</v>
      </c>
    </row>
    <row r="13" spans="1:7">
      <c r="A13" s="492" t="s">
        <v>231</v>
      </c>
      <c r="B13" s="118" t="s">
        <v>549</v>
      </c>
      <c r="C13" s="117">
        <v>3.3838714976444327E-2</v>
      </c>
      <c r="D13" s="117">
        <f t="shared" si="0"/>
        <v>8.5024230849148799E-2</v>
      </c>
      <c r="E13" s="117">
        <v>4.3924230849148801E-2</v>
      </c>
      <c r="F13" s="117">
        <v>0.18</v>
      </c>
      <c r="G13" s="478">
        <v>19513.474648242936</v>
      </c>
    </row>
    <row r="14" spans="1:7">
      <c r="A14" s="492" t="s">
        <v>232</v>
      </c>
      <c r="B14" s="118" t="s">
        <v>548</v>
      </c>
      <c r="C14" s="117">
        <v>2.0679214707827093E-2</v>
      </c>
      <c r="D14" s="117">
        <f t="shared" si="0"/>
        <v>6.7942585518924264E-2</v>
      </c>
      <c r="E14" s="117">
        <v>2.6842585518924274E-2</v>
      </c>
      <c r="F14" s="117">
        <v>0.25</v>
      </c>
      <c r="G14" s="478">
        <v>3544.7077880566426</v>
      </c>
    </row>
    <row r="15" spans="1:7">
      <c r="A15" s="492" t="s">
        <v>233</v>
      </c>
      <c r="B15" s="118" t="s">
        <v>545</v>
      </c>
      <c r="C15" s="117">
        <v>0</v>
      </c>
      <c r="D15" s="117">
        <f t="shared" si="0"/>
        <v>4.1099999999999998E-2</v>
      </c>
      <c r="E15" s="117">
        <v>0</v>
      </c>
      <c r="F15" s="117">
        <v>0.3</v>
      </c>
      <c r="G15" s="478">
        <v>1692956.6468557017</v>
      </c>
    </row>
    <row r="16" spans="1:7">
      <c r="A16" s="492" t="s">
        <v>234</v>
      </c>
      <c r="B16" s="118" t="s">
        <v>546</v>
      </c>
      <c r="C16" s="117">
        <v>3.7598572196049255E-3</v>
      </c>
      <c r="D16" s="117">
        <f t="shared" si="0"/>
        <v>4.5980470094349864E-2</v>
      </c>
      <c r="E16" s="117">
        <v>4.8804700943498669E-3</v>
      </c>
      <c r="F16" s="117">
        <v>0.24</v>
      </c>
      <c r="G16" s="478">
        <v>470941.92675074114</v>
      </c>
    </row>
    <row r="17" spans="1:7">
      <c r="A17" s="492" t="s">
        <v>341</v>
      </c>
      <c r="B17" s="118" t="s">
        <v>560</v>
      </c>
      <c r="C17" s="117">
        <v>2.3554399640466156E-2</v>
      </c>
      <c r="D17" s="117">
        <f t="shared" si="0"/>
        <v>7.1674709708721224E-2</v>
      </c>
      <c r="E17" s="117">
        <v>3.0574709708721233E-2</v>
      </c>
      <c r="F17" s="117">
        <v>0.2</v>
      </c>
      <c r="G17" s="478">
        <v>78721.058823529398</v>
      </c>
    </row>
    <row r="18" spans="1:7">
      <c r="A18" s="492" t="s">
        <v>235</v>
      </c>
      <c r="B18" s="118" t="s">
        <v>540</v>
      </c>
      <c r="C18" s="117">
        <v>4.2353685738490778E-2</v>
      </c>
      <c r="D18" s="117">
        <f t="shared" si="0"/>
        <v>9.6077060180470561E-2</v>
      </c>
      <c r="E18" s="117">
        <v>5.4977060180470563E-2</v>
      </c>
      <c r="F18" s="117">
        <v>0</v>
      </c>
      <c r="G18" s="478">
        <v>11210</v>
      </c>
    </row>
    <row r="19" spans="1:7">
      <c r="A19" s="492" t="s">
        <v>236</v>
      </c>
      <c r="B19" s="118" t="s">
        <v>543</v>
      </c>
      <c r="C19" s="117">
        <v>5.1753328787503099E-2</v>
      </c>
      <c r="D19" s="117">
        <f t="shared" si="0"/>
        <v>0.10827823541634524</v>
      </c>
      <c r="E19" s="117">
        <v>6.7178235416345239E-2</v>
      </c>
      <c r="F19" s="117">
        <v>0</v>
      </c>
      <c r="G19" s="478">
        <v>44383.297872340423</v>
      </c>
    </row>
    <row r="20" spans="1:7">
      <c r="A20" s="492" t="s">
        <v>237</v>
      </c>
      <c r="B20" s="118" t="s">
        <v>540</v>
      </c>
      <c r="C20" s="117">
        <v>4.2353685738490778E-2</v>
      </c>
      <c r="D20" s="117">
        <f t="shared" si="0"/>
        <v>9.6077060180470561E-2</v>
      </c>
      <c r="E20" s="117">
        <v>5.4977060180470563E-2</v>
      </c>
      <c r="F20" s="117">
        <v>0.3</v>
      </c>
      <c r="G20" s="478">
        <v>460201.26552797732</v>
      </c>
    </row>
    <row r="21" spans="1:7">
      <c r="A21" s="492" t="s">
        <v>238</v>
      </c>
      <c r="B21" s="118" t="s">
        <v>552</v>
      </c>
      <c r="C21" s="117">
        <v>6.1152971836515406E-2</v>
      </c>
      <c r="D21" s="117">
        <f t="shared" si="0"/>
        <v>0.1204794106522199</v>
      </c>
      <c r="E21" s="117">
        <v>7.9379410652219901E-2</v>
      </c>
      <c r="F21" s="117">
        <v>5.5E-2</v>
      </c>
      <c r="G21" s="478">
        <v>5699.95</v>
      </c>
    </row>
    <row r="22" spans="1:7">
      <c r="A22" s="492" t="s">
        <v>239</v>
      </c>
      <c r="B22" s="118" t="s">
        <v>586</v>
      </c>
      <c r="C22" s="117">
        <v>0.17499999999999999</v>
      </c>
      <c r="D22" s="117">
        <f t="shared" si="0"/>
        <v>0.26825816495844784</v>
      </c>
      <c r="E22" s="117">
        <v>0.22715816495844784</v>
      </c>
      <c r="F22" s="117">
        <v>0.18</v>
      </c>
      <c r="G22" s="478">
        <v>72793.457588436664</v>
      </c>
    </row>
    <row r="23" spans="1:7">
      <c r="A23" s="492" t="s">
        <v>240</v>
      </c>
      <c r="B23" s="118" t="s">
        <v>551</v>
      </c>
      <c r="C23" s="117">
        <v>5.6397858294073887E-3</v>
      </c>
      <c r="D23" s="117">
        <f t="shared" si="0"/>
        <v>4.84207051415248E-2</v>
      </c>
      <c r="E23" s="117">
        <v>7.3207051415248017E-3</v>
      </c>
      <c r="F23" s="117">
        <v>0.25</v>
      </c>
      <c r="G23" s="478">
        <v>583435.59557996341</v>
      </c>
    </row>
    <row r="24" spans="1:7">
      <c r="A24" s="492" t="s">
        <v>344</v>
      </c>
      <c r="B24" s="118" t="s">
        <v>557</v>
      </c>
      <c r="C24" s="117">
        <v>8.4707371476981555E-2</v>
      </c>
      <c r="D24" s="117">
        <f t="shared" si="0"/>
        <v>0.15105412036094112</v>
      </c>
      <c r="E24" s="117">
        <v>0.10995412036094113</v>
      </c>
      <c r="F24" s="117">
        <v>0.2853</v>
      </c>
      <c r="G24" s="478">
        <v>2830.5075756840952</v>
      </c>
    </row>
    <row r="25" spans="1:7">
      <c r="A25" s="492" t="s">
        <v>553</v>
      </c>
      <c r="B25" s="118" t="s">
        <v>540</v>
      </c>
      <c r="C25" s="117">
        <v>4.2353685738490778E-2</v>
      </c>
      <c r="D25" s="117">
        <f t="shared" si="0"/>
        <v>9.6077060180470561E-2</v>
      </c>
      <c r="E25" s="117">
        <v>5.4977060180470563E-2</v>
      </c>
      <c r="F25" s="117">
        <v>0.3</v>
      </c>
      <c r="G25" s="478">
        <v>17396.7926995489</v>
      </c>
    </row>
    <row r="26" spans="1:7">
      <c r="A26" s="492" t="s">
        <v>241</v>
      </c>
      <c r="B26" s="118" t="s">
        <v>554</v>
      </c>
      <c r="C26" s="117">
        <v>7.9620505826927847E-3</v>
      </c>
      <c r="D26" s="117">
        <f t="shared" si="0"/>
        <v>5.1435113140976187E-2</v>
      </c>
      <c r="E26" s="117">
        <v>1.0335113140976191E-2</v>
      </c>
      <c r="F26" s="117">
        <v>0</v>
      </c>
      <c r="G26" s="478">
        <v>7546</v>
      </c>
    </row>
    <row r="27" spans="1:7">
      <c r="A27" s="492" t="s">
        <v>242</v>
      </c>
      <c r="B27" s="118" t="s">
        <v>605</v>
      </c>
      <c r="C27" s="117">
        <v>9.410701452599389E-2</v>
      </c>
      <c r="D27" s="117">
        <f t="shared" si="0"/>
        <v>0.16325529559681581</v>
      </c>
      <c r="E27" s="117">
        <v>0.12215529559681582</v>
      </c>
      <c r="F27" s="117">
        <v>0.25</v>
      </c>
      <c r="G27" s="478">
        <v>44008.282877960643</v>
      </c>
    </row>
    <row r="28" spans="1:7">
      <c r="A28" s="492" t="s">
        <v>243</v>
      </c>
      <c r="B28" s="118" t="s">
        <v>552</v>
      </c>
      <c r="C28" s="117">
        <v>6.1152971836515406E-2</v>
      </c>
      <c r="D28" s="117">
        <f t="shared" si="0"/>
        <v>0.1204794106522199</v>
      </c>
      <c r="E28" s="117">
        <v>7.9379410652219901E-2</v>
      </c>
      <c r="F28" s="117">
        <v>0.1</v>
      </c>
      <c r="G28" s="478">
        <v>24473.906673708643</v>
      </c>
    </row>
    <row r="29" spans="1:7">
      <c r="A29" s="492" t="s">
        <v>244</v>
      </c>
      <c r="B29" s="118" t="s">
        <v>558</v>
      </c>
      <c r="C29" s="117">
        <v>1.1279571658814777E-2</v>
      </c>
      <c r="D29" s="117">
        <f t="shared" si="0"/>
        <v>5.5741410283049603E-2</v>
      </c>
      <c r="E29" s="117">
        <v>1.4641410283049603E-2</v>
      </c>
      <c r="F29" s="117">
        <v>0.22</v>
      </c>
      <c r="G29" s="478">
        <v>20355.541962851221</v>
      </c>
    </row>
    <row r="30" spans="1:7">
      <c r="A30" s="492" t="s">
        <v>245</v>
      </c>
      <c r="B30" s="118" t="s">
        <v>547</v>
      </c>
      <c r="C30" s="117">
        <v>2.8309513182907677E-2</v>
      </c>
      <c r="D30" s="117">
        <f t="shared" si="0"/>
        <v>7.7847068945693126E-2</v>
      </c>
      <c r="E30" s="117">
        <v>3.6747068945693122E-2</v>
      </c>
      <c r="F30" s="117">
        <v>0.34</v>
      </c>
      <c r="G30" s="478">
        <v>1920095.7790227288</v>
      </c>
    </row>
    <row r="31" spans="1:7">
      <c r="A31" s="492" t="s">
        <v>874</v>
      </c>
      <c r="B31" s="118" t="s">
        <v>547</v>
      </c>
      <c r="C31" s="117">
        <v>3.2779436317050999E-2</v>
      </c>
      <c r="D31" s="117">
        <f t="shared" si="0"/>
        <v>8.5104412948338495E-2</v>
      </c>
      <c r="E31" s="486">
        <v>4.4004412948338498E-2</v>
      </c>
      <c r="F31" s="486">
        <v>0.34</v>
      </c>
      <c r="G31" s="478" t="s">
        <v>88</v>
      </c>
    </row>
    <row r="32" spans="1:7">
      <c r="A32" s="493" t="s">
        <v>555</v>
      </c>
      <c r="B32" s="118" t="s">
        <v>636</v>
      </c>
      <c r="C32" s="117">
        <v>5.6397858294073896E-3</v>
      </c>
      <c r="D32" s="117">
        <f t="shared" si="0"/>
        <v>4.84207051415248E-2</v>
      </c>
      <c r="E32" s="117">
        <v>7.3207051415248026E-3</v>
      </c>
      <c r="F32" s="117">
        <v>0.185</v>
      </c>
      <c r="G32" s="478">
        <v>14010</v>
      </c>
    </row>
    <row r="33" spans="1:7">
      <c r="A33" s="492" t="s">
        <v>246</v>
      </c>
      <c r="B33" s="118" t="s">
        <v>544</v>
      </c>
      <c r="C33" s="117">
        <v>1.5039428878419702E-2</v>
      </c>
      <c r="D33" s="117">
        <f t="shared" si="0"/>
        <v>6.0621880377399462E-2</v>
      </c>
      <c r="E33" s="117">
        <v>1.9521880377399468E-2</v>
      </c>
      <c r="F33" s="117">
        <v>0.1</v>
      </c>
      <c r="G33" s="478">
        <v>90346.169914934857</v>
      </c>
    </row>
    <row r="34" spans="1:7">
      <c r="A34" s="492" t="s">
        <v>457</v>
      </c>
      <c r="B34" s="118" t="s">
        <v>550</v>
      </c>
      <c r="C34" s="117">
        <v>7.055261488552772E-2</v>
      </c>
      <c r="D34" s="117">
        <f t="shared" si="0"/>
        <v>0.13268058588809456</v>
      </c>
      <c r="E34" s="117">
        <v>9.1580585888094562E-2</v>
      </c>
      <c r="F34" s="117">
        <v>0.28000000000000003</v>
      </c>
      <c r="G34" s="478">
        <v>18820.064797837909</v>
      </c>
    </row>
    <row r="35" spans="1:7">
      <c r="A35" s="492" t="s">
        <v>247</v>
      </c>
      <c r="B35" s="118" t="s">
        <v>543</v>
      </c>
      <c r="C35" s="117">
        <v>5.1753328787503099E-2</v>
      </c>
      <c r="D35" s="117">
        <f t="shared" si="0"/>
        <v>0.10827823541634524</v>
      </c>
      <c r="E35" s="117">
        <v>6.7178235416345239E-2</v>
      </c>
      <c r="F35" s="117">
        <v>0.2</v>
      </c>
      <c r="G35" s="478">
        <v>29504.829319316876</v>
      </c>
    </row>
    <row r="36" spans="1:7">
      <c r="A36" s="492" t="s">
        <v>458</v>
      </c>
      <c r="B36" s="118" t="s">
        <v>550</v>
      </c>
      <c r="C36" s="117">
        <v>7.055261488552772E-2</v>
      </c>
      <c r="D36" s="117">
        <f t="shared" si="0"/>
        <v>0.13268058588809456</v>
      </c>
      <c r="E36" s="117">
        <v>9.1580585888094562E-2</v>
      </c>
      <c r="F36" s="117">
        <v>0.33</v>
      </c>
      <c r="G36" s="478">
        <v>43644.068310851013</v>
      </c>
    </row>
    <row r="37" spans="1:7">
      <c r="A37" s="492" t="s">
        <v>248</v>
      </c>
      <c r="B37" s="118" t="s">
        <v>545</v>
      </c>
      <c r="C37" s="117">
        <v>0</v>
      </c>
      <c r="D37" s="117">
        <f t="shared" si="0"/>
        <v>4.1099999999999998E-2</v>
      </c>
      <c r="E37" s="117">
        <v>0</v>
      </c>
      <c r="F37" s="117">
        <v>0.26500000000000001</v>
      </c>
      <c r="G37" s="478">
        <v>2137939.2200749093</v>
      </c>
    </row>
    <row r="38" spans="1:7">
      <c r="A38" s="492" t="s">
        <v>459</v>
      </c>
      <c r="B38" s="118" t="s">
        <v>552</v>
      </c>
      <c r="C38" s="117">
        <v>6.1152971836515406E-2</v>
      </c>
      <c r="D38" s="117">
        <f t="shared" si="0"/>
        <v>0.1204794106522199</v>
      </c>
      <c r="E38" s="117">
        <v>7.9379410652219901E-2</v>
      </c>
      <c r="F38" s="117">
        <v>0</v>
      </c>
      <c r="G38" s="478">
        <v>1936</v>
      </c>
    </row>
    <row r="39" spans="1:7">
      <c r="A39" s="492" t="s">
        <v>249</v>
      </c>
      <c r="B39" s="118" t="s">
        <v>551</v>
      </c>
      <c r="C39" s="117">
        <v>5.6397858294073887E-3</v>
      </c>
      <c r="D39" s="117">
        <f t="shared" si="0"/>
        <v>4.84207051415248E-2</v>
      </c>
      <c r="E39" s="117">
        <v>7.3207051415248017E-3</v>
      </c>
      <c r="F39" s="117">
        <v>0</v>
      </c>
      <c r="G39" s="478">
        <v>6844.8273793095168</v>
      </c>
    </row>
    <row r="40" spans="1:7">
      <c r="A40" s="492" t="s">
        <v>875</v>
      </c>
      <c r="B40" s="118" t="s">
        <v>636</v>
      </c>
      <c r="C40" s="117">
        <v>9.5882201472833571E-3</v>
      </c>
      <c r="D40" s="117">
        <f t="shared" si="0"/>
        <v>9.9971606293643364E-2</v>
      </c>
      <c r="E40" s="486">
        <v>5.8871606293643367E-2</v>
      </c>
      <c r="F40" s="486">
        <v>0.24707349543413576</v>
      </c>
      <c r="G40" s="478" t="s">
        <v>88</v>
      </c>
    </row>
    <row r="41" spans="1:7">
      <c r="A41" s="492" t="s">
        <v>250</v>
      </c>
      <c r="B41" s="118" t="s">
        <v>554</v>
      </c>
      <c r="C41" s="117">
        <v>7.9620505826927847E-3</v>
      </c>
      <c r="D41" s="117">
        <f t="shared" si="0"/>
        <v>5.1435113140976187E-2</v>
      </c>
      <c r="E41" s="117">
        <v>1.0335113140976191E-2</v>
      </c>
      <c r="F41" s="117">
        <v>0.27</v>
      </c>
      <c r="G41" s="478">
        <v>301024.7249119234</v>
      </c>
    </row>
    <row r="42" spans="1:7">
      <c r="A42" s="492" t="s">
        <v>251</v>
      </c>
      <c r="B42" s="118" t="s">
        <v>556</v>
      </c>
      <c r="C42" s="117">
        <v>6.6350421522439872E-3</v>
      </c>
      <c r="D42" s="117">
        <f t="shared" si="0"/>
        <v>4.9712594284146823E-2</v>
      </c>
      <c r="E42" s="117">
        <v>8.6125942841468253E-3</v>
      </c>
      <c r="F42" s="117">
        <v>0.25</v>
      </c>
      <c r="G42" s="478">
        <v>17963171.479205329</v>
      </c>
    </row>
    <row r="43" spans="1:7">
      <c r="A43" s="492" t="s">
        <v>252</v>
      </c>
      <c r="B43" s="118" t="s">
        <v>542</v>
      </c>
      <c r="C43" s="117">
        <v>1.7914613811058765E-2</v>
      </c>
      <c r="D43" s="117">
        <f t="shared" si="0"/>
        <v>6.4354004567196421E-2</v>
      </c>
      <c r="E43" s="117">
        <v>2.325400456719643E-2</v>
      </c>
      <c r="F43" s="117">
        <v>0.35</v>
      </c>
      <c r="G43" s="478">
        <v>343622.11456040916</v>
      </c>
    </row>
    <row r="44" spans="1:7">
      <c r="A44" s="492" t="s">
        <v>475</v>
      </c>
      <c r="B44" s="118" t="s">
        <v>552</v>
      </c>
      <c r="C44" s="117">
        <v>6.1152971836515406E-2</v>
      </c>
      <c r="D44" s="117">
        <f t="shared" si="0"/>
        <v>0.1204794106522199</v>
      </c>
      <c r="E44" s="117">
        <v>7.9379410652219901E-2</v>
      </c>
      <c r="F44" s="117">
        <v>0.3</v>
      </c>
      <c r="G44" s="478">
        <v>64718.641221216043</v>
      </c>
    </row>
    <row r="45" spans="1:7">
      <c r="A45" s="492" t="s">
        <v>476</v>
      </c>
      <c r="B45" s="118" t="s">
        <v>557</v>
      </c>
      <c r="C45" s="117">
        <v>8.4707371476981555E-2</v>
      </c>
      <c r="D45" s="117">
        <f t="shared" si="0"/>
        <v>0.15105412036094112</v>
      </c>
      <c r="E45" s="117">
        <v>0.10995412036094113</v>
      </c>
      <c r="F45" s="117">
        <v>0.28000000000000003</v>
      </c>
      <c r="G45" s="478">
        <v>14616</v>
      </c>
    </row>
    <row r="46" spans="1:7">
      <c r="A46" s="492" t="s">
        <v>460</v>
      </c>
      <c r="B46" s="118" t="s">
        <v>540</v>
      </c>
      <c r="C46" s="117">
        <v>4.2353685738490778E-2</v>
      </c>
      <c r="D46" s="117">
        <f t="shared" si="0"/>
        <v>9.6077060180470561E-2</v>
      </c>
      <c r="E46" s="117">
        <v>5.4977060180470563E-2</v>
      </c>
      <c r="F46" s="117">
        <v>0.2974</v>
      </c>
      <c r="G46" s="478">
        <v>1414</v>
      </c>
    </row>
    <row r="47" spans="1:7">
      <c r="A47" s="492" t="s">
        <v>253</v>
      </c>
      <c r="B47" s="118" t="s">
        <v>540</v>
      </c>
      <c r="C47" s="117">
        <v>4.2353685738490778E-2</v>
      </c>
      <c r="D47" s="117">
        <f t="shared" si="0"/>
        <v>9.6077060180470561E-2</v>
      </c>
      <c r="E47" s="117">
        <v>5.4977060180470563E-2</v>
      </c>
      <c r="F47" s="117">
        <v>0.3</v>
      </c>
      <c r="G47" s="478">
        <v>69243.62602866962</v>
      </c>
    </row>
    <row r="48" spans="1:7">
      <c r="A48" s="492" t="s">
        <v>254</v>
      </c>
      <c r="B48" s="118" t="s">
        <v>542</v>
      </c>
      <c r="C48" s="117">
        <v>1.7914613811058765E-2</v>
      </c>
      <c r="D48" s="117">
        <f t="shared" si="0"/>
        <v>6.4354004567196421E-2</v>
      </c>
      <c r="E48" s="117">
        <v>2.325400456719643E-2</v>
      </c>
      <c r="F48" s="117">
        <v>0.18</v>
      </c>
      <c r="G48" s="478">
        <v>71600.049650194982</v>
      </c>
    </row>
    <row r="49" spans="1:7">
      <c r="A49" s="492" t="s">
        <v>346</v>
      </c>
      <c r="B49" s="118" t="s">
        <v>604</v>
      </c>
      <c r="C49" s="117">
        <v>0.11290630062401852</v>
      </c>
      <c r="D49" s="117">
        <f t="shared" si="0"/>
        <v>0.18765764606856516</v>
      </c>
      <c r="E49" s="117">
        <v>0.14655764606856517</v>
      </c>
      <c r="F49" s="117">
        <v>0.2853</v>
      </c>
      <c r="G49" s="478">
        <v>633442.30000000005</v>
      </c>
    </row>
    <row r="50" spans="1:7">
      <c r="A50" s="496" t="s">
        <v>876</v>
      </c>
      <c r="B50" s="118" t="s">
        <v>542</v>
      </c>
      <c r="C50" s="117">
        <v>2.0743237044383835E-2</v>
      </c>
      <c r="D50" s="117">
        <f t="shared" si="0"/>
        <v>6.894654256887045E-2</v>
      </c>
      <c r="E50" s="486">
        <v>2.7846542568870453E-2</v>
      </c>
      <c r="F50" s="486">
        <v>0.22</v>
      </c>
      <c r="G50" s="478" t="s">
        <v>88</v>
      </c>
    </row>
    <row r="51" spans="1:7">
      <c r="A51" s="492" t="s">
        <v>255</v>
      </c>
      <c r="B51" s="118" t="s">
        <v>542</v>
      </c>
      <c r="C51" s="117">
        <v>1.7914613811058765E-2</v>
      </c>
      <c r="D51" s="117">
        <f t="shared" si="0"/>
        <v>6.4354004567196421E-2</v>
      </c>
      <c r="E51" s="117">
        <v>2.325400456719643E-2</v>
      </c>
      <c r="F51" s="117">
        <v>0.125</v>
      </c>
      <c r="G51" s="478">
        <v>29250.524418085472</v>
      </c>
    </row>
    <row r="52" spans="1:7">
      <c r="A52" s="492" t="s">
        <v>256</v>
      </c>
      <c r="B52" s="118" t="s">
        <v>551</v>
      </c>
      <c r="C52" s="117">
        <v>5.6397858294073887E-3</v>
      </c>
      <c r="D52" s="117">
        <f t="shared" si="0"/>
        <v>4.84207051415248E-2</v>
      </c>
      <c r="E52" s="117">
        <v>7.3207051415248017E-3</v>
      </c>
      <c r="F52" s="117">
        <v>0.19</v>
      </c>
      <c r="G52" s="478">
        <v>290527.55062722095</v>
      </c>
    </row>
    <row r="53" spans="1:7">
      <c r="A53" s="492" t="s">
        <v>257</v>
      </c>
      <c r="B53" s="118" t="s">
        <v>545</v>
      </c>
      <c r="C53" s="117">
        <v>0</v>
      </c>
      <c r="D53" s="117">
        <f t="shared" si="0"/>
        <v>4.1099999999999998E-2</v>
      </c>
      <c r="E53" s="117">
        <v>0</v>
      </c>
      <c r="F53" s="117">
        <v>0.22</v>
      </c>
      <c r="G53" s="478">
        <v>400167.19694870739</v>
      </c>
    </row>
    <row r="54" spans="1:7">
      <c r="A54" s="492" t="s">
        <v>258</v>
      </c>
      <c r="B54" s="118" t="s">
        <v>549</v>
      </c>
      <c r="C54" s="117">
        <v>3.3838714976444327E-2</v>
      </c>
      <c r="D54" s="117">
        <f t="shared" si="0"/>
        <v>8.5024230849148799E-2</v>
      </c>
      <c r="E54" s="117">
        <v>4.3924230849148801E-2</v>
      </c>
      <c r="F54" s="117">
        <v>0.27</v>
      </c>
      <c r="G54" s="478">
        <v>113537.3681761303</v>
      </c>
    </row>
    <row r="55" spans="1:7">
      <c r="A55" s="492" t="s">
        <v>259</v>
      </c>
      <c r="B55" s="118" t="s">
        <v>605</v>
      </c>
      <c r="C55" s="117">
        <v>9.410701452599389E-2</v>
      </c>
      <c r="D55" s="117">
        <f t="shared" si="0"/>
        <v>0.16325529559681581</v>
      </c>
      <c r="E55" s="117">
        <v>0.12215529559681582</v>
      </c>
      <c r="F55" s="117">
        <v>0.25</v>
      </c>
      <c r="G55" s="478">
        <v>115049.476</v>
      </c>
    </row>
    <row r="56" spans="1:7">
      <c r="A56" s="492" t="s">
        <v>260</v>
      </c>
      <c r="B56" s="118" t="s">
        <v>550</v>
      </c>
      <c r="C56" s="117">
        <v>7.055261488552772E-2</v>
      </c>
      <c r="D56" s="117">
        <f t="shared" si="0"/>
        <v>0.13268058588809456</v>
      </c>
      <c r="E56" s="117">
        <v>9.1580585888094562E-2</v>
      </c>
      <c r="F56" s="117">
        <v>0.22500000000000001</v>
      </c>
      <c r="G56" s="478">
        <v>476747.72036474163</v>
      </c>
    </row>
    <row r="57" spans="1:7">
      <c r="A57" s="492" t="s">
        <v>347</v>
      </c>
      <c r="B57" s="118" t="s">
        <v>550</v>
      </c>
      <c r="C57" s="117">
        <v>7.055261488552772E-2</v>
      </c>
      <c r="D57" s="117">
        <f t="shared" si="0"/>
        <v>0.13268058588809456</v>
      </c>
      <c r="E57" s="117">
        <v>9.1580585888094562E-2</v>
      </c>
      <c r="F57" s="117">
        <v>0.3</v>
      </c>
      <c r="G57" s="478">
        <v>32488.720000000001</v>
      </c>
    </row>
    <row r="58" spans="1:7">
      <c r="A58" s="492" t="s">
        <v>261</v>
      </c>
      <c r="B58" s="118" t="s">
        <v>556</v>
      </c>
      <c r="C58" s="117">
        <v>6.6350421522439872E-3</v>
      </c>
      <c r="D58" s="117">
        <f t="shared" si="0"/>
        <v>4.9712594284146823E-2</v>
      </c>
      <c r="E58" s="117">
        <v>8.6125942841468253E-3</v>
      </c>
      <c r="F58" s="117">
        <v>0.2</v>
      </c>
      <c r="G58" s="478">
        <v>38100.8129585196</v>
      </c>
    </row>
    <row r="59" spans="1:7">
      <c r="A59" s="492" t="s">
        <v>477</v>
      </c>
      <c r="B59" s="118" t="s">
        <v>557</v>
      </c>
      <c r="C59" s="117">
        <v>8.4707371476981555E-2</v>
      </c>
      <c r="D59" s="117">
        <f t="shared" si="0"/>
        <v>0.15105412036094112</v>
      </c>
      <c r="E59" s="117">
        <v>0.10995412036094113</v>
      </c>
      <c r="F59" s="117">
        <v>0.3</v>
      </c>
      <c r="G59" s="478">
        <v>126783.47159767149</v>
      </c>
    </row>
    <row r="60" spans="1:7">
      <c r="A60" s="492" t="s">
        <v>877</v>
      </c>
      <c r="B60" s="497" t="s">
        <v>636</v>
      </c>
      <c r="C60" s="498">
        <v>4.2900000000000001E-2</v>
      </c>
      <c r="D60" s="117">
        <f t="shared" si="0"/>
        <v>0.1447</v>
      </c>
      <c r="E60" s="487">
        <v>0.1036</v>
      </c>
      <c r="F60" s="487">
        <v>0.316</v>
      </c>
      <c r="G60" s="478" t="s">
        <v>88</v>
      </c>
    </row>
    <row r="61" spans="1:7">
      <c r="A61" s="492" t="s">
        <v>262</v>
      </c>
      <c r="B61" s="118" t="s">
        <v>540</v>
      </c>
      <c r="C61" s="117">
        <v>4.2353685738490778E-2</v>
      </c>
      <c r="D61" s="117">
        <f t="shared" si="0"/>
        <v>9.6077060180470561E-2</v>
      </c>
      <c r="E61" s="117">
        <v>5.4977060180470563E-2</v>
      </c>
      <c r="F61" s="117">
        <v>0.2</v>
      </c>
      <c r="G61" s="478">
        <v>4979.9795460122996</v>
      </c>
    </row>
    <row r="62" spans="1:7">
      <c r="A62" s="492" t="s">
        <v>263</v>
      </c>
      <c r="B62" s="118" t="s">
        <v>546</v>
      </c>
      <c r="C62" s="117">
        <v>3.7598572196049255E-3</v>
      </c>
      <c r="D62" s="117">
        <f t="shared" si="0"/>
        <v>4.5980470094349864E-2</v>
      </c>
      <c r="E62" s="117">
        <v>4.8804700943498669E-3</v>
      </c>
      <c r="F62" s="117">
        <v>0.2</v>
      </c>
      <c r="G62" s="478">
        <v>282896.25139105169</v>
      </c>
    </row>
    <row r="63" spans="1:7">
      <c r="A63" s="492" t="s">
        <v>264</v>
      </c>
      <c r="B63" s="118" t="s">
        <v>539</v>
      </c>
      <c r="C63" s="117">
        <v>4.6445295065707902E-3</v>
      </c>
      <c r="D63" s="117">
        <f t="shared" si="0"/>
        <v>4.7128815998902777E-2</v>
      </c>
      <c r="E63" s="117">
        <v>6.0288159989027772E-3</v>
      </c>
      <c r="F63" s="117">
        <v>0.25</v>
      </c>
      <c r="G63" s="478">
        <v>2779092.236505847</v>
      </c>
    </row>
    <row r="64" spans="1:7">
      <c r="A64" s="492" t="s">
        <v>878</v>
      </c>
      <c r="B64" s="497" t="s">
        <v>636</v>
      </c>
      <c r="C64" s="498">
        <v>4.2900000000000001E-2</v>
      </c>
      <c r="D64" s="117">
        <f t="shared" si="0"/>
        <v>0.1447</v>
      </c>
      <c r="E64" s="487">
        <v>0.1036</v>
      </c>
      <c r="F64" s="487">
        <v>0.316</v>
      </c>
      <c r="G64" s="478" t="s">
        <v>88</v>
      </c>
    </row>
    <row r="65" spans="1:7">
      <c r="A65" s="492" t="s">
        <v>461</v>
      </c>
      <c r="B65" s="118" t="s">
        <v>557</v>
      </c>
      <c r="C65" s="117">
        <v>8.4707371476981555E-2</v>
      </c>
      <c r="D65" s="117">
        <f t="shared" si="0"/>
        <v>0.15105412036094112</v>
      </c>
      <c r="E65" s="117">
        <v>0.10995412036094113</v>
      </c>
      <c r="F65" s="117">
        <v>0.3</v>
      </c>
      <c r="G65" s="478">
        <v>21071.73922489183</v>
      </c>
    </row>
    <row r="66" spans="1:7">
      <c r="A66" s="493" t="s">
        <v>559</v>
      </c>
      <c r="B66" s="118" t="s">
        <v>636</v>
      </c>
      <c r="C66" s="117">
        <v>4.2353685738490778E-2</v>
      </c>
      <c r="D66" s="117">
        <f t="shared" si="0"/>
        <v>9.6077060180470561E-2</v>
      </c>
      <c r="E66" s="117">
        <v>5.4977060180470563E-2</v>
      </c>
      <c r="F66" s="117">
        <v>0.31</v>
      </c>
      <c r="G66" s="478">
        <v>2038</v>
      </c>
    </row>
    <row r="67" spans="1:7">
      <c r="A67" s="492" t="s">
        <v>348</v>
      </c>
      <c r="B67" s="118" t="s">
        <v>547</v>
      </c>
      <c r="C67" s="117">
        <v>2.8309513182907677E-2</v>
      </c>
      <c r="D67" s="117">
        <f t="shared" si="0"/>
        <v>7.7847068945693126E-2</v>
      </c>
      <c r="E67" s="117">
        <v>3.6747068945693122E-2</v>
      </c>
      <c r="F67" s="117">
        <v>0.15</v>
      </c>
      <c r="G67" s="478">
        <v>24780.791063713052</v>
      </c>
    </row>
    <row r="68" spans="1:7">
      <c r="A68" s="492" t="s">
        <v>265</v>
      </c>
      <c r="B68" s="118" t="s">
        <v>545</v>
      </c>
      <c r="C68" s="117">
        <v>0</v>
      </c>
      <c r="D68" s="117">
        <f t="shared" si="0"/>
        <v>4.1099999999999998E-2</v>
      </c>
      <c r="E68" s="117">
        <v>0</v>
      </c>
      <c r="F68" s="117">
        <v>0.3</v>
      </c>
      <c r="G68" s="478">
        <v>4082469.4907976813</v>
      </c>
    </row>
    <row r="69" spans="1:7">
      <c r="A69" s="492" t="s">
        <v>462</v>
      </c>
      <c r="B69" s="118" t="s">
        <v>605</v>
      </c>
      <c r="C69" s="117">
        <v>9.410701452599389E-2</v>
      </c>
      <c r="D69" s="117">
        <f t="shared" si="0"/>
        <v>0.16325529559681581</v>
      </c>
      <c r="E69" s="117">
        <v>0.12215529559681582</v>
      </c>
      <c r="F69" s="117">
        <v>0.25</v>
      </c>
      <c r="G69" s="478">
        <v>73766.052451525553</v>
      </c>
    </row>
    <row r="70" spans="1:7">
      <c r="A70" s="492" t="s">
        <v>879</v>
      </c>
      <c r="B70" s="118" t="s">
        <v>636</v>
      </c>
      <c r="C70" s="117">
        <v>9.5882201472833571E-3</v>
      </c>
      <c r="D70" s="117">
        <f t="shared" ref="D70:D133" si="1">$B$1+E70</f>
        <v>9.9971606293643364E-2</v>
      </c>
      <c r="E70" s="486">
        <v>5.8871606293643367E-2</v>
      </c>
      <c r="F70" s="486">
        <v>0.24707349543413576</v>
      </c>
      <c r="G70" s="478" t="s">
        <v>88</v>
      </c>
    </row>
    <row r="71" spans="1:7">
      <c r="A71" s="492" t="s">
        <v>266</v>
      </c>
      <c r="B71" s="118" t="s">
        <v>560</v>
      </c>
      <c r="C71" s="117">
        <v>2.3554399640466156E-2</v>
      </c>
      <c r="D71" s="117">
        <f t="shared" si="1"/>
        <v>7.1674709708721224E-2</v>
      </c>
      <c r="E71" s="117">
        <v>3.0574709708721233E-2</v>
      </c>
      <c r="F71" s="117">
        <v>0.22</v>
      </c>
      <c r="G71" s="478">
        <v>217581.32451205922</v>
      </c>
    </row>
    <row r="72" spans="1:7">
      <c r="A72" s="492" t="s">
        <v>880</v>
      </c>
      <c r="B72" s="118" t="s">
        <v>636</v>
      </c>
      <c r="C72" s="117">
        <v>0</v>
      </c>
      <c r="D72" s="117">
        <f t="shared" si="1"/>
        <v>4.1099999999999998E-2</v>
      </c>
      <c r="E72" s="486">
        <v>0</v>
      </c>
      <c r="F72" s="486">
        <v>0</v>
      </c>
      <c r="G72" s="478" t="s">
        <v>88</v>
      </c>
    </row>
    <row r="73" spans="1:7">
      <c r="A73" s="492" t="s">
        <v>267</v>
      </c>
      <c r="B73" s="118" t="s">
        <v>560</v>
      </c>
      <c r="C73" s="117">
        <v>2.3554399640466156E-2</v>
      </c>
      <c r="D73" s="117">
        <f t="shared" si="1"/>
        <v>7.1674709708721224E-2</v>
      </c>
      <c r="E73" s="117">
        <v>3.0574709708721233E-2</v>
      </c>
      <c r="F73" s="117">
        <v>0.25</v>
      </c>
      <c r="G73" s="478">
        <v>95003.330315875442</v>
      </c>
    </row>
    <row r="74" spans="1:7">
      <c r="A74" s="492" t="s">
        <v>624</v>
      </c>
      <c r="B74" s="118" t="s">
        <v>556</v>
      </c>
      <c r="C74" s="117">
        <v>6.6350421522439872E-3</v>
      </c>
      <c r="D74" s="117">
        <f t="shared" si="1"/>
        <v>4.9712594284146823E-2</v>
      </c>
      <c r="E74" s="117">
        <v>8.6125942841468253E-3</v>
      </c>
      <c r="F74" s="117">
        <v>0</v>
      </c>
      <c r="G74" s="478">
        <v>3446</v>
      </c>
    </row>
    <row r="75" spans="1:7">
      <c r="A75" s="493" t="s">
        <v>561</v>
      </c>
      <c r="B75" s="118" t="s">
        <v>636</v>
      </c>
      <c r="C75" s="117">
        <v>8.4707371476981541E-2</v>
      </c>
      <c r="D75" s="117">
        <f t="shared" si="1"/>
        <v>0.15105412036094112</v>
      </c>
      <c r="E75" s="117">
        <v>0.10995412036094111</v>
      </c>
      <c r="F75" s="117">
        <v>0.29149999999999998</v>
      </c>
      <c r="G75" s="478">
        <v>20999.229260495544</v>
      </c>
    </row>
    <row r="76" spans="1:7">
      <c r="A76" s="493" t="s">
        <v>562</v>
      </c>
      <c r="B76" s="118" t="s">
        <v>636</v>
      </c>
      <c r="C76" s="117">
        <v>6.1152971836515406E-2</v>
      </c>
      <c r="D76" s="117">
        <f t="shared" si="1"/>
        <v>0.1204794106522199</v>
      </c>
      <c r="E76" s="117">
        <v>7.9379410652219901E-2</v>
      </c>
      <c r="F76" s="117">
        <v>0.29149999999999998</v>
      </c>
      <c r="G76" s="478">
        <v>1633.5590920886059</v>
      </c>
    </row>
    <row r="77" spans="1:7">
      <c r="A77" s="493" t="s">
        <v>563</v>
      </c>
      <c r="B77" s="118" t="s">
        <v>636</v>
      </c>
      <c r="C77" s="117">
        <v>1.5039428878419699E-2</v>
      </c>
      <c r="D77" s="117">
        <f t="shared" si="1"/>
        <v>6.0621880377399462E-2</v>
      </c>
      <c r="E77" s="117">
        <v>1.9521880377399464E-2</v>
      </c>
      <c r="F77" s="117">
        <v>0.18640000000000001</v>
      </c>
      <c r="G77" s="478">
        <v>14718.388489208633</v>
      </c>
    </row>
    <row r="78" spans="1:7">
      <c r="A78" s="493" t="s">
        <v>564</v>
      </c>
      <c r="B78" s="118" t="s">
        <v>636</v>
      </c>
      <c r="C78" s="117">
        <v>0.1129063006240185</v>
      </c>
      <c r="D78" s="117">
        <f t="shared" si="1"/>
        <v>0.18765764606856514</v>
      </c>
      <c r="E78" s="117">
        <v>0.14655764606856514</v>
      </c>
      <c r="F78" s="117">
        <v>0.18640000000000001</v>
      </c>
      <c r="G78" s="478">
        <v>20253.551884605487</v>
      </c>
    </row>
    <row r="79" spans="1:7">
      <c r="A79" s="492" t="s">
        <v>268</v>
      </c>
      <c r="B79" s="118" t="s">
        <v>540</v>
      </c>
      <c r="C79" s="117">
        <v>4.2353685738490778E-2</v>
      </c>
      <c r="D79" s="117">
        <f t="shared" si="1"/>
        <v>9.6077060180470561E-2</v>
      </c>
      <c r="E79" s="117">
        <v>5.4977060180470563E-2</v>
      </c>
      <c r="F79" s="117">
        <v>0.25</v>
      </c>
      <c r="G79" s="478">
        <v>31717.6997643621</v>
      </c>
    </row>
    <row r="80" spans="1:7">
      <c r="A80" s="492" t="s">
        <v>269</v>
      </c>
      <c r="B80" s="118" t="s">
        <v>551</v>
      </c>
      <c r="C80" s="117">
        <v>5.6397858294073887E-3</v>
      </c>
      <c r="D80" s="117">
        <f t="shared" si="1"/>
        <v>4.84207051415248E-2</v>
      </c>
      <c r="E80" s="117">
        <v>7.3207051415248017E-3</v>
      </c>
      <c r="F80" s="117">
        <v>0.16500000000000001</v>
      </c>
      <c r="G80" s="478">
        <v>359838.58349006315</v>
      </c>
    </row>
    <row r="81" spans="1:7">
      <c r="A81" s="492" t="s">
        <v>270</v>
      </c>
      <c r="B81" s="118" t="s">
        <v>542</v>
      </c>
      <c r="C81" s="117">
        <v>1.7914613811058765E-2</v>
      </c>
      <c r="D81" s="117">
        <f t="shared" si="1"/>
        <v>6.4354004567196421E-2</v>
      </c>
      <c r="E81" s="117">
        <v>2.325400456719643E-2</v>
      </c>
      <c r="F81" s="117">
        <v>0.09</v>
      </c>
      <c r="G81" s="478">
        <v>177337.43667736501</v>
      </c>
    </row>
    <row r="82" spans="1:7">
      <c r="A82" s="492" t="s">
        <v>271</v>
      </c>
      <c r="B82" s="118" t="s">
        <v>554</v>
      </c>
      <c r="C82" s="117">
        <v>7.9620505826927847E-3</v>
      </c>
      <c r="D82" s="117">
        <f t="shared" si="1"/>
        <v>5.1435113140976187E-2</v>
      </c>
      <c r="E82" s="117">
        <v>1.0335113140976191E-2</v>
      </c>
      <c r="F82" s="117">
        <v>0.2</v>
      </c>
      <c r="G82" s="478">
        <v>28064.52985130985</v>
      </c>
    </row>
    <row r="83" spans="1:7">
      <c r="A83" s="492" t="s">
        <v>272</v>
      </c>
      <c r="B83" s="118" t="s">
        <v>548</v>
      </c>
      <c r="C83" s="117">
        <v>2.0679214707827093E-2</v>
      </c>
      <c r="D83" s="117">
        <f t="shared" si="1"/>
        <v>6.7942585518924264E-2</v>
      </c>
      <c r="E83" s="117">
        <v>2.6842585518924274E-2</v>
      </c>
      <c r="F83" s="117">
        <v>0.3</v>
      </c>
      <c r="G83" s="478">
        <v>3416645.8260528739</v>
      </c>
    </row>
    <row r="84" spans="1:7">
      <c r="A84" s="492" t="s">
        <v>273</v>
      </c>
      <c r="B84" s="118" t="s">
        <v>542</v>
      </c>
      <c r="C84" s="117">
        <v>1.7914613811058765E-2</v>
      </c>
      <c r="D84" s="117">
        <f t="shared" si="1"/>
        <v>6.4354004567196421E-2</v>
      </c>
      <c r="E84" s="117">
        <v>2.325400456719643E-2</v>
      </c>
      <c r="F84" s="117">
        <v>0.22</v>
      </c>
      <c r="G84" s="478">
        <v>1319100.2204077167</v>
      </c>
    </row>
    <row r="85" spans="1:7">
      <c r="A85" s="493" t="s">
        <v>565</v>
      </c>
      <c r="B85" s="118" t="s">
        <v>636</v>
      </c>
      <c r="C85" s="117">
        <v>6.1152971836515406E-2</v>
      </c>
      <c r="D85" s="117">
        <f t="shared" si="1"/>
        <v>0.1204794106522199</v>
      </c>
      <c r="E85" s="117">
        <v>7.9379410652219901E-2</v>
      </c>
      <c r="F85" s="117">
        <v>0.20230000000000001</v>
      </c>
      <c r="G85" s="478">
        <v>413493.20734926529</v>
      </c>
    </row>
    <row r="86" spans="1:7">
      <c r="A86" s="492" t="s">
        <v>528</v>
      </c>
      <c r="B86" s="118" t="s">
        <v>550</v>
      </c>
      <c r="C86" s="117">
        <v>7.055261488552772E-2</v>
      </c>
      <c r="D86" s="117">
        <f t="shared" si="1"/>
        <v>0.13268058588809456</v>
      </c>
      <c r="E86" s="117">
        <v>9.1580585888094562E-2</v>
      </c>
      <c r="F86" s="117">
        <v>0.15</v>
      </c>
      <c r="G86" s="478">
        <v>264182.17379310343</v>
      </c>
    </row>
    <row r="87" spans="1:7">
      <c r="A87" s="492" t="s">
        <v>274</v>
      </c>
      <c r="B87" s="118" t="s">
        <v>551</v>
      </c>
      <c r="C87" s="117">
        <v>5.6397858294073887E-3</v>
      </c>
      <c r="D87" s="117">
        <f t="shared" si="1"/>
        <v>4.84207051415248E-2</v>
      </c>
      <c r="E87" s="117">
        <v>7.3207051415248017E-3</v>
      </c>
      <c r="F87" s="117">
        <v>0.125</v>
      </c>
      <c r="G87" s="478">
        <v>533140.0118382764</v>
      </c>
    </row>
    <row r="88" spans="1:7">
      <c r="A88" s="492" t="s">
        <v>275</v>
      </c>
      <c r="B88" s="118" t="s">
        <v>551</v>
      </c>
      <c r="C88" s="117">
        <v>5.6397858294073887E-3</v>
      </c>
      <c r="D88" s="117">
        <f t="shared" si="1"/>
        <v>4.84207051415248E-2</v>
      </c>
      <c r="E88" s="117">
        <v>7.3207051415248017E-3</v>
      </c>
      <c r="F88" s="117">
        <v>0</v>
      </c>
      <c r="G88" s="478">
        <v>6684.2292685054481</v>
      </c>
    </row>
    <row r="89" spans="1:7">
      <c r="A89" s="492" t="s">
        <v>276</v>
      </c>
      <c r="B89" s="118" t="s">
        <v>554</v>
      </c>
      <c r="C89" s="117">
        <v>7.9620505826927847E-3</v>
      </c>
      <c r="D89" s="117">
        <f t="shared" si="1"/>
        <v>5.1435113140976187E-2</v>
      </c>
      <c r="E89" s="117">
        <v>1.0335113140976191E-2</v>
      </c>
      <c r="F89" s="117">
        <v>0.23</v>
      </c>
      <c r="G89" s="478">
        <v>525002.44765277347</v>
      </c>
    </row>
    <row r="90" spans="1:7">
      <c r="A90" s="492" t="s">
        <v>277</v>
      </c>
      <c r="B90" s="118" t="s">
        <v>548</v>
      </c>
      <c r="C90" s="117">
        <v>2.0679214707827093E-2</v>
      </c>
      <c r="D90" s="117">
        <f t="shared" si="1"/>
        <v>6.7942585518924264E-2</v>
      </c>
      <c r="E90" s="117">
        <v>2.6842585518924274E-2</v>
      </c>
      <c r="F90" s="117">
        <v>0.24</v>
      </c>
      <c r="G90" s="478">
        <v>2049737.1654079845</v>
      </c>
    </row>
    <row r="91" spans="1:7">
      <c r="A91" s="492" t="s">
        <v>881</v>
      </c>
      <c r="B91" s="118" t="s">
        <v>547</v>
      </c>
      <c r="C91" s="123">
        <v>2.8309513182907677E-2</v>
      </c>
      <c r="D91" s="117">
        <f t="shared" si="1"/>
        <v>7.7847068945693126E-2</v>
      </c>
      <c r="E91" s="488">
        <v>3.6747068945693122E-2</v>
      </c>
      <c r="F91" s="488">
        <v>0.25</v>
      </c>
      <c r="G91" s="478" t="s">
        <v>88</v>
      </c>
    </row>
    <row r="92" spans="1:7">
      <c r="A92" s="492" t="s">
        <v>278</v>
      </c>
      <c r="B92" s="118" t="s">
        <v>540</v>
      </c>
      <c r="C92" s="117">
        <v>4.2353685738490778E-2</v>
      </c>
      <c r="D92" s="117">
        <f t="shared" si="1"/>
        <v>9.6077060180470561E-2</v>
      </c>
      <c r="E92" s="117">
        <v>5.4977060180470563E-2</v>
      </c>
      <c r="F92" s="117">
        <v>0.25</v>
      </c>
      <c r="G92" s="478">
        <v>17097.760723920146</v>
      </c>
    </row>
    <row r="93" spans="1:7">
      <c r="A93" s="492" t="s">
        <v>279</v>
      </c>
      <c r="B93" s="118" t="s">
        <v>556</v>
      </c>
      <c r="C93" s="117">
        <v>6.6350421522439872E-3</v>
      </c>
      <c r="D93" s="117">
        <f t="shared" si="1"/>
        <v>4.9712594284146823E-2</v>
      </c>
      <c r="E93" s="117">
        <v>8.6125942841468253E-3</v>
      </c>
      <c r="F93" s="117">
        <v>0.30620000000000003</v>
      </c>
      <c r="G93" s="478">
        <v>4232173.9160866737</v>
      </c>
    </row>
    <row r="94" spans="1:7">
      <c r="A94" s="492" t="s">
        <v>625</v>
      </c>
      <c r="B94" s="118" t="s">
        <v>551</v>
      </c>
      <c r="C94" s="117">
        <v>5.6397858294073887E-3</v>
      </c>
      <c r="D94" s="117">
        <f t="shared" si="1"/>
        <v>4.84207051415248E-2</v>
      </c>
      <c r="E94" s="117">
        <v>7.3207051415248017E-3</v>
      </c>
      <c r="F94" s="117">
        <v>0</v>
      </c>
      <c r="G94" s="478">
        <v>4890</v>
      </c>
    </row>
    <row r="95" spans="1:7">
      <c r="A95" s="492" t="s">
        <v>280</v>
      </c>
      <c r="B95" s="118" t="s">
        <v>549</v>
      </c>
      <c r="C95" s="117">
        <v>3.3838714976444327E-2</v>
      </c>
      <c r="D95" s="117">
        <f t="shared" si="1"/>
        <v>8.5024230849148799E-2</v>
      </c>
      <c r="E95" s="117">
        <v>4.3924230849148801E-2</v>
      </c>
      <c r="F95" s="117">
        <v>0.2</v>
      </c>
      <c r="G95" s="478">
        <v>48653.38178063972</v>
      </c>
    </row>
    <row r="96" spans="1:7">
      <c r="A96" s="492" t="s">
        <v>281</v>
      </c>
      <c r="B96" s="118" t="s">
        <v>542</v>
      </c>
      <c r="C96" s="117">
        <v>1.7914613811058765E-2</v>
      </c>
      <c r="D96" s="117">
        <f t="shared" si="1"/>
        <v>6.4354004567196421E-2</v>
      </c>
      <c r="E96" s="117">
        <v>2.325400456719643E-2</v>
      </c>
      <c r="F96" s="117">
        <v>0.2</v>
      </c>
      <c r="G96" s="478">
        <v>225496.3289254941</v>
      </c>
    </row>
    <row r="97" spans="1:7">
      <c r="A97" s="492" t="s">
        <v>405</v>
      </c>
      <c r="B97" s="118" t="s">
        <v>552</v>
      </c>
      <c r="C97" s="117">
        <v>6.1152971836515406E-2</v>
      </c>
      <c r="D97" s="117">
        <f t="shared" si="1"/>
        <v>0.1204794106522199</v>
      </c>
      <c r="E97" s="117">
        <v>7.9379410652219901E-2</v>
      </c>
      <c r="F97" s="117">
        <v>0.3</v>
      </c>
      <c r="G97" s="478">
        <v>113420.00817879318</v>
      </c>
    </row>
    <row r="98" spans="1:7">
      <c r="A98" s="493" t="s">
        <v>566</v>
      </c>
      <c r="B98" s="118" t="s">
        <v>636</v>
      </c>
      <c r="C98" s="117">
        <v>0.17499999999999996</v>
      </c>
      <c r="D98" s="117">
        <f t="shared" si="1"/>
        <v>0.26825816495844779</v>
      </c>
      <c r="E98" s="117">
        <v>0.22715816495844782</v>
      </c>
      <c r="F98" s="117">
        <v>0.23100000000000001</v>
      </c>
      <c r="G98" s="478">
        <v>28500</v>
      </c>
    </row>
    <row r="99" spans="1:7">
      <c r="A99" s="492" t="s">
        <v>282</v>
      </c>
      <c r="B99" s="118" t="s">
        <v>556</v>
      </c>
      <c r="C99" s="117">
        <v>6.6350421522439872E-3</v>
      </c>
      <c r="D99" s="117">
        <f t="shared" si="1"/>
        <v>4.9712594284146823E-2</v>
      </c>
      <c r="E99" s="117">
        <v>8.6125942841468253E-3</v>
      </c>
      <c r="F99" s="117">
        <v>0.15</v>
      </c>
      <c r="G99" s="478">
        <v>175363.26530612243</v>
      </c>
    </row>
    <row r="100" spans="1:7">
      <c r="A100" s="492" t="s">
        <v>463</v>
      </c>
      <c r="B100" s="118" t="s">
        <v>552</v>
      </c>
      <c r="C100" s="117">
        <v>6.1152971836515406E-2</v>
      </c>
      <c r="D100" s="117">
        <f t="shared" si="1"/>
        <v>0.1204794106522199</v>
      </c>
      <c r="E100" s="117">
        <v>7.9379410652219901E-2</v>
      </c>
      <c r="F100" s="117">
        <v>0.1</v>
      </c>
      <c r="G100" s="478">
        <v>11543.966558842048</v>
      </c>
    </row>
    <row r="101" spans="1:7">
      <c r="A101" s="492" t="s">
        <v>594</v>
      </c>
      <c r="B101" s="118" t="s">
        <v>605</v>
      </c>
      <c r="C101" s="117">
        <v>9.410701452599389E-2</v>
      </c>
      <c r="D101" s="117">
        <f t="shared" si="1"/>
        <v>0.16325529559681581</v>
      </c>
      <c r="E101" s="117">
        <v>0.12215529559681582</v>
      </c>
      <c r="F101" s="117">
        <v>0.26860000000000001</v>
      </c>
      <c r="G101" s="478">
        <v>15468.785203753174</v>
      </c>
    </row>
    <row r="102" spans="1:7">
      <c r="A102" s="492" t="s">
        <v>283</v>
      </c>
      <c r="B102" s="118" t="s">
        <v>558</v>
      </c>
      <c r="C102" s="117">
        <v>1.1279571658814777E-2</v>
      </c>
      <c r="D102" s="117">
        <f t="shared" si="1"/>
        <v>5.5741410283049603E-2</v>
      </c>
      <c r="E102" s="117">
        <v>1.4641410283049603E-2</v>
      </c>
      <c r="F102" s="117">
        <v>0.2</v>
      </c>
      <c r="G102" s="478">
        <v>40932.030049564361</v>
      </c>
    </row>
    <row r="103" spans="1:7">
      <c r="A103" s="492" t="s">
        <v>349</v>
      </c>
      <c r="B103" s="118" t="s">
        <v>586</v>
      </c>
      <c r="C103" s="117">
        <v>0.17499999999999999</v>
      </c>
      <c r="D103" s="117">
        <f t="shared" si="1"/>
        <v>0.26825816495844784</v>
      </c>
      <c r="E103" s="117">
        <v>0.22715816495844784</v>
      </c>
      <c r="F103" s="117">
        <v>0.17</v>
      </c>
      <c r="G103" s="478">
        <v>23131.941556784346</v>
      </c>
    </row>
    <row r="104" spans="1:7">
      <c r="A104" s="493" t="s">
        <v>567</v>
      </c>
      <c r="B104" s="118" t="s">
        <v>636</v>
      </c>
      <c r="C104" s="117">
        <v>7.0552614885527706E-2</v>
      </c>
      <c r="D104" s="117">
        <f t="shared" si="1"/>
        <v>0.13268058588809456</v>
      </c>
      <c r="E104" s="117">
        <v>9.1580585888094548E-2</v>
      </c>
      <c r="F104" s="117">
        <v>0.29149999999999998</v>
      </c>
      <c r="G104" s="478">
        <v>4001.0469699999999</v>
      </c>
    </row>
    <row r="105" spans="1:7">
      <c r="A105" s="493" t="s">
        <v>568</v>
      </c>
      <c r="B105" s="118" t="s">
        <v>636</v>
      </c>
      <c r="C105" s="117">
        <v>1.5039428878419699E-2</v>
      </c>
      <c r="D105" s="117">
        <f t="shared" si="1"/>
        <v>6.0621880377399462E-2</v>
      </c>
      <c r="E105" s="117">
        <v>1.9521880377399464E-2</v>
      </c>
      <c r="F105" s="117">
        <v>0.2</v>
      </c>
      <c r="G105" s="478">
        <v>45752.336035984561</v>
      </c>
    </row>
    <row r="106" spans="1:7">
      <c r="A106" s="492" t="s">
        <v>284</v>
      </c>
      <c r="B106" s="118" t="s">
        <v>545</v>
      </c>
      <c r="C106" s="117">
        <v>0</v>
      </c>
      <c r="D106" s="117">
        <f t="shared" si="1"/>
        <v>4.1099999999999998E-2</v>
      </c>
      <c r="E106" s="117">
        <v>0</v>
      </c>
      <c r="F106" s="117">
        <v>0.125</v>
      </c>
      <c r="G106" s="478">
        <v>7710.380085922573</v>
      </c>
    </row>
    <row r="107" spans="1:7">
      <c r="A107" s="492" t="s">
        <v>285</v>
      </c>
      <c r="B107" s="118" t="s">
        <v>554</v>
      </c>
      <c r="C107" s="117">
        <v>7.9620505826927847E-3</v>
      </c>
      <c r="D107" s="117">
        <f t="shared" si="1"/>
        <v>5.1435113140976187E-2</v>
      </c>
      <c r="E107" s="117">
        <v>1.0335113140976191E-2</v>
      </c>
      <c r="F107" s="117">
        <v>0.15</v>
      </c>
      <c r="G107" s="478">
        <v>70974.490450494442</v>
      </c>
    </row>
    <row r="108" spans="1:7">
      <c r="A108" s="492" t="s">
        <v>286</v>
      </c>
      <c r="B108" s="118" t="s">
        <v>545</v>
      </c>
      <c r="C108" s="117">
        <v>0</v>
      </c>
      <c r="D108" s="117">
        <f t="shared" si="1"/>
        <v>4.1099999999999998E-2</v>
      </c>
      <c r="E108" s="117">
        <v>0</v>
      </c>
      <c r="F108" s="117">
        <v>0.24940000000000001</v>
      </c>
      <c r="G108" s="478">
        <v>81641.807865759081</v>
      </c>
    </row>
    <row r="109" spans="1:7">
      <c r="A109" s="492" t="s">
        <v>882</v>
      </c>
      <c r="B109" s="118" t="s">
        <v>551</v>
      </c>
      <c r="C109" s="123">
        <v>5.6397858294073887E-3</v>
      </c>
      <c r="D109" s="117">
        <f t="shared" si="1"/>
        <v>4.84207051415248E-2</v>
      </c>
      <c r="E109" s="488">
        <v>7.3207051415248017E-3</v>
      </c>
      <c r="F109" s="488">
        <v>0.26860000000000001</v>
      </c>
      <c r="G109" s="478" t="s">
        <v>88</v>
      </c>
    </row>
    <row r="110" spans="1:7">
      <c r="A110" s="492" t="s">
        <v>287</v>
      </c>
      <c r="B110" s="118" t="s">
        <v>549</v>
      </c>
      <c r="C110" s="117">
        <v>3.3838714976444327E-2</v>
      </c>
      <c r="D110" s="117">
        <f t="shared" si="1"/>
        <v>8.5024230849148799E-2</v>
      </c>
      <c r="E110" s="117">
        <v>4.3924230849148801E-2</v>
      </c>
      <c r="F110" s="117">
        <v>0.1</v>
      </c>
      <c r="G110" s="478">
        <v>13563.132102166315</v>
      </c>
    </row>
    <row r="111" spans="1:7">
      <c r="A111" s="493" t="s">
        <v>569</v>
      </c>
      <c r="B111" s="118" t="s">
        <v>636</v>
      </c>
      <c r="C111" s="117">
        <v>6.1152971836515406E-2</v>
      </c>
      <c r="D111" s="117">
        <f t="shared" si="1"/>
        <v>0.1204794106522199</v>
      </c>
      <c r="E111" s="117">
        <v>7.9379410652219901E-2</v>
      </c>
      <c r="F111" s="117">
        <v>0.2</v>
      </c>
      <c r="G111" s="478">
        <v>15297.192798977121</v>
      </c>
    </row>
    <row r="112" spans="1:7">
      <c r="A112" s="493" t="s">
        <v>570</v>
      </c>
      <c r="B112" s="118" t="s">
        <v>636</v>
      </c>
      <c r="C112" s="117">
        <v>0.1129063006240185</v>
      </c>
      <c r="D112" s="117">
        <f t="shared" si="1"/>
        <v>0.18765764606856514</v>
      </c>
      <c r="E112" s="117">
        <v>0.14655764606856514</v>
      </c>
      <c r="F112" s="117">
        <v>0.3</v>
      </c>
      <c r="G112" s="478">
        <v>13164.6676269363</v>
      </c>
    </row>
    <row r="113" spans="1:7">
      <c r="A113" s="492" t="s">
        <v>288</v>
      </c>
      <c r="B113" s="118" t="s">
        <v>558</v>
      </c>
      <c r="C113" s="117">
        <v>1.1279571658814777E-2</v>
      </c>
      <c r="D113" s="117">
        <f t="shared" si="1"/>
        <v>5.5741410283049603E-2</v>
      </c>
      <c r="E113" s="117">
        <v>1.4641410283049603E-2</v>
      </c>
      <c r="F113" s="117">
        <v>0.24</v>
      </c>
      <c r="G113" s="478">
        <v>407027.45171461598</v>
      </c>
    </row>
    <row r="114" spans="1:7">
      <c r="A114" s="492" t="s">
        <v>626</v>
      </c>
      <c r="B114" s="118" t="s">
        <v>550</v>
      </c>
      <c r="C114" s="117">
        <v>7.055261488552772E-2</v>
      </c>
      <c r="D114" s="117">
        <f t="shared" si="1"/>
        <v>0.13268058588809456</v>
      </c>
      <c r="E114" s="117">
        <v>9.1580585888094562E-2</v>
      </c>
      <c r="F114" s="117">
        <v>0.26860000000000001</v>
      </c>
      <c r="G114" s="478">
        <v>6170.6387469650035</v>
      </c>
    </row>
    <row r="115" spans="1:7">
      <c r="A115" s="492" t="s">
        <v>571</v>
      </c>
      <c r="B115" s="118" t="s">
        <v>557</v>
      </c>
      <c r="C115" s="117">
        <v>8.4707371476981555E-2</v>
      </c>
      <c r="D115" s="117">
        <f t="shared" si="1"/>
        <v>0.15105412036094112</v>
      </c>
      <c r="E115" s="117">
        <v>0.10995412036094113</v>
      </c>
      <c r="F115" s="117">
        <v>0.26860000000000001</v>
      </c>
      <c r="G115" s="478">
        <v>18827.176529698252</v>
      </c>
    </row>
    <row r="116" spans="1:7">
      <c r="A116" s="492" t="s">
        <v>289</v>
      </c>
      <c r="B116" s="118" t="s">
        <v>554</v>
      </c>
      <c r="C116" s="117">
        <v>7.9620505826927847E-3</v>
      </c>
      <c r="D116" s="117">
        <f t="shared" si="1"/>
        <v>5.1435113140976187E-2</v>
      </c>
      <c r="E116" s="117">
        <v>1.0335113140976191E-2</v>
      </c>
      <c r="F116" s="117">
        <v>0.35</v>
      </c>
      <c r="G116" s="478">
        <v>18125.564514266385</v>
      </c>
    </row>
    <row r="117" spans="1:7">
      <c r="A117" s="492" t="s">
        <v>883</v>
      </c>
      <c r="B117" s="118" t="s">
        <v>636</v>
      </c>
      <c r="C117" s="117">
        <v>0</v>
      </c>
      <c r="D117" s="117">
        <f t="shared" si="1"/>
        <v>4.1099999999999998E-2</v>
      </c>
      <c r="E117" s="486">
        <v>0</v>
      </c>
      <c r="F117" s="486">
        <v>0</v>
      </c>
      <c r="G117" s="478" t="s">
        <v>88</v>
      </c>
    </row>
    <row r="118" spans="1:7">
      <c r="A118" s="492" t="s">
        <v>290</v>
      </c>
      <c r="B118" s="118" t="s">
        <v>548</v>
      </c>
      <c r="C118" s="117">
        <v>2.0679214707827093E-2</v>
      </c>
      <c r="D118" s="117">
        <f t="shared" si="1"/>
        <v>6.7942585518924264E-2</v>
      </c>
      <c r="E118" s="117">
        <v>2.6842585518924274E-2</v>
      </c>
      <c r="F118" s="117">
        <v>0.15</v>
      </c>
      <c r="G118" s="478">
        <v>12948.726653810985</v>
      </c>
    </row>
    <row r="119" spans="1:7">
      <c r="A119" s="492" t="s">
        <v>291</v>
      </c>
      <c r="B119" s="118" t="s">
        <v>542</v>
      </c>
      <c r="C119" s="117">
        <v>1.7914613811058765E-2</v>
      </c>
      <c r="D119" s="117">
        <f t="shared" si="1"/>
        <v>6.4354004567196421E-2</v>
      </c>
      <c r="E119" s="117">
        <v>2.325400456719643E-2</v>
      </c>
      <c r="F119" s="117">
        <v>0.3</v>
      </c>
      <c r="G119" s="478">
        <v>1465854.0892864685</v>
      </c>
    </row>
    <row r="120" spans="1:7">
      <c r="A120" s="492" t="s">
        <v>884</v>
      </c>
      <c r="B120" s="118" t="s">
        <v>636</v>
      </c>
      <c r="C120" s="117">
        <v>0</v>
      </c>
      <c r="D120" s="117">
        <f t="shared" si="1"/>
        <v>4.1099999999999998E-2</v>
      </c>
      <c r="E120" s="486">
        <v>0</v>
      </c>
      <c r="F120" s="486">
        <v>0.24707349543413576</v>
      </c>
      <c r="G120" s="478" t="s">
        <v>88</v>
      </c>
    </row>
    <row r="121" spans="1:7">
      <c r="A121" s="492" t="s">
        <v>350</v>
      </c>
      <c r="B121" s="118" t="s">
        <v>552</v>
      </c>
      <c r="C121" s="117">
        <v>6.1152971836515406E-2</v>
      </c>
      <c r="D121" s="117">
        <f t="shared" si="1"/>
        <v>0.1204794106522199</v>
      </c>
      <c r="E121" s="117">
        <v>7.9379410652219901E-2</v>
      </c>
      <c r="F121" s="117">
        <v>0.12</v>
      </c>
      <c r="G121" s="478">
        <v>14508.333280423281</v>
      </c>
    </row>
    <row r="122" spans="1:7">
      <c r="A122" s="492" t="s">
        <v>351</v>
      </c>
      <c r="B122" s="118" t="s">
        <v>552</v>
      </c>
      <c r="C122" s="117">
        <v>6.1152971836515406E-2</v>
      </c>
      <c r="D122" s="117">
        <f t="shared" si="1"/>
        <v>0.1204794106522199</v>
      </c>
      <c r="E122" s="117">
        <v>7.9379410652219901E-2</v>
      </c>
      <c r="F122" s="117">
        <v>0.25</v>
      </c>
      <c r="G122" s="478">
        <v>17146.471626396327</v>
      </c>
    </row>
    <row r="123" spans="1:7">
      <c r="A123" s="492" t="s">
        <v>292</v>
      </c>
      <c r="B123" s="118" t="s">
        <v>540</v>
      </c>
      <c r="C123" s="117">
        <v>4.2353685738490778E-2</v>
      </c>
      <c r="D123" s="117">
        <f t="shared" si="1"/>
        <v>9.6077060180470561E-2</v>
      </c>
      <c r="E123" s="117">
        <v>5.4977060180470563E-2</v>
      </c>
      <c r="F123" s="117">
        <v>0.15</v>
      </c>
      <c r="G123" s="478">
        <v>6229.8015807915735</v>
      </c>
    </row>
    <row r="124" spans="1:7">
      <c r="A124" s="492" t="s">
        <v>464</v>
      </c>
      <c r="B124" s="118" t="s">
        <v>548</v>
      </c>
      <c r="C124" s="117">
        <v>2.0679214707827093E-2</v>
      </c>
      <c r="D124" s="117">
        <f t="shared" si="1"/>
        <v>6.7942585518924264E-2</v>
      </c>
      <c r="E124" s="117">
        <v>2.6842585518924274E-2</v>
      </c>
      <c r="F124" s="117">
        <v>0.2853</v>
      </c>
      <c r="G124" s="478">
        <v>16199</v>
      </c>
    </row>
    <row r="125" spans="1:7">
      <c r="A125" s="492" t="s">
        <v>352</v>
      </c>
      <c r="B125" s="118" t="s">
        <v>560</v>
      </c>
      <c r="C125" s="117">
        <v>2.3554399640466156E-2</v>
      </c>
      <c r="D125" s="117">
        <f t="shared" si="1"/>
        <v>7.1674709708721224E-2</v>
      </c>
      <c r="E125" s="117">
        <v>3.0574709708721233E-2</v>
      </c>
      <c r="F125" s="117">
        <v>0.32</v>
      </c>
      <c r="G125" s="478">
        <v>130912.55882983979</v>
      </c>
    </row>
    <row r="126" spans="1:7">
      <c r="A126" s="492" t="s">
        <v>293</v>
      </c>
      <c r="B126" s="118" t="s">
        <v>557</v>
      </c>
      <c r="C126" s="117">
        <v>8.4707371476981555E-2</v>
      </c>
      <c r="D126" s="117">
        <f t="shared" si="1"/>
        <v>0.15105412036094112</v>
      </c>
      <c r="E126" s="117">
        <v>0.10995412036094113</v>
      </c>
      <c r="F126" s="117">
        <v>0.32</v>
      </c>
      <c r="G126" s="478">
        <v>18406.835954669532</v>
      </c>
    </row>
    <row r="127" spans="1:7">
      <c r="A127" s="493" t="s">
        <v>572</v>
      </c>
      <c r="B127" s="118" t="s">
        <v>636</v>
      </c>
      <c r="C127" s="117">
        <v>8.4707371476981541E-2</v>
      </c>
      <c r="D127" s="117">
        <f t="shared" si="1"/>
        <v>0.15105412036094112</v>
      </c>
      <c r="E127" s="117">
        <v>0.10995412036094111</v>
      </c>
      <c r="F127" s="117">
        <v>0.25</v>
      </c>
      <c r="G127" s="478">
        <v>62263.466263737508</v>
      </c>
    </row>
    <row r="128" spans="1:7">
      <c r="A128" s="492" t="s">
        <v>294</v>
      </c>
      <c r="B128" s="118" t="s">
        <v>540</v>
      </c>
      <c r="C128" s="117">
        <v>4.2353685738490778E-2</v>
      </c>
      <c r="D128" s="117">
        <f t="shared" si="1"/>
        <v>9.6077060180470561E-2</v>
      </c>
      <c r="E128" s="117">
        <v>5.4977060180470563E-2</v>
      </c>
      <c r="F128" s="117">
        <v>0.32</v>
      </c>
      <c r="G128" s="478">
        <v>12914.932655685012</v>
      </c>
    </row>
    <row r="129" spans="1:7">
      <c r="A129" s="492" t="s">
        <v>295</v>
      </c>
      <c r="B129" s="118" t="s">
        <v>545</v>
      </c>
      <c r="C129" s="117">
        <v>0</v>
      </c>
      <c r="D129" s="117">
        <f t="shared" si="1"/>
        <v>4.1099999999999998E-2</v>
      </c>
      <c r="E129" s="117">
        <v>0</v>
      </c>
      <c r="F129" s="117">
        <v>0.25800000000000001</v>
      </c>
      <c r="G129" s="478">
        <v>1009398.7190330778</v>
      </c>
    </row>
    <row r="130" spans="1:7">
      <c r="A130" s="492" t="s">
        <v>885</v>
      </c>
      <c r="B130" s="118" t="e">
        <v>#N/A</v>
      </c>
      <c r="C130" s="117" t="e">
        <v>#N/A</v>
      </c>
      <c r="D130" s="117" t="e">
        <f t="shared" si="1"/>
        <v>#N/A</v>
      </c>
      <c r="E130" s="117" t="e">
        <v>#N/A</v>
      </c>
      <c r="F130" s="117" t="e">
        <v>#N/A</v>
      </c>
      <c r="G130" s="478" t="s">
        <v>88</v>
      </c>
    </row>
    <row r="131" spans="1:7">
      <c r="A131" s="492" t="s">
        <v>296</v>
      </c>
      <c r="B131" s="118" t="s">
        <v>545</v>
      </c>
      <c r="C131" s="117">
        <v>0</v>
      </c>
      <c r="D131" s="117">
        <f t="shared" si="1"/>
        <v>4.1099999999999998E-2</v>
      </c>
      <c r="E131" s="117">
        <v>0</v>
      </c>
      <c r="F131" s="117">
        <v>0.28000000000000003</v>
      </c>
      <c r="G131" s="478">
        <v>248101.70554139902</v>
      </c>
    </row>
    <row r="132" spans="1:7">
      <c r="A132" s="492" t="s">
        <v>353</v>
      </c>
      <c r="B132" s="118" t="s">
        <v>543</v>
      </c>
      <c r="C132" s="117">
        <v>5.1753328787503099E-2</v>
      </c>
      <c r="D132" s="117">
        <f t="shared" si="1"/>
        <v>0.10827823541634524</v>
      </c>
      <c r="E132" s="117">
        <v>6.7178235416345239E-2</v>
      </c>
      <c r="F132" s="117">
        <v>0.3</v>
      </c>
      <c r="G132" s="478">
        <v>15671.583939988886</v>
      </c>
    </row>
    <row r="133" spans="1:7">
      <c r="A133" s="492" t="s">
        <v>573</v>
      </c>
      <c r="B133" s="118" t="s">
        <v>605</v>
      </c>
      <c r="C133" s="117">
        <v>9.410701452599389E-2</v>
      </c>
      <c r="D133" s="117">
        <f t="shared" si="1"/>
        <v>0.16325529559681581</v>
      </c>
      <c r="E133" s="117">
        <v>0.12215529559681582</v>
      </c>
      <c r="F133" s="117">
        <v>0.26860000000000001</v>
      </c>
      <c r="G133" s="478">
        <v>15342.278919400891</v>
      </c>
    </row>
    <row r="134" spans="1:7">
      <c r="A134" s="492" t="s">
        <v>297</v>
      </c>
      <c r="B134" s="118" t="s">
        <v>550</v>
      </c>
      <c r="C134" s="117">
        <v>7.055261488552772E-2</v>
      </c>
      <c r="D134" s="117">
        <f t="shared" ref="D134:D195" si="2">$B$1+E134</f>
        <v>0.13268058588809456</v>
      </c>
      <c r="E134" s="117">
        <v>9.1580585888094562E-2</v>
      </c>
      <c r="F134" s="117">
        <v>0.3</v>
      </c>
      <c r="G134" s="478">
        <v>472624.59740289778</v>
      </c>
    </row>
    <row r="135" spans="1:7">
      <c r="A135" s="492" t="s">
        <v>298</v>
      </c>
      <c r="B135" s="118" t="s">
        <v>545</v>
      </c>
      <c r="C135" s="117">
        <v>0</v>
      </c>
      <c r="D135" s="117">
        <f t="shared" si="2"/>
        <v>4.1099999999999998E-2</v>
      </c>
      <c r="E135" s="117">
        <v>0</v>
      </c>
      <c r="F135" s="117">
        <v>0.22</v>
      </c>
      <c r="G135" s="478">
        <v>579422.44951027108</v>
      </c>
    </row>
    <row r="136" spans="1:7">
      <c r="A136" s="492" t="s">
        <v>299</v>
      </c>
      <c r="B136" s="118" t="s">
        <v>560</v>
      </c>
      <c r="C136" s="117">
        <v>2.3554399640466156E-2</v>
      </c>
      <c r="D136" s="117">
        <f t="shared" si="2"/>
        <v>7.1674709708721224E-2</v>
      </c>
      <c r="E136" s="117">
        <v>3.0574709708721233E-2</v>
      </c>
      <c r="F136" s="117">
        <v>0.15</v>
      </c>
      <c r="G136" s="478">
        <v>114667.36020806243</v>
      </c>
    </row>
    <row r="137" spans="1:7">
      <c r="A137" s="492" t="s">
        <v>300</v>
      </c>
      <c r="B137" s="118" t="s">
        <v>605</v>
      </c>
      <c r="C137" s="117">
        <v>9.410701452599389E-2</v>
      </c>
      <c r="D137" s="117">
        <f t="shared" si="2"/>
        <v>0.16325529559681581</v>
      </c>
      <c r="E137" s="117">
        <v>0.12215529559681582</v>
      </c>
      <c r="F137" s="117">
        <v>0.28999999999999998</v>
      </c>
      <c r="G137" s="478">
        <v>374697.36635924398</v>
      </c>
    </row>
    <row r="138" spans="1:7">
      <c r="A138" s="492" t="s">
        <v>886</v>
      </c>
      <c r="B138" s="118" t="s">
        <v>636</v>
      </c>
      <c r="C138" s="117">
        <v>1.6082653627874467E-2</v>
      </c>
      <c r="D138" s="117">
        <f t="shared" si="2"/>
        <v>0.10868999089248985</v>
      </c>
      <c r="E138" s="486">
        <v>6.7589990892489848E-2</v>
      </c>
      <c r="F138" s="486">
        <v>0.18760152153615242</v>
      </c>
      <c r="G138" s="478" t="s">
        <v>88</v>
      </c>
    </row>
    <row r="139" spans="1:7">
      <c r="A139" s="492" t="s">
        <v>301</v>
      </c>
      <c r="B139" s="118" t="s">
        <v>548</v>
      </c>
      <c r="C139" s="117">
        <v>2.0679214707827093E-2</v>
      </c>
      <c r="D139" s="117">
        <f t="shared" si="2"/>
        <v>6.7942585518924264E-2</v>
      </c>
      <c r="E139" s="117">
        <v>2.6842585518924274E-2</v>
      </c>
      <c r="F139" s="117">
        <v>0.25</v>
      </c>
      <c r="G139" s="478">
        <v>76522.511799999993</v>
      </c>
    </row>
    <row r="140" spans="1:7">
      <c r="A140" s="492" t="s">
        <v>302</v>
      </c>
      <c r="B140" s="118" t="s">
        <v>543</v>
      </c>
      <c r="C140" s="117">
        <v>5.1753328787503099E-2</v>
      </c>
      <c r="D140" s="117">
        <f t="shared" si="2"/>
        <v>0.10827823541634524</v>
      </c>
      <c r="E140" s="117">
        <v>6.7178235416345239E-2</v>
      </c>
      <c r="F140" s="117">
        <v>0.3</v>
      </c>
      <c r="G140" s="478">
        <v>31603.619041790265</v>
      </c>
    </row>
    <row r="141" spans="1:7">
      <c r="A141" s="492" t="s">
        <v>303</v>
      </c>
      <c r="B141" s="118" t="s">
        <v>560</v>
      </c>
      <c r="C141" s="117">
        <v>2.3554399640466156E-2</v>
      </c>
      <c r="D141" s="117">
        <f t="shared" si="2"/>
        <v>7.1674709708721224E-2</v>
      </c>
      <c r="E141" s="117">
        <v>3.0574709708721233E-2</v>
      </c>
      <c r="F141" s="117">
        <v>0.1</v>
      </c>
      <c r="G141" s="478">
        <v>41722.295229227944</v>
      </c>
    </row>
    <row r="142" spans="1:7">
      <c r="A142" s="492" t="s">
        <v>304</v>
      </c>
      <c r="B142" s="118" t="s">
        <v>544</v>
      </c>
      <c r="C142" s="117">
        <v>1.5039428878419702E-2</v>
      </c>
      <c r="D142" s="117">
        <f t="shared" si="2"/>
        <v>6.0621880377399462E-2</v>
      </c>
      <c r="E142" s="117">
        <v>1.9521880377399468E-2</v>
      </c>
      <c r="F142" s="117">
        <v>0.29499999999999998</v>
      </c>
      <c r="G142" s="478">
        <v>242631.57332078982</v>
      </c>
    </row>
    <row r="143" spans="1:7">
      <c r="A143" s="492" t="s">
        <v>305</v>
      </c>
      <c r="B143" s="118" t="s">
        <v>542</v>
      </c>
      <c r="C143" s="117">
        <v>1.7914613811058765E-2</v>
      </c>
      <c r="D143" s="117">
        <f t="shared" si="2"/>
        <v>6.4354004567196421E-2</v>
      </c>
      <c r="E143" s="117">
        <v>2.325400456719643E-2</v>
      </c>
      <c r="F143" s="117">
        <v>0.25</v>
      </c>
      <c r="G143" s="478">
        <v>404284.32611046272</v>
      </c>
    </row>
    <row r="144" spans="1:7">
      <c r="A144" s="492" t="s">
        <v>306</v>
      </c>
      <c r="B144" s="118" t="s">
        <v>554</v>
      </c>
      <c r="C144" s="117">
        <v>7.9620505826927847E-3</v>
      </c>
      <c r="D144" s="117">
        <f t="shared" si="2"/>
        <v>5.1435113140976187E-2</v>
      </c>
      <c r="E144" s="117">
        <v>1.0335113140976191E-2</v>
      </c>
      <c r="F144" s="117">
        <v>0.19</v>
      </c>
      <c r="G144" s="478">
        <v>688125.01052052039</v>
      </c>
    </row>
    <row r="145" spans="1:7">
      <c r="A145" s="492" t="s">
        <v>307</v>
      </c>
      <c r="B145" s="118" t="s">
        <v>558</v>
      </c>
      <c r="C145" s="117">
        <v>1.1279571658814777E-2</v>
      </c>
      <c r="D145" s="117">
        <f t="shared" si="2"/>
        <v>5.5741410283049603E-2</v>
      </c>
      <c r="E145" s="117">
        <v>1.4641410283049603E-2</v>
      </c>
      <c r="F145" s="117">
        <v>0.21</v>
      </c>
      <c r="G145" s="478">
        <v>255196.66098742705</v>
      </c>
    </row>
    <row r="146" spans="1:7">
      <c r="A146" s="492" t="s">
        <v>308</v>
      </c>
      <c r="B146" s="118" t="s">
        <v>539</v>
      </c>
      <c r="C146" s="117">
        <v>4.6445295065707902E-3</v>
      </c>
      <c r="D146" s="117">
        <f t="shared" si="2"/>
        <v>4.7128815998902777E-2</v>
      </c>
      <c r="E146" s="117">
        <v>6.0288159989027772E-3</v>
      </c>
      <c r="F146" s="117">
        <v>0.1</v>
      </c>
      <c r="G146" s="478">
        <v>236258.30283965328</v>
      </c>
    </row>
    <row r="147" spans="1:7">
      <c r="A147" s="492" t="s">
        <v>478</v>
      </c>
      <c r="B147" s="118" t="s">
        <v>558</v>
      </c>
      <c r="C147" s="117">
        <v>1.1279571658814777E-2</v>
      </c>
      <c r="D147" s="117">
        <f t="shared" si="2"/>
        <v>5.5741410283049603E-2</v>
      </c>
      <c r="E147" s="117">
        <v>1.4641410283049603E-2</v>
      </c>
      <c r="F147" s="117">
        <v>0</v>
      </c>
      <c r="G147" s="478">
        <v>11000</v>
      </c>
    </row>
    <row r="148" spans="1:7">
      <c r="A148" s="492" t="s">
        <v>887</v>
      </c>
      <c r="B148" s="118" t="s">
        <v>636</v>
      </c>
      <c r="C148" s="117">
        <v>1.2518555898193178E-2</v>
      </c>
      <c r="D148" s="117">
        <f t="shared" si="2"/>
        <v>0.10390540500857855</v>
      </c>
      <c r="E148" s="486">
        <v>6.2805405008578549E-2</v>
      </c>
      <c r="F148" s="486">
        <v>0.2576437502455447</v>
      </c>
      <c r="G148" s="478" t="s">
        <v>88</v>
      </c>
    </row>
    <row r="149" spans="1:7">
      <c r="A149" s="492" t="s">
        <v>309</v>
      </c>
      <c r="B149" s="118" t="s">
        <v>548</v>
      </c>
      <c r="C149" s="117">
        <v>2.0679214707827093E-2</v>
      </c>
      <c r="D149" s="117">
        <f t="shared" si="2"/>
        <v>6.7942585518924264E-2</v>
      </c>
      <c r="E149" s="117">
        <v>2.6842585518924274E-2</v>
      </c>
      <c r="F149" s="117">
        <v>0.16</v>
      </c>
      <c r="G149" s="478">
        <v>300691.35486485471</v>
      </c>
    </row>
    <row r="150" spans="1:7">
      <c r="A150" s="492" t="s">
        <v>310</v>
      </c>
      <c r="B150" s="118" t="s">
        <v>636</v>
      </c>
      <c r="C150" s="117">
        <v>2.8309513182907673E-2</v>
      </c>
      <c r="D150" s="117">
        <f t="shared" si="2"/>
        <v>7.7847068945693113E-2</v>
      </c>
      <c r="E150" s="117">
        <v>3.6747068945693115E-2</v>
      </c>
      <c r="F150" s="117">
        <v>0.2</v>
      </c>
      <c r="G150" s="478">
        <v>2240422.4274585792</v>
      </c>
    </row>
    <row r="151" spans="1:7">
      <c r="A151" s="492" t="s">
        <v>465</v>
      </c>
      <c r="B151" s="118" t="s">
        <v>543</v>
      </c>
      <c r="C151" s="117">
        <v>5.1753328787503099E-2</v>
      </c>
      <c r="D151" s="117">
        <f t="shared" si="2"/>
        <v>0.10827823541634524</v>
      </c>
      <c r="E151" s="117">
        <v>6.7178235416345239E-2</v>
      </c>
      <c r="F151" s="117">
        <v>0.3</v>
      </c>
      <c r="G151" s="478">
        <v>13311.487445068627</v>
      </c>
    </row>
    <row r="152" spans="1:7">
      <c r="A152" s="492" t="s">
        <v>888</v>
      </c>
      <c r="B152" s="118" t="s">
        <v>636</v>
      </c>
      <c r="C152" s="117">
        <v>0.1054310997313879</v>
      </c>
      <c r="D152" s="117">
        <f t="shared" si="2"/>
        <v>0.2286348819700155</v>
      </c>
      <c r="E152" s="486">
        <v>0.1875348819700155</v>
      </c>
      <c r="F152" s="486">
        <v>0.2724561140242252</v>
      </c>
      <c r="G152" s="478" t="s">
        <v>88</v>
      </c>
    </row>
    <row r="153" spans="1:7">
      <c r="A153" s="492" t="s">
        <v>311</v>
      </c>
      <c r="B153" s="118" t="s">
        <v>556</v>
      </c>
      <c r="C153" s="117">
        <v>6.6350421522439872E-3</v>
      </c>
      <c r="D153" s="117">
        <f t="shared" si="2"/>
        <v>4.9712594284146823E-2</v>
      </c>
      <c r="E153" s="117">
        <v>8.6125942841468253E-3</v>
      </c>
      <c r="F153" s="117">
        <v>0.2</v>
      </c>
      <c r="G153" s="478">
        <v>1108571.5172853814</v>
      </c>
    </row>
    <row r="154" spans="1:7">
      <c r="A154" s="492" t="s">
        <v>354</v>
      </c>
      <c r="B154" s="118" t="s">
        <v>549</v>
      </c>
      <c r="C154" s="117">
        <v>3.3838714976444327E-2</v>
      </c>
      <c r="D154" s="117">
        <f t="shared" si="2"/>
        <v>8.5024230849148799E-2</v>
      </c>
      <c r="E154" s="117">
        <v>4.3924230849148801E-2</v>
      </c>
      <c r="F154" s="117">
        <v>0.3</v>
      </c>
      <c r="G154" s="478">
        <v>27684.264748232432</v>
      </c>
    </row>
    <row r="155" spans="1:7">
      <c r="A155" s="492" t="s">
        <v>312</v>
      </c>
      <c r="B155" s="118" t="s">
        <v>547</v>
      </c>
      <c r="C155" s="117">
        <v>2.8309513182907677E-2</v>
      </c>
      <c r="D155" s="117">
        <f t="shared" si="2"/>
        <v>7.7847068945693126E-2</v>
      </c>
      <c r="E155" s="117">
        <v>3.6747068945693122E-2</v>
      </c>
      <c r="F155" s="117">
        <v>0.15</v>
      </c>
      <c r="G155" s="478">
        <v>63563.401043504426</v>
      </c>
    </row>
    <row r="156" spans="1:7">
      <c r="A156" s="492" t="s">
        <v>479</v>
      </c>
      <c r="B156" s="118" t="s">
        <v>560</v>
      </c>
      <c r="C156" s="117">
        <v>2.3554399640466156E-2</v>
      </c>
      <c r="D156" s="117">
        <f t="shared" si="2"/>
        <v>7.1674709708721224E-2</v>
      </c>
      <c r="E156" s="117">
        <v>3.0574709708721233E-2</v>
      </c>
      <c r="F156" s="117">
        <v>0</v>
      </c>
      <c r="G156" s="478">
        <v>24800</v>
      </c>
    </row>
    <row r="157" spans="1:7">
      <c r="A157" s="493" t="s">
        <v>574</v>
      </c>
      <c r="B157" s="118" t="s">
        <v>636</v>
      </c>
      <c r="C157" s="117">
        <v>8.4707371476981541E-2</v>
      </c>
      <c r="D157" s="117">
        <f t="shared" si="2"/>
        <v>0.15105412036094112</v>
      </c>
      <c r="E157" s="117">
        <v>0.10995412036094111</v>
      </c>
      <c r="F157" s="117">
        <v>0.3</v>
      </c>
      <c r="G157" s="478">
        <v>4094.5638594355637</v>
      </c>
    </row>
    <row r="158" spans="1:7">
      <c r="A158" s="492" t="s">
        <v>313</v>
      </c>
      <c r="B158" s="118" t="s">
        <v>545</v>
      </c>
      <c r="C158" s="117">
        <v>0</v>
      </c>
      <c r="D158" s="117">
        <f t="shared" si="2"/>
        <v>4.1099999999999998E-2</v>
      </c>
      <c r="E158" s="117">
        <v>0</v>
      </c>
      <c r="F158" s="117">
        <v>0.17</v>
      </c>
      <c r="G158" s="478">
        <v>466788.42679196643</v>
      </c>
    </row>
    <row r="159" spans="1:7">
      <c r="A159" s="492" t="s">
        <v>355</v>
      </c>
      <c r="B159" s="118" t="s">
        <v>554</v>
      </c>
      <c r="C159" s="117">
        <v>7.9620505826927847E-3</v>
      </c>
      <c r="D159" s="117">
        <f t="shared" si="2"/>
        <v>5.1435113140976187E-2</v>
      </c>
      <c r="E159" s="117">
        <v>1.0335113140976191E-2</v>
      </c>
      <c r="F159" s="117">
        <v>0.21</v>
      </c>
      <c r="G159" s="478">
        <v>115461.71168896543</v>
      </c>
    </row>
    <row r="160" spans="1:7">
      <c r="A160" s="492" t="s">
        <v>314</v>
      </c>
      <c r="B160" s="118" t="s">
        <v>558</v>
      </c>
      <c r="C160" s="117">
        <v>1.1279571658814777E-2</v>
      </c>
      <c r="D160" s="117">
        <f t="shared" si="2"/>
        <v>5.5741410283049603E-2</v>
      </c>
      <c r="E160" s="117">
        <v>1.4641410283049603E-2</v>
      </c>
      <c r="F160" s="117">
        <v>0.19</v>
      </c>
      <c r="G160" s="478">
        <v>60063.475466344593</v>
      </c>
    </row>
    <row r="161" spans="1:7">
      <c r="A161" s="492" t="s">
        <v>575</v>
      </c>
      <c r="B161" s="118" t="s">
        <v>550</v>
      </c>
      <c r="C161" s="117">
        <v>7.055261488552772E-2</v>
      </c>
      <c r="D161" s="117">
        <f t="shared" si="2"/>
        <v>0.13268058588809456</v>
      </c>
      <c r="E161" s="117">
        <v>9.1580585888094562E-2</v>
      </c>
      <c r="F161" s="117">
        <v>0.3</v>
      </c>
      <c r="G161" s="478">
        <v>1597.2043406290234</v>
      </c>
    </row>
    <row r="162" spans="1:7">
      <c r="A162" s="493" t="s">
        <v>576</v>
      </c>
      <c r="B162" s="118" t="s">
        <v>636</v>
      </c>
      <c r="C162" s="117">
        <v>0.1129063006240185</v>
      </c>
      <c r="D162" s="117">
        <f t="shared" si="2"/>
        <v>0.18765764606856514</v>
      </c>
      <c r="E162" s="117">
        <v>0.14655764606856514</v>
      </c>
      <c r="F162" s="117">
        <v>0.29149999999999998</v>
      </c>
      <c r="G162" s="478">
        <v>10419.541202038166</v>
      </c>
    </row>
    <row r="163" spans="1:7">
      <c r="A163" s="492" t="s">
        <v>315</v>
      </c>
      <c r="B163" s="118" t="s">
        <v>547</v>
      </c>
      <c r="C163" s="117">
        <v>2.8309513182907677E-2</v>
      </c>
      <c r="D163" s="117">
        <f t="shared" si="2"/>
        <v>7.7847068945693126E-2</v>
      </c>
      <c r="E163" s="117">
        <v>3.6747068945693122E-2</v>
      </c>
      <c r="F163" s="117">
        <v>0.27</v>
      </c>
      <c r="G163" s="478">
        <v>405270.85009938711</v>
      </c>
    </row>
    <row r="164" spans="1:7">
      <c r="A164" s="492" t="s">
        <v>889</v>
      </c>
      <c r="B164" s="118" t="s">
        <v>539</v>
      </c>
      <c r="C164" s="123">
        <v>4.6445295065707902E-3</v>
      </c>
      <c r="D164" s="117">
        <f t="shared" si="2"/>
        <v>4.7128815998902777E-2</v>
      </c>
      <c r="E164" s="488">
        <v>6.0288159989027772E-3</v>
      </c>
      <c r="F164" s="488">
        <v>0.25</v>
      </c>
      <c r="G164" s="478">
        <v>1673916.46902656</v>
      </c>
    </row>
    <row r="165" spans="1:7">
      <c r="A165" s="492" t="s">
        <v>316</v>
      </c>
      <c r="B165" s="118" t="s">
        <v>544</v>
      </c>
      <c r="C165" s="117">
        <v>1.5039428878419702E-2</v>
      </c>
      <c r="D165" s="117">
        <f t="shared" si="2"/>
        <v>6.0621880377399462E-2</v>
      </c>
      <c r="E165" s="117">
        <v>1.9521880377399468E-2</v>
      </c>
      <c r="F165" s="117">
        <v>0.25</v>
      </c>
      <c r="G165" s="478">
        <v>1417800.4662626514</v>
      </c>
    </row>
    <row r="166" spans="1:7">
      <c r="A166" s="492" t="s">
        <v>317</v>
      </c>
      <c r="B166" s="118" t="s">
        <v>604</v>
      </c>
      <c r="C166" s="117">
        <v>0.11290630062401852</v>
      </c>
      <c r="D166" s="117">
        <f t="shared" si="2"/>
        <v>0.18765764606856516</v>
      </c>
      <c r="E166" s="117">
        <v>0.14655764606856517</v>
      </c>
      <c r="F166" s="117">
        <v>0.24</v>
      </c>
      <c r="G166" s="478">
        <v>74403.578363435474</v>
      </c>
    </row>
    <row r="167" spans="1:7">
      <c r="A167" s="492" t="s">
        <v>406</v>
      </c>
      <c r="B167" s="118" t="s">
        <v>547</v>
      </c>
      <c r="C167" s="117">
        <v>2.8309513182907677E-2</v>
      </c>
      <c r="D167" s="117">
        <f t="shared" si="2"/>
        <v>7.7847068945693126E-2</v>
      </c>
      <c r="E167" s="117">
        <v>3.6747068945693122E-2</v>
      </c>
      <c r="F167" s="117">
        <v>0.2853</v>
      </c>
      <c r="G167" s="478">
        <v>11900</v>
      </c>
    </row>
    <row r="168" spans="1:7">
      <c r="A168" s="492" t="s">
        <v>356</v>
      </c>
      <c r="B168" s="118" t="s">
        <v>552</v>
      </c>
      <c r="C168" s="117">
        <v>6.1152971836515406E-2</v>
      </c>
      <c r="D168" s="117">
        <f t="shared" si="2"/>
        <v>0.1204794106522199</v>
      </c>
      <c r="E168" s="117">
        <v>7.9379410652219901E-2</v>
      </c>
      <c r="F168" s="117">
        <v>0.2853</v>
      </c>
      <c r="G168" s="478">
        <v>8100</v>
      </c>
    </row>
    <row r="169" spans="1:7">
      <c r="A169" s="493" t="s">
        <v>577</v>
      </c>
      <c r="B169" s="118" t="s">
        <v>636</v>
      </c>
      <c r="C169" s="117">
        <v>0.17499999999999996</v>
      </c>
      <c r="D169" s="117">
        <f t="shared" si="2"/>
        <v>0.26825816495844779</v>
      </c>
      <c r="E169" s="117">
        <v>0.22715816495844782</v>
      </c>
      <c r="F169" s="117">
        <v>0.35</v>
      </c>
      <c r="G169" s="478">
        <v>51662.241775062881</v>
      </c>
    </row>
    <row r="170" spans="1:7">
      <c r="A170" s="492" t="s">
        <v>357</v>
      </c>
      <c r="B170" s="118" t="s">
        <v>605</v>
      </c>
      <c r="C170" s="117">
        <v>9.410701452599389E-2</v>
      </c>
      <c r="D170" s="117">
        <f t="shared" si="2"/>
        <v>0.16325529559681581</v>
      </c>
      <c r="E170" s="117">
        <v>0.12215529559681582</v>
      </c>
      <c r="F170" s="117">
        <v>0.36</v>
      </c>
      <c r="G170" s="478">
        <v>3620.987993326366</v>
      </c>
    </row>
    <row r="171" spans="1:7">
      <c r="A171" s="492" t="s">
        <v>578</v>
      </c>
      <c r="B171" s="118" t="s">
        <v>552</v>
      </c>
      <c r="C171" s="117">
        <v>6.1152971836515406E-2</v>
      </c>
      <c r="D171" s="117">
        <f t="shared" si="2"/>
        <v>0.1204794106522199</v>
      </c>
      <c r="E171" s="117">
        <v>7.9379410652219901E-2</v>
      </c>
      <c r="F171" s="117">
        <v>0.27500000000000002</v>
      </c>
      <c r="G171" s="478">
        <v>4790.9220656100979</v>
      </c>
    </row>
    <row r="172" spans="1:7">
      <c r="A172" s="492" t="s">
        <v>318</v>
      </c>
      <c r="B172" s="118" t="s">
        <v>545</v>
      </c>
      <c r="C172" s="117">
        <v>0</v>
      </c>
      <c r="D172" s="117">
        <f t="shared" si="2"/>
        <v>4.1099999999999998E-2</v>
      </c>
      <c r="E172" s="117">
        <v>0</v>
      </c>
      <c r="F172" s="117">
        <v>0.20600000000000002</v>
      </c>
      <c r="G172" s="478">
        <v>591188.59477655136</v>
      </c>
    </row>
    <row r="173" spans="1:7">
      <c r="A173" s="492" t="s">
        <v>319</v>
      </c>
      <c r="B173" s="118" t="s">
        <v>545</v>
      </c>
      <c r="C173" s="117">
        <v>0</v>
      </c>
      <c r="D173" s="117">
        <f t="shared" si="2"/>
        <v>4.1099999999999998E-2</v>
      </c>
      <c r="E173" s="117">
        <v>0</v>
      </c>
      <c r="F173" s="117">
        <v>0.14599999999999999</v>
      </c>
      <c r="G173" s="478">
        <v>818426.55020644981</v>
      </c>
    </row>
    <row r="174" spans="1:7">
      <c r="A174" s="493" t="s">
        <v>579</v>
      </c>
      <c r="B174" s="118" t="s">
        <v>636</v>
      </c>
      <c r="C174" s="117">
        <v>0.17499999999999996</v>
      </c>
      <c r="D174" s="117">
        <f t="shared" si="2"/>
        <v>0.26825816495844779</v>
      </c>
      <c r="E174" s="117">
        <v>0.22715816495844782</v>
      </c>
      <c r="F174" s="117">
        <v>0.28000000000000003</v>
      </c>
      <c r="G174" s="478">
        <v>8969.5129333882614</v>
      </c>
    </row>
    <row r="175" spans="1:7">
      <c r="A175" s="492" t="s">
        <v>320</v>
      </c>
      <c r="B175" s="118" t="s">
        <v>551</v>
      </c>
      <c r="C175" s="117">
        <v>5.6397858294073887E-3</v>
      </c>
      <c r="D175" s="117">
        <f t="shared" si="2"/>
        <v>4.84207051415248E-2</v>
      </c>
      <c r="E175" s="117">
        <v>7.3207051415248017E-3</v>
      </c>
      <c r="F175" s="117">
        <v>0.2</v>
      </c>
      <c r="G175" s="478">
        <v>761690</v>
      </c>
    </row>
    <row r="176" spans="1:7">
      <c r="A176" s="492" t="s">
        <v>580</v>
      </c>
      <c r="B176" s="118" t="s">
        <v>552</v>
      </c>
      <c r="C176" s="117">
        <v>6.1152971836515406E-2</v>
      </c>
      <c r="D176" s="117">
        <f t="shared" si="2"/>
        <v>0.1204794106522199</v>
      </c>
      <c r="E176" s="117">
        <v>7.9379410652219901E-2</v>
      </c>
      <c r="F176" s="117">
        <v>0.18</v>
      </c>
      <c r="G176" s="478">
        <v>10492.123387793121</v>
      </c>
    </row>
    <row r="177" spans="1:7">
      <c r="A177" s="492" t="s">
        <v>581</v>
      </c>
      <c r="B177" s="118" t="s">
        <v>540</v>
      </c>
      <c r="C177" s="117">
        <v>4.2353685738490778E-2</v>
      </c>
      <c r="D177" s="117">
        <f t="shared" si="2"/>
        <v>9.6077060180470561E-2</v>
      </c>
      <c r="E177" s="117">
        <v>5.4977060180470563E-2</v>
      </c>
      <c r="F177" s="117">
        <v>0.3</v>
      </c>
      <c r="G177" s="478">
        <v>75732.311666039022</v>
      </c>
    </row>
    <row r="178" spans="1:7">
      <c r="A178" s="492" t="s">
        <v>321</v>
      </c>
      <c r="B178" s="118" t="s">
        <v>544</v>
      </c>
      <c r="C178" s="117">
        <v>1.5039428878419702E-2</v>
      </c>
      <c r="D178" s="117">
        <f t="shared" si="2"/>
        <v>6.0621880377399462E-2</v>
      </c>
      <c r="E178" s="117">
        <v>1.9521880377399468E-2</v>
      </c>
      <c r="F178" s="117">
        <v>0.2</v>
      </c>
      <c r="G178" s="478">
        <v>495423.3430496215</v>
      </c>
    </row>
    <row r="179" spans="1:7">
      <c r="A179" s="492" t="s">
        <v>582</v>
      </c>
      <c r="B179" s="118" t="s">
        <v>552</v>
      </c>
      <c r="C179" s="117">
        <v>6.1152971836515406E-2</v>
      </c>
      <c r="D179" s="117">
        <f t="shared" si="2"/>
        <v>0.1204794106522199</v>
      </c>
      <c r="E179" s="117">
        <v>7.9379410652219901E-2</v>
      </c>
      <c r="F179" s="117">
        <v>0.26860000000000001</v>
      </c>
      <c r="G179" s="478">
        <v>8341.2252414569357</v>
      </c>
    </row>
    <row r="180" spans="1:7">
      <c r="A180" s="492" t="s">
        <v>983</v>
      </c>
      <c r="B180" s="118" t="s">
        <v>547</v>
      </c>
      <c r="C180" s="117">
        <v>3.2779436317050999E-2</v>
      </c>
      <c r="D180" s="117">
        <f t="shared" si="2"/>
        <v>8.5104412948338495E-2</v>
      </c>
      <c r="E180" s="486">
        <v>4.4004412948338498E-2</v>
      </c>
      <c r="F180" s="486">
        <v>0.3</v>
      </c>
      <c r="G180" s="478">
        <v>30053.575132141956</v>
      </c>
    </row>
    <row r="181" spans="1:7">
      <c r="A181" s="492" t="s">
        <v>322</v>
      </c>
      <c r="B181" s="118" t="s">
        <v>557</v>
      </c>
      <c r="C181" s="117">
        <v>8.4707371476981555E-2</v>
      </c>
      <c r="D181" s="117">
        <f t="shared" si="2"/>
        <v>0.15105412036094112</v>
      </c>
      <c r="E181" s="117">
        <v>0.10995412036094113</v>
      </c>
      <c r="F181" s="117">
        <v>0.15</v>
      </c>
      <c r="G181" s="478">
        <v>46303.55244935424</v>
      </c>
    </row>
    <row r="182" spans="1:7">
      <c r="A182" s="492" t="s">
        <v>323</v>
      </c>
      <c r="B182" s="118" t="s">
        <v>552</v>
      </c>
      <c r="C182" s="117">
        <v>6.1152971836515406E-2</v>
      </c>
      <c r="D182" s="117">
        <f t="shared" si="2"/>
        <v>0.1204794106522199</v>
      </c>
      <c r="E182" s="117">
        <v>7.9379410652219901E-2</v>
      </c>
      <c r="F182" s="117">
        <v>0.25</v>
      </c>
      <c r="G182" s="478">
        <v>907118.43595268787</v>
      </c>
    </row>
    <row r="183" spans="1:7">
      <c r="A183" s="496" t="s">
        <v>890</v>
      </c>
      <c r="B183" s="118" t="s">
        <v>544</v>
      </c>
      <c r="C183" s="117">
        <v>1.7414075543433341E-2</v>
      </c>
      <c r="D183" s="117">
        <f t="shared" si="2"/>
        <v>6.4477344378804827E-2</v>
      </c>
      <c r="E183" s="486">
        <v>2.3377344378804829E-2</v>
      </c>
      <c r="F183" s="486">
        <v>0</v>
      </c>
      <c r="G183" s="478">
        <v>1138.8088811</v>
      </c>
    </row>
    <row r="184" spans="1:7">
      <c r="A184" s="492" t="s">
        <v>407</v>
      </c>
      <c r="B184" s="118" t="s">
        <v>552</v>
      </c>
      <c r="C184" s="117">
        <v>6.1152971836515406E-2</v>
      </c>
      <c r="D184" s="117">
        <f t="shared" si="2"/>
        <v>0.1204794106522199</v>
      </c>
      <c r="E184" s="117">
        <v>7.9379410652219901E-2</v>
      </c>
      <c r="F184" s="117">
        <v>0.3</v>
      </c>
      <c r="G184" s="478">
        <v>45567.30460847645</v>
      </c>
    </row>
    <row r="185" spans="1:7">
      <c r="A185" s="492" t="s">
        <v>324</v>
      </c>
      <c r="B185" s="118" t="s">
        <v>604</v>
      </c>
      <c r="C185" s="117">
        <v>0.11290630062401852</v>
      </c>
      <c r="D185" s="117">
        <f t="shared" si="2"/>
        <v>0.18765764606856516</v>
      </c>
      <c r="E185" s="117">
        <v>0.14655764606856517</v>
      </c>
      <c r="F185" s="117">
        <v>0.18</v>
      </c>
      <c r="G185" s="478">
        <v>160502.73725104667</v>
      </c>
    </row>
    <row r="186" spans="1:7">
      <c r="A186" s="492" t="s">
        <v>325</v>
      </c>
      <c r="B186" s="118" t="s">
        <v>539</v>
      </c>
      <c r="C186" s="117">
        <v>4.6445295065707902E-3</v>
      </c>
      <c r="D186" s="117">
        <f t="shared" si="2"/>
        <v>4.7128815998902777E-2</v>
      </c>
      <c r="E186" s="117">
        <v>6.0288159989027772E-3</v>
      </c>
      <c r="F186" s="117">
        <v>0.25</v>
      </c>
      <c r="G186" s="478">
        <v>507063.96827331249</v>
      </c>
    </row>
    <row r="187" spans="1:7">
      <c r="A187" s="492" t="s">
        <v>326</v>
      </c>
      <c r="B187" s="118" t="s">
        <v>551</v>
      </c>
      <c r="C187" s="117">
        <v>5.6397858294073887E-3</v>
      </c>
      <c r="D187" s="117">
        <f t="shared" si="2"/>
        <v>4.84207051415248E-2</v>
      </c>
      <c r="E187" s="117">
        <v>7.3207051415248017E-3</v>
      </c>
      <c r="F187" s="117">
        <v>0.25</v>
      </c>
      <c r="G187" s="478">
        <v>3089072.7224001358</v>
      </c>
    </row>
    <row r="188" spans="1:7">
      <c r="A188" s="492" t="s">
        <v>327</v>
      </c>
      <c r="B188" s="118" t="s">
        <v>545</v>
      </c>
      <c r="C188" s="117">
        <v>0</v>
      </c>
      <c r="D188" s="117">
        <f t="shared" si="2"/>
        <v>4.1099999999999998E-2</v>
      </c>
      <c r="E188" s="117">
        <v>0</v>
      </c>
      <c r="F188" s="117">
        <v>0.25</v>
      </c>
      <c r="G188" s="478">
        <v>25439700</v>
      </c>
    </row>
    <row r="189" spans="1:7">
      <c r="A189" s="492" t="s">
        <v>328</v>
      </c>
      <c r="B189" s="118" t="s">
        <v>544</v>
      </c>
      <c r="C189" s="117">
        <v>1.5039428878419702E-2</v>
      </c>
      <c r="D189" s="117">
        <f t="shared" si="2"/>
        <v>6.0621880377399462E-2</v>
      </c>
      <c r="E189" s="117">
        <v>1.9521880377399468E-2</v>
      </c>
      <c r="F189" s="117">
        <v>0.25</v>
      </c>
      <c r="G189" s="478">
        <v>71177.146197495123</v>
      </c>
    </row>
    <row r="190" spans="1:7">
      <c r="A190" s="492" t="s">
        <v>627</v>
      </c>
      <c r="B190" s="118" t="s">
        <v>549</v>
      </c>
      <c r="C190" s="117">
        <v>3.3838714976444327E-2</v>
      </c>
      <c r="D190" s="117">
        <f t="shared" si="2"/>
        <v>8.5024230849148799E-2</v>
      </c>
      <c r="E190" s="117">
        <v>4.3924230849148801E-2</v>
      </c>
      <c r="F190" s="117">
        <v>0.15</v>
      </c>
      <c r="G190" s="478">
        <v>80391.853887404897</v>
      </c>
    </row>
    <row r="191" spans="1:7">
      <c r="A191" s="492" t="s">
        <v>329</v>
      </c>
      <c r="B191" s="118" t="s">
        <v>586</v>
      </c>
      <c r="C191" s="117">
        <v>0.17499999999999999</v>
      </c>
      <c r="D191" s="117">
        <f t="shared" si="2"/>
        <v>0.26825816495844784</v>
      </c>
      <c r="E191" s="117">
        <v>0.22715816495844784</v>
      </c>
      <c r="F191" s="117">
        <v>0.34</v>
      </c>
      <c r="G191" s="478">
        <v>98400</v>
      </c>
    </row>
    <row r="192" spans="1:7">
      <c r="A192" s="492" t="s">
        <v>330</v>
      </c>
      <c r="B192" s="118" t="s">
        <v>547</v>
      </c>
      <c r="C192" s="117">
        <v>2.8309513182907677E-2</v>
      </c>
      <c r="D192" s="117">
        <f t="shared" si="2"/>
        <v>7.7847068945693126E-2</v>
      </c>
      <c r="E192" s="117">
        <v>3.6747068945693122E-2</v>
      </c>
      <c r="F192" s="117">
        <v>0.2</v>
      </c>
      <c r="G192" s="478">
        <v>408802</v>
      </c>
    </row>
    <row r="193" spans="1:7">
      <c r="A193" s="493" t="s">
        <v>891</v>
      </c>
      <c r="B193" s="118" t="s">
        <v>636</v>
      </c>
      <c r="C193" s="117">
        <v>0.1129063006240185</v>
      </c>
      <c r="D193" s="117">
        <f t="shared" si="2"/>
        <v>0.18765764606856514</v>
      </c>
      <c r="E193" s="490">
        <v>0.14655764606856514</v>
      </c>
      <c r="F193" s="486">
        <v>0.2</v>
      </c>
      <c r="G193" s="478">
        <v>21610</v>
      </c>
    </row>
    <row r="194" spans="1:7">
      <c r="A194" s="492" t="s">
        <v>331</v>
      </c>
      <c r="B194" s="118" t="s">
        <v>557</v>
      </c>
      <c r="C194" s="117">
        <v>8.4707371476981555E-2</v>
      </c>
      <c r="D194" s="117">
        <f t="shared" si="2"/>
        <v>0.15105412036094112</v>
      </c>
      <c r="E194" s="117">
        <v>0.10995412036094113</v>
      </c>
      <c r="F194" s="117">
        <v>0.35</v>
      </c>
      <c r="G194" s="478">
        <v>29163.782138341488</v>
      </c>
    </row>
    <row r="195" spans="1:7">
      <c r="A195" s="493" t="s">
        <v>583</v>
      </c>
      <c r="B195" s="118" t="s">
        <v>636</v>
      </c>
      <c r="C195" s="117">
        <v>8.4707371476981541E-2</v>
      </c>
      <c r="D195" s="117">
        <f t="shared" si="2"/>
        <v>0.15105412036094112</v>
      </c>
      <c r="E195" s="117">
        <v>0.10995412036094111</v>
      </c>
      <c r="F195" s="117">
        <v>0.25</v>
      </c>
      <c r="G195" s="478">
        <v>27366.627153085246</v>
      </c>
    </row>
    <row r="200" spans="1:7">
      <c r="A200" s="479" t="s">
        <v>335</v>
      </c>
      <c r="B200" s="480" t="s">
        <v>358</v>
      </c>
      <c r="C200" s="480" t="s">
        <v>900</v>
      </c>
      <c r="D200" s="480" t="s">
        <v>637</v>
      </c>
      <c r="E200" s="480" t="s">
        <v>901</v>
      </c>
      <c r="F200" s="80" t="s">
        <v>985</v>
      </c>
    </row>
    <row r="201" spans="1:7">
      <c r="A201" s="1" t="s">
        <v>338</v>
      </c>
      <c r="B201" s="474">
        <f>$B$1+E201</f>
        <v>0.11683734316589314</v>
      </c>
      <c r="C201" s="474">
        <v>5.834716553752646E-2</v>
      </c>
      <c r="D201" s="474">
        <v>0.27421914500863898</v>
      </c>
      <c r="E201" s="474">
        <v>7.5737343165893145E-2</v>
      </c>
      <c r="F201" s="481">
        <v>2508220.6789325164</v>
      </c>
    </row>
    <row r="202" spans="1:7">
      <c r="A202" s="1" t="s">
        <v>404</v>
      </c>
      <c r="B202" s="474">
        <f t="shared" ref="B202:B210" si="3">$B$1+E202</f>
        <v>5.5121781227330989E-2</v>
      </c>
      <c r="C202" s="474">
        <v>1.0802216663582305E-2</v>
      </c>
      <c r="D202" s="474">
        <v>0.2574084360751292</v>
      </c>
      <c r="E202" s="474">
        <v>1.4021781227330991E-2</v>
      </c>
      <c r="F202" s="481">
        <v>32948678.067337982</v>
      </c>
    </row>
    <row r="203" spans="1:7">
      <c r="A203" s="1" t="s">
        <v>340</v>
      </c>
      <c r="B203" s="474">
        <f t="shared" si="3"/>
        <v>4.1139287052754374E-2</v>
      </c>
      <c r="C203" s="474">
        <v>3.0266287074794293E-5</v>
      </c>
      <c r="D203" s="474">
        <v>0.29743620926523207</v>
      </c>
      <c r="E203" s="474">
        <v>3.9287052754376346E-5</v>
      </c>
      <c r="F203" s="481">
        <v>1942472.3523971008</v>
      </c>
    </row>
    <row r="204" spans="1:7">
      <c r="A204" s="1" t="s">
        <v>342</v>
      </c>
      <c r="B204" s="474">
        <f t="shared" si="3"/>
        <v>0.1152398876495359</v>
      </c>
      <c r="C204" s="474">
        <v>5.711650444544706E-2</v>
      </c>
      <c r="D204" s="474">
        <v>0.25228018689443577</v>
      </c>
      <c r="E204" s="474">
        <v>7.4139887649535899E-2</v>
      </c>
      <c r="F204" s="481">
        <v>869389.47891538299</v>
      </c>
    </row>
    <row r="205" spans="1:7">
      <c r="A205" s="1" t="s">
        <v>339</v>
      </c>
      <c r="B205" s="474">
        <f t="shared" si="3"/>
        <v>8.7779347378296041E-2</v>
      </c>
      <c r="C205" s="474">
        <v>3.5961224606194851E-2</v>
      </c>
      <c r="D205" s="474">
        <v>0.31553952561697912</v>
      </c>
      <c r="E205" s="474">
        <v>4.6679347378296036E-2</v>
      </c>
      <c r="F205" s="481">
        <v>5601817.8332648547</v>
      </c>
    </row>
    <row r="206" spans="1:7">
      <c r="A206" s="1" t="s">
        <v>337</v>
      </c>
      <c r="B206" s="474">
        <f t="shared" si="3"/>
        <v>7.481322634397318E-2</v>
      </c>
      <c r="C206" s="474">
        <v>2.5972276238780637E-2</v>
      </c>
      <c r="D206" s="474">
        <v>0.18308310877509817</v>
      </c>
      <c r="E206" s="474">
        <v>3.3713226343973182E-2</v>
      </c>
      <c r="F206" s="481">
        <v>5010073.2660032045</v>
      </c>
    </row>
    <row r="207" spans="1:7">
      <c r="A207" s="1" t="s">
        <v>343</v>
      </c>
      <c r="B207" s="474">
        <f t="shared" si="3"/>
        <v>5.9317417528343748E-2</v>
      </c>
      <c r="C207" s="474">
        <v>1.4034485918845662E-2</v>
      </c>
      <c r="D207" s="474">
        <v>0.18937682936327277</v>
      </c>
      <c r="E207" s="474">
        <v>1.821741752834375E-2</v>
      </c>
      <c r="F207" s="481">
        <v>3382577.6565681733</v>
      </c>
    </row>
    <row r="208" spans="1:7">
      <c r="A208" s="1" t="s">
        <v>345</v>
      </c>
      <c r="B208" s="474">
        <f t="shared" si="3"/>
        <v>4.1099999999999998E-2</v>
      </c>
      <c r="C208" s="474">
        <v>0</v>
      </c>
      <c r="D208" s="474">
        <v>0.25108814145744907</v>
      </c>
      <c r="E208" s="474">
        <v>0</v>
      </c>
      <c r="F208" s="481">
        <v>27577639.220074911</v>
      </c>
    </row>
    <row r="209" spans="1:6">
      <c r="A209" s="1" t="s">
        <v>336</v>
      </c>
      <c r="B209" s="474">
        <f t="shared" si="3"/>
        <v>5.2371232668126128E-2</v>
      </c>
      <c r="C209" s="474">
        <v>8.6832261445802719E-3</v>
      </c>
      <c r="D209" s="474">
        <v>0.24775219614916172</v>
      </c>
      <c r="E209" s="474">
        <v>1.127123266812613E-2</v>
      </c>
      <c r="F209" s="481">
        <v>20250228.834865417</v>
      </c>
    </row>
    <row r="210" spans="1:6">
      <c r="A210" s="1" t="s">
        <v>466</v>
      </c>
      <c r="B210" s="474">
        <f t="shared" si="3"/>
        <v>5.4989633671327573E-2</v>
      </c>
      <c r="C210" s="474">
        <v>1.0700411728220074E-2</v>
      </c>
      <c r="D210" s="474">
        <v>0.2524583457539919</v>
      </c>
      <c r="E210" s="474">
        <v>1.3889633671327575E-2</v>
      </c>
      <c r="F210" s="481">
        <v>100091097.38835955</v>
      </c>
    </row>
  </sheetData>
  <pageMargins left="0.75" right="0.75" top="1" bottom="1" header="0.5" footer="0.5"/>
  <pageSetup orientation="portrait" horizontalDpi="4294967292" verticalDpi="4294967292"/>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I2" activePane="bottomRight" state="frozen"/>
      <selection pane="topRight" activeCell="B1" sqref="B1"/>
      <selection pane="bottomLeft" activeCell="A2" sqref="A2"/>
      <selection pane="bottomRight" sqref="A1:AA1048576"/>
    </sheetView>
  </sheetViews>
  <sheetFormatPr defaultColWidth="11.42578125" defaultRowHeight="12"/>
  <cols>
    <col min="1" max="1" width="23.140625" customWidth="1"/>
    <col min="2" max="23" width="10.5703125" style="92" customWidth="1"/>
  </cols>
  <sheetData>
    <row r="1" spans="1:27" s="171" customFormat="1" ht="72">
      <c r="A1" s="482" t="s">
        <v>86</v>
      </c>
      <c r="B1" s="483" t="s">
        <v>158</v>
      </c>
      <c r="C1" s="484" t="s">
        <v>146</v>
      </c>
      <c r="D1" s="484" t="s">
        <v>587</v>
      </c>
      <c r="E1" s="484" t="s">
        <v>163</v>
      </c>
      <c r="F1" s="483" t="s">
        <v>147</v>
      </c>
      <c r="G1" s="483" t="s">
        <v>193</v>
      </c>
      <c r="H1" s="483" t="s">
        <v>148</v>
      </c>
      <c r="I1" s="483" t="s">
        <v>149</v>
      </c>
      <c r="J1" s="483" t="s">
        <v>150</v>
      </c>
      <c r="K1" s="483" t="s">
        <v>151</v>
      </c>
      <c r="L1" s="483" t="s">
        <v>152</v>
      </c>
      <c r="M1" s="483" t="s">
        <v>135</v>
      </c>
      <c r="N1" s="485" t="s">
        <v>89</v>
      </c>
      <c r="O1" s="483" t="s">
        <v>153</v>
      </c>
      <c r="P1" s="483" t="s">
        <v>154</v>
      </c>
      <c r="Q1" s="483" t="s">
        <v>155</v>
      </c>
      <c r="R1" s="483" t="s">
        <v>156</v>
      </c>
      <c r="S1" s="483" t="s">
        <v>157</v>
      </c>
      <c r="T1" s="483" t="s">
        <v>468</v>
      </c>
      <c r="U1" s="483" t="s">
        <v>469</v>
      </c>
      <c r="V1" s="483" t="s">
        <v>470</v>
      </c>
      <c r="W1" s="483" t="s">
        <v>471</v>
      </c>
      <c r="X1" s="482" t="s">
        <v>455</v>
      </c>
      <c r="Y1" s="482" t="s">
        <v>472</v>
      </c>
      <c r="Z1" s="482" t="s">
        <v>473</v>
      </c>
      <c r="AA1" s="483" t="s">
        <v>595</v>
      </c>
    </row>
    <row r="2" spans="1:27" ht="12.75">
      <c r="A2" s="147" t="s">
        <v>87</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2.75">
      <c r="A3" s="147" t="s">
        <v>638</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2.75">
      <c r="A4" s="147" t="s">
        <v>639</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2.75">
      <c r="A5" s="147" t="s">
        <v>640</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2.75">
      <c r="A6" s="147" t="s">
        <v>641</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2.75">
      <c r="A7" s="147" t="s">
        <v>642</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2.75">
      <c r="A8" s="147" t="s">
        <v>643</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88</v>
      </c>
      <c r="Q8" s="149" t="s">
        <v>88</v>
      </c>
      <c r="R8" s="149">
        <v>1.0492601893677032</v>
      </c>
      <c r="S8" s="149">
        <v>8.547358658097874</v>
      </c>
      <c r="T8" s="148" t="s">
        <v>88</v>
      </c>
      <c r="U8" s="148">
        <v>1.9731137380717412E-2</v>
      </c>
      <c r="V8" s="148">
        <v>1.2953142452475423E-2</v>
      </c>
      <c r="W8" s="148">
        <v>55.728776313853096</v>
      </c>
      <c r="X8" s="148">
        <v>0.14874034732315899</v>
      </c>
      <c r="Y8" s="148">
        <v>0.24337970298838549</v>
      </c>
      <c r="Z8" s="148">
        <v>0.24337970298838552</v>
      </c>
      <c r="AA8" s="150">
        <v>8.1200893217945561E-4</v>
      </c>
    </row>
    <row r="9" spans="1:27" ht="12.75">
      <c r="A9" s="147" t="s">
        <v>644</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88</v>
      </c>
      <c r="Q9" s="149" t="s">
        <v>88</v>
      </c>
      <c r="R9" s="149">
        <v>1.0188589222331499</v>
      </c>
      <c r="S9" s="149">
        <v>35.966292420385749</v>
      </c>
      <c r="T9" s="148" t="s">
        <v>88</v>
      </c>
      <c r="U9" s="148">
        <v>2.7336820130708508E-2</v>
      </c>
      <c r="V9" s="148">
        <v>-0.10087904726752299</v>
      </c>
      <c r="W9" s="148" t="s">
        <v>88</v>
      </c>
      <c r="X9" s="148">
        <v>0.12142592116953591</v>
      </c>
      <c r="Y9" s="148">
        <v>0.32014617865318346</v>
      </c>
      <c r="Z9" s="148">
        <v>0.3201461786531834</v>
      </c>
      <c r="AA9" s="150">
        <v>-1.7660881241903206E-3</v>
      </c>
    </row>
    <row r="10" spans="1:27" ht="12.75">
      <c r="A10" s="147" t="s">
        <v>645</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2.75">
      <c r="A11" s="147" t="s">
        <v>646</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2.75">
      <c r="A12" s="147" t="s">
        <v>647</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2.75">
      <c r="A13" s="147" t="s">
        <v>648</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88</v>
      </c>
      <c r="Q13" s="149" t="s">
        <v>88</v>
      </c>
      <c r="R13" s="149">
        <v>1.6565413108416178</v>
      </c>
      <c r="S13" s="149">
        <v>222.18514648652769</v>
      </c>
      <c r="T13" s="148" t="s">
        <v>88</v>
      </c>
      <c r="U13" s="148">
        <v>3.4125847634679171E-2</v>
      </c>
      <c r="V13" s="148">
        <v>1.6766162791348155E-2</v>
      </c>
      <c r="W13" s="148">
        <v>56.433655889964861</v>
      </c>
      <c r="X13" s="148">
        <v>0.10413110832014963</v>
      </c>
      <c r="Y13" s="148">
        <v>0.4352511082051424</v>
      </c>
      <c r="Z13" s="148">
        <v>0.43525110820514246</v>
      </c>
      <c r="AA13" s="150">
        <v>5.7932474418426055E-3</v>
      </c>
    </row>
    <row r="14" spans="1:27" ht="12.75">
      <c r="A14" s="147" t="s">
        <v>649</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2.75">
      <c r="A15" s="147" t="s">
        <v>650</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2.75">
      <c r="A16" s="147" t="s">
        <v>651</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2.75">
      <c r="A17" s="147" t="s">
        <v>607</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2.75">
      <c r="A18" s="147" t="s">
        <v>652</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2.75">
      <c r="A19" s="147" t="s">
        <v>608</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2.75">
      <c r="A20" s="147" t="s">
        <v>653</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2.75">
      <c r="A21" s="147" t="s">
        <v>480</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2.75">
      <c r="A22" s="147" t="s">
        <v>654</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2.75">
      <c r="A23" s="147" t="s">
        <v>655</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2.75">
      <c r="A24" s="147" t="s">
        <v>656</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2.75">
      <c r="A25" s="147" t="s">
        <v>657</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88</v>
      </c>
      <c r="R25" s="149">
        <v>6.135291677851848</v>
      </c>
      <c r="S25" s="149">
        <v>30.391605386786914</v>
      </c>
      <c r="T25" s="148">
        <v>9.9810417479148511E-2</v>
      </c>
      <c r="U25" s="148">
        <v>3.8231005472018041E-2</v>
      </c>
      <c r="V25" s="148">
        <v>3.468871974612317E-2</v>
      </c>
      <c r="W25" s="148" t="s">
        <v>88</v>
      </c>
      <c r="X25" s="148">
        <v>-0.11590040227481527</v>
      </c>
      <c r="Y25" s="148">
        <v>8.849667367975925E-4</v>
      </c>
      <c r="Z25" s="148">
        <v>8.8496673679760995E-4</v>
      </c>
      <c r="AA25" s="150">
        <v>3.8302994165288748E-2</v>
      </c>
    </row>
    <row r="26" spans="1:27" ht="12.75">
      <c r="A26" s="147" t="s">
        <v>658</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2.75">
      <c r="A27" s="147" t="s">
        <v>659</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2.75">
      <c r="A28" s="147" t="s">
        <v>660</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2.75">
      <c r="A29" s="147" t="s">
        <v>661</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88</v>
      </c>
      <c r="R29" s="149">
        <v>1.9031490452094928</v>
      </c>
      <c r="S29" s="149">
        <v>38.632883209912393</v>
      </c>
      <c r="T29" s="148">
        <v>0.15533542696520905</v>
      </c>
      <c r="U29" s="148">
        <v>1.5568092728386464E-2</v>
      </c>
      <c r="V29" s="148">
        <v>-2.2079528200980025E-3</v>
      </c>
      <c r="W29" s="148" t="s">
        <v>88</v>
      </c>
      <c r="X29" s="148">
        <v>-6.6268001387247435E-2</v>
      </c>
      <c r="Y29" s="148">
        <v>0</v>
      </c>
      <c r="Z29" s="148">
        <v>0</v>
      </c>
      <c r="AA29" s="150">
        <v>5.6724354829463522E-3</v>
      </c>
    </row>
    <row r="30" spans="1:27" ht="12.75">
      <c r="A30" s="147" t="s">
        <v>609</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2.75">
      <c r="A31" s="147" t="s">
        <v>662</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2.75">
      <c r="A32" s="147" t="s">
        <v>481</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2.75">
      <c r="A33" s="147" t="s">
        <v>663</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2.75">
      <c r="A34" s="147" t="s">
        <v>664</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2.75">
      <c r="A35" s="147" t="s">
        <v>665</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2.75">
      <c r="A36" s="147" t="s">
        <v>666</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2.75">
      <c r="A37" s="147" t="s">
        <v>667</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2.75">
      <c r="A38" s="147" t="s">
        <v>668</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2.75">
      <c r="A39" s="147" t="s">
        <v>669</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2.75">
      <c r="A40" s="147" t="s">
        <v>670</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2.75">
      <c r="A41" s="147" t="s">
        <v>671</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2.75">
      <c r="A42" s="147" t="s">
        <v>672</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2.75">
      <c r="A43" s="147" t="s">
        <v>673</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2.75">
      <c r="A44" s="147" t="s">
        <v>674</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2.75">
      <c r="A45" s="147" t="s">
        <v>675</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2.75">
      <c r="A46" s="147" t="s">
        <v>676</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2.75">
      <c r="A47" s="147" t="s">
        <v>677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2.75">
      <c r="A48" s="147" t="s">
        <v>678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2.75">
      <c r="A49" s="147" t="s">
        <v>679</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88</v>
      </c>
      <c r="R49" s="149">
        <v>1.6173451473258358</v>
      </c>
      <c r="S49" s="149">
        <v>176.37863200216751</v>
      </c>
      <c r="T49" s="148">
        <v>0.28615881247116098</v>
      </c>
      <c r="U49" s="148">
        <v>1.8122427617276609E-3</v>
      </c>
      <c r="V49" s="148">
        <v>-2.5614435950617652E-2</v>
      </c>
      <c r="W49" s="148" t="s">
        <v>88</v>
      </c>
      <c r="X49" s="148">
        <v>1.3240127450855269E-2</v>
      </c>
      <c r="Y49" s="148">
        <v>3.812072472103254</v>
      </c>
      <c r="Z49" s="148">
        <v>3.812072472103254</v>
      </c>
      <c r="AA49" s="150">
        <v>1.2852923105425914E-3</v>
      </c>
    </row>
    <row r="50" spans="1:27" ht="12.75">
      <c r="A50" s="147" t="s">
        <v>680</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2.75">
      <c r="A51" s="147" t="s">
        <v>681</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88</v>
      </c>
      <c r="U51" s="148">
        <v>2.9725746882996038E-2</v>
      </c>
      <c r="V51" s="148">
        <v>6.1361471889236401E-2</v>
      </c>
      <c r="W51" s="148">
        <v>0.54669683230965871</v>
      </c>
      <c r="X51" s="148">
        <v>0.13783634813168708</v>
      </c>
      <c r="Y51" s="148">
        <v>0.42105650684678592</v>
      </c>
      <c r="Z51" s="148">
        <v>0.42105650684678597</v>
      </c>
      <c r="AA51" s="150">
        <v>0.14670723243602463</v>
      </c>
    </row>
    <row r="52" spans="1:27" ht="12.75">
      <c r="A52" s="147" t="s">
        <v>682</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2.75">
      <c r="A53" s="147" t="s">
        <v>610</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2.75">
      <c r="A54" s="147" t="s">
        <v>683</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2.75">
      <c r="A55" s="147" t="s">
        <v>684</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2.75">
      <c r="A56" s="147" t="s">
        <v>611</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2.75">
      <c r="A57" s="147" t="s">
        <v>685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2.75">
      <c r="A58" s="147" t="s">
        <v>686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2.75">
      <c r="A59" s="147" t="s">
        <v>687</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2.75">
      <c r="A60" s="147" t="s">
        <v>688</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2.75">
      <c r="A61" s="147" t="s">
        <v>689</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2.75">
      <c r="A62" s="147" t="s">
        <v>690</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2.75">
      <c r="A63" s="147" t="s">
        <v>691</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2.75">
      <c r="A64" s="147" t="s">
        <v>692</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2.75">
      <c r="A65" s="147" t="s">
        <v>693</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2.75">
      <c r="A66" s="147" t="s">
        <v>694</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2.75">
      <c r="A67" s="147" t="s">
        <v>695</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88</v>
      </c>
      <c r="R67" s="149">
        <v>2.8721502379113324</v>
      </c>
      <c r="S67" s="149">
        <v>104.23604792269977</v>
      </c>
      <c r="T67" s="148">
        <v>9.6938280068516611E-2</v>
      </c>
      <c r="U67" s="148">
        <v>1.3030956034781528E-2</v>
      </c>
      <c r="V67" s="148">
        <v>-1.1660648443319731E-2</v>
      </c>
      <c r="W67" s="148" t="s">
        <v>88</v>
      </c>
      <c r="X67" s="148">
        <v>-8.2699453594316241E-2</v>
      </c>
      <c r="Y67" s="148">
        <v>7.6188461338059024E-3</v>
      </c>
      <c r="Z67" s="148">
        <v>7.6188461338059232E-3</v>
      </c>
      <c r="AA67" s="150">
        <v>4.8652777182227547E-4</v>
      </c>
    </row>
    <row r="68" spans="1:27" ht="12.75">
      <c r="A68" s="147" t="s">
        <v>696</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2.75">
      <c r="A69" s="147" t="s">
        <v>697</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2.75">
      <c r="A70" s="147" t="s">
        <v>698</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88</v>
      </c>
      <c r="S70" s="149">
        <v>94.189098132402151</v>
      </c>
      <c r="T70" s="148">
        <v>8.6042887900802303E-3</v>
      </c>
      <c r="U70" s="148">
        <v>5.7944026102845256E-2</v>
      </c>
      <c r="V70" s="148">
        <v>3.5722685370995058E-2</v>
      </c>
      <c r="W70" s="148">
        <v>0.34511083241843721</v>
      </c>
      <c r="X70" s="148" t="s">
        <v>88</v>
      </c>
      <c r="Y70" s="148">
        <v>0.53075598955740277</v>
      </c>
      <c r="Z70" s="148">
        <v>0.53075598955740277</v>
      </c>
      <c r="AA70" s="150">
        <v>0.13614064338279905</v>
      </c>
    </row>
    <row r="71" spans="1:27" ht="12.75">
      <c r="A71" s="147" t="s">
        <v>699</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2.75">
      <c r="A72" s="147" t="s">
        <v>700</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88</v>
      </c>
      <c r="S72" s="149">
        <v>27.87080707923468</v>
      </c>
      <c r="T72" s="148">
        <v>8.4696827644573189E-2</v>
      </c>
      <c r="U72" s="148">
        <v>2.4278467792407967E-2</v>
      </c>
      <c r="V72" s="148">
        <v>8.4849635897816383E-3</v>
      </c>
      <c r="W72" s="148">
        <v>2.3337337560001278E-2</v>
      </c>
      <c r="X72" s="148" t="s">
        <v>88</v>
      </c>
      <c r="Y72" s="148">
        <v>0.46644741818218693</v>
      </c>
      <c r="Z72" s="148">
        <v>0.46644741818218693</v>
      </c>
      <c r="AA72" s="150">
        <v>0.1238432505090802</v>
      </c>
    </row>
    <row r="73" spans="1:27" ht="12.75">
      <c r="A73" s="147" t="s">
        <v>701</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2.75">
      <c r="A74" s="147" t="s">
        <v>629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2.75">
      <c r="A75" s="147" t="s">
        <v>702</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2.75">
      <c r="A76" s="147" t="s">
        <v>871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2.75">
      <c r="A77" s="147" t="s">
        <v>703</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2.75">
      <c r="A78" s="147" t="s">
        <v>704</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2.75">
      <c r="A79" s="147" t="s">
        <v>705</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2.75">
      <c r="A80" s="147" t="s">
        <v>706</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2.75">
      <c r="A81" s="147" t="s">
        <v>707</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2.75">
      <c r="A82" s="147" t="s">
        <v>708</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2.75">
      <c r="A83" s="147" t="s">
        <v>709</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2.75">
      <c r="A84" s="147" t="s">
        <v>710</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88</v>
      </c>
      <c r="R84" s="149">
        <v>9.0021141302291596</v>
      </c>
      <c r="S84" s="149">
        <v>35.177442964143594</v>
      </c>
      <c r="T84" s="148">
        <v>9.6695754393934422E-2</v>
      </c>
      <c r="U84" s="148">
        <v>5.5778077921357368E-2</v>
      </c>
      <c r="V84" s="148">
        <v>2.8310083379424048E-2</v>
      </c>
      <c r="W84" s="148" t="s">
        <v>88</v>
      </c>
      <c r="X84" s="148">
        <v>-0.14540651129197349</v>
      </c>
      <c r="Y84" s="148">
        <v>0</v>
      </c>
      <c r="Z84" s="148">
        <v>0</v>
      </c>
      <c r="AA84" s="150">
        <v>-8.317507436808912E-3</v>
      </c>
    </row>
    <row r="85" spans="1:27" ht="12.75">
      <c r="A85" s="147" t="s">
        <v>711</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2.75">
      <c r="A86" s="147" t="s">
        <v>712</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2.75">
      <c r="A87" s="147" t="s">
        <v>713</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2.75">
      <c r="A88" s="147" t="s">
        <v>714</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2.75">
      <c r="A89" s="147" t="s">
        <v>715</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2.75">
      <c r="A90" s="147" t="s">
        <v>716</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88</v>
      </c>
      <c r="S90" s="149">
        <v>17.746085416091766</v>
      </c>
      <c r="T90" s="148">
        <v>0.15300181101471985</v>
      </c>
      <c r="U90" s="148">
        <v>2.7084958732519204E-2</v>
      </c>
      <c r="V90" s="148">
        <v>0.33428394436606595</v>
      </c>
      <c r="W90" s="148">
        <v>1.17639869037906</v>
      </c>
      <c r="X90" s="148" t="s">
        <v>88</v>
      </c>
      <c r="Y90" s="148">
        <v>0.87984059610405407</v>
      </c>
      <c r="Z90" s="148">
        <v>0.87984059610405407</v>
      </c>
      <c r="AA90" s="150">
        <v>0.41002251990580058</v>
      </c>
    </row>
    <row r="91" spans="1:27" ht="12.75">
      <c r="A91" s="147" t="s">
        <v>717</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2.75">
      <c r="A92" s="147" t="s">
        <v>718</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2.75">
      <c r="A93" s="147" t="s">
        <v>719</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2.75">
      <c r="A94" s="147" t="s">
        <v>720</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2.75">
      <c r="A95" s="147" t="s">
        <v>721</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2.75">
      <c r="A96" s="147" t="s">
        <v>986</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2.75">
      <c r="A97" s="147" t="s">
        <v>987</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6"/>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1048576"/>
    </sheetView>
  </sheetViews>
  <sheetFormatPr defaultColWidth="11" defaultRowHeight="12"/>
  <cols>
    <col min="1" max="1" width="23.140625" customWidth="1"/>
    <col min="2" max="23" width="10.5703125" style="92" customWidth="1"/>
  </cols>
  <sheetData>
    <row r="1" spans="1:27" s="172" customFormat="1" ht="72">
      <c r="A1" s="482" t="s">
        <v>86</v>
      </c>
      <c r="B1" s="483" t="s">
        <v>158</v>
      </c>
      <c r="C1" s="484" t="s">
        <v>146</v>
      </c>
      <c r="D1" s="484" t="s">
        <v>587</v>
      </c>
      <c r="E1" s="484" t="s">
        <v>163</v>
      </c>
      <c r="F1" s="483" t="s">
        <v>147</v>
      </c>
      <c r="G1" s="483" t="s">
        <v>193</v>
      </c>
      <c r="H1" s="483" t="s">
        <v>148</v>
      </c>
      <c r="I1" s="483" t="s">
        <v>149</v>
      </c>
      <c r="J1" s="483" t="s">
        <v>150</v>
      </c>
      <c r="K1" s="483" t="s">
        <v>151</v>
      </c>
      <c r="L1" s="483" t="s">
        <v>152</v>
      </c>
      <c r="M1" s="483" t="s">
        <v>135</v>
      </c>
      <c r="N1" s="485" t="s">
        <v>89</v>
      </c>
      <c r="O1" s="483" t="s">
        <v>153</v>
      </c>
      <c r="P1" s="483" t="s">
        <v>154</v>
      </c>
      <c r="Q1" s="483" t="s">
        <v>155</v>
      </c>
      <c r="R1" s="483" t="s">
        <v>156</v>
      </c>
      <c r="S1" s="483" t="s">
        <v>157</v>
      </c>
      <c r="T1" s="483" t="s">
        <v>468</v>
      </c>
      <c r="U1" s="483" t="s">
        <v>469</v>
      </c>
      <c r="V1" s="483" t="s">
        <v>470</v>
      </c>
      <c r="W1" s="483" t="s">
        <v>471</v>
      </c>
      <c r="X1" s="482" t="s">
        <v>455</v>
      </c>
      <c r="Y1" s="482" t="s">
        <v>472</v>
      </c>
      <c r="Z1" s="482" t="s">
        <v>473</v>
      </c>
      <c r="AA1" s="483" t="s">
        <v>595</v>
      </c>
    </row>
    <row r="2" spans="1:27" s="138" customFormat="1" ht="12.75">
      <c r="A2" s="147" t="s">
        <v>87</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2.75">
      <c r="A3" s="147" t="s">
        <v>638</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2.75">
      <c r="A4" s="147" t="s">
        <v>639</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2.75">
      <c r="A5" s="147" t="s">
        <v>640</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2.75">
      <c r="A6" s="147" t="s">
        <v>641</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2.75">
      <c r="A7" s="147" t="s">
        <v>642</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2.75">
      <c r="A8" s="147" t="s">
        <v>643</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88</v>
      </c>
      <c r="R8" s="149">
        <v>0.8423495689751942</v>
      </c>
      <c r="S8" s="149">
        <v>14.729077831666997</v>
      </c>
      <c r="T8" s="148" t="s">
        <v>88</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2.75">
      <c r="A9" s="147" t="s">
        <v>644</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88</v>
      </c>
      <c r="Q9" s="149" t="s">
        <v>88</v>
      </c>
      <c r="R9" s="149">
        <v>0.74498597620054252</v>
      </c>
      <c r="S9" s="149">
        <v>28.980754193617027</v>
      </c>
      <c r="T9" s="148" t="s">
        <v>88</v>
      </c>
      <c r="U9" s="148">
        <v>2.9584981394133691E-2</v>
      </c>
      <c r="V9" s="148">
        <v>-4.266256265612315E-2</v>
      </c>
      <c r="W9" s="148" t="s">
        <v>88</v>
      </c>
      <c r="X9" s="148">
        <v>9.8266834992314991E-2</v>
      </c>
      <c r="Y9" s="148">
        <v>0.29089509088479176</v>
      </c>
      <c r="Z9" s="148">
        <v>0.29089509088479182</v>
      </c>
      <c r="AA9" s="150">
        <v>-1.0386505223670638E-3</v>
      </c>
    </row>
    <row r="10" spans="1:27" s="138" customFormat="1" ht="12.75">
      <c r="A10" s="147" t="s">
        <v>645</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2.75">
      <c r="A11" s="147" t="s">
        <v>646</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2.75">
      <c r="A12" s="147" t="s">
        <v>647</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2.75">
      <c r="A13" s="147" t="s">
        <v>648</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88</v>
      </c>
      <c r="R13" s="149">
        <v>1.2584232975164993</v>
      </c>
      <c r="S13" s="149">
        <v>115.17713682796493</v>
      </c>
      <c r="T13" s="148" t="s">
        <v>88</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2.75">
      <c r="A14" s="147" t="s">
        <v>649</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2.75">
      <c r="A15" s="147" t="s">
        <v>650</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2.75">
      <c r="A16" s="147" t="s">
        <v>651</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2.75">
      <c r="A17" s="147" t="s">
        <v>607</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2.75">
      <c r="A18" s="147" t="s">
        <v>652</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2.75">
      <c r="A19" s="147" t="s">
        <v>608</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2.75">
      <c r="A20" s="147" t="s">
        <v>653</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2.75">
      <c r="A21" s="147" t="s">
        <v>480</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2.75">
      <c r="A22" s="147" t="s">
        <v>654</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2.75">
      <c r="A23" s="147" t="s">
        <v>655</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2.75">
      <c r="A24" s="147" t="s">
        <v>656</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2.75">
      <c r="A25" s="147" t="s">
        <v>657</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88</v>
      </c>
      <c r="R25" s="149">
        <v>5.1098850921129335</v>
      </c>
      <c r="S25" s="149">
        <v>127.83565374797985</v>
      </c>
      <c r="T25" s="148">
        <v>0.17156984512745305</v>
      </c>
      <c r="U25" s="148">
        <v>5.6708801142149073E-2</v>
      </c>
      <c r="V25" s="148">
        <v>9.6236010010854439E-2</v>
      </c>
      <c r="W25" s="148" t="s">
        <v>88</v>
      </c>
      <c r="X25" s="148">
        <v>-8.826768540176394E-2</v>
      </c>
      <c r="Y25" s="148">
        <v>4.660050948575847E-3</v>
      </c>
      <c r="Z25" s="148">
        <v>4.6600509485758002E-3</v>
      </c>
      <c r="AA25" s="150">
        <v>1.6293477284612591E-2</v>
      </c>
    </row>
    <row r="26" spans="1:27" s="138" customFormat="1" ht="12.75">
      <c r="A26" s="147" t="s">
        <v>658</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2.75">
      <c r="A27" s="147" t="s">
        <v>659</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2.75">
      <c r="A28" s="147" t="s">
        <v>660</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2.75">
      <c r="A29" s="147" t="s">
        <v>661</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2.75">
      <c r="A30" s="147" t="s">
        <v>609</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2.75">
      <c r="A31" s="147" t="s">
        <v>662</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2.75">
      <c r="A32" s="147" t="s">
        <v>481</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2.75">
      <c r="A33" s="147" t="s">
        <v>663</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2.75">
      <c r="A34" s="147" t="s">
        <v>664</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2.75">
      <c r="A35" s="147" t="s">
        <v>665</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88</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2.75">
      <c r="A36" s="147" t="s">
        <v>666</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2.75">
      <c r="A37" s="147" t="s">
        <v>667</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2.75">
      <c r="A38" s="147" t="s">
        <v>668</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2.75">
      <c r="A39" s="147" t="s">
        <v>669</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2.75">
      <c r="A40" s="147" t="s">
        <v>670</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2.75">
      <c r="A41" s="147" t="s">
        <v>671</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2.75">
      <c r="A42" s="147" t="s">
        <v>672</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2.75">
      <c r="A43" s="147" t="s">
        <v>673</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2.75">
      <c r="A44" s="147" t="s">
        <v>674</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2.75">
      <c r="A45" s="147" t="s">
        <v>675</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2.75">
      <c r="A46" s="147" t="s">
        <v>676</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2.75">
      <c r="A47" s="147" t="s">
        <v>677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2.75">
      <c r="A48" s="147" t="s">
        <v>678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2.75">
      <c r="A49" s="147" t="s">
        <v>679</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2.75">
      <c r="A50" s="147" t="s">
        <v>680</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2.75">
      <c r="A51" s="147" t="s">
        <v>681</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88</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2.75">
      <c r="A52" s="147" t="s">
        <v>682</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2.75">
      <c r="A53" s="147" t="s">
        <v>610</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2.75">
      <c r="A54" s="147" t="s">
        <v>683</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2.75">
      <c r="A55" s="147" t="s">
        <v>684</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2.75">
      <c r="A56" s="147" t="s">
        <v>611</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2.75">
      <c r="A57" s="147" t="s">
        <v>685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2.75">
      <c r="A58" s="147" t="s">
        <v>686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2.75">
      <c r="A59" s="147" t="s">
        <v>687</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2.75">
      <c r="A60" s="147" t="s">
        <v>688</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2.75">
      <c r="A61" s="147" t="s">
        <v>689</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2.75">
      <c r="A62" s="147" t="s">
        <v>690</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2.75">
      <c r="A63" s="147" t="s">
        <v>691</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2.75">
      <c r="A64" s="147" t="s">
        <v>692</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2.75">
      <c r="A65" s="147" t="s">
        <v>693</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2.75">
      <c r="A66" s="147" t="s">
        <v>694</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2.75">
      <c r="A67" s="147" t="s">
        <v>695</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2.75">
      <c r="A68" s="147" t="s">
        <v>696</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2.75">
      <c r="A69" s="147" t="s">
        <v>697</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2.75">
      <c r="A70" s="147" t="s">
        <v>698</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2.75">
      <c r="A71" s="147" t="s">
        <v>699</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2.75">
      <c r="A72" s="147" t="s">
        <v>700</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2.75">
      <c r="A73" s="147" t="s">
        <v>701</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2.75">
      <c r="A74" s="147" t="s">
        <v>629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2.75">
      <c r="A75" s="147" t="s">
        <v>702</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2.75">
      <c r="A76" s="147" t="s">
        <v>871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2.75">
      <c r="A77" s="147" t="s">
        <v>703</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2.75">
      <c r="A78" s="147" t="s">
        <v>704</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2.75">
      <c r="A79" s="147" t="s">
        <v>705</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2.75">
      <c r="A80" s="147" t="s">
        <v>706</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2.75">
      <c r="A81" s="147" t="s">
        <v>707</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2.75">
      <c r="A82" s="147" t="s">
        <v>708</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2.75">
      <c r="A83" s="147" t="s">
        <v>709</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2.75">
      <c r="A84" s="147" t="s">
        <v>710</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88</v>
      </c>
      <c r="R84" s="149">
        <v>7.9662272263700684</v>
      </c>
      <c r="S84" s="149">
        <v>62.967863533904882</v>
      </c>
      <c r="T84" s="148">
        <v>5.2075579926891651E-2</v>
      </c>
      <c r="U84" s="148">
        <v>5.9528224990847999E-2</v>
      </c>
      <c r="V84" s="148">
        <v>3.3495177178797839E-2</v>
      </c>
      <c r="W84" s="148" t="s">
        <v>88</v>
      </c>
      <c r="X84" s="148">
        <v>-0.10004457144069427</v>
      </c>
      <c r="Y84" s="148">
        <v>3.7426538106636138E-3</v>
      </c>
      <c r="Z84" s="148">
        <v>3.742653810663632E-3</v>
      </c>
      <c r="AA84" s="150">
        <v>1.4866689098504715E-2</v>
      </c>
    </row>
    <row r="85" spans="1:27" s="138" customFormat="1" ht="12.75">
      <c r="A85" s="147" t="s">
        <v>711</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2.75">
      <c r="A86" s="147" t="s">
        <v>712</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2.75">
      <c r="A87" s="147" t="s">
        <v>713</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2.75">
      <c r="A88" s="147" t="s">
        <v>714</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2.75">
      <c r="A89" s="147" t="s">
        <v>715</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2.75">
      <c r="A90" s="147" t="s">
        <v>716</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2.75">
      <c r="A91" s="147" t="s">
        <v>717</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2.75">
      <c r="A92" s="147" t="s">
        <v>718</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2.75">
      <c r="A93" s="147" t="s">
        <v>719</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2.75">
      <c r="A94" s="147" t="s">
        <v>720</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2.75">
      <c r="A95" s="147" t="s">
        <v>721</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2.75">
      <c r="A96" s="147" t="s">
        <v>988</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2.75">
      <c r="A97" s="147" t="s">
        <v>987</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3" sqref="A3:XFD97"/>
    </sheetView>
  </sheetViews>
  <sheetFormatPr defaultColWidth="11" defaultRowHeight="12"/>
  <cols>
    <col min="1" max="1" width="41" customWidth="1"/>
    <col min="3" max="18" width="14.85546875" customWidth="1"/>
  </cols>
  <sheetData>
    <row r="1" spans="1:20" s="2" customFormat="1" ht="15">
      <c r="A1" s="347"/>
      <c r="B1" s="151"/>
      <c r="C1" s="707" t="s">
        <v>821</v>
      </c>
      <c r="D1" s="707"/>
      <c r="E1" s="707"/>
      <c r="F1" s="707" t="s">
        <v>822</v>
      </c>
      <c r="G1" s="707"/>
      <c r="H1" s="707"/>
      <c r="I1" s="708" t="s">
        <v>823</v>
      </c>
      <c r="J1" s="708"/>
      <c r="K1" s="708"/>
      <c r="L1" s="707" t="s">
        <v>534</v>
      </c>
      <c r="M1" s="707"/>
      <c r="N1" s="707"/>
      <c r="O1" s="151" t="s">
        <v>447</v>
      </c>
      <c r="P1" s="707" t="s">
        <v>824</v>
      </c>
      <c r="Q1" s="707"/>
      <c r="R1" s="707"/>
    </row>
    <row r="2" spans="1:20" ht="30">
      <c r="A2" s="345" t="s">
        <v>825</v>
      </c>
      <c r="B2" s="346" t="s">
        <v>826</v>
      </c>
      <c r="C2" s="346" t="s">
        <v>827</v>
      </c>
      <c r="D2" s="346" t="s">
        <v>738</v>
      </c>
      <c r="E2" s="346" t="s">
        <v>739</v>
      </c>
      <c r="F2" s="346" t="s">
        <v>827</v>
      </c>
      <c r="G2" s="346" t="s">
        <v>738</v>
      </c>
      <c r="H2" s="346" t="s">
        <v>739</v>
      </c>
      <c r="I2" s="346" t="s">
        <v>827</v>
      </c>
      <c r="J2" s="346" t="s">
        <v>738</v>
      </c>
      <c r="K2" s="346" t="s">
        <v>739</v>
      </c>
      <c r="L2" s="346" t="s">
        <v>827</v>
      </c>
      <c r="M2" s="346" t="s">
        <v>738</v>
      </c>
      <c r="N2" s="346" t="s">
        <v>739</v>
      </c>
      <c r="O2" s="346" t="s">
        <v>828</v>
      </c>
      <c r="P2" s="346" t="s">
        <v>827</v>
      </c>
      <c r="Q2" s="346" t="s">
        <v>738</v>
      </c>
      <c r="R2" s="346" t="s">
        <v>739</v>
      </c>
    </row>
    <row r="3" spans="1:20">
      <c r="A3" s="381" t="s">
        <v>87</v>
      </c>
      <c r="B3" s="382">
        <v>391</v>
      </c>
      <c r="C3" s="383">
        <v>-2.2700000000000001E-2</v>
      </c>
      <c r="D3" s="383">
        <v>7.9300000000000009E-2</v>
      </c>
      <c r="E3" s="383">
        <v>0.20699999999999999</v>
      </c>
      <c r="F3" s="383">
        <v>-5.1633986928104572E-2</v>
      </c>
      <c r="G3" s="383">
        <v>3.5119047619047619E-2</v>
      </c>
      <c r="H3" s="383">
        <v>9.8708288482238976E-2</v>
      </c>
      <c r="I3" s="384">
        <v>1.39654463183875</v>
      </c>
      <c r="J3" s="384">
        <v>3.16931982633864</v>
      </c>
      <c r="K3" s="384">
        <v>6.7938931297709937</v>
      </c>
      <c r="L3" s="385">
        <v>9.8368913154385867E-2</v>
      </c>
      <c r="M3" s="385">
        <v>0.1051764252570819</v>
      </c>
      <c r="N3" s="385">
        <v>0.1073344164058349</v>
      </c>
      <c r="O3" s="384">
        <v>0.64404645345996914</v>
      </c>
      <c r="P3" s="384">
        <v>1.2031445633027009</v>
      </c>
      <c r="Q3" s="384">
        <v>1.825686817107774</v>
      </c>
      <c r="R3" s="385">
        <v>8.7259590605014703E-3</v>
      </c>
      <c r="S3" s="385">
        <v>9.1552857865452725E-2</v>
      </c>
      <c r="T3" s="385">
        <v>0.28106528422796612</v>
      </c>
    </row>
    <row r="4" spans="1:20">
      <c r="A4" s="381" t="s">
        <v>638</v>
      </c>
      <c r="B4" s="382">
        <v>289</v>
      </c>
      <c r="C4" s="383">
        <v>2.6800000000000001E-3</v>
      </c>
      <c r="D4" s="383">
        <v>6.13E-2</v>
      </c>
      <c r="E4" s="383">
        <v>0.16700000000000001</v>
      </c>
      <c r="F4" s="383">
        <v>-6.3316944413315049E-2</v>
      </c>
      <c r="G4" s="383">
        <v>5.947497949138638E-2</v>
      </c>
      <c r="H4" s="383">
        <v>0.1221449851042701</v>
      </c>
      <c r="I4" s="384">
        <v>0.5795037109228578</v>
      </c>
      <c r="J4" s="384">
        <v>1.2162067352946451</v>
      </c>
      <c r="K4" s="384">
        <v>2.1735731039874899</v>
      </c>
      <c r="L4" s="385">
        <v>7.9271238199833033E-2</v>
      </c>
      <c r="M4" s="385">
        <v>8.5859806946517986E-2</v>
      </c>
      <c r="N4" s="385">
        <v>8.8884289652309531E-2</v>
      </c>
      <c r="O4" s="384">
        <v>0.50679933897897445</v>
      </c>
      <c r="P4" s="384">
        <v>0.92591218188963786</v>
      </c>
      <c r="Q4" s="384">
        <v>1.42046891056622</v>
      </c>
      <c r="R4" s="385">
        <v>1.17500141908384E-2</v>
      </c>
      <c r="S4" s="385">
        <v>9.7744360902255634E-2</v>
      </c>
      <c r="T4" s="385">
        <v>0.2356830085000429</v>
      </c>
    </row>
    <row r="5" spans="1:20">
      <c r="A5" s="381" t="s">
        <v>639</v>
      </c>
      <c r="B5" s="382">
        <v>155</v>
      </c>
      <c r="C5" s="383">
        <v>9.2100000000000015E-2</v>
      </c>
      <c r="D5" s="383">
        <v>0.188</v>
      </c>
      <c r="E5" s="383">
        <v>0.311</v>
      </c>
      <c r="F5" s="383">
        <v>-3.3665262351589433E-2</v>
      </c>
      <c r="G5" s="383">
        <v>8.6426014615391789E-2</v>
      </c>
      <c r="H5" s="383">
        <v>0.15355805243445689</v>
      </c>
      <c r="I5" s="384">
        <v>0.48226149534892232</v>
      </c>
      <c r="J5" s="384">
        <v>0.98182341102889681</v>
      </c>
      <c r="K5" s="384">
        <v>2.1586646661665418</v>
      </c>
      <c r="L5" s="385">
        <v>7.5486342708616927E-2</v>
      </c>
      <c r="M5" s="385">
        <v>8.078841968038647E-2</v>
      </c>
      <c r="N5" s="385">
        <v>9.5110904223329629E-2</v>
      </c>
      <c r="O5" s="384">
        <v>0.77849644793951789</v>
      </c>
      <c r="P5" s="384">
        <v>1.2407132337390749</v>
      </c>
      <c r="Q5" s="384">
        <v>1.6762918752643361</v>
      </c>
      <c r="R5" s="385">
        <v>0.15363174678162281</v>
      </c>
      <c r="S5" s="385">
        <v>0.43675793554640169</v>
      </c>
      <c r="T5" s="385">
        <v>0.62652889076339102</v>
      </c>
    </row>
    <row r="6" spans="1:20">
      <c r="A6" s="381" t="s">
        <v>640</v>
      </c>
      <c r="B6" s="382">
        <v>1152</v>
      </c>
      <c r="C6" s="383">
        <v>-1.1900000000000001E-2</v>
      </c>
      <c r="D6" s="383">
        <v>8.0299999999999996E-2</v>
      </c>
      <c r="E6" s="383">
        <v>0.20499999999999999</v>
      </c>
      <c r="F6" s="383">
        <v>-2.9923664218982259E-2</v>
      </c>
      <c r="G6" s="383">
        <v>3.8841807909604523E-2</v>
      </c>
      <c r="H6" s="383">
        <v>9.1279392705054613E-2</v>
      </c>
      <c r="I6" s="384">
        <v>0.64100737870715918</v>
      </c>
      <c r="J6" s="384">
        <v>1.214144230063825</v>
      </c>
      <c r="K6" s="384">
        <v>1.832142949870966</v>
      </c>
      <c r="L6" s="385">
        <v>8.0993989669333605E-2</v>
      </c>
      <c r="M6" s="385">
        <v>9.6238828393622244E-2</v>
      </c>
      <c r="N6" s="385">
        <v>9.9228700048922966E-2</v>
      </c>
      <c r="O6" s="384">
        <v>0.31337176684613482</v>
      </c>
      <c r="P6" s="384">
        <v>0.78843209721222962</v>
      </c>
      <c r="Q6" s="384">
        <v>1.304485262547038</v>
      </c>
      <c r="R6" s="385">
        <v>5.9593523940750938E-2</v>
      </c>
      <c r="S6" s="385">
        <v>0.2344753747323341</v>
      </c>
      <c r="T6" s="385">
        <v>0.51264044943820219</v>
      </c>
    </row>
    <row r="7" spans="1:20">
      <c r="A7" s="381" t="s">
        <v>641</v>
      </c>
      <c r="B7" s="382">
        <v>165</v>
      </c>
      <c r="C7" s="383">
        <v>4.3400000000000001E-2</v>
      </c>
      <c r="D7" s="383">
        <v>0.153</v>
      </c>
      <c r="E7" s="383">
        <v>0.24299999999999999</v>
      </c>
      <c r="F7" s="383">
        <v>-0.25438100621820242</v>
      </c>
      <c r="G7" s="383">
        <v>3.2249786142001712E-2</v>
      </c>
      <c r="H7" s="383">
        <v>8.5247446983405528E-2</v>
      </c>
      <c r="I7" s="384">
        <v>0.59156382706218424</v>
      </c>
      <c r="J7" s="384">
        <v>1.3672721945502491</v>
      </c>
      <c r="K7" s="384">
        <v>2.877554177724357</v>
      </c>
      <c r="L7" s="385">
        <v>8.5515379882284998E-2</v>
      </c>
      <c r="M7" s="385">
        <v>9.3588292440661039E-2</v>
      </c>
      <c r="N7" s="385">
        <v>9.926696977187735E-2</v>
      </c>
      <c r="O7" s="384">
        <v>0.8500670587943352</v>
      </c>
      <c r="P7" s="384">
        <v>1.391400674129436</v>
      </c>
      <c r="Q7" s="384">
        <v>1.824495963419501</v>
      </c>
      <c r="R7" s="385">
        <v>1.2847363320934011E-2</v>
      </c>
      <c r="S7" s="385">
        <v>0.13077098293439421</v>
      </c>
      <c r="T7" s="385">
        <v>0.37923897468555962</v>
      </c>
    </row>
    <row r="8" spans="1:20">
      <c r="A8" s="381" t="s">
        <v>642</v>
      </c>
      <c r="B8" s="382">
        <v>761</v>
      </c>
      <c r="C8" s="383">
        <v>7.7499999999999999E-2</v>
      </c>
      <c r="D8" s="383">
        <v>0.13300000000000001</v>
      </c>
      <c r="E8" s="383">
        <v>0.217</v>
      </c>
      <c r="F8" s="383">
        <v>1.7917865550614701E-2</v>
      </c>
      <c r="G8" s="383">
        <v>4.7520184544405999E-2</v>
      </c>
      <c r="H8" s="383">
        <v>8.7266957556525193E-2</v>
      </c>
      <c r="I8" s="384">
        <v>1.004318322023442</v>
      </c>
      <c r="J8" s="384">
        <v>1.6017003668480629</v>
      </c>
      <c r="K8" s="384">
        <v>2.360748843079512</v>
      </c>
      <c r="L8" s="385">
        <v>9.7752783671298915E-2</v>
      </c>
      <c r="M8" s="385">
        <v>0.1035398625191708</v>
      </c>
      <c r="N8" s="385">
        <v>0.1058675598881899</v>
      </c>
      <c r="O8" s="384">
        <v>0.83343193322942499</v>
      </c>
      <c r="P8" s="384">
        <v>1.2326263770775929</v>
      </c>
      <c r="Q8" s="384">
        <v>1.7032182941532601</v>
      </c>
      <c r="R8" s="385">
        <v>4.6287868937719412E-2</v>
      </c>
      <c r="S8" s="385">
        <v>0.18155644739138019</v>
      </c>
      <c r="T8" s="385">
        <v>0.41995532390171247</v>
      </c>
    </row>
    <row r="9" spans="1:20">
      <c r="A9" s="381" t="s">
        <v>643</v>
      </c>
      <c r="B9" s="382">
        <v>607</v>
      </c>
      <c r="C9" s="383">
        <v>8.2299999999999998E-2</v>
      </c>
      <c r="D9" s="383">
        <v>0.14199999999999999</v>
      </c>
      <c r="E9" s="383">
        <v>0.23899999999999999</v>
      </c>
      <c r="F9" s="383">
        <v>0</v>
      </c>
      <c r="G9" s="383">
        <v>0</v>
      </c>
      <c r="H9" s="383">
        <v>0</v>
      </c>
      <c r="I9" s="384">
        <v>0.14832233675880721</v>
      </c>
      <c r="J9" s="384">
        <v>0.25302318964290788</v>
      </c>
      <c r="K9" s="384">
        <v>0.47250592741200081</v>
      </c>
      <c r="L9" s="385">
        <v>6.1057184602870657E-2</v>
      </c>
      <c r="M9" s="385">
        <v>7.035018296351489E-2</v>
      </c>
      <c r="N9" s="385">
        <v>9.3087082322959355E-2</v>
      </c>
      <c r="O9" s="384">
        <v>0.26227643226427888</v>
      </c>
      <c r="P9" s="384">
        <v>0.83581184900367467</v>
      </c>
      <c r="Q9" s="384">
        <v>1.3217032246280911</v>
      </c>
      <c r="R9" s="385">
        <v>0.24816504661773461</v>
      </c>
      <c r="S9" s="385">
        <v>0.52342237347132226</v>
      </c>
      <c r="T9" s="385">
        <v>0.71974503894703401</v>
      </c>
    </row>
    <row r="10" spans="1:20">
      <c r="A10" s="381" t="s">
        <v>644</v>
      </c>
      <c r="B10" s="382">
        <v>881</v>
      </c>
      <c r="C10" s="383">
        <v>4.4400000000000002E-2</v>
      </c>
      <c r="D10" s="383">
        <v>9.1300000000000006E-2</v>
      </c>
      <c r="E10" s="383">
        <v>0.154</v>
      </c>
      <c r="F10" s="383">
        <v>0</v>
      </c>
      <c r="G10" s="383">
        <v>0</v>
      </c>
      <c r="H10" s="383">
        <v>1.1762702601801601E-3</v>
      </c>
      <c r="I10" s="384">
        <v>0.1858490566037736</v>
      </c>
      <c r="J10" s="384">
        <v>0.36245902598688501</v>
      </c>
      <c r="K10" s="384">
        <v>0.64026206800093544</v>
      </c>
      <c r="L10" s="385">
        <v>4.8812199519696023E-2</v>
      </c>
      <c r="M10" s="385">
        <v>5.0690933269209787E-2</v>
      </c>
      <c r="N10" s="385">
        <v>5.2263341917383903E-2</v>
      </c>
      <c r="O10" s="384">
        <v>0.20576876563708379</v>
      </c>
      <c r="P10" s="384">
        <v>0.44183421016873231</v>
      </c>
      <c r="Q10" s="384">
        <v>0.75755964088228867</v>
      </c>
      <c r="R10" s="385">
        <v>0.1392448709790364</v>
      </c>
      <c r="S10" s="385">
        <v>0.40390391060361019</v>
      </c>
      <c r="T10" s="385">
        <v>0.64856573799903994</v>
      </c>
    </row>
    <row r="11" spans="1:20">
      <c r="A11" s="381" t="s">
        <v>645</v>
      </c>
      <c r="B11" s="382">
        <v>220</v>
      </c>
      <c r="C11" s="383">
        <v>4.6199999999999998E-2</v>
      </c>
      <c r="D11" s="383">
        <v>0.104</v>
      </c>
      <c r="E11" s="383">
        <v>0.18</v>
      </c>
      <c r="F11" s="383">
        <v>1.8807906114885729E-2</v>
      </c>
      <c r="G11" s="383">
        <v>8.4073416222616923E-2</v>
      </c>
      <c r="H11" s="383">
        <v>0.19276317571420831</v>
      </c>
      <c r="I11" s="384">
        <v>0.59735066233441625</v>
      </c>
      <c r="J11" s="384">
        <v>1.099201909916441</v>
      </c>
      <c r="K11" s="384">
        <v>2.2064186725018242</v>
      </c>
      <c r="L11" s="385">
        <v>7.0590254258967533E-2</v>
      </c>
      <c r="M11" s="385">
        <v>7.7635008507330794E-2</v>
      </c>
      <c r="N11" s="385">
        <v>9.2296428072726297E-2</v>
      </c>
      <c r="O11" s="384">
        <v>0.33462101483050921</v>
      </c>
      <c r="P11" s="384">
        <v>0.71499469617823153</v>
      </c>
      <c r="Q11" s="384">
        <v>1.0818417133804721</v>
      </c>
      <c r="R11" s="385">
        <v>1.5985313736090641E-3</v>
      </c>
      <c r="S11" s="385">
        <v>6.2278575424202877E-2</v>
      </c>
      <c r="T11" s="385">
        <v>0.25914833879270011</v>
      </c>
    </row>
    <row r="12" spans="1:20">
      <c r="A12" s="381" t="s">
        <v>646</v>
      </c>
      <c r="B12" s="382">
        <v>100</v>
      </c>
      <c r="C12" s="383">
        <v>3.9399999999999998E-2</v>
      </c>
      <c r="D12" s="383">
        <v>9.9100000000000008E-2</v>
      </c>
      <c r="E12" s="383">
        <v>0.161</v>
      </c>
      <c r="F12" s="383">
        <v>-0.15729530546076209</v>
      </c>
      <c r="G12" s="383">
        <v>6.9186223712282835E-2</v>
      </c>
      <c r="H12" s="383">
        <v>0.12481613784408491</v>
      </c>
      <c r="I12" s="384">
        <v>1.2203143072819509</v>
      </c>
      <c r="J12" s="384">
        <v>1.8078935434307331</v>
      </c>
      <c r="K12" s="384">
        <v>2.881905298759865</v>
      </c>
      <c r="L12" s="385">
        <v>6.898751822706016E-2</v>
      </c>
      <c r="M12" s="385">
        <v>7.4663148247883365E-2</v>
      </c>
      <c r="N12" s="385">
        <v>8.4541278163389091E-2</v>
      </c>
      <c r="O12" s="384">
        <v>0.22786479295701201</v>
      </c>
      <c r="P12" s="384">
        <v>0.60046732075616294</v>
      </c>
      <c r="Q12" s="384">
        <v>0.96094380414422009</v>
      </c>
      <c r="R12" s="385">
        <v>6.9323618443652736E-3</v>
      </c>
      <c r="S12" s="385">
        <v>6.9020997690833294E-2</v>
      </c>
      <c r="T12" s="385">
        <v>0.31843427664638979</v>
      </c>
    </row>
    <row r="13" spans="1:20">
      <c r="A13" s="381" t="s">
        <v>647</v>
      </c>
      <c r="B13" s="382">
        <v>130</v>
      </c>
      <c r="C13" s="383">
        <v>-1.9499999999999999E-3</v>
      </c>
      <c r="D13" s="383">
        <v>4.5199999999999997E-2</v>
      </c>
      <c r="E13" s="383">
        <v>9.1199999999999989E-2</v>
      </c>
      <c r="F13" s="383">
        <v>-2.5093167701863359E-2</v>
      </c>
      <c r="G13" s="383">
        <v>5.3386867847322092E-2</v>
      </c>
      <c r="H13" s="383">
        <v>0.12275574112734861</v>
      </c>
      <c r="I13" s="384">
        <v>0.62006682922423917</v>
      </c>
      <c r="J13" s="384">
        <v>0.97970830691185806</v>
      </c>
      <c r="K13" s="384">
        <v>1.7490027615833079</v>
      </c>
      <c r="L13" s="385">
        <v>7.3671985896871503E-2</v>
      </c>
      <c r="M13" s="385">
        <v>7.7105048894718128E-2</v>
      </c>
      <c r="N13" s="385">
        <v>9.0980390496240335E-2</v>
      </c>
      <c r="O13" s="384">
        <v>0.5050759990877971</v>
      </c>
      <c r="P13" s="384">
        <v>1.021566703669367</v>
      </c>
      <c r="Q13" s="384">
        <v>1.5082100492417001</v>
      </c>
      <c r="R13" s="385">
        <v>4.0979425267811599E-2</v>
      </c>
      <c r="S13" s="385">
        <v>0.27675555555555559</v>
      </c>
      <c r="T13" s="385">
        <v>0.58266641995896939</v>
      </c>
    </row>
    <row r="14" spans="1:20">
      <c r="A14" s="381" t="s">
        <v>648</v>
      </c>
      <c r="B14" s="382">
        <v>590</v>
      </c>
      <c r="C14" s="383">
        <v>-3.7999999999999999E-2</v>
      </c>
      <c r="D14" s="383">
        <v>7.22E-2</v>
      </c>
      <c r="E14" s="383">
        <v>0.253</v>
      </c>
      <c r="F14" s="383">
        <v>0</v>
      </c>
      <c r="G14" s="383">
        <v>0</v>
      </c>
      <c r="H14" s="383">
        <v>0</v>
      </c>
      <c r="I14" s="384">
        <v>7.4910107870555326E-2</v>
      </c>
      <c r="J14" s="384">
        <v>0.22056464549246069</v>
      </c>
      <c r="K14" s="384">
        <v>0.83927016342135019</v>
      </c>
      <c r="L14" s="385">
        <v>5.9162074852326788E-2</v>
      </c>
      <c r="M14" s="385">
        <v>6.7316646960988935E-2</v>
      </c>
      <c r="N14" s="385">
        <v>7.0016294606005586E-2</v>
      </c>
      <c r="O14" s="384">
        <v>0.34934816903008681</v>
      </c>
      <c r="P14" s="384">
        <v>0.91188621511010148</v>
      </c>
      <c r="Q14" s="384">
        <v>1.454565665453819</v>
      </c>
      <c r="R14" s="385">
        <v>7.2254335260115614E-3</v>
      </c>
      <c r="S14" s="385">
        <v>0.14216163583252189</v>
      </c>
      <c r="T14" s="385">
        <v>0.535271943995692</v>
      </c>
    </row>
    <row r="15" spans="1:20">
      <c r="A15" s="381" t="s">
        <v>649</v>
      </c>
      <c r="B15" s="382">
        <v>457</v>
      </c>
      <c r="C15" s="383">
        <v>1.9699999999999999E-2</v>
      </c>
      <c r="D15" s="383">
        <v>9.1300000000000006E-2</v>
      </c>
      <c r="E15" s="383">
        <v>0.16900000000000001</v>
      </c>
      <c r="F15" s="383">
        <v>1.1531220583620961E-2</v>
      </c>
      <c r="G15" s="383">
        <v>6.788685524126456E-2</v>
      </c>
      <c r="H15" s="383">
        <v>0.1223618090452261</v>
      </c>
      <c r="I15" s="384">
        <v>0.90460112342306387</v>
      </c>
      <c r="J15" s="384">
        <v>1.4188241639697949</v>
      </c>
      <c r="K15" s="384">
        <v>2.2801180574188362</v>
      </c>
      <c r="L15" s="385">
        <v>8.4055881202148186E-2</v>
      </c>
      <c r="M15" s="385">
        <v>8.9746098467981844E-2</v>
      </c>
      <c r="N15" s="385">
        <v>0.1067230932795727</v>
      </c>
      <c r="O15" s="384">
        <v>0.50361931965709406</v>
      </c>
      <c r="P15" s="384">
        <v>0.97479407324890321</v>
      </c>
      <c r="Q15" s="384">
        <v>1.462454217342408</v>
      </c>
      <c r="R15" s="385">
        <v>5.6306306306306307E-2</v>
      </c>
      <c r="S15" s="385">
        <v>0.17347670250896061</v>
      </c>
      <c r="T15" s="385">
        <v>0.3712599755647405</v>
      </c>
    </row>
    <row r="16" spans="1:20">
      <c r="A16" s="381" t="s">
        <v>650</v>
      </c>
      <c r="B16" s="382">
        <v>980</v>
      </c>
      <c r="C16" s="383">
        <v>2.5899999999999999E-2</v>
      </c>
      <c r="D16" s="383">
        <v>8.8000000000000009E-2</v>
      </c>
      <c r="E16" s="383">
        <v>0.184</v>
      </c>
      <c r="F16" s="383">
        <v>0</v>
      </c>
      <c r="G16" s="383">
        <v>5.6992411336533988E-2</v>
      </c>
      <c r="H16" s="383">
        <v>0.12009803921568631</v>
      </c>
      <c r="I16" s="384">
        <v>0.93913236599193484</v>
      </c>
      <c r="J16" s="384">
        <v>2.3883696780893051</v>
      </c>
      <c r="K16" s="384">
        <v>5.5188573634433524</v>
      </c>
      <c r="L16" s="385">
        <v>8.2551489456379995E-2</v>
      </c>
      <c r="M16" s="385">
        <v>8.9927961663523348E-2</v>
      </c>
      <c r="N16" s="385">
        <v>9.2480087885235415E-2</v>
      </c>
      <c r="O16" s="384">
        <v>0.52214866389946868</v>
      </c>
      <c r="P16" s="384">
        <v>0.98994782266861725</v>
      </c>
      <c r="Q16" s="384">
        <v>1.4597642693398669</v>
      </c>
      <c r="R16" s="385">
        <v>1.296590447342174E-2</v>
      </c>
      <c r="S16" s="385">
        <v>0.1105722599418041</v>
      </c>
      <c r="T16" s="385">
        <v>0.30574707223514203</v>
      </c>
    </row>
    <row r="17" spans="1:20">
      <c r="A17" s="381" t="s">
        <v>651</v>
      </c>
      <c r="B17" s="382">
        <v>48</v>
      </c>
      <c r="C17" s="383">
        <v>-4.07E-2</v>
      </c>
      <c r="D17" s="383">
        <v>4.3400000000000001E-3</v>
      </c>
      <c r="E17" s="383">
        <v>4.3400000000000001E-2</v>
      </c>
      <c r="F17" s="383">
        <v>-9.1737150292778152E-3</v>
      </c>
      <c r="G17" s="383">
        <v>4.7542074736141478E-2</v>
      </c>
      <c r="H17" s="383">
        <v>0.21133214126061689</v>
      </c>
      <c r="I17" s="384">
        <v>0.33790013813527647</v>
      </c>
      <c r="J17" s="384">
        <v>0.64965187311082884</v>
      </c>
      <c r="K17" s="384">
        <v>1.1594792514239221</v>
      </c>
      <c r="L17" s="385">
        <v>6.739569145758198E-2</v>
      </c>
      <c r="M17" s="385">
        <v>7.1876753249916561E-2</v>
      </c>
      <c r="N17" s="385">
        <v>8.5059001021192848E-2</v>
      </c>
      <c r="O17" s="384">
        <v>0.63308454554368099</v>
      </c>
      <c r="P17" s="384">
        <v>1.077758748701366</v>
      </c>
      <c r="Q17" s="384">
        <v>1.35366209359659</v>
      </c>
      <c r="R17" s="385">
        <v>3.4184225603157432E-2</v>
      </c>
      <c r="S17" s="385">
        <v>0.37973593570608499</v>
      </c>
      <c r="T17" s="385">
        <v>0.6462093862815883</v>
      </c>
    </row>
    <row r="18" spans="1:20">
      <c r="A18" s="381" t="s">
        <v>607</v>
      </c>
      <c r="B18" s="382">
        <v>888</v>
      </c>
      <c r="C18" s="383">
        <v>4.4900000000000002E-2</v>
      </c>
      <c r="D18" s="383">
        <v>0.12</v>
      </c>
      <c r="E18" s="383">
        <v>0.224</v>
      </c>
      <c r="F18" s="383">
        <v>-1.032702237521515E-3</v>
      </c>
      <c r="G18" s="383">
        <v>5.1594746716697941E-2</v>
      </c>
      <c r="H18" s="383">
        <v>0.10982728888820981</v>
      </c>
      <c r="I18" s="384">
        <v>0.77788780893163878</v>
      </c>
      <c r="J18" s="384">
        <v>1.202037780335139</v>
      </c>
      <c r="K18" s="384">
        <v>1.7745684892506199</v>
      </c>
      <c r="L18" s="385">
        <v>8.6175271292002364E-2</v>
      </c>
      <c r="M18" s="385">
        <v>8.908717075301946E-2</v>
      </c>
      <c r="N18" s="385">
        <v>0.105663611238849</v>
      </c>
      <c r="O18" s="384">
        <v>0.61773385254689483</v>
      </c>
      <c r="P18" s="384">
        <v>1.0460701222022051</v>
      </c>
      <c r="Q18" s="384">
        <v>1.4865731041319969</v>
      </c>
      <c r="R18" s="385">
        <v>2.782797253342971E-2</v>
      </c>
      <c r="S18" s="385">
        <v>0.14996591683708249</v>
      </c>
      <c r="T18" s="385">
        <v>0.36321839080459772</v>
      </c>
    </row>
    <row r="19" spans="1:20">
      <c r="A19" s="381" t="s">
        <v>652</v>
      </c>
      <c r="B19" s="382">
        <v>64</v>
      </c>
      <c r="C19" s="383">
        <v>5.6599999999999998E-2</v>
      </c>
      <c r="D19" s="383">
        <v>0.12</v>
      </c>
      <c r="E19" s="383">
        <v>0.184</v>
      </c>
      <c r="F19" s="383">
        <v>2.8508099578453079E-2</v>
      </c>
      <c r="G19" s="383">
        <v>7.0441779262183077E-2</v>
      </c>
      <c r="H19" s="383">
        <v>0.13496503496503501</v>
      </c>
      <c r="I19" s="384">
        <v>0.9055361525391733</v>
      </c>
      <c r="J19" s="384">
        <v>1.2013742943166921</v>
      </c>
      <c r="K19" s="384">
        <v>1.6386363636363639</v>
      </c>
      <c r="L19" s="385">
        <v>7.9509877905597881E-2</v>
      </c>
      <c r="M19" s="385">
        <v>8.4179248033810064E-2</v>
      </c>
      <c r="N19" s="385">
        <v>0.1037641729694857</v>
      </c>
      <c r="O19" s="384">
        <v>0.69931012303454854</v>
      </c>
      <c r="P19" s="384">
        <v>1.125450608340361</v>
      </c>
      <c r="Q19" s="384">
        <v>1.366194871117592</v>
      </c>
      <c r="R19" s="385">
        <v>0.1152705328832975</v>
      </c>
      <c r="S19" s="385">
        <v>0.2523215812603154</v>
      </c>
      <c r="T19" s="385">
        <v>0.45016568952332398</v>
      </c>
    </row>
    <row r="20" spans="1:20">
      <c r="A20" s="381" t="s">
        <v>608</v>
      </c>
      <c r="B20" s="382">
        <v>949</v>
      </c>
      <c r="C20" s="383">
        <v>3.8199999999999998E-2</v>
      </c>
      <c r="D20" s="383">
        <v>0.114</v>
      </c>
      <c r="E20" s="383">
        <v>0.21099999999999999</v>
      </c>
      <c r="F20" s="383">
        <v>2.4778761061946901E-3</v>
      </c>
      <c r="G20" s="383">
        <v>6.4837905236907731E-2</v>
      </c>
      <c r="H20" s="383">
        <v>0.13211678832116791</v>
      </c>
      <c r="I20" s="384">
        <v>0.68293605751040476</v>
      </c>
      <c r="J20" s="384">
        <v>1.1290889905029899</v>
      </c>
      <c r="K20" s="384">
        <v>1.641500882591479</v>
      </c>
      <c r="L20" s="385">
        <v>8.6075634386728189E-2</v>
      </c>
      <c r="M20" s="385">
        <v>9.0453212406041816E-2</v>
      </c>
      <c r="N20" s="385">
        <v>0.10958155931542581</v>
      </c>
      <c r="O20" s="384">
        <v>0.55864880072291412</v>
      </c>
      <c r="P20" s="384">
        <v>0.98246808737811742</v>
      </c>
      <c r="Q20" s="384">
        <v>1.424573869727302</v>
      </c>
      <c r="R20" s="385">
        <v>2.2947399791387279E-2</v>
      </c>
      <c r="S20" s="385">
        <v>0.11871435977190251</v>
      </c>
      <c r="T20" s="385">
        <v>0.28119814863330722</v>
      </c>
    </row>
    <row r="21" spans="1:20">
      <c r="A21" s="381" t="s">
        <v>653</v>
      </c>
      <c r="B21" s="382">
        <v>215</v>
      </c>
      <c r="C21" s="383">
        <v>0.11</v>
      </c>
      <c r="D21" s="383">
        <v>0.21199999999999999</v>
      </c>
      <c r="E21" s="383">
        <v>0.377</v>
      </c>
      <c r="F21" s="383">
        <v>-0.12984293193717281</v>
      </c>
      <c r="G21" s="383">
        <v>0.10663067319048419</v>
      </c>
      <c r="H21" s="383">
        <v>0.2382934443288241</v>
      </c>
      <c r="I21" s="384">
        <v>0</v>
      </c>
      <c r="J21" s="384">
        <v>0.61824288863230825</v>
      </c>
      <c r="K21" s="384">
        <v>1.7984</v>
      </c>
      <c r="L21" s="385">
        <v>8.8659150659554029E-2</v>
      </c>
      <c r="M21" s="385">
        <v>9.0491515077426782E-2</v>
      </c>
      <c r="N21" s="385">
        <v>0.1110428409979302</v>
      </c>
      <c r="O21" s="384">
        <v>0.37273515689857589</v>
      </c>
      <c r="P21" s="384">
        <v>0.94447256969600923</v>
      </c>
      <c r="Q21" s="384">
        <v>1.5759264830402531</v>
      </c>
      <c r="R21" s="385">
        <v>5.6641279985039502E-5</v>
      </c>
      <c r="S21" s="385">
        <v>5.5174470623322397E-2</v>
      </c>
      <c r="T21" s="385">
        <v>0.26183239253148072</v>
      </c>
    </row>
    <row r="22" spans="1:20">
      <c r="A22" s="381" t="s">
        <v>480</v>
      </c>
      <c r="B22" s="382">
        <v>1164</v>
      </c>
      <c r="C22" s="383">
        <v>1.61E-2</v>
      </c>
      <c r="D22" s="383">
        <v>9.7299999999999998E-2</v>
      </c>
      <c r="E22" s="383">
        <v>0.19500000000000001</v>
      </c>
      <c r="F22" s="383">
        <v>5.176534492123846E-3</v>
      </c>
      <c r="G22" s="383">
        <v>4.8730727812355261E-2</v>
      </c>
      <c r="H22" s="383">
        <v>9.931170108161258E-2</v>
      </c>
      <c r="I22" s="384">
        <v>1.43595041322314</v>
      </c>
      <c r="J22" s="384">
        <v>3.043881334981458</v>
      </c>
      <c r="K22" s="384">
        <v>6.2760410766795243</v>
      </c>
      <c r="L22" s="385">
        <v>9.0435128423229622E-2</v>
      </c>
      <c r="M22" s="385">
        <v>9.4092554018151295E-2</v>
      </c>
      <c r="N22" s="385">
        <v>0.1076934404282229</v>
      </c>
      <c r="O22" s="384">
        <v>0.56489000841661041</v>
      </c>
      <c r="P22" s="384">
        <v>1.003765905072171</v>
      </c>
      <c r="Q22" s="384">
        <v>1.4479326003142361</v>
      </c>
      <c r="R22" s="385">
        <v>1.05382911202922E-2</v>
      </c>
      <c r="S22" s="385">
        <v>7.2695275483958322E-2</v>
      </c>
      <c r="T22" s="385">
        <v>0.22466742683390351</v>
      </c>
    </row>
    <row r="23" spans="1:20">
      <c r="A23" s="381" t="s">
        <v>654</v>
      </c>
      <c r="B23" s="382">
        <v>338</v>
      </c>
      <c r="C23" s="383">
        <v>-4.2099999999999999E-2</v>
      </c>
      <c r="D23" s="383">
        <v>3.3599999999999998E-2</v>
      </c>
      <c r="E23" s="383">
        <v>0.10199999999999999</v>
      </c>
      <c r="F23" s="383">
        <v>-5.0424242424242427E-2</v>
      </c>
      <c r="G23" s="383">
        <v>2.903225806451613E-2</v>
      </c>
      <c r="H23" s="383">
        <v>9.3099985158538942E-2</v>
      </c>
      <c r="I23" s="384">
        <v>0.82610680054769503</v>
      </c>
      <c r="J23" s="384">
        <v>1.554752066115703</v>
      </c>
      <c r="K23" s="384">
        <v>2.804967129291454</v>
      </c>
      <c r="L23" s="385">
        <v>0.1024153249601094</v>
      </c>
      <c r="M23" s="385">
        <v>0.106235527278809</v>
      </c>
      <c r="N23" s="385">
        <v>0.1083986321335266</v>
      </c>
      <c r="O23" s="384">
        <v>0.80594147755135415</v>
      </c>
      <c r="P23" s="384">
        <v>1.2083900919479871</v>
      </c>
      <c r="Q23" s="384">
        <v>1.710163280085617</v>
      </c>
      <c r="R23" s="385">
        <v>1.7491517491517491E-2</v>
      </c>
      <c r="S23" s="385">
        <v>9.4281298299845426E-2</v>
      </c>
      <c r="T23" s="385">
        <v>0.26586274493279588</v>
      </c>
    </row>
    <row r="24" spans="1:20">
      <c r="A24" s="381" t="s">
        <v>655</v>
      </c>
      <c r="B24" s="382">
        <v>453</v>
      </c>
      <c r="C24" s="383">
        <v>1.41E-2</v>
      </c>
      <c r="D24" s="383">
        <v>9.9700000000000011E-2</v>
      </c>
      <c r="E24" s="383">
        <v>0.19500000000000001</v>
      </c>
      <c r="F24" s="383">
        <v>1.701214721701819E-2</v>
      </c>
      <c r="G24" s="383">
        <v>8.0414012738853499E-2</v>
      </c>
      <c r="H24" s="383">
        <v>0.13706932337069319</v>
      </c>
      <c r="I24" s="384">
        <v>0.55162364696086597</v>
      </c>
      <c r="J24" s="384">
        <v>0.97304204953447349</v>
      </c>
      <c r="K24" s="384">
        <v>1.472868217054264</v>
      </c>
      <c r="L24" s="385">
        <v>7.6860995537767193E-2</v>
      </c>
      <c r="M24" s="385">
        <v>8.8576335111363841E-2</v>
      </c>
      <c r="N24" s="385">
        <v>9.8003282221890045E-2</v>
      </c>
      <c r="O24" s="384">
        <v>0.4269034632197925</v>
      </c>
      <c r="P24" s="384">
        <v>0.90570366123113721</v>
      </c>
      <c r="Q24" s="384">
        <v>1.348416564951304</v>
      </c>
      <c r="R24" s="385">
        <v>3.4221525600835953E-2</v>
      </c>
      <c r="S24" s="385">
        <v>0.18165266106442579</v>
      </c>
      <c r="T24" s="385">
        <v>0.38830376940133038</v>
      </c>
    </row>
    <row r="25" spans="1:20">
      <c r="A25" s="381" t="s">
        <v>656</v>
      </c>
      <c r="B25" s="382">
        <v>326</v>
      </c>
      <c r="C25" s="383">
        <v>4.4600000000000001E-2</v>
      </c>
      <c r="D25" s="383">
        <v>0.126</v>
      </c>
      <c r="E25" s="383">
        <v>0.23100000000000001</v>
      </c>
      <c r="F25" s="383">
        <v>2.756813417190775E-2</v>
      </c>
      <c r="G25" s="383">
        <v>9.4475893031426908E-2</v>
      </c>
      <c r="H25" s="383">
        <v>0.18014398124895359</v>
      </c>
      <c r="I25" s="384">
        <v>0.2325669374080096</v>
      </c>
      <c r="J25" s="384">
        <v>0.71143977473091402</v>
      </c>
      <c r="K25" s="384">
        <v>1.801159251408883</v>
      </c>
      <c r="L25" s="385">
        <v>7.3422261155270119E-2</v>
      </c>
      <c r="M25" s="385">
        <v>8.1190829481187304E-2</v>
      </c>
      <c r="N25" s="385">
        <v>9.5704953907412543E-2</v>
      </c>
      <c r="O25" s="384">
        <v>0.39937513425005577</v>
      </c>
      <c r="P25" s="384">
        <v>0.91692326416688696</v>
      </c>
      <c r="Q25" s="384">
        <v>1.4354777695501419</v>
      </c>
      <c r="R25" s="385">
        <v>5.2009163174845378E-2</v>
      </c>
      <c r="S25" s="385">
        <v>0.30847457627118652</v>
      </c>
      <c r="T25" s="385">
        <v>0.58820798514391825</v>
      </c>
    </row>
    <row r="26" spans="1:20">
      <c r="A26" s="381" t="s">
        <v>657</v>
      </c>
      <c r="B26" s="382">
        <v>1259</v>
      </c>
      <c r="C26" s="383">
        <v>-5.3000000000000012E-2</v>
      </c>
      <c r="D26" s="383">
        <v>0.11</v>
      </c>
      <c r="E26" s="383">
        <v>0.39900000000000002</v>
      </c>
      <c r="F26" s="383">
        <v>-12.87079134971378</v>
      </c>
      <c r="G26" s="383">
        <v>-2.4214876033057848</v>
      </c>
      <c r="H26" s="383">
        <v>-0.1676470588235294</v>
      </c>
      <c r="I26" s="384">
        <v>1.864031639602062E-3</v>
      </c>
      <c r="J26" s="384">
        <v>0.1721311475409836</v>
      </c>
      <c r="K26" s="384">
        <v>0.73742500448734283</v>
      </c>
      <c r="L26" s="385">
        <v>9.1072565426142033E-2</v>
      </c>
      <c r="M26" s="385">
        <v>9.1657596156034693E-2</v>
      </c>
      <c r="N26" s="385">
        <v>0.100632247162767</v>
      </c>
      <c r="O26" s="384">
        <v>0.64125422674718369</v>
      </c>
      <c r="P26" s="384">
        <v>1.108579338558525</v>
      </c>
      <c r="Q26" s="384">
        <v>1.636713621680469</v>
      </c>
      <c r="R26" s="385">
        <v>3.541787809906433E-3</v>
      </c>
      <c r="S26" s="385">
        <v>4.0448358752564487E-2</v>
      </c>
      <c r="T26" s="385">
        <v>0.16687404949536841</v>
      </c>
    </row>
    <row r="27" spans="1:20">
      <c r="A27" s="381" t="s">
        <v>658</v>
      </c>
      <c r="B27" s="382">
        <v>1299</v>
      </c>
      <c r="C27" s="383">
        <v>1.21E-2</v>
      </c>
      <c r="D27" s="383">
        <v>0.09</v>
      </c>
      <c r="E27" s="383">
        <v>0.184</v>
      </c>
      <c r="F27" s="383">
        <v>-0.29809586342744582</v>
      </c>
      <c r="G27" s="383">
        <v>5.2751091703056772E-2</v>
      </c>
      <c r="H27" s="383">
        <v>0.14265734265734259</v>
      </c>
      <c r="I27" s="384">
        <v>0.40850587576944603</v>
      </c>
      <c r="J27" s="384">
        <v>0.86039705208223149</v>
      </c>
      <c r="K27" s="384">
        <v>1.4076246334310849</v>
      </c>
      <c r="L27" s="385">
        <v>7.9469718270516937E-2</v>
      </c>
      <c r="M27" s="385">
        <v>8.6953548327754315E-2</v>
      </c>
      <c r="N27" s="385">
        <v>9.201961239183637E-2</v>
      </c>
      <c r="O27" s="384">
        <v>0.46895176326697879</v>
      </c>
      <c r="P27" s="384">
        <v>0.85473671620955738</v>
      </c>
      <c r="Q27" s="384">
        <v>1.321946073176484</v>
      </c>
      <c r="R27" s="385">
        <v>6.0790273556231003E-3</v>
      </c>
      <c r="S27" s="385">
        <v>7.8341316186601923E-2</v>
      </c>
      <c r="T27" s="385">
        <v>0.25696257615317658</v>
      </c>
    </row>
    <row r="28" spans="1:20">
      <c r="A28" s="381" t="s">
        <v>659</v>
      </c>
      <c r="B28" s="382">
        <v>260</v>
      </c>
      <c r="C28" s="383">
        <v>5.0699999999999999E-3</v>
      </c>
      <c r="D28" s="383">
        <v>9.5700000000000007E-2</v>
      </c>
      <c r="E28" s="383">
        <v>0.20599999999999999</v>
      </c>
      <c r="F28" s="383">
        <v>-3.4218289085545722E-2</v>
      </c>
      <c r="G28" s="383">
        <v>8.1516327420007417E-2</v>
      </c>
      <c r="H28" s="383">
        <v>0.18567961165048541</v>
      </c>
      <c r="I28" s="384">
        <v>0.40054505080411812</v>
      </c>
      <c r="J28" s="384">
        <v>1.024233498460303</v>
      </c>
      <c r="K28" s="384">
        <v>2.3218256449224999</v>
      </c>
      <c r="L28" s="385">
        <v>7.4982915247120502E-2</v>
      </c>
      <c r="M28" s="385">
        <v>7.9801161813569332E-2</v>
      </c>
      <c r="N28" s="385">
        <v>9.0952779327821559E-2</v>
      </c>
      <c r="O28" s="384">
        <v>0.25999299315069918</v>
      </c>
      <c r="P28" s="384">
        <v>0.76815424342142657</v>
      </c>
      <c r="Q28" s="384">
        <v>1.2303193158678609</v>
      </c>
      <c r="R28" s="385">
        <v>1.8241067432480051E-2</v>
      </c>
      <c r="S28" s="385">
        <v>0.13119447640132639</v>
      </c>
      <c r="T28" s="385">
        <v>0.38600107194792721</v>
      </c>
    </row>
    <row r="29" spans="1:20">
      <c r="A29" s="381" t="s">
        <v>660</v>
      </c>
      <c r="B29" s="382">
        <v>1072</v>
      </c>
      <c r="C29" s="383">
        <v>3.4200000000000001E-2</v>
      </c>
      <c r="D29" s="383">
        <v>0.127</v>
      </c>
      <c r="E29" s="383">
        <v>0.26600000000000001</v>
      </c>
      <c r="F29" s="383">
        <v>-1.394495412844037E-2</v>
      </c>
      <c r="G29" s="383">
        <v>4.9710424710424722E-2</v>
      </c>
      <c r="H29" s="383">
        <v>0.1025670302758301</v>
      </c>
      <c r="I29" s="384">
        <v>0.78538440641130125</v>
      </c>
      <c r="J29" s="384">
        <v>1.41271676300578</v>
      </c>
      <c r="K29" s="384">
        <v>2.2093023255813948</v>
      </c>
      <c r="L29" s="385">
        <v>9.4618825713111573E-2</v>
      </c>
      <c r="M29" s="385">
        <v>9.9047605268538855E-2</v>
      </c>
      <c r="N29" s="385">
        <v>0.1007969718433285</v>
      </c>
      <c r="O29" s="384">
        <v>0.59187048214305615</v>
      </c>
      <c r="P29" s="384">
        <v>1.0802452571609269</v>
      </c>
      <c r="Q29" s="384">
        <v>1.609268762135982</v>
      </c>
      <c r="R29" s="385">
        <v>1.758539059857964E-2</v>
      </c>
      <c r="S29" s="385">
        <v>0.1031278245332282</v>
      </c>
      <c r="T29" s="385">
        <v>0.2700361010830325</v>
      </c>
    </row>
    <row r="30" spans="1:20">
      <c r="A30" s="381" t="s">
        <v>661</v>
      </c>
      <c r="B30" s="382">
        <v>127</v>
      </c>
      <c r="C30" s="383">
        <v>-4.3799999999999999E-2</v>
      </c>
      <c r="D30" s="383">
        <v>5.7299999999999997E-2</v>
      </c>
      <c r="E30" s="383">
        <v>0.13800000000000001</v>
      </c>
      <c r="F30" s="383">
        <v>-5.8013245033112587E-2</v>
      </c>
      <c r="G30" s="383">
        <v>3.0385984122638921E-2</v>
      </c>
      <c r="H30" s="383">
        <v>7.2623008916520793E-2</v>
      </c>
      <c r="I30" s="384">
        <v>1.061159287996349</v>
      </c>
      <c r="J30" s="384">
        <v>1.7415540540540539</v>
      </c>
      <c r="K30" s="384">
        <v>2.7806122448979589</v>
      </c>
      <c r="L30" s="385">
        <v>9.1095182079025519E-2</v>
      </c>
      <c r="M30" s="385">
        <v>9.7766250587527123E-2</v>
      </c>
      <c r="N30" s="385">
        <v>0.1002032992344775</v>
      </c>
      <c r="O30" s="384">
        <v>0.718953127517035</v>
      </c>
      <c r="P30" s="384">
        <v>1.1791041082450231</v>
      </c>
      <c r="Q30" s="384">
        <v>1.7511808824608479</v>
      </c>
      <c r="R30" s="385">
        <v>2.684718895188461E-2</v>
      </c>
      <c r="S30" s="385">
        <v>0.1316793893129771</v>
      </c>
      <c r="T30" s="385">
        <v>0.33923694446743358</v>
      </c>
    </row>
    <row r="31" spans="1:20">
      <c r="A31" s="381" t="s">
        <v>609</v>
      </c>
      <c r="B31" s="382">
        <v>1486</v>
      </c>
      <c r="C31" s="383">
        <v>-1.66E-2</v>
      </c>
      <c r="D31" s="383">
        <v>6.2100000000000002E-2</v>
      </c>
      <c r="E31" s="383">
        <v>0.14899999999999999</v>
      </c>
      <c r="F31" s="383">
        <v>-6.2843331136014063E-2</v>
      </c>
      <c r="G31" s="383">
        <v>4.0592783505154641E-2</v>
      </c>
      <c r="H31" s="383">
        <v>0.1001949317738791</v>
      </c>
      <c r="I31" s="384">
        <v>0.70420624151967448</v>
      </c>
      <c r="J31" s="384">
        <v>1.1958670260557049</v>
      </c>
      <c r="K31" s="384">
        <v>1.9261555920319371</v>
      </c>
      <c r="L31" s="385">
        <v>0.1031493045695606</v>
      </c>
      <c r="M31" s="385">
        <v>0.1076605877335424</v>
      </c>
      <c r="N31" s="385">
        <v>0.110100820170016</v>
      </c>
      <c r="O31" s="384">
        <v>0.74697007790277459</v>
      </c>
      <c r="P31" s="384">
        <v>1.2548713041103781</v>
      </c>
      <c r="Q31" s="384">
        <v>1.7892109651391681</v>
      </c>
      <c r="R31" s="385">
        <v>1.532017348571052E-2</v>
      </c>
      <c r="S31" s="385">
        <v>8.8923309106795342E-2</v>
      </c>
      <c r="T31" s="385">
        <v>0.22887323943661969</v>
      </c>
    </row>
    <row r="32" spans="1:20">
      <c r="A32" s="381" t="s">
        <v>662</v>
      </c>
      <c r="B32" s="382">
        <v>1623</v>
      </c>
      <c r="C32" s="383">
        <v>-1.9199999999999998E-2</v>
      </c>
      <c r="D32" s="383">
        <v>6.6799999999999998E-2</v>
      </c>
      <c r="E32" s="383">
        <v>0.17699999999999999</v>
      </c>
      <c r="F32" s="383">
        <v>-2.638888888888889E-3</v>
      </c>
      <c r="G32" s="383">
        <v>4.3013957234106288E-2</v>
      </c>
      <c r="H32" s="383">
        <v>8.4222442337625589E-2</v>
      </c>
      <c r="I32" s="384">
        <v>0.76843713880118847</v>
      </c>
      <c r="J32" s="384">
        <v>1.6409270532948841</v>
      </c>
      <c r="K32" s="384">
        <v>3.0095020904599008</v>
      </c>
      <c r="L32" s="385">
        <v>7.8205430341949767E-2</v>
      </c>
      <c r="M32" s="385">
        <v>8.2062412710188742E-2</v>
      </c>
      <c r="N32" s="385">
        <v>9.6285989955917903E-2</v>
      </c>
      <c r="O32" s="384">
        <v>0.52498999191566509</v>
      </c>
      <c r="P32" s="384">
        <v>0.9668772105712965</v>
      </c>
      <c r="Q32" s="384">
        <v>1.4556827687764271</v>
      </c>
      <c r="R32" s="385">
        <v>3.9863457350352967E-2</v>
      </c>
      <c r="S32" s="385">
        <v>0.19360269360269361</v>
      </c>
      <c r="T32" s="385">
        <v>0.47414599065084501</v>
      </c>
    </row>
    <row r="33" spans="1:20">
      <c r="A33" s="381" t="s">
        <v>481</v>
      </c>
      <c r="B33" s="382">
        <v>741</v>
      </c>
      <c r="C33" s="383">
        <v>-2.81E-2</v>
      </c>
      <c r="D33" s="383">
        <v>0.10199999999999999</v>
      </c>
      <c r="E33" s="383">
        <v>0.27200000000000002</v>
      </c>
      <c r="F33" s="383">
        <v>-0.24583333333333329</v>
      </c>
      <c r="G33" s="383">
        <v>1.0211554109031729E-2</v>
      </c>
      <c r="H33" s="383">
        <v>0.1103174603174603</v>
      </c>
      <c r="I33" s="384">
        <v>0.46513696193525428</v>
      </c>
      <c r="J33" s="384">
        <v>1.0767609344809419</v>
      </c>
      <c r="K33" s="384">
        <v>2.5351107504479868</v>
      </c>
      <c r="L33" s="385">
        <v>8.6149800632577725E-2</v>
      </c>
      <c r="M33" s="385">
        <v>9.4451054142624336E-2</v>
      </c>
      <c r="N33" s="385">
        <v>9.8198539751568892E-2</v>
      </c>
      <c r="O33" s="384">
        <v>0.51790710217947078</v>
      </c>
      <c r="P33" s="384">
        <v>1.0234609223468309</v>
      </c>
      <c r="Q33" s="384">
        <v>1.6622983137490639</v>
      </c>
      <c r="R33" s="385">
        <v>1.7865297260921469E-3</v>
      </c>
      <c r="S33" s="385">
        <v>5.1053330802808883E-2</v>
      </c>
      <c r="T33" s="385">
        <v>0.26079372001744439</v>
      </c>
    </row>
    <row r="34" spans="1:20">
      <c r="A34" s="381" t="s">
        <v>663</v>
      </c>
      <c r="B34" s="382">
        <v>383</v>
      </c>
      <c r="C34" s="383">
        <v>-1.8400000000000001E-3</v>
      </c>
      <c r="D34" s="383">
        <v>9.64E-2</v>
      </c>
      <c r="E34" s="383">
        <v>0.20799999999999999</v>
      </c>
      <c r="F34" s="383">
        <v>-6.7971193846196792E-2</v>
      </c>
      <c r="G34" s="383">
        <v>5.649484536082474E-2</v>
      </c>
      <c r="H34" s="383">
        <v>0.13621503814021069</v>
      </c>
      <c r="I34" s="384">
        <v>0.38359554534205409</v>
      </c>
      <c r="J34" s="384">
        <v>1.0009088155104511</v>
      </c>
      <c r="K34" s="384">
        <v>2.2971035273874389</v>
      </c>
      <c r="L34" s="385">
        <v>7.5795597071087711E-2</v>
      </c>
      <c r="M34" s="385">
        <v>8.1368650511546112E-2</v>
      </c>
      <c r="N34" s="385">
        <v>8.3760181369829517E-2</v>
      </c>
      <c r="O34" s="384">
        <v>0.49933754625596882</v>
      </c>
      <c r="P34" s="384">
        <v>0.89268697903728045</v>
      </c>
      <c r="Q34" s="384">
        <v>1.3226243272352971</v>
      </c>
      <c r="R34" s="385">
        <v>3.0687365375852149E-2</v>
      </c>
      <c r="S34" s="385">
        <v>0.17987594762232939</v>
      </c>
      <c r="T34" s="385">
        <v>0.3918840579710145</v>
      </c>
    </row>
    <row r="35" spans="1:20">
      <c r="A35" s="381" t="s">
        <v>664</v>
      </c>
      <c r="B35" s="382">
        <v>430</v>
      </c>
      <c r="C35" s="383">
        <v>4.9400000000000013E-2</v>
      </c>
      <c r="D35" s="383">
        <v>0.13700000000000001</v>
      </c>
      <c r="E35" s="383">
        <v>0.223</v>
      </c>
      <c r="F35" s="383">
        <v>-1.5964912280701751E-2</v>
      </c>
      <c r="G35" s="383">
        <v>5.4046928552596893E-2</v>
      </c>
      <c r="H35" s="383">
        <v>0.12788163641119099</v>
      </c>
      <c r="I35" s="384">
        <v>0.47943722943722938</v>
      </c>
      <c r="J35" s="384">
        <v>0.95073891625615758</v>
      </c>
      <c r="K35" s="384">
        <v>1.8051215075330009</v>
      </c>
      <c r="L35" s="385">
        <v>6.8874485547337119E-2</v>
      </c>
      <c r="M35" s="385">
        <v>7.5789520364149293E-2</v>
      </c>
      <c r="N35" s="385">
        <v>8.4804929434122267E-2</v>
      </c>
      <c r="O35" s="384">
        <v>0.26282076636908258</v>
      </c>
      <c r="P35" s="384">
        <v>0.69103787860573695</v>
      </c>
      <c r="Q35" s="384">
        <v>1.243845980013343</v>
      </c>
      <c r="R35" s="385">
        <v>1.9343662785102491E-2</v>
      </c>
      <c r="S35" s="385">
        <v>0.19631175953258609</v>
      </c>
      <c r="T35" s="385">
        <v>0.43012208696971133</v>
      </c>
    </row>
    <row r="36" spans="1:20">
      <c r="A36" s="381" t="s">
        <v>665</v>
      </c>
      <c r="B36" s="382">
        <v>1258</v>
      </c>
      <c r="C36" s="383">
        <v>1.3799999999999999E-3</v>
      </c>
      <c r="D36" s="383">
        <v>0.108</v>
      </c>
      <c r="E36" s="383">
        <v>0.23799999999999999</v>
      </c>
      <c r="F36" s="383">
        <v>0</v>
      </c>
      <c r="G36" s="383">
        <v>0</v>
      </c>
      <c r="H36" s="383">
        <v>0.1426094495015171</v>
      </c>
      <c r="I36" s="384">
        <v>9.4441934026208749E-2</v>
      </c>
      <c r="J36" s="384">
        <v>0.24963762280560481</v>
      </c>
      <c r="K36" s="384">
        <v>1.0266776604516319</v>
      </c>
      <c r="L36" s="385">
        <v>5.0151950254449962E-2</v>
      </c>
      <c r="M36" s="385">
        <v>5.4568432688531412E-2</v>
      </c>
      <c r="N36" s="385">
        <v>6.0590110911977017E-2</v>
      </c>
      <c r="O36" s="384">
        <v>0.35616133602226868</v>
      </c>
      <c r="P36" s="384">
        <v>0.84893033816250152</v>
      </c>
      <c r="Q36" s="384">
        <v>1.391376473162</v>
      </c>
      <c r="R36" s="385">
        <v>2.086214845550945E-2</v>
      </c>
      <c r="S36" s="385">
        <v>0.26515962145551941</v>
      </c>
      <c r="T36" s="385">
        <v>0.61336304303165357</v>
      </c>
    </row>
    <row r="37" spans="1:20">
      <c r="A37" s="381" t="s">
        <v>666</v>
      </c>
      <c r="B37" s="382">
        <v>1657</v>
      </c>
      <c r="C37" s="383">
        <v>2.52E-2</v>
      </c>
      <c r="D37" s="383">
        <v>8.6699999999999999E-2</v>
      </c>
      <c r="E37" s="383">
        <v>0.16900000000000001</v>
      </c>
      <c r="F37" s="383">
        <v>8.1420595533498764E-3</v>
      </c>
      <c r="G37" s="383">
        <v>5.0122662435914393E-2</v>
      </c>
      <c r="H37" s="383">
        <v>9.9248120300751877E-2</v>
      </c>
      <c r="I37" s="384">
        <v>0.94142259414225937</v>
      </c>
      <c r="J37" s="384">
        <v>1.543430886748959</v>
      </c>
      <c r="K37" s="384">
        <v>2.3561181434599159</v>
      </c>
      <c r="L37" s="385">
        <v>7.1256765116307588E-2</v>
      </c>
      <c r="M37" s="385">
        <v>7.6398476893394379E-2</v>
      </c>
      <c r="N37" s="385">
        <v>8.7020396861583402E-2</v>
      </c>
      <c r="O37" s="384">
        <v>0.27463991068847782</v>
      </c>
      <c r="P37" s="384">
        <v>0.64927987898312611</v>
      </c>
      <c r="Q37" s="384">
        <v>1.093717007396882</v>
      </c>
      <c r="R37" s="385">
        <v>4.1377537907992798E-2</v>
      </c>
      <c r="S37" s="385">
        <v>0.18660005877167199</v>
      </c>
      <c r="T37" s="385">
        <v>0.41446783278980143</v>
      </c>
    </row>
    <row r="38" spans="1:20">
      <c r="A38" s="381" t="s">
        <v>667</v>
      </c>
      <c r="B38" s="382">
        <v>173</v>
      </c>
      <c r="C38" s="383">
        <v>1.47E-2</v>
      </c>
      <c r="D38" s="383">
        <v>7.7600000000000002E-2</v>
      </c>
      <c r="E38" s="383">
        <v>0.21299999999999999</v>
      </c>
      <c r="F38" s="383">
        <v>6.5419354838709681E-3</v>
      </c>
      <c r="G38" s="383">
        <v>2.4795321637426902E-2</v>
      </c>
      <c r="H38" s="383">
        <v>5.0183835386699349E-2</v>
      </c>
      <c r="I38" s="384">
        <v>1.34020618556701</v>
      </c>
      <c r="J38" s="384">
        <v>3.2916239873424362</v>
      </c>
      <c r="K38" s="384">
        <v>6.5840787119856889</v>
      </c>
      <c r="L38" s="385">
        <v>6.4436778011738388E-2</v>
      </c>
      <c r="M38" s="385">
        <v>6.7205635937507557E-2</v>
      </c>
      <c r="N38" s="385">
        <v>7.8217268690941338E-2</v>
      </c>
      <c r="O38" s="384">
        <v>0.20748101417921899</v>
      </c>
      <c r="P38" s="384">
        <v>0.6544334014781269</v>
      </c>
      <c r="Q38" s="384">
        <v>1.2040335321040381</v>
      </c>
      <c r="R38" s="385">
        <v>2.3010376233604791E-2</v>
      </c>
      <c r="S38" s="385">
        <v>0.20572376607216919</v>
      </c>
      <c r="T38" s="385">
        <v>0.41491029878774521</v>
      </c>
    </row>
    <row r="39" spans="1:20">
      <c r="A39" s="381" t="s">
        <v>668</v>
      </c>
      <c r="B39" s="382">
        <v>383</v>
      </c>
      <c r="C39" s="383">
        <v>-1.4E-2</v>
      </c>
      <c r="D39" s="383">
        <v>6.7599999999999993E-2</v>
      </c>
      <c r="E39" s="383">
        <v>0.153</v>
      </c>
      <c r="F39" s="383">
        <v>0</v>
      </c>
      <c r="G39" s="383">
        <v>5.4282267792521113E-2</v>
      </c>
      <c r="H39" s="383">
        <v>9.4812821140200634E-2</v>
      </c>
      <c r="I39" s="384">
        <v>1.0319488817891369</v>
      </c>
      <c r="J39" s="384">
        <v>1.5293665042318541</v>
      </c>
      <c r="K39" s="384">
        <v>2.2843432652605729</v>
      </c>
      <c r="L39" s="385">
        <v>8.8332125713433282E-2</v>
      </c>
      <c r="M39" s="385">
        <v>9.111418853645295E-2</v>
      </c>
      <c r="N39" s="385">
        <v>0.10695408055529811</v>
      </c>
      <c r="O39" s="384">
        <v>0.47365180878541641</v>
      </c>
      <c r="P39" s="384">
        <v>0.89697496086164707</v>
      </c>
      <c r="Q39" s="384">
        <v>1.4318350413242491</v>
      </c>
      <c r="R39" s="385">
        <v>2.645502645502645E-2</v>
      </c>
      <c r="S39" s="385">
        <v>0.13536701620591041</v>
      </c>
      <c r="T39" s="385">
        <v>0.34190681784802168</v>
      </c>
    </row>
    <row r="40" spans="1:20">
      <c r="A40" s="381" t="s">
        <v>669</v>
      </c>
      <c r="B40" s="382">
        <v>253</v>
      </c>
      <c r="C40" s="383">
        <v>2.1299999999999999E-2</v>
      </c>
      <c r="D40" s="383">
        <v>0.14799999999999999</v>
      </c>
      <c r="E40" s="383">
        <v>0.37</v>
      </c>
      <c r="F40" s="383">
        <v>3.9631336405529953E-2</v>
      </c>
      <c r="G40" s="383">
        <v>0.2303078768492603</v>
      </c>
      <c r="H40" s="383">
        <v>0.43870470316114107</v>
      </c>
      <c r="I40" s="384">
        <v>0.12886908346380829</v>
      </c>
      <c r="J40" s="384">
        <v>0.21162050518046999</v>
      </c>
      <c r="K40" s="384">
        <v>0.41751453488372098</v>
      </c>
      <c r="L40" s="385">
        <v>6.6868685606464862E-2</v>
      </c>
      <c r="M40" s="385">
        <v>7.1351531556244296E-2</v>
      </c>
      <c r="N40" s="385">
        <v>8.3971487208835044E-2</v>
      </c>
      <c r="O40" s="384">
        <v>0.33950227065320548</v>
      </c>
      <c r="P40" s="384">
        <v>0.88695575329520926</v>
      </c>
      <c r="Q40" s="384">
        <v>1.325977359079805</v>
      </c>
      <c r="R40" s="385">
        <v>0.1198428290766208</v>
      </c>
      <c r="S40" s="385">
        <v>0.35093167701863348</v>
      </c>
      <c r="T40" s="385">
        <v>0.55960264900662249</v>
      </c>
    </row>
    <row r="41" spans="1:20">
      <c r="A41" s="381" t="s">
        <v>670</v>
      </c>
      <c r="B41" s="382">
        <v>849</v>
      </c>
      <c r="C41" s="383">
        <v>1.8599999999999998E-2</v>
      </c>
      <c r="D41" s="383">
        <v>0.11</v>
      </c>
      <c r="E41" s="383">
        <v>0.23100000000000001</v>
      </c>
      <c r="F41" s="383">
        <v>-0.93273896185676608</v>
      </c>
      <c r="G41" s="383">
        <v>0</v>
      </c>
      <c r="H41" s="383">
        <v>0.13960703205791111</v>
      </c>
      <c r="I41" s="384">
        <v>0.51392405063291158</v>
      </c>
      <c r="J41" s="384">
        <v>0.95920617420066145</v>
      </c>
      <c r="K41" s="384">
        <v>1.5984654731457799</v>
      </c>
      <c r="L41" s="385">
        <v>8.6352566231461717E-2</v>
      </c>
      <c r="M41" s="385">
        <v>9.220712926803723E-2</v>
      </c>
      <c r="N41" s="385">
        <v>9.6716597120633491E-2</v>
      </c>
      <c r="O41" s="384">
        <v>0.63459975943532687</v>
      </c>
      <c r="P41" s="384">
        <v>1.022950940395206</v>
      </c>
      <c r="Q41" s="384">
        <v>1.522616198279213</v>
      </c>
      <c r="R41" s="385">
        <v>6.6703839084732456E-3</v>
      </c>
      <c r="S41" s="385">
        <v>5.7228572513576118E-2</v>
      </c>
      <c r="T41" s="385">
        <v>0.18075117370892019</v>
      </c>
    </row>
    <row r="42" spans="1:20">
      <c r="A42" s="381" t="s">
        <v>671</v>
      </c>
      <c r="B42" s="382">
        <v>463</v>
      </c>
      <c r="C42" s="383">
        <v>3.2899999999999999E-2</v>
      </c>
      <c r="D42" s="383">
        <v>9.8299999999999998E-2</v>
      </c>
      <c r="E42" s="383">
        <v>0.20599999999999999</v>
      </c>
      <c r="F42" s="383">
        <v>-5.0467289719626177E-2</v>
      </c>
      <c r="G42" s="383">
        <v>3.6280991735537192E-2</v>
      </c>
      <c r="H42" s="383">
        <v>9.1934084995663481E-2</v>
      </c>
      <c r="I42" s="384">
        <v>1.0196078431372551</v>
      </c>
      <c r="J42" s="384">
        <v>1.9918181818181819</v>
      </c>
      <c r="K42" s="384">
        <v>4.4034278180619637</v>
      </c>
      <c r="L42" s="385">
        <v>7.6390123582709885E-2</v>
      </c>
      <c r="M42" s="385">
        <v>8.3101222139399605E-2</v>
      </c>
      <c r="N42" s="385">
        <v>8.528839638974034E-2</v>
      </c>
      <c r="O42" s="384">
        <v>0.44043012736527432</v>
      </c>
      <c r="P42" s="384">
        <v>0.78124203151242222</v>
      </c>
      <c r="Q42" s="384">
        <v>1.3489748355617981</v>
      </c>
      <c r="R42" s="385">
        <v>2.626854389114618E-2</v>
      </c>
      <c r="S42" s="385">
        <v>0.1449073723056781</v>
      </c>
      <c r="T42" s="385">
        <v>0.36413297109964632</v>
      </c>
    </row>
    <row r="43" spans="1:20">
      <c r="A43" s="381" t="s">
        <v>672</v>
      </c>
      <c r="B43" s="382">
        <v>443</v>
      </c>
      <c r="C43" s="383">
        <v>4.2099999999999999E-2</v>
      </c>
      <c r="D43" s="383">
        <v>0.13600000000000001</v>
      </c>
      <c r="E43" s="383">
        <v>0.28599999999999998</v>
      </c>
      <c r="F43" s="383">
        <v>-0.88194250032888866</v>
      </c>
      <c r="G43" s="383">
        <v>-9.3026212581478224E-2</v>
      </c>
      <c r="H43" s="383">
        <v>0.1132183908045977</v>
      </c>
      <c r="I43" s="384">
        <v>0.48164172123479893</v>
      </c>
      <c r="J43" s="384">
        <v>1.0644768856447691</v>
      </c>
      <c r="K43" s="384">
        <v>2.2959812316957509</v>
      </c>
      <c r="L43" s="385">
        <v>9.218717236217229E-2</v>
      </c>
      <c r="M43" s="385">
        <v>9.3099057284895703E-2</v>
      </c>
      <c r="N43" s="385">
        <v>0.10309892998814051</v>
      </c>
      <c r="O43" s="384">
        <v>0.77279675972613426</v>
      </c>
      <c r="P43" s="384">
        <v>1.1519709767122071</v>
      </c>
      <c r="Q43" s="384">
        <v>1.703655728528231</v>
      </c>
      <c r="R43" s="385">
        <v>4.0266543135088909E-3</v>
      </c>
      <c r="S43" s="385">
        <v>4.266597149808829E-2</v>
      </c>
      <c r="T43" s="385">
        <v>0.16226993865030681</v>
      </c>
    </row>
    <row r="44" spans="1:20">
      <c r="A44" s="381" t="s">
        <v>673</v>
      </c>
      <c r="B44" s="382">
        <v>173</v>
      </c>
      <c r="C44" s="383">
        <v>2.81E-2</v>
      </c>
      <c r="D44" s="383">
        <v>9.1600000000000001E-2</v>
      </c>
      <c r="E44" s="383">
        <v>0.17199999999999999</v>
      </c>
      <c r="F44" s="383">
        <v>2.4922480620155039E-2</v>
      </c>
      <c r="G44" s="383">
        <v>7.9951249238269351E-2</v>
      </c>
      <c r="H44" s="383">
        <v>0.1476487443114782</v>
      </c>
      <c r="I44" s="384">
        <v>0.76881912236889061</v>
      </c>
      <c r="J44" s="384">
        <v>1.3121752041573871</v>
      </c>
      <c r="K44" s="384">
        <v>2.4292992003087721</v>
      </c>
      <c r="L44" s="385">
        <v>8.2260641640068147E-2</v>
      </c>
      <c r="M44" s="385">
        <v>8.7003364731165933E-2</v>
      </c>
      <c r="N44" s="385">
        <v>9.3156382059732284E-2</v>
      </c>
      <c r="O44" s="384">
        <v>0.6534006796804992</v>
      </c>
      <c r="P44" s="384">
        <v>1.0497496988956461</v>
      </c>
      <c r="Q44" s="384">
        <v>1.502037421047796</v>
      </c>
      <c r="R44" s="385">
        <v>0.1223878645828686</v>
      </c>
      <c r="S44" s="385">
        <v>0.32195121951219507</v>
      </c>
      <c r="T44" s="385">
        <v>0.59810874704491734</v>
      </c>
    </row>
    <row r="45" spans="1:20">
      <c r="A45" s="381" t="s">
        <v>674</v>
      </c>
      <c r="B45" s="382">
        <v>232</v>
      </c>
      <c r="C45" s="383">
        <v>6.0900000000000003E-2</v>
      </c>
      <c r="D45" s="383">
        <v>0.126</v>
      </c>
      <c r="E45" s="383">
        <v>0.20899999999999999</v>
      </c>
      <c r="F45" s="383">
        <v>3.7577002053388091E-2</v>
      </c>
      <c r="G45" s="383">
        <v>9.5528455284552838E-2</v>
      </c>
      <c r="H45" s="383">
        <v>0.1726618705035971</v>
      </c>
      <c r="I45" s="384">
        <v>0.66564147627416526</v>
      </c>
      <c r="J45" s="384">
        <v>1.149311531841652</v>
      </c>
      <c r="K45" s="384">
        <v>1.7567328918322289</v>
      </c>
      <c r="L45" s="385">
        <v>6.5149104948850428E-2</v>
      </c>
      <c r="M45" s="385">
        <v>7.0986735461780082E-2</v>
      </c>
      <c r="N45" s="385">
        <v>8.2941342659349299E-2</v>
      </c>
      <c r="O45" s="384">
        <v>0.33352819636274139</v>
      </c>
      <c r="P45" s="384">
        <v>0.77579837553178266</v>
      </c>
      <c r="Q45" s="384">
        <v>1.1851480278492299</v>
      </c>
      <c r="R45" s="385">
        <v>3.009511928894433E-2</v>
      </c>
      <c r="S45" s="385">
        <v>0.15394294636924391</v>
      </c>
      <c r="T45" s="385">
        <v>0.3725906564672215</v>
      </c>
    </row>
    <row r="46" spans="1:20">
      <c r="A46" s="381" t="s">
        <v>675</v>
      </c>
      <c r="B46" s="382">
        <v>650</v>
      </c>
      <c r="C46" s="383">
        <v>5.7299999999999997E-2</v>
      </c>
      <c r="D46" s="383">
        <v>0.18099999999999999</v>
      </c>
      <c r="E46" s="383">
        <v>0.311</v>
      </c>
      <c r="F46" s="383">
        <v>-5.9371362048894052E-2</v>
      </c>
      <c r="G46" s="383">
        <v>6.4874551971326175E-2</v>
      </c>
      <c r="H46" s="383">
        <v>0.17507481829841809</v>
      </c>
      <c r="I46" s="384">
        <v>0.2058252427184466</v>
      </c>
      <c r="J46" s="384">
        <v>0.49866030759337648</v>
      </c>
      <c r="K46" s="384">
        <v>1.162643051327549</v>
      </c>
      <c r="L46" s="385">
        <v>7.6762947629366293E-2</v>
      </c>
      <c r="M46" s="385">
        <v>8.1615318797173708E-2</v>
      </c>
      <c r="N46" s="385">
        <v>9.7091910194430767E-2</v>
      </c>
      <c r="O46" s="384">
        <v>0.36143149457307988</v>
      </c>
      <c r="P46" s="384">
        <v>0.90053098715036961</v>
      </c>
      <c r="Q46" s="384">
        <v>1.495777506943897</v>
      </c>
      <c r="R46" s="385">
        <v>2.7892847279756969E-2</v>
      </c>
      <c r="S46" s="385">
        <v>0.21422882930714099</v>
      </c>
      <c r="T46" s="385">
        <v>0.49772382397572068</v>
      </c>
    </row>
    <row r="47" spans="1:20">
      <c r="A47" s="381" t="s">
        <v>676</v>
      </c>
      <c r="B47" s="382">
        <v>178</v>
      </c>
      <c r="C47" s="383">
        <v>-1.6500000000000001E-2</v>
      </c>
      <c r="D47" s="383">
        <v>4.53E-2</v>
      </c>
      <c r="E47" s="383">
        <v>0.13900000000000001</v>
      </c>
      <c r="F47" s="383">
        <v>-1.415525114155251E-2</v>
      </c>
      <c r="G47" s="383">
        <v>5.1301684532924968E-2</v>
      </c>
      <c r="H47" s="383">
        <v>0.1116564417177914</v>
      </c>
      <c r="I47" s="384">
        <v>0.89740974913318372</v>
      </c>
      <c r="J47" s="384">
        <v>1.5114581802253071</v>
      </c>
      <c r="K47" s="384">
        <v>2.3559965879435381</v>
      </c>
      <c r="L47" s="385">
        <v>7.4412454668690953E-2</v>
      </c>
      <c r="M47" s="385">
        <v>7.6760964640603752E-2</v>
      </c>
      <c r="N47" s="385">
        <v>9.1652429376675754E-2</v>
      </c>
      <c r="O47" s="384">
        <v>0.30736682711721791</v>
      </c>
      <c r="P47" s="384">
        <v>0.66531425327596527</v>
      </c>
      <c r="Q47" s="384">
        <v>1.205817471440652</v>
      </c>
      <c r="R47" s="385">
        <v>1.144857041167398E-2</v>
      </c>
      <c r="S47" s="385">
        <v>0.1096886819901076</v>
      </c>
      <c r="T47" s="385">
        <v>0.25810502814084368</v>
      </c>
    </row>
    <row r="48" spans="1:20">
      <c r="A48" s="381" t="s">
        <v>677</v>
      </c>
      <c r="B48" s="382">
        <v>81</v>
      </c>
      <c r="C48" s="383">
        <v>8.2500000000000004E-3</v>
      </c>
      <c r="D48" s="383">
        <v>7.0900000000000019E-2</v>
      </c>
      <c r="E48" s="383">
        <v>0.154</v>
      </c>
      <c r="F48" s="383">
        <v>1.992347275366143E-2</v>
      </c>
      <c r="G48" s="383">
        <v>8.2229965156794427E-2</v>
      </c>
      <c r="H48" s="383">
        <v>0.12818428184281841</v>
      </c>
      <c r="I48" s="384">
        <v>1.2820512820512819</v>
      </c>
      <c r="J48" s="384">
        <v>2.343039126478617</v>
      </c>
      <c r="K48" s="384">
        <v>4.0330833700926334</v>
      </c>
      <c r="L48" s="385">
        <v>8.7006631396598449E-2</v>
      </c>
      <c r="M48" s="385">
        <v>9.582047517351798E-2</v>
      </c>
      <c r="N48" s="385">
        <v>0.1169148293587137</v>
      </c>
      <c r="O48" s="384">
        <v>0.56797418498119967</v>
      </c>
      <c r="P48" s="384">
        <v>1.094170919644543</v>
      </c>
      <c r="Q48" s="384">
        <v>1.615914241006029</v>
      </c>
      <c r="R48" s="385">
        <v>6.4590888607540609E-3</v>
      </c>
      <c r="S48" s="385">
        <v>0.10658325537885879</v>
      </c>
      <c r="T48" s="385">
        <v>0.29781484867361879</v>
      </c>
    </row>
    <row r="49" spans="1:20">
      <c r="A49" s="381" t="s">
        <v>678</v>
      </c>
      <c r="B49" s="382">
        <v>202</v>
      </c>
      <c r="C49" s="383">
        <v>3.4799999999999998E-2</v>
      </c>
      <c r="D49" s="383">
        <v>9.6000000000000002E-2</v>
      </c>
      <c r="E49" s="383">
        <v>0.17199999999999999</v>
      </c>
      <c r="F49" s="383">
        <v>3.9318656051346913E-2</v>
      </c>
      <c r="G49" s="383">
        <v>8.9331619537275059E-2</v>
      </c>
      <c r="H49" s="383">
        <v>0.17625503847563209</v>
      </c>
      <c r="I49" s="384">
        <v>1.012345679012346</v>
      </c>
      <c r="J49" s="384">
        <v>1.735156293289297</v>
      </c>
      <c r="K49" s="384">
        <v>3.2808667211774329</v>
      </c>
      <c r="L49" s="385">
        <v>7.1509196274945286E-2</v>
      </c>
      <c r="M49" s="385">
        <v>7.4975690878777757E-2</v>
      </c>
      <c r="N49" s="385">
        <v>9.4449487721893752E-2</v>
      </c>
      <c r="O49" s="384">
        <v>0.18070360485912029</v>
      </c>
      <c r="P49" s="384">
        <v>0.6600810478222483</v>
      </c>
      <c r="Q49" s="384">
        <v>1.1360620438699061</v>
      </c>
      <c r="R49" s="385">
        <v>1.3462405656185299E-3</v>
      </c>
      <c r="S49" s="385">
        <v>6.2062529164722359E-2</v>
      </c>
      <c r="T49" s="385">
        <v>0.27057022579410639</v>
      </c>
    </row>
    <row r="50" spans="1:20">
      <c r="A50" s="381" t="s">
        <v>679</v>
      </c>
      <c r="B50" s="382">
        <v>137</v>
      </c>
      <c r="C50" s="383">
        <v>-2.3599999999999999E-2</v>
      </c>
      <c r="D50" s="383">
        <v>4.2299999999999997E-2</v>
      </c>
      <c r="E50" s="383">
        <v>0.161</v>
      </c>
      <c r="F50" s="383">
        <v>1.8341504850309751E-4</v>
      </c>
      <c r="G50" s="383">
        <v>7.7311579624052079E-2</v>
      </c>
      <c r="H50" s="383">
        <v>0.14932126696832579</v>
      </c>
      <c r="I50" s="384">
        <v>0.65182191203063744</v>
      </c>
      <c r="J50" s="384">
        <v>1.5207992337100209</v>
      </c>
      <c r="K50" s="384">
        <v>3.3927145708582831</v>
      </c>
      <c r="L50" s="385">
        <v>7.4320406771578612E-2</v>
      </c>
      <c r="M50" s="385">
        <v>8.1921976592485443E-2</v>
      </c>
      <c r="N50" s="385">
        <v>0.1258564543253356</v>
      </c>
      <c r="O50" s="384">
        <v>0.42786288599636491</v>
      </c>
      <c r="P50" s="384">
        <v>0.85312427198451413</v>
      </c>
      <c r="Q50" s="384">
        <v>1.359199040499947</v>
      </c>
      <c r="R50" s="385">
        <v>5.882447745357575E-3</v>
      </c>
      <c r="S50" s="385">
        <v>9.1009232460552605E-2</v>
      </c>
      <c r="T50" s="385">
        <v>0.42728174436393601</v>
      </c>
    </row>
    <row r="51" spans="1:20">
      <c r="A51" s="381" t="s">
        <v>680</v>
      </c>
      <c r="B51" s="382">
        <v>228</v>
      </c>
      <c r="C51" s="383">
        <v>3.7999999999999999E-2</v>
      </c>
      <c r="D51" s="383">
        <v>8.5800000000000001E-2</v>
      </c>
      <c r="E51" s="383">
        <v>0.17599999999999999</v>
      </c>
      <c r="F51" s="383">
        <v>4.9379652605459061E-2</v>
      </c>
      <c r="G51" s="383">
        <v>0.1196817148424813</v>
      </c>
      <c r="H51" s="383">
        <v>0.19976076555023919</v>
      </c>
      <c r="I51" s="384">
        <v>0.8204419889502762</v>
      </c>
      <c r="J51" s="384">
        <v>1.505290124761073</v>
      </c>
      <c r="K51" s="384">
        <v>2.8190070066058319</v>
      </c>
      <c r="L51" s="385">
        <v>6.901070313049372E-2</v>
      </c>
      <c r="M51" s="385">
        <v>8.2298442302706776E-2</v>
      </c>
      <c r="N51" s="385">
        <v>0.1126480468436227</v>
      </c>
      <c r="O51" s="384">
        <v>0.3628355151361401</v>
      </c>
      <c r="P51" s="384">
        <v>0.66379585261828278</v>
      </c>
      <c r="Q51" s="384">
        <v>0.98773491373514188</v>
      </c>
      <c r="R51" s="385">
        <v>8.6659529999490246E-4</v>
      </c>
      <c r="S51" s="385">
        <v>3.0898340644669078E-2</v>
      </c>
      <c r="T51" s="385">
        <v>0.15476870359794409</v>
      </c>
    </row>
    <row r="52" spans="1:20">
      <c r="A52" s="381" t="s">
        <v>681</v>
      </c>
      <c r="B52" s="382">
        <v>1374</v>
      </c>
      <c r="C52" s="383">
        <v>-2.9000000000000001E-2</v>
      </c>
      <c r="D52" s="383">
        <v>0.114</v>
      </c>
      <c r="E52" s="383">
        <v>0.3</v>
      </c>
      <c r="F52" s="383">
        <v>-1.33054808346924E-3</v>
      </c>
      <c r="G52" s="383">
        <v>0.17124129455141329</v>
      </c>
      <c r="H52" s="383">
        <v>0.57777777777777783</v>
      </c>
      <c r="I52" s="384">
        <v>7.1096602854929733E-3</v>
      </c>
      <c r="J52" s="384">
        <v>0.12609351432880839</v>
      </c>
      <c r="K52" s="384">
        <v>0.64834367163785134</v>
      </c>
      <c r="L52" s="385">
        <v>6.2276344839548532E-2</v>
      </c>
      <c r="M52" s="385">
        <v>6.446771294108368E-2</v>
      </c>
      <c r="N52" s="385">
        <v>6.8750084219692711E-2</v>
      </c>
      <c r="O52" s="384">
        <v>0.13141663791828631</v>
      </c>
      <c r="P52" s="384">
        <v>0.58791155546563389</v>
      </c>
      <c r="Q52" s="384">
        <v>1.176181355755747</v>
      </c>
      <c r="R52" s="385">
        <v>0</v>
      </c>
      <c r="S52" s="385">
        <v>9.4007206775965028E-3</v>
      </c>
      <c r="T52" s="385">
        <v>0.1041009463722397</v>
      </c>
    </row>
    <row r="53" spans="1:20">
      <c r="A53" s="381" t="s">
        <v>682</v>
      </c>
      <c r="B53" s="382">
        <v>1492</v>
      </c>
      <c r="C53" s="383">
        <v>3.5999999999999997E-2</v>
      </c>
      <c r="D53" s="383">
        <v>0.10100000000000001</v>
      </c>
      <c r="E53" s="383">
        <v>0.188</v>
      </c>
      <c r="F53" s="383">
        <v>1.434352836649245E-2</v>
      </c>
      <c r="G53" s="383">
        <v>6.9729317575295463E-2</v>
      </c>
      <c r="H53" s="383">
        <v>0.1232188899443615</v>
      </c>
      <c r="I53" s="384">
        <v>0.84933586337760913</v>
      </c>
      <c r="J53" s="384">
        <v>1.3059033989266551</v>
      </c>
      <c r="K53" s="384">
        <v>2.0379489718388761</v>
      </c>
      <c r="L53" s="385">
        <v>9.0760963668838499E-2</v>
      </c>
      <c r="M53" s="385">
        <v>9.5339067845382458E-2</v>
      </c>
      <c r="N53" s="385">
        <v>9.6920064830495173E-2</v>
      </c>
      <c r="O53" s="384">
        <v>0.59756165225062485</v>
      </c>
      <c r="P53" s="384">
        <v>1.015786908217617</v>
      </c>
      <c r="Q53" s="384">
        <v>1.4627496615346589</v>
      </c>
      <c r="R53" s="385">
        <v>1.5898332117345641E-2</v>
      </c>
      <c r="S53" s="385">
        <v>9.3269915563103128E-2</v>
      </c>
      <c r="T53" s="385">
        <v>0.24583333333333329</v>
      </c>
    </row>
    <row r="54" spans="1:20">
      <c r="A54" s="381" t="s">
        <v>610</v>
      </c>
      <c r="B54" s="382">
        <v>1815</v>
      </c>
      <c r="C54" s="383">
        <v>3.2500000000000001E-2</v>
      </c>
      <c r="D54" s="383">
        <v>0.16700000000000001</v>
      </c>
      <c r="E54" s="383">
        <v>0.32800000000000001</v>
      </c>
      <c r="F54" s="383">
        <v>-9.6111111111111107</v>
      </c>
      <c r="G54" s="383">
        <v>-1.529919802590993E-2</v>
      </c>
      <c r="H54" s="383">
        <v>7.0664320699985725E-2</v>
      </c>
      <c r="I54" s="384">
        <v>0</v>
      </c>
      <c r="J54" s="384">
        <v>0</v>
      </c>
      <c r="K54" s="384">
        <v>0.55307035380235869</v>
      </c>
      <c r="L54" s="385">
        <v>8.4010487586803864E-2</v>
      </c>
      <c r="M54" s="385">
        <v>8.407411582620361E-2</v>
      </c>
      <c r="N54" s="385">
        <v>8.624456787165205E-2</v>
      </c>
      <c r="O54" s="384">
        <v>0.55947448578744985</v>
      </c>
      <c r="P54" s="384">
        <v>1.044028472258659</v>
      </c>
      <c r="Q54" s="384">
        <v>1.537559909513236</v>
      </c>
      <c r="R54" s="385">
        <v>0</v>
      </c>
      <c r="S54" s="385">
        <v>3.8133766621348281E-3</v>
      </c>
      <c r="T54" s="385">
        <v>0.11345939933259171</v>
      </c>
    </row>
    <row r="55" spans="1:20">
      <c r="A55" s="381" t="s">
        <v>892</v>
      </c>
      <c r="B55" s="382">
        <v>17</v>
      </c>
      <c r="C55" s="383"/>
      <c r="D55" s="383"/>
      <c r="E55" s="383"/>
      <c r="F55" s="383">
        <v>0</v>
      </c>
      <c r="G55" s="383">
        <v>2.1161048689138571E-2</v>
      </c>
      <c r="H55" s="383">
        <v>2.1161048689138571E-2</v>
      </c>
      <c r="I55" s="384"/>
      <c r="J55" s="384"/>
      <c r="K55" s="384"/>
      <c r="O55" s="384">
        <v>1.2580306120195131</v>
      </c>
      <c r="P55" s="384">
        <v>1.2580306120195131</v>
      </c>
      <c r="Q55" s="384">
        <v>1.2580306120195131</v>
      </c>
      <c r="R55" s="385">
        <v>0</v>
      </c>
      <c r="S55" s="385">
        <v>0</v>
      </c>
      <c r="T55" s="385">
        <v>0</v>
      </c>
    </row>
    <row r="56" spans="1:20">
      <c r="A56" s="381" t="s">
        <v>683</v>
      </c>
      <c r="B56" s="382">
        <v>137</v>
      </c>
      <c r="C56" s="383">
        <v>2.0899999999999998E-2</v>
      </c>
      <c r="D56" s="383">
        <v>6.0999999999999999E-2</v>
      </c>
      <c r="E56" s="383">
        <v>0.13600000000000001</v>
      </c>
      <c r="F56" s="383">
        <v>8.7773722627737232E-3</v>
      </c>
      <c r="G56" s="383">
        <v>6.0883995277369769E-2</v>
      </c>
      <c r="H56" s="383">
        <v>9.7406704617330808E-2</v>
      </c>
      <c r="I56" s="384">
        <v>0.92436629555071681</v>
      </c>
      <c r="J56" s="384">
        <v>1.5803579339062639</v>
      </c>
      <c r="K56" s="384">
        <v>2.4852430555555558</v>
      </c>
      <c r="L56" s="385">
        <v>7.7228964697679411E-2</v>
      </c>
      <c r="M56" s="385">
        <v>8.1547382047889638E-2</v>
      </c>
      <c r="N56" s="385">
        <v>9.573993464624804E-2</v>
      </c>
      <c r="O56" s="384">
        <v>0.3483511264209298</v>
      </c>
      <c r="P56" s="384">
        <v>0.78599735513870816</v>
      </c>
      <c r="Q56" s="384">
        <v>1.254445887584746</v>
      </c>
      <c r="R56" s="385">
        <v>2.3267388328978469E-2</v>
      </c>
      <c r="S56" s="385">
        <v>0.105760780132343</v>
      </c>
      <c r="T56" s="385">
        <v>0.33667798703303492</v>
      </c>
    </row>
    <row r="57" spans="1:20">
      <c r="A57" s="381" t="s">
        <v>684</v>
      </c>
      <c r="B57" s="382">
        <v>36</v>
      </c>
      <c r="C57" s="383">
        <v>0.154</v>
      </c>
      <c r="D57" s="383">
        <v>0.21299999999999999</v>
      </c>
      <c r="E57" s="383">
        <v>0.28199999999999997</v>
      </c>
      <c r="F57" s="383">
        <v>6.6673988293698652E-2</v>
      </c>
      <c r="G57" s="383">
        <v>0.13340238312641109</v>
      </c>
      <c r="H57" s="383">
        <v>0.21035493324649951</v>
      </c>
      <c r="I57" s="384">
        <v>1.219214121148865</v>
      </c>
      <c r="J57" s="384">
        <v>1.7111560562528361</v>
      </c>
      <c r="K57" s="384">
        <v>2.176585062079166</v>
      </c>
      <c r="L57" s="385">
        <v>8.1627721202566547E-2</v>
      </c>
      <c r="M57" s="385">
        <v>8.8874146992124162E-2</v>
      </c>
      <c r="N57" s="385">
        <v>0.1120042531636969</v>
      </c>
      <c r="O57" s="384">
        <v>0.53091549649645053</v>
      </c>
      <c r="P57" s="384">
        <v>0.89697496086164707</v>
      </c>
      <c r="Q57" s="384">
        <v>1.3404511325640189</v>
      </c>
      <c r="R57" s="385">
        <v>0.14053426248548201</v>
      </c>
      <c r="S57" s="385">
        <v>0.29928173316853612</v>
      </c>
      <c r="T57" s="385">
        <v>0.4267425320056899</v>
      </c>
    </row>
    <row r="58" spans="1:20">
      <c r="A58" s="381" t="s">
        <v>611</v>
      </c>
      <c r="B58" s="382">
        <v>590</v>
      </c>
      <c r="C58" s="383">
        <v>8.4700000000000011E-2</v>
      </c>
      <c r="D58" s="383">
        <v>0.246</v>
      </c>
      <c r="E58" s="383">
        <v>0.43799999999999989</v>
      </c>
      <c r="F58" s="383">
        <v>-0.3180952380952381</v>
      </c>
      <c r="G58" s="383">
        <v>0.1592156862745098</v>
      </c>
      <c r="H58" s="383">
        <v>0.40594059405940591</v>
      </c>
      <c r="I58" s="384">
        <v>6.0463130052108467E-2</v>
      </c>
      <c r="J58" s="384">
        <v>0.47227926078028742</v>
      </c>
      <c r="K58" s="384">
        <v>0.88531178511126851</v>
      </c>
      <c r="L58" s="385">
        <v>8.2381344701424761E-2</v>
      </c>
      <c r="M58" s="385">
        <v>8.3043655945301914E-2</v>
      </c>
      <c r="N58" s="385">
        <v>8.9786138643684579E-2</v>
      </c>
      <c r="O58" s="384">
        <v>0.53907299591105873</v>
      </c>
      <c r="P58" s="384">
        <v>0.99768094757338466</v>
      </c>
      <c r="Q58" s="384">
        <v>1.5462508148109171</v>
      </c>
      <c r="R58" s="385">
        <v>0</v>
      </c>
      <c r="S58" s="385">
        <v>8.250559784674974E-2</v>
      </c>
      <c r="T58" s="385">
        <v>0.34406153885836188</v>
      </c>
    </row>
    <row r="59" spans="1:20">
      <c r="A59" s="381" t="s">
        <v>685</v>
      </c>
      <c r="B59" s="382">
        <v>174</v>
      </c>
      <c r="C59" s="383">
        <v>1.5800000000000002E-2</v>
      </c>
      <c r="D59" s="383">
        <v>0.112</v>
      </c>
      <c r="E59" s="383">
        <v>0.224</v>
      </c>
      <c r="F59" s="383">
        <v>2.072186836518047E-2</v>
      </c>
      <c r="G59" s="383">
        <v>0.12210236401193481</v>
      </c>
      <c r="H59" s="383">
        <v>0.3126048540431719</v>
      </c>
      <c r="I59" s="384">
        <v>0.34862696349870048</v>
      </c>
      <c r="J59" s="384">
        <v>0.71256155257313891</v>
      </c>
      <c r="K59" s="384">
        <v>1.6612262738424051</v>
      </c>
      <c r="L59" s="385">
        <v>6.6365447893090942E-2</v>
      </c>
      <c r="M59" s="385">
        <v>7.3530509708054664E-2</v>
      </c>
      <c r="N59" s="385">
        <v>8.4694755243709355E-2</v>
      </c>
      <c r="O59" s="384">
        <v>0.37432675249274028</v>
      </c>
      <c r="P59" s="384">
        <v>0.82986205956804993</v>
      </c>
      <c r="Q59" s="384">
        <v>1.2607922669069751</v>
      </c>
      <c r="R59" s="385">
        <v>9.9061836047379059E-2</v>
      </c>
      <c r="S59" s="385">
        <v>0.33495145631067957</v>
      </c>
      <c r="T59" s="385">
        <v>0.47313006968370391</v>
      </c>
    </row>
    <row r="60" spans="1:20">
      <c r="A60" s="381" t="s">
        <v>686</v>
      </c>
      <c r="B60" s="382">
        <v>444</v>
      </c>
      <c r="C60" s="383">
        <v>2.5399999999999999E-2</v>
      </c>
      <c r="D60" s="383">
        <v>0.156</v>
      </c>
      <c r="E60" s="383">
        <v>0.27400000000000002</v>
      </c>
      <c r="F60" s="383">
        <v>-2.2022249526876931E-3</v>
      </c>
      <c r="G60" s="383">
        <v>4.2378953833555118E-2</v>
      </c>
      <c r="H60" s="383">
        <v>0.1028957528957529</v>
      </c>
      <c r="I60" s="384">
        <v>0.74167434194580462</v>
      </c>
      <c r="J60" s="384">
        <v>1.708389715832205</v>
      </c>
      <c r="K60" s="384">
        <v>3.451514440009392</v>
      </c>
      <c r="L60" s="385">
        <v>7.5258622299489125E-2</v>
      </c>
      <c r="M60" s="385">
        <v>8.1521892594959025E-2</v>
      </c>
      <c r="N60" s="385">
        <v>9.458509655502631E-2</v>
      </c>
      <c r="O60" s="384">
        <v>0.44918163885456519</v>
      </c>
      <c r="P60" s="384">
        <v>0.96682864086161791</v>
      </c>
      <c r="Q60" s="384">
        <v>1.462263964437873</v>
      </c>
      <c r="R60" s="385">
        <v>5.1790775573305851E-2</v>
      </c>
      <c r="S60" s="385">
        <v>0.23349736237183999</v>
      </c>
      <c r="T60" s="385">
        <v>0.50152953309909631</v>
      </c>
    </row>
    <row r="61" spans="1:20">
      <c r="A61" s="381" t="s">
        <v>687</v>
      </c>
      <c r="B61" s="382">
        <v>164</v>
      </c>
      <c r="C61" s="383">
        <v>3.4200000000000001E-2</v>
      </c>
      <c r="D61" s="383">
        <v>7.7499999999999999E-2</v>
      </c>
      <c r="E61" s="383">
        <v>0.14099999999999999</v>
      </c>
      <c r="F61" s="383">
        <v>3.0259365994236311E-2</v>
      </c>
      <c r="G61" s="383">
        <v>6.7430275725722702E-2</v>
      </c>
      <c r="H61" s="383">
        <v>0.1152317880794702</v>
      </c>
      <c r="I61" s="384">
        <v>1.013722627737226</v>
      </c>
      <c r="J61" s="384">
        <v>1.3960040983606561</v>
      </c>
      <c r="K61" s="384">
        <v>1.9075</v>
      </c>
      <c r="L61" s="385">
        <v>7.0846686727208064E-2</v>
      </c>
      <c r="M61" s="385">
        <v>7.4828787738390495E-2</v>
      </c>
      <c r="N61" s="385">
        <v>8.701250189438442E-2</v>
      </c>
      <c r="O61" s="384">
        <v>0.38034939649288302</v>
      </c>
      <c r="P61" s="384">
        <v>0.76373514959742705</v>
      </c>
      <c r="Q61" s="384">
        <v>1.2929499564983771</v>
      </c>
      <c r="R61" s="385">
        <v>6.2734115761562695E-2</v>
      </c>
      <c r="S61" s="385">
        <v>0.21713940856970429</v>
      </c>
      <c r="T61" s="385">
        <v>0.4521004491920656</v>
      </c>
    </row>
    <row r="62" spans="1:20">
      <c r="A62" s="381" t="s">
        <v>688</v>
      </c>
      <c r="B62" s="382">
        <v>266</v>
      </c>
      <c r="C62" s="383">
        <v>3.3799999999999997E-2</v>
      </c>
      <c r="D62" s="383">
        <v>9.8599999999999993E-2</v>
      </c>
      <c r="E62" s="383">
        <v>0.186</v>
      </c>
      <c r="F62" s="383">
        <v>-1.255278310940499E-2</v>
      </c>
      <c r="G62" s="383">
        <v>3.7960954446854663E-2</v>
      </c>
      <c r="H62" s="383">
        <v>0.10822898032200361</v>
      </c>
      <c r="I62" s="384">
        <v>0.5785837651122625</v>
      </c>
      <c r="J62" s="384">
        <v>1.012721281324239</v>
      </c>
      <c r="K62" s="384">
        <v>1.6135704308584939</v>
      </c>
      <c r="L62" s="385">
        <v>7.1738731192145938E-2</v>
      </c>
      <c r="M62" s="385">
        <v>7.68247943549423E-2</v>
      </c>
      <c r="N62" s="385">
        <v>9.0557470329469703E-2</v>
      </c>
      <c r="O62" s="384">
        <v>0.4104869013484358</v>
      </c>
      <c r="P62" s="384">
        <v>0.83386906061653199</v>
      </c>
      <c r="Q62" s="384">
        <v>1.3265601955959481</v>
      </c>
      <c r="R62" s="385">
        <v>9.4326241134751784E-2</v>
      </c>
      <c r="S62" s="385">
        <v>0.27329192546583853</v>
      </c>
      <c r="T62" s="385">
        <v>0.50635461304618534</v>
      </c>
    </row>
    <row r="63" spans="1:20">
      <c r="A63" s="381" t="s">
        <v>689</v>
      </c>
      <c r="B63" s="382">
        <v>488</v>
      </c>
      <c r="C63" s="383">
        <v>6.54E-2</v>
      </c>
      <c r="D63" s="383">
        <v>0.127</v>
      </c>
      <c r="E63" s="383">
        <v>0.20699999999999999</v>
      </c>
      <c r="F63" s="383">
        <v>4.3889796342280928E-2</v>
      </c>
      <c r="G63" s="383">
        <v>0.1018891875988386</v>
      </c>
      <c r="H63" s="383">
        <v>0.20624619752585679</v>
      </c>
      <c r="I63" s="384">
        <v>0.39908431896222812</v>
      </c>
      <c r="J63" s="384">
        <v>0.69734511302918445</v>
      </c>
      <c r="K63" s="384">
        <v>1.300993571011104</v>
      </c>
      <c r="L63" s="385">
        <v>6.077639154652098E-2</v>
      </c>
      <c r="M63" s="385">
        <v>6.4796486930816855E-2</v>
      </c>
      <c r="N63" s="385">
        <v>7.5773405475795474E-2</v>
      </c>
      <c r="O63" s="384">
        <v>0.33364962063693782</v>
      </c>
      <c r="P63" s="384">
        <v>0.64839784326420036</v>
      </c>
      <c r="Q63" s="384">
        <v>1.0578482767992581</v>
      </c>
      <c r="R63" s="385">
        <v>0.1164069660861595</v>
      </c>
      <c r="S63" s="385">
        <v>0.38684210526315788</v>
      </c>
      <c r="T63" s="385">
        <v>0.58837636858117448</v>
      </c>
    </row>
    <row r="64" spans="1:20">
      <c r="A64" s="381" t="s">
        <v>690</v>
      </c>
      <c r="B64" s="382">
        <v>853</v>
      </c>
      <c r="C64" s="383">
        <v>2.8500000000000001E-3</v>
      </c>
      <c r="D64" s="383">
        <v>0.111</v>
      </c>
      <c r="E64" s="383">
        <v>0.28899999999999998</v>
      </c>
      <c r="F64" s="383">
        <v>-3.8</v>
      </c>
      <c r="G64" s="383">
        <v>-3.7873134328358211E-3</v>
      </c>
      <c r="H64" s="383">
        <v>0.16228070175438589</v>
      </c>
      <c r="I64" s="384">
        <v>0</v>
      </c>
      <c r="J64" s="384">
        <v>0</v>
      </c>
      <c r="K64" s="384">
        <v>0.24519230769230771</v>
      </c>
      <c r="L64" s="385">
        <v>8.6166589170329266E-2</v>
      </c>
      <c r="M64" s="385">
        <v>8.6419998110875737E-2</v>
      </c>
      <c r="N64" s="385">
        <v>8.6419998110875737E-2</v>
      </c>
      <c r="O64" s="384">
        <v>0.57973450632765233</v>
      </c>
      <c r="P64" s="384">
        <v>1.0404101687657521</v>
      </c>
      <c r="Q64" s="384">
        <v>1.546835077351937</v>
      </c>
      <c r="R64" s="385">
        <v>0</v>
      </c>
      <c r="S64" s="385">
        <v>4.542379433652266E-3</v>
      </c>
      <c r="T64" s="385">
        <v>8.7173466392720861E-2</v>
      </c>
    </row>
    <row r="65" spans="1:20">
      <c r="A65" s="381" t="s">
        <v>691</v>
      </c>
      <c r="B65" s="382">
        <v>205</v>
      </c>
      <c r="C65" s="383">
        <v>-1.3100000000000001E-2</v>
      </c>
      <c r="D65" s="383">
        <v>4.4699999999999997E-2</v>
      </c>
      <c r="E65" s="383">
        <v>0.109</v>
      </c>
      <c r="F65" s="383">
        <v>-3.2207792207792213E-2</v>
      </c>
      <c r="G65" s="383">
        <v>4.6142754607703798E-2</v>
      </c>
      <c r="H65" s="383">
        <v>0.10583016476552599</v>
      </c>
      <c r="I65" s="384">
        <v>0.70868824531516184</v>
      </c>
      <c r="J65" s="384">
        <v>1.439854191980559</v>
      </c>
      <c r="K65" s="384">
        <v>2.88</v>
      </c>
      <c r="L65" s="385">
        <v>8.9592268368903286E-2</v>
      </c>
      <c r="M65" s="385">
        <v>9.3891598370615323E-2</v>
      </c>
      <c r="N65" s="385">
        <v>0.11172473391519901</v>
      </c>
      <c r="O65" s="384">
        <v>0.42991478521986382</v>
      </c>
      <c r="P65" s="384">
        <v>0.91087555613190863</v>
      </c>
      <c r="Q65" s="384">
        <v>1.429335001488834</v>
      </c>
      <c r="R65" s="385">
        <v>4.244205027750571E-3</v>
      </c>
      <c r="S65" s="385">
        <v>5.9703920611680492E-2</v>
      </c>
      <c r="T65" s="385">
        <v>0.31248889678450881</v>
      </c>
    </row>
    <row r="66" spans="1:20">
      <c r="A66" s="381" t="s">
        <v>692</v>
      </c>
      <c r="B66" s="382">
        <v>633</v>
      </c>
      <c r="C66" s="383">
        <v>1.14E-2</v>
      </c>
      <c r="D66" s="383">
        <v>6.9800000000000001E-2</v>
      </c>
      <c r="E66" s="383">
        <v>0.17399999999999999</v>
      </c>
      <c r="F66" s="383">
        <v>0.1851258046809299</v>
      </c>
      <c r="G66" s="383">
        <v>0.49888143176733779</v>
      </c>
      <c r="H66" s="383">
        <v>0.66</v>
      </c>
      <c r="I66" s="384">
        <v>5.7774358256976979E-2</v>
      </c>
      <c r="J66" s="384">
        <v>8.0942458727360153E-2</v>
      </c>
      <c r="K66" s="384">
        <v>0.1239614709873887</v>
      </c>
      <c r="L66" s="385">
        <v>5.9481609840902089E-2</v>
      </c>
      <c r="M66" s="385">
        <v>6.3224970471649489E-2</v>
      </c>
      <c r="N66" s="385">
        <v>7.3606567086354269E-2</v>
      </c>
      <c r="O66" s="384">
        <v>0.41653383020341778</v>
      </c>
      <c r="P66" s="384">
        <v>0.79177970402656994</v>
      </c>
      <c r="Q66" s="384">
        <v>1.151029223390879</v>
      </c>
      <c r="R66" s="385">
        <v>0.23554788610871441</v>
      </c>
      <c r="S66" s="385">
        <v>0.4142739680973524</v>
      </c>
      <c r="T66" s="385">
        <v>0.59593345656192231</v>
      </c>
    </row>
    <row r="67" spans="1:20">
      <c r="A67" s="381" t="s">
        <v>693</v>
      </c>
      <c r="B67" s="382">
        <v>884</v>
      </c>
      <c r="C67" s="383">
        <v>-0.109</v>
      </c>
      <c r="D67" s="383">
        <v>4.7600000000000003E-2</v>
      </c>
      <c r="E67" s="383">
        <v>0.23899999999999999</v>
      </c>
      <c r="F67" s="383">
        <v>-7.2955974842767293E-2</v>
      </c>
      <c r="G67" s="383">
        <v>8.8947368421052636E-2</v>
      </c>
      <c r="H67" s="383">
        <v>0.20433946717934631</v>
      </c>
      <c r="I67" s="384">
        <v>0.1020055325034578</v>
      </c>
      <c r="J67" s="384">
        <v>0.24153253033042191</v>
      </c>
      <c r="K67" s="384">
        <v>0.52198855961176061</v>
      </c>
      <c r="L67" s="385">
        <v>6.3375311219926719E-2</v>
      </c>
      <c r="M67" s="385">
        <v>6.9508695111987415E-2</v>
      </c>
      <c r="N67" s="385">
        <v>7.4228987830804061E-2</v>
      </c>
      <c r="O67" s="384">
        <v>0.42872482733273898</v>
      </c>
      <c r="P67" s="384">
        <v>0.92622774591393442</v>
      </c>
      <c r="Q67" s="384">
        <v>1.416268449372267</v>
      </c>
      <c r="R67" s="385">
        <v>8.5162601626016257E-2</v>
      </c>
      <c r="S67" s="385">
        <v>0.40995319554322163</v>
      </c>
      <c r="T67" s="385">
        <v>0.72408536585365857</v>
      </c>
    </row>
    <row r="68" spans="1:20">
      <c r="A68" s="381" t="s">
        <v>694</v>
      </c>
      <c r="B68" s="382">
        <v>336</v>
      </c>
      <c r="C68" s="383">
        <v>-6.0199999999999997E-2</v>
      </c>
      <c r="D68" s="383">
        <v>7.1000000000000008E-2</v>
      </c>
      <c r="E68" s="383">
        <v>0.20699999999999999</v>
      </c>
      <c r="F68" s="383">
        <v>5.3667953667953672E-3</v>
      </c>
      <c r="G68" s="383">
        <v>0.13971850326124269</v>
      </c>
      <c r="H68" s="383">
        <v>0.31264144843194308</v>
      </c>
      <c r="I68" s="384">
        <v>7.6790248857287954E-2</v>
      </c>
      <c r="J68" s="384">
        <v>0.17561112672098911</v>
      </c>
      <c r="K68" s="384">
        <v>0.44520547945205469</v>
      </c>
      <c r="L68" s="385">
        <v>6.504057564192911E-2</v>
      </c>
      <c r="M68" s="385">
        <v>6.8477570833974585E-2</v>
      </c>
      <c r="N68" s="385">
        <v>7.9693490381645693E-2</v>
      </c>
      <c r="O68" s="384">
        <v>0.43270754352638158</v>
      </c>
      <c r="P68" s="384">
        <v>0.90656162081525404</v>
      </c>
      <c r="Q68" s="384">
        <v>1.347493740467411</v>
      </c>
      <c r="R68" s="385">
        <v>9.8043517788797038E-2</v>
      </c>
      <c r="S68" s="385">
        <v>0.42452597882295001</v>
      </c>
      <c r="T68" s="385">
        <v>0.63526912181303119</v>
      </c>
    </row>
    <row r="69" spans="1:20">
      <c r="A69" s="381" t="s">
        <v>695</v>
      </c>
      <c r="B69" s="382">
        <v>748</v>
      </c>
      <c r="C69" s="383">
        <v>-8.8999999999999999E-3</v>
      </c>
      <c r="D69" s="383">
        <v>8.5600000000000009E-2</v>
      </c>
      <c r="E69" s="383">
        <v>0.217</v>
      </c>
      <c r="F69" s="383">
        <v>3.9164007915296513E-2</v>
      </c>
      <c r="G69" s="383">
        <v>0.24888574141893349</v>
      </c>
      <c r="H69" s="383">
        <v>0.55886524822695038</v>
      </c>
      <c r="I69" s="384">
        <v>6.2065017625259858E-2</v>
      </c>
      <c r="J69" s="384">
        <v>0.114455884389861</v>
      </c>
      <c r="K69" s="384">
        <v>0.40470522335807307</v>
      </c>
      <c r="L69" s="385">
        <v>6.3699537930841876E-2</v>
      </c>
      <c r="M69" s="385">
        <v>6.9017345382925199E-2</v>
      </c>
      <c r="N69" s="385">
        <v>7.6001967295689754E-2</v>
      </c>
      <c r="O69" s="384">
        <v>0.24000722037665451</v>
      </c>
      <c r="P69" s="384">
        <v>0.75325132599579625</v>
      </c>
      <c r="Q69" s="384">
        <v>1.3878304612404451</v>
      </c>
      <c r="R69" s="385">
        <v>1.7010329071151551E-2</v>
      </c>
      <c r="S69" s="385">
        <v>0.32308154678421158</v>
      </c>
      <c r="T69" s="385">
        <v>0.5860375169212918</v>
      </c>
    </row>
    <row r="70" spans="1:20">
      <c r="A70" s="381" t="s">
        <v>696</v>
      </c>
      <c r="B70" s="382">
        <v>326</v>
      </c>
      <c r="C70" s="383">
        <v>2.76E-2</v>
      </c>
      <c r="D70" s="383">
        <v>0.111</v>
      </c>
      <c r="E70" s="383">
        <v>0.221</v>
      </c>
      <c r="F70" s="383">
        <v>-1.7171717171717171E-2</v>
      </c>
      <c r="G70" s="383">
        <v>7.3288590604026843E-2</v>
      </c>
      <c r="H70" s="383">
        <v>0.15302491103202839</v>
      </c>
      <c r="I70" s="384">
        <v>0.59234608985024961</v>
      </c>
      <c r="J70" s="384">
        <v>1.152364273204904</v>
      </c>
      <c r="K70" s="384">
        <v>2.0393120393120392</v>
      </c>
      <c r="L70" s="385">
        <v>8.0039371440511528E-2</v>
      </c>
      <c r="M70" s="385">
        <v>8.5838909031615215E-2</v>
      </c>
      <c r="N70" s="385">
        <v>8.8957667812332039E-2</v>
      </c>
      <c r="O70" s="384">
        <v>0.49248821353849581</v>
      </c>
      <c r="P70" s="384">
        <v>1.0215299753558169</v>
      </c>
      <c r="Q70" s="384">
        <v>1.4430485862898921</v>
      </c>
      <c r="R70" s="385">
        <v>3.3153584981026572E-2</v>
      </c>
      <c r="S70" s="385">
        <v>0.15628281414070699</v>
      </c>
      <c r="T70" s="385">
        <v>0.39432989690721648</v>
      </c>
    </row>
    <row r="71" spans="1:20">
      <c r="A71" s="381" t="s">
        <v>697</v>
      </c>
      <c r="B71" s="382">
        <v>34</v>
      </c>
      <c r="C71" s="383">
        <v>3.9100000000000003E-2</v>
      </c>
      <c r="D71" s="383">
        <v>8.3400000000000002E-2</v>
      </c>
      <c r="E71" s="383">
        <v>0.14399999999999999</v>
      </c>
      <c r="F71" s="383">
        <v>7.7487391104997722E-2</v>
      </c>
      <c r="G71" s="383">
        <v>0.10256482697894739</v>
      </c>
      <c r="H71" s="383">
        <v>0.15725047080979279</v>
      </c>
      <c r="I71" s="384">
        <v>0.82341925534258653</v>
      </c>
      <c r="J71" s="384">
        <v>1.260978043912176</v>
      </c>
      <c r="K71" s="384">
        <v>2.1537758830694269</v>
      </c>
      <c r="L71" s="385">
        <v>9.7940903291376155E-2</v>
      </c>
      <c r="M71" s="385">
        <v>0.1077752683169365</v>
      </c>
      <c r="N71" s="385">
        <v>0.11953067228079151</v>
      </c>
      <c r="O71" s="384">
        <v>0.64493288996689391</v>
      </c>
      <c r="P71" s="384">
        <v>1.0485471773958119</v>
      </c>
      <c r="Q71" s="384">
        <v>1.432393592985552</v>
      </c>
      <c r="R71" s="385">
        <v>7.3060088601961998E-5</v>
      </c>
      <c r="S71" s="385">
        <v>0.15210071430461899</v>
      </c>
      <c r="T71" s="385">
        <v>0.28999273162182582</v>
      </c>
    </row>
    <row r="72" spans="1:20">
      <c r="A72" s="381" t="s">
        <v>698</v>
      </c>
      <c r="B72" s="382">
        <v>394</v>
      </c>
      <c r="C72" s="383">
        <v>1.7899999999999999E-2</v>
      </c>
      <c r="D72" s="383">
        <v>9.5899999999999999E-2</v>
      </c>
      <c r="E72" s="383">
        <v>0.17899999999999999</v>
      </c>
      <c r="F72" s="383">
        <v>-1.884905590244753E-2</v>
      </c>
      <c r="G72" s="383">
        <v>3.4403669724770637E-2</v>
      </c>
      <c r="H72" s="383">
        <v>8.5287514338112838E-2</v>
      </c>
      <c r="I72" s="384">
        <v>1.238805970149254</v>
      </c>
      <c r="J72" s="384">
        <v>2.003274073190966</v>
      </c>
      <c r="K72" s="384">
        <v>3.3239831697054689</v>
      </c>
      <c r="L72" s="385">
        <v>7.7647838866700625E-2</v>
      </c>
      <c r="M72" s="385">
        <v>8.3865100905391815E-2</v>
      </c>
      <c r="N72" s="385">
        <v>8.6317421086582441E-2</v>
      </c>
      <c r="O72" s="384">
        <v>0.4306930231827682</v>
      </c>
      <c r="P72" s="384">
        <v>0.80487294393842557</v>
      </c>
      <c r="Q72" s="384">
        <v>1.3828173326685711</v>
      </c>
      <c r="R72" s="385">
        <v>9.8814367775516401E-2</v>
      </c>
      <c r="S72" s="385">
        <v>0.23566477630749841</v>
      </c>
      <c r="T72" s="385">
        <v>0.43759999999999999</v>
      </c>
    </row>
    <row r="73" spans="1:20">
      <c r="A73" s="381" t="s">
        <v>699</v>
      </c>
      <c r="B73" s="382">
        <v>204</v>
      </c>
      <c r="C73" s="383">
        <v>3.9E-2</v>
      </c>
      <c r="D73" s="383">
        <v>0.11700000000000001</v>
      </c>
      <c r="E73" s="383">
        <v>0.20499999999999999</v>
      </c>
      <c r="F73" s="383">
        <v>6.9640847854514484E-4</v>
      </c>
      <c r="G73" s="383">
        <v>2.8998242530755711E-2</v>
      </c>
      <c r="H73" s="383">
        <v>5.6745436306521603E-2</v>
      </c>
      <c r="I73" s="384">
        <v>1.509438359356793</v>
      </c>
      <c r="J73" s="384">
        <v>2.5226428239665579</v>
      </c>
      <c r="K73" s="384">
        <v>4.593055065301801</v>
      </c>
      <c r="L73" s="385">
        <v>7.149466568881499E-2</v>
      </c>
      <c r="M73" s="385">
        <v>7.6814514082902796E-2</v>
      </c>
      <c r="N73" s="385">
        <v>9.2640425743400936E-2</v>
      </c>
      <c r="O73" s="384">
        <v>0.39879873138626359</v>
      </c>
      <c r="P73" s="384">
        <v>0.87015063374642387</v>
      </c>
      <c r="Q73" s="384">
        <v>1.396339251109677</v>
      </c>
      <c r="R73" s="385">
        <v>0.1118655948387362</v>
      </c>
      <c r="S73" s="385">
        <v>0.36859582542694502</v>
      </c>
      <c r="T73" s="385">
        <v>0.61788061160332586</v>
      </c>
    </row>
    <row r="74" spans="1:20">
      <c r="A74" s="381" t="s">
        <v>700</v>
      </c>
      <c r="B74" s="382">
        <v>120</v>
      </c>
      <c r="C74" s="383">
        <v>-3.6900000000000001E-3</v>
      </c>
      <c r="D74" s="383">
        <v>5.28E-2</v>
      </c>
      <c r="E74" s="383">
        <v>0.11</v>
      </c>
      <c r="F74" s="383">
        <v>1.6724738675958192E-2</v>
      </c>
      <c r="G74" s="383">
        <v>4.1516245487364621E-2</v>
      </c>
      <c r="H74" s="383">
        <v>0.112881473660064</v>
      </c>
      <c r="I74" s="384">
        <v>1.293890538837104</v>
      </c>
      <c r="J74" s="384">
        <v>1.9372332656940721</v>
      </c>
      <c r="K74" s="384">
        <v>3.7225170583775591</v>
      </c>
      <c r="L74" s="385">
        <v>8.0847810676623874E-2</v>
      </c>
      <c r="M74" s="385">
        <v>8.8554527072575301E-2</v>
      </c>
      <c r="N74" s="385">
        <v>0.1044138033791024</v>
      </c>
      <c r="O74" s="384">
        <v>0.57329256819100305</v>
      </c>
      <c r="P74" s="384">
        <v>0.9935419811848315</v>
      </c>
      <c r="Q74" s="384">
        <v>1.563840635206271</v>
      </c>
      <c r="R74" s="385">
        <v>0.10358565737051791</v>
      </c>
      <c r="S74" s="385">
        <v>0.29865925893634521</v>
      </c>
      <c r="T74" s="385">
        <v>0.51141147795258146</v>
      </c>
    </row>
    <row r="75" spans="1:20">
      <c r="A75" s="381" t="s">
        <v>701</v>
      </c>
      <c r="B75" s="382">
        <v>1028</v>
      </c>
      <c r="C75" s="383">
        <v>5.8599999999999998E-3</v>
      </c>
      <c r="D75" s="383">
        <v>8.2899999999999988E-2</v>
      </c>
      <c r="E75" s="383">
        <v>0.19500000000000001</v>
      </c>
      <c r="F75" s="383">
        <v>0</v>
      </c>
      <c r="G75" s="383">
        <v>3.5869459755766123E-2</v>
      </c>
      <c r="H75" s="383">
        <v>8.9366515837104074E-2</v>
      </c>
      <c r="I75" s="384">
        <v>0.72392638036809809</v>
      </c>
      <c r="J75" s="384">
        <v>1.830220713073005</v>
      </c>
      <c r="K75" s="384">
        <v>3.384887777951362</v>
      </c>
      <c r="L75" s="385">
        <v>6.8468769782548927E-2</v>
      </c>
      <c r="M75" s="385">
        <v>7.2293050002270584E-2</v>
      </c>
      <c r="N75" s="385">
        <v>8.4014751384094422E-2</v>
      </c>
      <c r="O75" s="384">
        <v>0.28580845660354609</v>
      </c>
      <c r="P75" s="384">
        <v>0.77280051730096577</v>
      </c>
      <c r="Q75" s="384">
        <v>1.2466393104526821</v>
      </c>
      <c r="R75" s="385">
        <v>1.7285878500010839E-2</v>
      </c>
      <c r="S75" s="385">
        <v>0.15924826904055389</v>
      </c>
      <c r="T75" s="385">
        <v>0.43095072866065232</v>
      </c>
    </row>
    <row r="76" spans="1:20">
      <c r="A76" s="381" t="s">
        <v>629</v>
      </c>
      <c r="B76" s="382">
        <v>256</v>
      </c>
      <c r="C76" s="383">
        <v>-7.7600000000000002E-2</v>
      </c>
      <c r="D76" s="383">
        <v>2.5399999999999999E-2</v>
      </c>
      <c r="E76" s="383">
        <v>0.111</v>
      </c>
      <c r="F76" s="383">
        <v>-9.2028254288597407E-3</v>
      </c>
      <c r="G76" s="383">
        <v>3.9183829900711613E-2</v>
      </c>
      <c r="H76" s="383">
        <v>8.6924532268236293E-2</v>
      </c>
      <c r="I76" s="384">
        <v>0.69201228878648224</v>
      </c>
      <c r="J76" s="384">
        <v>1.828811105749601</v>
      </c>
      <c r="K76" s="384">
        <v>3.3473735319253168</v>
      </c>
      <c r="L76" s="385">
        <v>8.2986760928724423E-2</v>
      </c>
      <c r="M76" s="385">
        <v>8.9362196316224662E-2</v>
      </c>
      <c r="N76" s="385">
        <v>9.2882864533665996E-2</v>
      </c>
      <c r="O76" s="384">
        <v>0.54106656581927171</v>
      </c>
      <c r="P76" s="384">
        <v>0.92803832948880505</v>
      </c>
      <c r="Q76" s="384">
        <v>1.405315979839749</v>
      </c>
      <c r="R76" s="385">
        <v>8.8151174668028603E-2</v>
      </c>
      <c r="S76" s="385">
        <v>0.26510752066915638</v>
      </c>
      <c r="T76" s="385">
        <v>0.57067649381416163</v>
      </c>
    </row>
    <row r="77" spans="1:20">
      <c r="A77" s="381" t="s">
        <v>702</v>
      </c>
      <c r="B77" s="382">
        <v>201</v>
      </c>
      <c r="C77" s="383">
        <v>-1.83E-3</v>
      </c>
      <c r="D77" s="383">
        <v>4.82E-2</v>
      </c>
      <c r="E77" s="383">
        <v>0.11700000000000001</v>
      </c>
      <c r="F77" s="383">
        <v>1.449814126394052E-2</v>
      </c>
      <c r="G77" s="383">
        <v>3.219404698305136E-2</v>
      </c>
      <c r="H77" s="383">
        <v>4.9797596987658253E-2</v>
      </c>
      <c r="I77" s="384">
        <v>2.2313175227861679</v>
      </c>
      <c r="J77" s="384">
        <v>3.2014652014652021</v>
      </c>
      <c r="K77" s="384">
        <v>4.6938294865756012</v>
      </c>
      <c r="L77" s="385">
        <v>6.5765152711012673E-2</v>
      </c>
      <c r="M77" s="385">
        <v>6.79152189118815E-2</v>
      </c>
      <c r="N77" s="385">
        <v>7.3132723099417735E-2</v>
      </c>
      <c r="O77" s="384">
        <v>0.32960637094520218</v>
      </c>
      <c r="P77" s="384">
        <v>0.56405823579270031</v>
      </c>
      <c r="Q77" s="384">
        <v>0.90966209256994079</v>
      </c>
      <c r="R77" s="385">
        <v>0.1104667026734389</v>
      </c>
      <c r="S77" s="385">
        <v>0.29022155427352497</v>
      </c>
      <c r="T77" s="385">
        <v>0.44469991809732468</v>
      </c>
    </row>
    <row r="78" spans="1:20">
      <c r="A78" s="381" t="s">
        <v>871</v>
      </c>
      <c r="B78" s="382">
        <v>123</v>
      </c>
      <c r="C78" s="383">
        <v>1.35E-2</v>
      </c>
      <c r="D78" s="383">
        <v>5.3199999999999997E-2</v>
      </c>
      <c r="E78" s="383">
        <v>0.12</v>
      </c>
      <c r="F78" s="383">
        <v>0.39862542955326458</v>
      </c>
      <c r="G78" s="383">
        <v>0.55976331360946752</v>
      </c>
      <c r="H78" s="383">
        <v>0.67736486486486491</v>
      </c>
      <c r="I78" s="384">
        <v>7.4796378622189075E-2</v>
      </c>
      <c r="J78" s="384">
        <v>9.7135061276964599E-2</v>
      </c>
      <c r="K78" s="384">
        <v>0.1232116788321168</v>
      </c>
      <c r="L78" s="385">
        <v>6.2657273264776672E-2</v>
      </c>
      <c r="M78" s="385">
        <v>6.6429718754341935E-2</v>
      </c>
      <c r="N78" s="385">
        <v>7.5384298269321443E-2</v>
      </c>
      <c r="O78" s="384">
        <v>0.57039866729441513</v>
      </c>
      <c r="P78" s="384">
        <v>0.91393622702165489</v>
      </c>
      <c r="Q78" s="384">
        <v>1.298589233613985</v>
      </c>
      <c r="R78" s="385">
        <v>0.33572596423634699</v>
      </c>
      <c r="S78" s="385">
        <v>0.44398136798234861</v>
      </c>
      <c r="T78" s="385">
        <v>0.56147400820793447</v>
      </c>
    </row>
    <row r="79" spans="1:20">
      <c r="A79" s="381" t="s">
        <v>703</v>
      </c>
      <c r="B79" s="382">
        <v>639</v>
      </c>
      <c r="C79" s="383">
        <v>7.000000000000001E-4</v>
      </c>
      <c r="D79" s="383">
        <v>7.2099999999999997E-2</v>
      </c>
      <c r="E79" s="383">
        <v>0.155</v>
      </c>
      <c r="F79" s="383">
        <v>-9.6470445683352179E-3</v>
      </c>
      <c r="G79" s="383">
        <v>3.7822014051522253E-2</v>
      </c>
      <c r="H79" s="383">
        <v>8.8241858930157679E-2</v>
      </c>
      <c r="I79" s="384">
        <v>1.5008876143656971</v>
      </c>
      <c r="J79" s="384">
        <v>2.505426167540544</v>
      </c>
      <c r="K79" s="384">
        <v>4.0348387096774179</v>
      </c>
      <c r="L79" s="385">
        <v>8.3347129691659055E-2</v>
      </c>
      <c r="M79" s="385">
        <v>9.0290010745572066E-2</v>
      </c>
      <c r="N79" s="385">
        <v>9.4576713533445878E-2</v>
      </c>
      <c r="O79" s="384">
        <v>0.59112515360494478</v>
      </c>
      <c r="P79" s="384">
        <v>0.97724684358767111</v>
      </c>
      <c r="Q79" s="384">
        <v>1.4797782516918061</v>
      </c>
      <c r="R79" s="385">
        <v>5.7053446414970177E-2</v>
      </c>
      <c r="S79" s="385">
        <v>0.2220438253318559</v>
      </c>
      <c r="T79" s="385">
        <v>0.47420315337162461</v>
      </c>
    </row>
    <row r="80" spans="1:20">
      <c r="A80" s="381" t="s">
        <v>704</v>
      </c>
      <c r="B80" s="382">
        <v>89</v>
      </c>
      <c r="C80" s="383">
        <v>5.0199999999999988E-2</v>
      </c>
      <c r="D80" s="383">
        <v>0.125</v>
      </c>
      <c r="E80" s="383">
        <v>0.17399999999999999</v>
      </c>
      <c r="F80" s="383">
        <v>3.8447058823529411E-2</v>
      </c>
      <c r="G80" s="383">
        <v>6.6505441354292621E-2</v>
      </c>
      <c r="H80" s="383">
        <v>9.7063730397063716E-2</v>
      </c>
      <c r="I80" s="384">
        <v>0.89117868811259104</v>
      </c>
      <c r="J80" s="384">
        <v>1.2448047002502449</v>
      </c>
      <c r="K80" s="384">
        <v>1.6248138805487009</v>
      </c>
      <c r="L80" s="385">
        <v>8.3225080297708864E-2</v>
      </c>
      <c r="M80" s="385">
        <v>9.1629385791780468E-2</v>
      </c>
      <c r="N80" s="385">
        <v>0.1050026281815768</v>
      </c>
      <c r="O80" s="384">
        <v>0.62745172770998814</v>
      </c>
      <c r="P80" s="384">
        <v>1.0901714185903471</v>
      </c>
      <c r="Q80" s="384">
        <v>1.3820510889037141</v>
      </c>
      <c r="R80" s="385">
        <v>8.2506638991483777E-2</v>
      </c>
      <c r="S80" s="385">
        <v>0.23076923076923081</v>
      </c>
      <c r="T80" s="385">
        <v>0.45530740225838401</v>
      </c>
    </row>
    <row r="81" spans="1:20">
      <c r="A81" s="381" t="s">
        <v>705</v>
      </c>
      <c r="B81" s="382">
        <v>647</v>
      </c>
      <c r="C81" s="383">
        <v>-2.7300000000000001E-2</v>
      </c>
      <c r="D81" s="383">
        <v>7.51E-2</v>
      </c>
      <c r="E81" s="383">
        <v>0.20799999999999999</v>
      </c>
      <c r="F81" s="383">
        <v>-0.1291711517761033</v>
      </c>
      <c r="G81" s="383">
        <v>1.6090669646420301E-2</v>
      </c>
      <c r="H81" s="383">
        <v>0.1102148059371255</v>
      </c>
      <c r="I81" s="384">
        <v>0.5772338482117424</v>
      </c>
      <c r="J81" s="384">
        <v>0.94017335588170348</v>
      </c>
      <c r="K81" s="384">
        <v>1.5921681397217411</v>
      </c>
      <c r="L81" s="385">
        <v>0.1245526186995488</v>
      </c>
      <c r="M81" s="385">
        <v>0.12864727599597811</v>
      </c>
      <c r="N81" s="385">
        <v>0.1300069104193769</v>
      </c>
      <c r="O81" s="384">
        <v>1.1354869577204529</v>
      </c>
      <c r="P81" s="384">
        <v>1.5897351674892799</v>
      </c>
      <c r="Q81" s="384">
        <v>2.2103832026168888</v>
      </c>
      <c r="R81" s="385">
        <v>4.636922326004482E-3</v>
      </c>
      <c r="S81" s="385">
        <v>5.1249470563320618E-2</v>
      </c>
      <c r="T81" s="385">
        <v>0.1706295691674356</v>
      </c>
    </row>
    <row r="82" spans="1:20">
      <c r="A82" s="381" t="s">
        <v>706</v>
      </c>
      <c r="B82" s="382">
        <v>367</v>
      </c>
      <c r="C82" s="383">
        <v>8.3099999999999997E-3</v>
      </c>
      <c r="D82" s="383">
        <v>0.125</v>
      </c>
      <c r="E82" s="383">
        <v>0.254</v>
      </c>
      <c r="F82" s="383">
        <v>1.2637362637362639E-2</v>
      </c>
      <c r="G82" s="383">
        <v>9.6600000000000005E-2</v>
      </c>
      <c r="H82" s="383">
        <v>0.18473828224609001</v>
      </c>
      <c r="I82" s="384">
        <v>0.74375031692104854</v>
      </c>
      <c r="J82" s="384">
        <v>1.152439024390244</v>
      </c>
      <c r="K82" s="384">
        <v>1.7471871012643549</v>
      </c>
      <c r="L82" s="385">
        <v>0.13919191584172261</v>
      </c>
      <c r="M82" s="385">
        <v>0.14318430250820721</v>
      </c>
      <c r="N82" s="385">
        <v>0.1470322636012131</v>
      </c>
      <c r="O82" s="384">
        <v>1.299608294458068</v>
      </c>
      <c r="P82" s="384">
        <v>1.959755909254536</v>
      </c>
      <c r="Q82" s="384">
        <v>2.5751902920126302</v>
      </c>
      <c r="R82" s="385">
        <v>9.802950787206657E-3</v>
      </c>
      <c r="S82" s="385">
        <v>6.5410075171098397E-2</v>
      </c>
      <c r="T82" s="385">
        <v>0.1733181299885975</v>
      </c>
    </row>
    <row r="83" spans="1:20">
      <c r="A83" s="381" t="s">
        <v>707</v>
      </c>
      <c r="B83" s="382">
        <v>348</v>
      </c>
      <c r="C83" s="383">
        <v>4.8800000000000003E-2</v>
      </c>
      <c r="D83" s="383">
        <v>0.11600000000000001</v>
      </c>
      <c r="E83" s="383">
        <v>0.19</v>
      </c>
      <c r="F83" s="383">
        <v>6.260683760683762E-2</v>
      </c>
      <c r="G83" s="383">
        <v>0.14571428571428571</v>
      </c>
      <c r="H83" s="383">
        <v>0.26240391334730961</v>
      </c>
      <c r="I83" s="384">
        <v>0.31668901956738538</v>
      </c>
      <c r="J83" s="384">
        <v>0.59942614724198673</v>
      </c>
      <c r="K83" s="384">
        <v>1.0382285356172971</v>
      </c>
      <c r="L83" s="385">
        <v>8.17372818979578E-2</v>
      </c>
      <c r="M83" s="385">
        <v>8.7015137507967716E-2</v>
      </c>
      <c r="N83" s="385">
        <v>0.10488429589138749</v>
      </c>
      <c r="O83" s="384">
        <v>0.48569709678570172</v>
      </c>
      <c r="P83" s="384">
        <v>0.86760639393729433</v>
      </c>
      <c r="Q83" s="384">
        <v>1.3364441315155371</v>
      </c>
      <c r="R83" s="385">
        <v>8.0586461474472279E-2</v>
      </c>
      <c r="S83" s="385">
        <v>0.25472404805692828</v>
      </c>
      <c r="T83" s="385">
        <v>0.48100306085198391</v>
      </c>
    </row>
    <row r="84" spans="1:20">
      <c r="A84" s="381" t="s">
        <v>708</v>
      </c>
      <c r="B84" s="382">
        <v>85</v>
      </c>
      <c r="C84" s="383">
        <v>-2.0500000000000001E-2</v>
      </c>
      <c r="D84" s="383">
        <v>8.8699999999999987E-2</v>
      </c>
      <c r="E84" s="383">
        <v>0.19700000000000001</v>
      </c>
      <c r="F84" s="383">
        <v>-3.8802322028719832E-2</v>
      </c>
      <c r="G84" s="383">
        <v>6.9354838709677416E-2</v>
      </c>
      <c r="H84" s="383">
        <v>0.10719026548672569</v>
      </c>
      <c r="I84" s="384">
        <v>0.80960957643419917</v>
      </c>
      <c r="J84" s="384">
        <v>1.3375544123466561</v>
      </c>
      <c r="K84" s="384">
        <v>1.8299052432272711</v>
      </c>
      <c r="L84" s="385">
        <v>8.3546536247911571E-2</v>
      </c>
      <c r="M84" s="385">
        <v>8.6796341575525224E-2</v>
      </c>
      <c r="N84" s="385">
        <v>0.1058361300461733</v>
      </c>
      <c r="O84" s="384">
        <v>0.26188787458685042</v>
      </c>
      <c r="P84" s="384">
        <v>0.89594114958574467</v>
      </c>
      <c r="Q84" s="384">
        <v>1.427592145866355</v>
      </c>
      <c r="R84" s="385">
        <v>2.5221469515372592E-2</v>
      </c>
      <c r="S84" s="385">
        <v>0.13153083755050299</v>
      </c>
      <c r="T84" s="385">
        <v>0.38256583946192169</v>
      </c>
    </row>
    <row r="85" spans="1:20">
      <c r="A85" s="381" t="s">
        <v>709</v>
      </c>
      <c r="B85" s="382">
        <v>317</v>
      </c>
      <c r="C85" s="383">
        <v>8.9899999999999997E-3</v>
      </c>
      <c r="D85" s="383">
        <v>0.13300000000000001</v>
      </c>
      <c r="E85" s="383">
        <v>0.25600000000000001</v>
      </c>
      <c r="F85" s="383">
        <v>-0.27525423728813558</v>
      </c>
      <c r="G85" s="383">
        <v>1.6951644048883809E-2</v>
      </c>
      <c r="H85" s="383">
        <v>0.14157706093189959</v>
      </c>
      <c r="I85" s="384">
        <v>0.91224247226624389</v>
      </c>
      <c r="J85" s="384">
        <v>2.5496183206106871</v>
      </c>
      <c r="K85" s="384">
        <v>5.7998713906980379</v>
      </c>
      <c r="L85" s="385">
        <v>0.1007463724299459</v>
      </c>
      <c r="M85" s="385">
        <v>0.1085721408462354</v>
      </c>
      <c r="N85" s="385">
        <v>0.1146544256520548</v>
      </c>
      <c r="O85" s="384">
        <v>0.76193732058256947</v>
      </c>
      <c r="P85" s="384">
        <v>1.3086136878697161</v>
      </c>
      <c r="Q85" s="384">
        <v>1.785023602020636</v>
      </c>
      <c r="R85" s="385">
        <v>3.0534056101496751E-3</v>
      </c>
      <c r="S85" s="385">
        <v>4.1322314049586778E-2</v>
      </c>
      <c r="T85" s="385">
        <v>0.19467101685698751</v>
      </c>
    </row>
    <row r="86" spans="1:20">
      <c r="A86" s="381" t="s">
        <v>710</v>
      </c>
      <c r="B86" s="382">
        <v>151</v>
      </c>
      <c r="C86" s="383">
        <v>3.4299999999999997E-2</v>
      </c>
      <c r="D86" s="383">
        <v>0.10100000000000001</v>
      </c>
      <c r="E86" s="383">
        <v>0.28499999999999998</v>
      </c>
      <c r="F86" s="383">
        <v>-0.23154981549815501</v>
      </c>
      <c r="G86" s="383">
        <v>-1.9433091842255001E-2</v>
      </c>
      <c r="H86" s="383">
        <v>8.6965230967256238E-2</v>
      </c>
      <c r="I86" s="384">
        <v>0.54626532887402457</v>
      </c>
      <c r="J86" s="384">
        <v>1.515500159795462</v>
      </c>
      <c r="K86" s="384">
        <v>2.9000384707827598</v>
      </c>
      <c r="L86" s="385">
        <v>9.6376205645205354E-2</v>
      </c>
      <c r="M86" s="385">
        <v>0.1048327872776708</v>
      </c>
      <c r="N86" s="385">
        <v>0.1096618806784429</v>
      </c>
      <c r="O86" s="384">
        <v>0.74253372156598074</v>
      </c>
      <c r="P86" s="384">
        <v>1.2056987862135571</v>
      </c>
      <c r="Q86" s="384">
        <v>1.8772240434414049</v>
      </c>
      <c r="R86" s="385">
        <v>1.7836890401072281E-2</v>
      </c>
      <c r="S86" s="385">
        <v>8.7999999999999995E-2</v>
      </c>
      <c r="T86" s="385">
        <v>0.25531914893617019</v>
      </c>
    </row>
    <row r="87" spans="1:20">
      <c r="A87" s="381" t="s">
        <v>711</v>
      </c>
      <c r="B87" s="382">
        <v>1616</v>
      </c>
      <c r="C87" s="383">
        <v>2.41E-2</v>
      </c>
      <c r="D87" s="383">
        <v>0.111</v>
      </c>
      <c r="E87" s="383">
        <v>0.23799999999999999</v>
      </c>
      <c r="F87" s="383">
        <v>-0.37198067632850251</v>
      </c>
      <c r="G87" s="383">
        <v>-2.5851851851851852E-2</v>
      </c>
      <c r="H87" s="383">
        <v>9.610491289880603E-2</v>
      </c>
      <c r="I87" s="384">
        <v>0.73765702600058436</v>
      </c>
      <c r="J87" s="384">
        <v>1.7767879237812421</v>
      </c>
      <c r="K87" s="384">
        <v>3.9872340425531911</v>
      </c>
      <c r="L87" s="385">
        <v>9.744367380212228E-2</v>
      </c>
      <c r="M87" s="385">
        <v>0.1053022598065645</v>
      </c>
      <c r="N87" s="385">
        <v>0.1106470044818328</v>
      </c>
      <c r="O87" s="384">
        <v>0.68995320026392704</v>
      </c>
      <c r="P87" s="384">
        <v>1.157974733301631</v>
      </c>
      <c r="Q87" s="384">
        <v>1.734772861380218</v>
      </c>
      <c r="R87" s="385">
        <v>2.6785290065092409E-3</v>
      </c>
      <c r="S87" s="385">
        <v>2.9409973817207571E-2</v>
      </c>
      <c r="T87" s="385">
        <v>0.14481645824929409</v>
      </c>
    </row>
    <row r="88" spans="1:20">
      <c r="A88" s="381" t="s">
        <v>712</v>
      </c>
      <c r="B88" s="382">
        <v>718</v>
      </c>
      <c r="C88" s="383">
        <v>7.0400000000000004E-2</v>
      </c>
      <c r="D88" s="383">
        <v>0.14499999999999999</v>
      </c>
      <c r="E88" s="383">
        <v>0.24299999999999999</v>
      </c>
      <c r="F88" s="383">
        <v>-2.836269875376021E-3</v>
      </c>
      <c r="G88" s="383">
        <v>4.0440579897980528E-2</v>
      </c>
      <c r="H88" s="383">
        <v>9.8270391339513471E-2</v>
      </c>
      <c r="I88" s="384">
        <v>0.88267424076906265</v>
      </c>
      <c r="J88" s="384">
        <v>1.39622641509434</v>
      </c>
      <c r="K88" s="384">
        <v>2.1490196078431372</v>
      </c>
      <c r="L88" s="385">
        <v>8.7923345208853837E-2</v>
      </c>
      <c r="M88" s="385">
        <v>9.3824426168008276E-2</v>
      </c>
      <c r="N88" s="385">
        <v>0.114034389437253</v>
      </c>
      <c r="O88" s="384">
        <v>0.6168803328960546</v>
      </c>
      <c r="P88" s="384">
        <v>1.1441809357529169</v>
      </c>
      <c r="Q88" s="384">
        <v>1.614821422538262</v>
      </c>
      <c r="R88" s="385">
        <v>4.342190537913157E-2</v>
      </c>
      <c r="S88" s="385">
        <v>0.23367560022511749</v>
      </c>
      <c r="T88" s="385">
        <v>0.46398659966499162</v>
      </c>
    </row>
    <row r="89" spans="1:20">
      <c r="A89" s="381" t="s">
        <v>713</v>
      </c>
      <c r="B89" s="382">
        <v>98</v>
      </c>
      <c r="C89" s="383">
        <v>1.77E-2</v>
      </c>
      <c r="D89" s="383">
        <v>5.6300000000000003E-2</v>
      </c>
      <c r="E89" s="383">
        <v>0.11899999999999999</v>
      </c>
      <c r="F89" s="383">
        <v>4.1473892927957702E-2</v>
      </c>
      <c r="G89" s="383">
        <v>0.13287367643437581</v>
      </c>
      <c r="H89" s="383">
        <v>0.19470138175174151</v>
      </c>
      <c r="I89" s="384">
        <v>0.57517241379310335</v>
      </c>
      <c r="J89" s="384">
        <v>0.97610325949409249</v>
      </c>
      <c r="K89" s="384">
        <v>1.698482215822086</v>
      </c>
      <c r="L89" s="385">
        <v>6.806752705099503E-2</v>
      </c>
      <c r="M89" s="385">
        <v>7.4531356092882889E-2</v>
      </c>
      <c r="N89" s="385">
        <v>8.7458804560113179E-2</v>
      </c>
      <c r="O89" s="384">
        <v>0.35604025679875873</v>
      </c>
      <c r="P89" s="384">
        <v>0.70005951045207115</v>
      </c>
      <c r="Q89" s="384">
        <v>1.142183985941259</v>
      </c>
      <c r="R89" s="385">
        <v>4.6743453676299243E-2</v>
      </c>
      <c r="S89" s="385">
        <v>0.22711259948680029</v>
      </c>
      <c r="T89" s="385">
        <v>0.41267602266478592</v>
      </c>
    </row>
    <row r="90" spans="1:20">
      <c r="A90" s="381" t="s">
        <v>714</v>
      </c>
      <c r="B90" s="382">
        <v>453</v>
      </c>
      <c r="C90" s="383">
        <v>-3.7499999999999999E-2</v>
      </c>
      <c r="D90" s="383">
        <v>4.7899999999999998E-2</v>
      </c>
      <c r="E90" s="383">
        <v>0.14699999999999999</v>
      </c>
      <c r="F90" s="383">
        <v>-0.1044444444444444</v>
      </c>
      <c r="G90" s="383">
        <v>1.5758131012368299E-2</v>
      </c>
      <c r="H90" s="383">
        <v>9.3375394321766558E-2</v>
      </c>
      <c r="I90" s="384">
        <v>0.76195955942791394</v>
      </c>
      <c r="J90" s="384">
        <v>1.330755502676978</v>
      </c>
      <c r="K90" s="384">
        <v>2.1664337899140249</v>
      </c>
      <c r="L90" s="385">
        <v>9.291137856426393E-2</v>
      </c>
      <c r="M90" s="385">
        <v>0.1021127163557362</v>
      </c>
      <c r="N90" s="385">
        <v>0.1044950010005805</v>
      </c>
      <c r="O90" s="384">
        <v>0.65289832235417944</v>
      </c>
      <c r="P90" s="384">
        <v>1.099982499945418</v>
      </c>
      <c r="Q90" s="384">
        <v>1.656834221410225</v>
      </c>
      <c r="R90" s="385">
        <v>1.331319044471721E-2</v>
      </c>
      <c r="S90" s="385">
        <v>8.8424437299035374E-2</v>
      </c>
      <c r="T90" s="385">
        <v>0.26403326403326399</v>
      </c>
    </row>
    <row r="91" spans="1:20">
      <c r="A91" s="381" t="s">
        <v>715</v>
      </c>
      <c r="B91" s="382">
        <v>288</v>
      </c>
      <c r="C91" s="383">
        <v>7.4000000000000003E-3</v>
      </c>
      <c r="D91" s="383">
        <v>6.3600000000000004E-2</v>
      </c>
      <c r="E91" s="383">
        <v>0.16700000000000001</v>
      </c>
      <c r="F91" s="383">
        <v>-2.1141649048625789E-4</v>
      </c>
      <c r="G91" s="383">
        <v>9.4412992508720761E-2</v>
      </c>
      <c r="H91" s="383">
        <v>0.195330338071739</v>
      </c>
      <c r="I91" s="384">
        <v>0.55616170305538803</v>
      </c>
      <c r="J91" s="384">
        <v>0.89120825147347738</v>
      </c>
      <c r="K91" s="384">
        <v>1.7151709786218761</v>
      </c>
      <c r="L91" s="385">
        <v>6.3306443607924853E-2</v>
      </c>
      <c r="M91" s="385">
        <v>6.8797445653512521E-2</v>
      </c>
      <c r="N91" s="385">
        <v>8.0930078828441124E-2</v>
      </c>
      <c r="O91" s="384">
        <v>0.35978012444400848</v>
      </c>
      <c r="P91" s="384">
        <v>0.77696964572808702</v>
      </c>
      <c r="Q91" s="384">
        <v>1.191754966383076</v>
      </c>
      <c r="R91" s="385">
        <v>8.2671081677704206E-2</v>
      </c>
      <c r="S91" s="385">
        <v>0.22747337164892881</v>
      </c>
      <c r="T91" s="385">
        <v>0.45170866868980081</v>
      </c>
    </row>
    <row r="92" spans="1:20">
      <c r="A92" s="381" t="s">
        <v>716</v>
      </c>
      <c r="B92" s="382">
        <v>56</v>
      </c>
      <c r="C92" s="383">
        <v>2.7E-2</v>
      </c>
      <c r="D92" s="383">
        <v>6.13E-2</v>
      </c>
      <c r="E92" s="383">
        <v>0.14899999999999999</v>
      </c>
      <c r="F92" s="383">
        <v>-5.7561869844179646E-3</v>
      </c>
      <c r="G92" s="383">
        <v>0.1680473372781065</v>
      </c>
      <c r="H92" s="383">
        <v>0.31424676209952279</v>
      </c>
      <c r="I92" s="384">
        <v>0.88928657266742983</v>
      </c>
      <c r="J92" s="384">
        <v>1.5232952984179311</v>
      </c>
      <c r="K92" s="384">
        <v>2.5112715142068418</v>
      </c>
      <c r="L92" s="385">
        <v>6.4434761052560963E-2</v>
      </c>
      <c r="M92" s="385">
        <v>7.3550808124212164E-2</v>
      </c>
      <c r="N92" s="385">
        <v>9.3588186459963238E-2</v>
      </c>
      <c r="O92" s="384">
        <v>0.2152123835857444</v>
      </c>
      <c r="P92" s="384">
        <v>0.52770193962985767</v>
      </c>
      <c r="Q92" s="384">
        <v>0.97679020026969876</v>
      </c>
      <c r="R92" s="385">
        <v>1.5979790827408691E-3</v>
      </c>
      <c r="S92" s="385">
        <v>6.7222511724856701E-2</v>
      </c>
      <c r="T92" s="385">
        <v>0.34136546184738958</v>
      </c>
    </row>
    <row r="93" spans="1:20">
      <c r="A93" s="381" t="s">
        <v>717</v>
      </c>
      <c r="B93" s="382">
        <v>814</v>
      </c>
      <c r="C93" s="383">
        <v>3.2799999999999999E-3</v>
      </c>
      <c r="D93" s="383">
        <v>7.8600000000000003E-2</v>
      </c>
      <c r="E93" s="383">
        <v>0.17299999999999999</v>
      </c>
      <c r="F93" s="383">
        <v>-1.719280184845445E-2</v>
      </c>
      <c r="G93" s="383">
        <v>5.5543501844217837E-2</v>
      </c>
      <c r="H93" s="383">
        <v>0.12873795773456281</v>
      </c>
      <c r="I93" s="384">
        <v>0.65441176470588236</v>
      </c>
      <c r="J93" s="384">
        <v>1.413583655438984</v>
      </c>
      <c r="K93" s="384">
        <v>2.6115447624554311</v>
      </c>
      <c r="L93" s="385">
        <v>7.6982671315744461E-2</v>
      </c>
      <c r="M93" s="385">
        <v>8.3694649533337398E-2</v>
      </c>
      <c r="N93" s="385">
        <v>9.5678860125602075E-2</v>
      </c>
      <c r="O93" s="384">
        <v>0.4445828375427921</v>
      </c>
      <c r="P93" s="384">
        <v>0.89793959464436157</v>
      </c>
      <c r="Q93" s="384">
        <v>1.3996333238073571</v>
      </c>
      <c r="R93" s="385">
        <v>2.1092820930086999E-2</v>
      </c>
      <c r="S93" s="385">
        <v>0.15514958962139261</v>
      </c>
      <c r="T93" s="385">
        <v>0.396484375</v>
      </c>
    </row>
    <row r="94" spans="1:20">
      <c r="A94" s="381" t="s">
        <v>718</v>
      </c>
      <c r="B94" s="382">
        <v>49</v>
      </c>
      <c r="C94" s="383">
        <v>2.69E-2</v>
      </c>
      <c r="D94" s="383">
        <v>6.2399999999999997E-2</v>
      </c>
      <c r="E94" s="383">
        <v>0.115</v>
      </c>
      <c r="F94" s="383">
        <v>7.2937968643490114E-2</v>
      </c>
      <c r="G94" s="383">
        <v>0.1074263472592782</v>
      </c>
      <c r="H94" s="383">
        <v>0.2047713717693837</v>
      </c>
      <c r="I94" s="384">
        <v>0.35995574515169021</v>
      </c>
      <c r="J94" s="384">
        <v>0.45822971868698342</v>
      </c>
      <c r="K94" s="384">
        <v>0.73738172897206344</v>
      </c>
      <c r="L94" s="385">
        <v>6.1181193997834137E-2</v>
      </c>
      <c r="M94" s="385">
        <v>6.4249206156019339E-2</v>
      </c>
      <c r="N94" s="385">
        <v>6.648754230255649E-2</v>
      </c>
      <c r="O94" s="384">
        <v>0.1828397917521003</v>
      </c>
      <c r="P94" s="384">
        <v>0.60289337874070326</v>
      </c>
      <c r="Q94" s="384">
        <v>0.99060351374927791</v>
      </c>
      <c r="R94" s="385">
        <v>0.1724910394265233</v>
      </c>
      <c r="S94" s="385">
        <v>0.42714933527646631</v>
      </c>
      <c r="T94" s="385">
        <v>0.57267687227526665</v>
      </c>
    </row>
    <row r="95" spans="1:20">
      <c r="A95" s="381" t="s">
        <v>719</v>
      </c>
      <c r="B95" s="382">
        <v>106</v>
      </c>
      <c r="C95" s="383">
        <v>-9.9100000000000021E-3</v>
      </c>
      <c r="D95" s="383">
        <v>5.91E-2</v>
      </c>
      <c r="E95" s="383">
        <v>0.14699999999999999</v>
      </c>
      <c r="F95" s="383">
        <v>2.324730001830496E-2</v>
      </c>
      <c r="G95" s="383">
        <v>5.7416381611338267E-2</v>
      </c>
      <c r="H95" s="383">
        <v>9.0476190476190474E-2</v>
      </c>
      <c r="I95" s="384">
        <v>0.97795715616268231</v>
      </c>
      <c r="J95" s="384">
        <v>1.6555941276270749</v>
      </c>
      <c r="K95" s="384">
        <v>2.6651056321817279</v>
      </c>
      <c r="L95" s="385">
        <v>7.6758863519314019E-2</v>
      </c>
      <c r="M95" s="385">
        <v>8.2899416827063879E-2</v>
      </c>
      <c r="N95" s="385">
        <v>0.10207022133157161</v>
      </c>
      <c r="O95" s="384">
        <v>0.53139540684447273</v>
      </c>
      <c r="P95" s="384">
        <v>0.9499119195296295</v>
      </c>
      <c r="Q95" s="384">
        <v>1.30838292779792</v>
      </c>
      <c r="R95" s="385">
        <v>0.14049586776859499</v>
      </c>
      <c r="S95" s="385">
        <v>0.26570232204035021</v>
      </c>
      <c r="T95" s="385">
        <v>0.46540880503144649</v>
      </c>
    </row>
    <row r="96" spans="1:20">
      <c r="A96" s="381" t="s">
        <v>720</v>
      </c>
      <c r="B96" s="382">
        <v>50</v>
      </c>
      <c r="C96" s="383">
        <v>6.3600000000000004E-2</v>
      </c>
      <c r="D96" s="383">
        <v>0.13400000000000001</v>
      </c>
      <c r="E96" s="383">
        <v>0.2</v>
      </c>
      <c r="F96" s="383">
        <v>5.5472019092001189E-2</v>
      </c>
      <c r="G96" s="383">
        <v>0.15404112523204341</v>
      </c>
      <c r="H96" s="383">
        <v>0.20719035743973399</v>
      </c>
      <c r="I96" s="384">
        <v>0.31826333083916769</v>
      </c>
      <c r="J96" s="384">
        <v>0.40771287734785272</v>
      </c>
      <c r="K96" s="384">
        <v>1.6940998251717709</v>
      </c>
      <c r="L96" s="385">
        <v>5.6833019360899663E-2</v>
      </c>
      <c r="M96" s="385">
        <v>5.9233082509394117E-2</v>
      </c>
      <c r="N96" s="385">
        <v>6.4311306181435879E-2</v>
      </c>
      <c r="O96" s="384">
        <v>0.46776055321473348</v>
      </c>
      <c r="P96" s="384">
        <v>0.61028496769552487</v>
      </c>
      <c r="Q96" s="384">
        <v>0.99220631416867067</v>
      </c>
      <c r="R96" s="385">
        <v>0.33759567328859408</v>
      </c>
      <c r="S96" s="385">
        <v>0.45991751291026928</v>
      </c>
      <c r="T96" s="385">
        <v>0.54773558842491221</v>
      </c>
    </row>
    <row r="97" spans="1:20">
      <c r="A97" s="381" t="s">
        <v>721</v>
      </c>
      <c r="B97" s="382">
        <v>102</v>
      </c>
      <c r="C97" s="383">
        <v>1.5499999999999999E-3</v>
      </c>
      <c r="D97" s="383">
        <v>6.88E-2</v>
      </c>
      <c r="E97" s="383">
        <v>0.13100000000000001</v>
      </c>
      <c r="F97" s="383">
        <v>7.2075782537067548E-2</v>
      </c>
      <c r="G97" s="383">
        <v>0.20313374370453269</v>
      </c>
      <c r="H97" s="383">
        <v>0.27598566308243733</v>
      </c>
      <c r="I97" s="384">
        <v>0.21020326570295339</v>
      </c>
      <c r="J97" s="384">
        <v>0.34106955107971998</v>
      </c>
      <c r="K97" s="384">
        <v>0.59236205192047164</v>
      </c>
      <c r="L97" s="385">
        <v>5.8785843027534417E-2</v>
      </c>
      <c r="M97" s="385">
        <v>6.2298382866052451E-2</v>
      </c>
      <c r="N97" s="385">
        <v>6.6846834618071171E-2</v>
      </c>
      <c r="O97" s="384">
        <v>0.42112366776804272</v>
      </c>
      <c r="P97" s="384">
        <v>0.60386720043366293</v>
      </c>
      <c r="Q97" s="384">
        <v>0.91490263520858495</v>
      </c>
      <c r="R97" s="385">
        <v>6.6705790297339584E-2</v>
      </c>
      <c r="S97" s="385">
        <v>0.32335259572001562</v>
      </c>
      <c r="T97" s="385">
        <v>0.60800759613862954</v>
      </c>
    </row>
  </sheetData>
  <mergeCells count="5">
    <mergeCell ref="C1:E1"/>
    <mergeCell ref="F1:H1"/>
    <mergeCell ref="I1:K1"/>
    <mergeCell ref="L1:N1"/>
    <mergeCell ref="P1:R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 defaultRowHeight="12"/>
  <cols>
    <col min="1" max="1" width="34" bestFit="1" customWidth="1"/>
    <col min="2" max="2" width="16" style="92" customWidth="1"/>
    <col min="3" max="3" width="19.85546875" style="92" bestFit="1" customWidth="1"/>
    <col min="4" max="4" width="22.140625" style="92" bestFit="1" customWidth="1"/>
    <col min="5" max="5" width="14.140625" bestFit="1" customWidth="1"/>
  </cols>
  <sheetData>
    <row r="1" spans="1:6">
      <c r="A1" s="710" t="s">
        <v>899</v>
      </c>
      <c r="B1" s="711"/>
      <c r="C1" s="711"/>
      <c r="D1" s="711"/>
      <c r="E1" s="711"/>
      <c r="F1" s="712"/>
    </row>
    <row r="2" spans="1:6">
      <c r="A2" s="713"/>
      <c r="B2" s="714"/>
      <c r="C2" s="714"/>
      <c r="D2" s="714"/>
      <c r="E2" s="714"/>
      <c r="F2" s="715"/>
    </row>
    <row r="3" spans="1:6">
      <c r="A3" s="713"/>
      <c r="B3" s="714"/>
      <c r="C3" s="714"/>
      <c r="D3" s="714"/>
      <c r="E3" s="714"/>
      <c r="F3" s="715"/>
    </row>
    <row r="4" spans="1:6" ht="12.75" thickBot="1">
      <c r="A4" s="716"/>
      <c r="B4" s="717"/>
      <c r="C4" s="717"/>
      <c r="D4" s="717"/>
      <c r="E4" s="717"/>
      <c r="F4" s="718"/>
    </row>
    <row r="6" spans="1:6">
      <c r="B6" s="80" t="s">
        <v>898</v>
      </c>
      <c r="C6" s="80" t="s">
        <v>401</v>
      </c>
      <c r="D6" s="80" t="s">
        <v>402</v>
      </c>
      <c r="E6" s="80" t="s">
        <v>373</v>
      </c>
    </row>
    <row r="7" spans="1:6" ht="12.75">
      <c r="A7" s="36" t="s">
        <v>5</v>
      </c>
      <c r="B7" s="96">
        <v>15794.34</v>
      </c>
      <c r="C7" s="96">
        <v>7608.13</v>
      </c>
      <c r="D7" s="96">
        <v>9444.11</v>
      </c>
      <c r="E7" s="97">
        <f>B7-C7+D7</f>
        <v>17630.32</v>
      </c>
    </row>
    <row r="8" spans="1:6" ht="12.75">
      <c r="A8" s="36" t="s">
        <v>589</v>
      </c>
      <c r="B8" s="96">
        <v>1221.81</v>
      </c>
      <c r="C8" s="96">
        <v>581.41</v>
      </c>
      <c r="D8" s="96">
        <v>756</v>
      </c>
      <c r="E8" s="97">
        <f>B8-C8+D8</f>
        <v>1396.4</v>
      </c>
    </row>
    <row r="9" spans="1:6" ht="12.75">
      <c r="A9" s="36" t="s">
        <v>23</v>
      </c>
      <c r="B9" s="96">
        <v>1605.23</v>
      </c>
      <c r="C9" s="96">
        <v>908.79</v>
      </c>
      <c r="D9" s="96">
        <v>1165.5</v>
      </c>
      <c r="E9" s="97">
        <f>B9-C9+D9</f>
        <v>1861.94</v>
      </c>
    </row>
    <row r="10" spans="1:6" ht="12.75">
      <c r="A10" s="36" t="s">
        <v>411</v>
      </c>
      <c r="B10" s="96">
        <v>420.49</v>
      </c>
      <c r="C10" s="96">
        <v>182.82</v>
      </c>
      <c r="D10" s="96">
        <v>287.56</v>
      </c>
      <c r="E10" s="97">
        <f>B10-C10+D10</f>
        <v>525.23</v>
      </c>
    </row>
    <row r="11" spans="1:6" ht="12.75">
      <c r="A11" s="36" t="s">
        <v>24</v>
      </c>
      <c r="B11" s="96">
        <v>5238.7700000000004</v>
      </c>
      <c r="C11" s="96"/>
      <c r="D11" s="96">
        <v>6105.55</v>
      </c>
      <c r="E11" s="97"/>
    </row>
    <row r="12" spans="1:6" ht="12.75">
      <c r="A12" s="36" t="s">
        <v>25</v>
      </c>
      <c r="B12" s="96">
        <v>10360</v>
      </c>
      <c r="C12" s="96"/>
      <c r="D12" s="96">
        <v>12594.14</v>
      </c>
      <c r="E12" s="97"/>
    </row>
    <row r="13" spans="1:6" ht="12.75">
      <c r="A13" s="36" t="s">
        <v>225</v>
      </c>
      <c r="B13" s="96"/>
      <c r="C13" s="96"/>
      <c r="D13" s="96"/>
      <c r="E13" s="97"/>
    </row>
    <row r="14" spans="1:6" ht="12.75">
      <c r="A14" s="36" t="s">
        <v>226</v>
      </c>
      <c r="B14" s="96">
        <v>3794.48</v>
      </c>
      <c r="C14" s="96"/>
      <c r="D14" s="96">
        <v>5004.25</v>
      </c>
      <c r="E14" s="97"/>
    </row>
    <row r="15" spans="1:6" ht="12.75">
      <c r="A15" s="36" t="s">
        <v>365</v>
      </c>
      <c r="B15" s="96">
        <v>0</v>
      </c>
      <c r="C15" s="96"/>
      <c r="D15" s="96">
        <v>0</v>
      </c>
      <c r="E15" s="97"/>
    </row>
    <row r="16" spans="1:6" ht="12.75">
      <c r="A16" s="36" t="s">
        <v>369</v>
      </c>
      <c r="B16" s="96">
        <v>0</v>
      </c>
      <c r="C16" s="96"/>
      <c r="D16" s="96">
        <v>0</v>
      </c>
      <c r="E16" s="97"/>
    </row>
    <row r="17" spans="1:5" ht="12.75">
      <c r="A17" s="36" t="s">
        <v>26</v>
      </c>
      <c r="B17" s="96"/>
      <c r="C17" s="96"/>
      <c r="D17" s="96"/>
      <c r="E17" s="97"/>
    </row>
    <row r="18" spans="1:5" ht="12.75">
      <c r="A18" s="36" t="s">
        <v>27</v>
      </c>
      <c r="B18" s="98"/>
      <c r="C18" s="96"/>
      <c r="D18" s="96"/>
      <c r="E18" s="97"/>
    </row>
    <row r="19" spans="1:5" ht="12.75">
      <c r="A19" s="36" t="s">
        <v>94</v>
      </c>
      <c r="B19" s="93">
        <f>15885/61372</f>
        <v>0.25883138890699342</v>
      </c>
      <c r="C19" s="93">
        <f>6965/27030</f>
        <v>0.25767665556788755</v>
      </c>
      <c r="D19" s="93">
        <f>3941/23906</f>
        <v>0.16485401154521878</v>
      </c>
      <c r="E19" s="1"/>
    </row>
    <row r="20" spans="1:5" ht="12.75">
      <c r="A20" s="36" t="s">
        <v>95</v>
      </c>
      <c r="B20" s="80"/>
      <c r="C20" s="80"/>
      <c r="D20" s="80"/>
      <c r="E20" s="1"/>
    </row>
    <row r="21" spans="1:5" s="2" customFormat="1" ht="12.75">
      <c r="A21" s="37" t="s">
        <v>374</v>
      </c>
      <c r="B21" s="101"/>
      <c r="C21" s="101"/>
      <c r="D21" s="101"/>
      <c r="E21" s="102"/>
    </row>
    <row r="22" spans="1:5" ht="12.75">
      <c r="A22" s="35" t="s">
        <v>375</v>
      </c>
      <c r="B22" s="143">
        <v>172.47</v>
      </c>
      <c r="C22" s="99"/>
      <c r="D22" s="99" t="s">
        <v>88</v>
      </c>
      <c r="E22" s="100"/>
    </row>
    <row r="23" spans="1:5" ht="12.75">
      <c r="A23" s="35" t="s">
        <v>376</v>
      </c>
      <c r="B23" s="143">
        <v>139.4</v>
      </c>
      <c r="C23" s="709" t="s">
        <v>531</v>
      </c>
      <c r="D23" s="99" t="s">
        <v>88</v>
      </c>
      <c r="E23" s="100"/>
    </row>
    <row r="24" spans="1:5" ht="12.75">
      <c r="A24" s="35" t="s">
        <v>377</v>
      </c>
      <c r="B24" s="143">
        <v>145.18</v>
      </c>
      <c r="C24" s="709"/>
      <c r="D24" s="99" t="s">
        <v>88</v>
      </c>
      <c r="E24" s="100"/>
    </row>
    <row r="25" spans="1:5" ht="12.75">
      <c r="A25" s="35" t="s">
        <v>378</v>
      </c>
      <c r="B25" s="143">
        <v>156.53</v>
      </c>
      <c r="C25" s="709"/>
      <c r="D25" s="99" t="s">
        <v>88</v>
      </c>
      <c r="E25" s="100"/>
    </row>
    <row r="26" spans="1:5" ht="12.75">
      <c r="A26" s="35" t="s">
        <v>379</v>
      </c>
      <c r="B26" s="143">
        <v>151.19999999999999</v>
      </c>
      <c r="C26" s="709"/>
      <c r="D26" s="99" t="s">
        <v>88</v>
      </c>
      <c r="E26" s="100"/>
    </row>
    <row r="27" spans="1:5" ht="12.75">
      <c r="A27" s="35" t="s">
        <v>380</v>
      </c>
      <c r="B27" s="142">
        <v>943.63</v>
      </c>
      <c r="C27" s="709"/>
      <c r="D27" s="99" t="s">
        <v>88</v>
      </c>
      <c r="E27" s="100"/>
    </row>
    <row r="28" spans="1:5">
      <c r="B28" s="94"/>
      <c r="C28" s="709"/>
    </row>
    <row r="30" spans="1:5" ht="12.75">
      <c r="A30" s="35" t="s">
        <v>530</v>
      </c>
      <c r="B30" s="141">
        <v>107</v>
      </c>
    </row>
    <row r="34" spans="1:5">
      <c r="D34" s="96">
        <v>75872</v>
      </c>
    </row>
    <row r="35" spans="1:5">
      <c r="D35" s="96">
        <v>2404</v>
      </c>
    </row>
    <row r="36" spans="1:5">
      <c r="D36" s="96">
        <v>24171</v>
      </c>
    </row>
    <row r="37" spans="1:5">
      <c r="D37" s="96">
        <v>276</v>
      </c>
    </row>
    <row r="41" spans="1:5">
      <c r="A41" t="s">
        <v>590</v>
      </c>
      <c r="B41" s="92">
        <v>630.29</v>
      </c>
      <c r="C41" s="92">
        <v>286.14</v>
      </c>
      <c r="D41" s="92">
        <v>426.61</v>
      </c>
      <c r="E41">
        <f>B41-C41+D41</f>
        <v>770.76</v>
      </c>
    </row>
    <row r="42" spans="1:5">
      <c r="A42" t="s">
        <v>591</v>
      </c>
      <c r="B42" s="92">
        <v>2369.4699999999998</v>
      </c>
      <c r="C42" s="92">
        <v>1128.78</v>
      </c>
      <c r="D42" s="92">
        <v>1219.73</v>
      </c>
      <c r="E42">
        <f>B42-C42+D42</f>
        <v>2460.42</v>
      </c>
    </row>
    <row r="43" spans="1:5">
      <c r="A43" t="s">
        <v>592</v>
      </c>
      <c r="B43" s="92">
        <v>9967.5400000000009</v>
      </c>
      <c r="C43" s="92">
        <v>4703.01</v>
      </c>
      <c r="D43" s="92">
        <v>5876.21</v>
      </c>
      <c r="E43">
        <f>B43-C43+D43</f>
        <v>11140.740000000002</v>
      </c>
    </row>
    <row r="45" spans="1:5">
      <c r="A45" t="s">
        <v>593</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opLeftCell="A33" zoomScale="125" zoomScaleNormal="125" workbookViewId="0">
      <selection activeCell="C51" sqref="C51"/>
    </sheetView>
  </sheetViews>
  <sheetFormatPr defaultColWidth="11" defaultRowHeight="15.75"/>
  <cols>
    <col min="1" max="1" width="23" style="31" bestFit="1" customWidth="1"/>
    <col min="2" max="2" width="16.5703125" style="31" customWidth="1"/>
    <col min="3" max="13" width="15.85546875" style="34" bestFit="1" customWidth="1"/>
    <col min="14" max="14" width="12.570312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0.12</v>
      </c>
      <c r="D2" s="41">
        <f>'Input sheet'!B28</f>
        <v>0.12</v>
      </c>
      <c r="E2" s="41">
        <f>D2</f>
        <v>0.12</v>
      </c>
      <c r="F2" s="41">
        <f>E2</f>
        <v>0.12</v>
      </c>
      <c r="G2" s="41">
        <f>F2</f>
        <v>0.12</v>
      </c>
      <c r="H2" s="41">
        <f>G2-((G2-$M$2)/5)</f>
        <v>0.10416</v>
      </c>
      <c r="I2" s="41">
        <f>G2-((G2-$M$2)/5)*2</f>
        <v>8.8319999999999996E-2</v>
      </c>
      <c r="J2" s="41">
        <f>G2-((G2-$M$2)/5)*3</f>
        <v>7.2479999999999989E-2</v>
      </c>
      <c r="K2" s="41">
        <f>G2-((G2-$M$2)/5)*4</f>
        <v>5.6639999999999996E-2</v>
      </c>
      <c r="L2" s="41">
        <f>G2-((G2-$M$2)/5)*5</f>
        <v>4.0800000000000003E-2</v>
      </c>
      <c r="M2" s="42">
        <f>IF('Input sheet'!B67="Yes",'Input sheet'!B68,IF('Input sheet'!B64="Yes",'Input sheet'!B65,'Input sheet'!B34))</f>
        <v>4.0800000000000003E-2</v>
      </c>
    </row>
    <row r="3" spans="1:14" ht="15" customHeight="1">
      <c r="A3" s="31" t="s">
        <v>5</v>
      </c>
      <c r="B3" s="43">
        <f>'Input sheet'!B11</f>
        <v>574785</v>
      </c>
      <c r="C3" s="44">
        <f>B3*(1+C2)</f>
        <v>643759.20000000007</v>
      </c>
      <c r="D3" s="44">
        <f t="shared" ref="D3:L3" si="0">C3*(1+D2)</f>
        <v>721010.30400000012</v>
      </c>
      <c r="E3" s="44">
        <f t="shared" si="0"/>
        <v>807531.5404800002</v>
      </c>
      <c r="F3" s="44">
        <f t="shared" si="0"/>
        <v>904435.32533760031</v>
      </c>
      <c r="G3" s="44">
        <f t="shared" si="0"/>
        <v>1012967.5643781124</v>
      </c>
      <c r="H3" s="44">
        <f t="shared" si="0"/>
        <v>1118478.2658837365</v>
      </c>
      <c r="I3" s="44">
        <f t="shared" si="0"/>
        <v>1217262.2663265881</v>
      </c>
      <c r="J3" s="44">
        <f t="shared" si="0"/>
        <v>1305489.4353899392</v>
      </c>
      <c r="K3" s="44">
        <f t="shared" si="0"/>
        <v>1379432.3570104255</v>
      </c>
      <c r="L3" s="44">
        <f t="shared" si="0"/>
        <v>1435713.1971764509</v>
      </c>
      <c r="M3" s="352">
        <f>L3*(1+M2)</f>
        <v>1494290.2956212501</v>
      </c>
    </row>
    <row r="4" spans="1:14" ht="15" customHeight="1">
      <c r="A4" s="31" t="s">
        <v>20</v>
      </c>
      <c r="B4" s="45">
        <f>B5/B3</f>
        <v>0.11332759205616014</v>
      </c>
      <c r="C4" s="41">
        <f>'Input sheet'!B27</f>
        <v>0.11332759205616014</v>
      </c>
      <c r="D4" s="41">
        <f>IF(D1&gt;'Input sheet'!$B$30,'Input sheet'!$B$29,'Input sheet'!$B$29-(('Input sheet'!$B$29-$C$4)/'Input sheet'!$B$30)*('Input sheet'!$B$30-D1))</f>
        <v>0.12399655523369608</v>
      </c>
      <c r="E4" s="41">
        <f>IF(E1&gt;'Input sheet'!$B$30,'Input sheet'!$B$29,'Input sheet'!$B$29-(('Input sheet'!$B$29-$C$4)/'Input sheet'!$B$30)*('Input sheet'!$B$30-E1))</f>
        <v>0.12933103682246405</v>
      </c>
      <c r="F4" s="41">
        <f>IF(F1&gt;'Input sheet'!$B$30,'Input sheet'!$B$29,'Input sheet'!$B$29-(('Input sheet'!$B$29-$C$4)/'Input sheet'!$B$30)*('Input sheet'!$B$30-F1))</f>
        <v>0.13466551841123203</v>
      </c>
      <c r="G4" s="41">
        <f>IF(G1&gt;'Input sheet'!$B$30,'Input sheet'!$B$29,'Input sheet'!$B$29-(('Input sheet'!$B$29-$C$4)/'Input sheet'!$B$30)*('Input sheet'!$B$30-G1))</f>
        <v>0.14000000000000001</v>
      </c>
      <c r="H4" s="41">
        <f>IF(H1&gt;'Input sheet'!$B$30,'Input sheet'!$B$29,'Input sheet'!$B$29-(('Input sheet'!$B$29-$C$4)/'Input sheet'!$B$30)*('Input sheet'!$B$30-H1))</f>
        <v>0.14000000000000001</v>
      </c>
      <c r="I4" s="41">
        <f>IF(I1&gt;'Input sheet'!$B$30,'Input sheet'!$B$29,'Input sheet'!$B$29-(('Input sheet'!$B$29-$C$4)/'Input sheet'!$B$30)*('Input sheet'!$B$30-I1))</f>
        <v>0.14000000000000001</v>
      </c>
      <c r="J4" s="41">
        <f>IF(J1&gt;'Input sheet'!$B$30,'Input sheet'!$B$29,'Input sheet'!$B$29-(('Input sheet'!$B$29-$C$4)/'Input sheet'!$B$30)*('Input sheet'!$B$30-J1))</f>
        <v>0.14000000000000001</v>
      </c>
      <c r="K4" s="41">
        <f>IF(K1&gt;'Input sheet'!$B$30,'Input sheet'!$B$29,'Input sheet'!$B$29-(('Input sheet'!$B$29-$C$4)/'Input sheet'!$B$30)*('Input sheet'!$B$30-K1))</f>
        <v>0.14000000000000001</v>
      </c>
      <c r="L4" s="41">
        <f>IF(L1&gt;'Input sheet'!$B$30,'Input sheet'!$B$29,'Input sheet'!$B$29-(('Input sheet'!$B$29-$C$4)/'Input sheet'!$B$30)*('Input sheet'!$B$30-L1))</f>
        <v>0.14000000000000001</v>
      </c>
      <c r="M4" s="42">
        <f>L4</f>
        <v>0.14000000000000001</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65139.000000000007</v>
      </c>
      <c r="C5" s="44">
        <f t="shared" ref="C5:M5" si="1">C4*C3</f>
        <v>72955.680000000008</v>
      </c>
      <c r="D5" s="44">
        <f t="shared" si="1"/>
        <v>89402.793984000018</v>
      </c>
      <c r="E5" s="44">
        <f t="shared" si="1"/>
        <v>104438.89139712002</v>
      </c>
      <c r="F5" s="44">
        <f t="shared" si="1"/>
        <v>121796.25195601924</v>
      </c>
      <c r="G5" s="44">
        <f t="shared" si="1"/>
        <v>141815.45901293575</v>
      </c>
      <c r="H5" s="44">
        <f t="shared" si="1"/>
        <v>156586.95722372312</v>
      </c>
      <c r="I5" s="44">
        <f t="shared" si="1"/>
        <v>170416.71728572235</v>
      </c>
      <c r="J5" s="44">
        <f t="shared" si="1"/>
        <v>182768.52095459151</v>
      </c>
      <c r="K5" s="44">
        <f t="shared" si="1"/>
        <v>193120.52998145961</v>
      </c>
      <c r="L5" s="44">
        <f t="shared" si="1"/>
        <v>200999.84760470313</v>
      </c>
      <c r="M5" s="352">
        <f t="shared" si="1"/>
        <v>209200.64138697504</v>
      </c>
      <c r="N5" s="353">
        <f>M5-B5</f>
        <v>144061.64138697504</v>
      </c>
    </row>
    <row r="6" spans="1:14" ht="15" customHeight="1">
      <c r="A6" s="31" t="s">
        <v>130</v>
      </c>
      <c r="B6" s="46">
        <f>'Input sheet'!B23</f>
        <v>0.19</v>
      </c>
      <c r="C6" s="47">
        <f>B6</f>
        <v>0.19</v>
      </c>
      <c r="D6" s="47">
        <f>C6</f>
        <v>0.19</v>
      </c>
      <c r="E6" s="47">
        <f>D6</f>
        <v>0.19</v>
      </c>
      <c r="F6" s="47">
        <f>E6</f>
        <v>0.19</v>
      </c>
      <c r="G6" s="47">
        <f>F6</f>
        <v>0.19</v>
      </c>
      <c r="H6" s="47">
        <f>G6+($M$6-$G$6)/5</f>
        <v>0.20200000000000001</v>
      </c>
      <c r="I6" s="47">
        <f>H6+($M$6-$G$6)/5</f>
        <v>0.21400000000000002</v>
      </c>
      <c r="J6" s="47">
        <f>I6+($M$6-$G$6)/5</f>
        <v>0.22600000000000003</v>
      </c>
      <c r="K6" s="47">
        <f>J6+($M$6-$G$6)/5</f>
        <v>0.23800000000000004</v>
      </c>
      <c r="L6" s="47">
        <f>K6+($M$6-$G$6)/5</f>
        <v>0.25000000000000006</v>
      </c>
      <c r="M6" s="47">
        <f>IF('Input sheet'!B59="Yes",'Input sheet'!B23,'Input sheet'!B24)</f>
        <v>0.25</v>
      </c>
    </row>
    <row r="7" spans="1:14" ht="15" customHeight="1">
      <c r="A7" s="31" t="s">
        <v>6</v>
      </c>
      <c r="B7" s="43">
        <f>IF(B5&gt;0,B5*(1-B6),B5)</f>
        <v>52762.590000000011</v>
      </c>
      <c r="C7" s="44">
        <f>IF(C5&gt;0,IF(C5&lt;B10,C5,C5-(C5-B10)*C6),C5)</f>
        <v>59094.100800000007</v>
      </c>
      <c r="D7" s="44">
        <f t="shared" ref="D7:L7" si="2">IF(D5&gt;0,IF(D5&lt;C10,D5,D5-(D5-C10)*D6),D5)</f>
        <v>72416.263127040016</v>
      </c>
      <c r="E7" s="44">
        <f t="shared" si="2"/>
        <v>84595.502031667216</v>
      </c>
      <c r="F7" s="44">
        <f t="shared" si="2"/>
        <v>98654.964084375591</v>
      </c>
      <c r="G7" s="44">
        <f t="shared" si="2"/>
        <v>114870.52180047796</v>
      </c>
      <c r="H7" s="44">
        <f t="shared" si="2"/>
        <v>124956.39186453105</v>
      </c>
      <c r="I7" s="44">
        <f t="shared" si="2"/>
        <v>133947.53978657775</v>
      </c>
      <c r="J7" s="44">
        <f t="shared" si="2"/>
        <v>141462.83521885384</v>
      </c>
      <c r="K7" s="44">
        <f t="shared" si="2"/>
        <v>147157.84384587221</v>
      </c>
      <c r="L7" s="44">
        <f t="shared" si="2"/>
        <v>150749.88570352734</v>
      </c>
      <c r="M7" s="44">
        <f>M5*(1-M6)</f>
        <v>156900.48104023127</v>
      </c>
    </row>
    <row r="8" spans="1:14" ht="15" customHeight="1">
      <c r="A8" s="31" t="s">
        <v>9</v>
      </c>
      <c r="B8" s="43"/>
      <c r="C8" s="44">
        <f>IF('Input sheet'!$B$56="No",(D3-C3)/C38,IF('Input sheet'!$B$57=0,(C3-B3)/C38,IF('Input sheet'!$B$57=2,(E3-D3)/C38,IF('Input sheet'!$B$57=3,(F3-E3)/C38,(D3-C3)/C38))))</f>
        <v>51500.736000000034</v>
      </c>
      <c r="D8" s="44">
        <f>IF('Input sheet'!$B$56="No",(E3-D3)/D38,IF('Input sheet'!$B$57=0,(D3-C3)/D38,IF('Input sheet'!$B$57=2,(F3-E3)/D38,IF('Input sheet'!$B$57=3,(G3-F3)/D38,(E3-D3)/D38))))</f>
        <v>57680.824320000051</v>
      </c>
      <c r="E8" s="44">
        <f>IF('Input sheet'!$B$56="No",(F3-E3)/E38,IF('Input sheet'!$B$57=0,(E3-D3)/E38,IF('Input sheet'!$B$57=2,(G3-F3)/E38,IF('Input sheet'!$B$57=3,(H3-G3)/E38,(F3-E3)/E38))))</f>
        <v>64602.523238400077</v>
      </c>
      <c r="F8" s="44">
        <f>IF('Input sheet'!$B$56="No",(G3-F3)/F38,IF('Input sheet'!$B$57=0,(F3-E3)/F38,IF('Input sheet'!$B$57=2,(H3-G3)/F38,IF('Input sheet'!$B$57=3,(I3-H3)/F38,(G3-F3)/F38))))</f>
        <v>72354.826027008079</v>
      </c>
      <c r="G8" s="44">
        <f>IF('Input sheet'!$B$56="No",(H3-G3)/G38,IF('Input sheet'!$B$57=0,(G3-F3)/G38,IF('Input sheet'!$B$57=2,(I3-H3)/G38,IF('Input sheet'!$B$57=3,(J3-I3)/G38,(H3-G3)/G38))))</f>
        <v>70340.467670416067</v>
      </c>
      <c r="H8" s="44">
        <f>IF('Input sheet'!$B$56="No",(I3-H3)/H38,IF('Input sheet'!$B$57=0,(H3-G3)/H38,IF('Input sheet'!$B$57=2,(J3-I3)/H38,IF('Input sheet'!$B$57=3,(K3-J3)/H38,(I3-H3)/H38))))</f>
        <v>65856.000295234378</v>
      </c>
      <c r="I8" s="44">
        <f>IF('Input sheet'!$B$56="No",(J3-I3)/I38,IF('Input sheet'!$B$57=0,(I3-H3)/I38,IF('Input sheet'!$B$57=2,(K3-J3)/I38,IF('Input sheet'!$B$57=3,(L3-K3)/I38,(J3-I3)/I38))))</f>
        <v>58818.112708900742</v>
      </c>
      <c r="J8" s="44">
        <f>IF('Input sheet'!$B$56="No",(K3-J3)/J38,IF('Input sheet'!$B$57=0,(J3-I3)/J38,IF('Input sheet'!$B$57=2,(L3-K3)/J38,IF('Input sheet'!$B$57=3,(M3-L3)/J38,(K3-J3)/J38))))</f>
        <v>49295.281080324203</v>
      </c>
      <c r="K8" s="44">
        <f>IF('Input sheet'!$B$56="No",(L3-K3)/K38,IF('Input sheet'!$B$57=0,(K3-J3)/K38,IF('Input sheet'!$B$57=2,L3*L2/K38,IF('Input sheet'!$B$57=3,M3*M2/K38,(L3-K3)/K38))))</f>
        <v>37520.560110683553</v>
      </c>
      <c r="L8" s="44">
        <f>IF('Input sheet'!$B$56="No",(M3-L3)/L38,IF('Input sheet'!$B$57=0,(L3-K3)/L38,IF('Input sheet'!$B$57=2,M3*M2/L38,IF('Input sheet'!$B$57=3,K8*(1+M2),(M3-L3)/L38))))</f>
        <v>39051.398963199463</v>
      </c>
      <c r="M8" s="48">
        <f>IF(M2&gt;0,(M2/M40)*M7,0)</f>
        <v>78162.877001726956</v>
      </c>
      <c r="N8" s="353">
        <f>SUM(C8:M8)</f>
        <v>645183.60741589358</v>
      </c>
    </row>
    <row r="9" spans="1:14" ht="15" customHeight="1">
      <c r="A9" s="31" t="s">
        <v>10</v>
      </c>
      <c r="B9" s="43"/>
      <c r="C9" s="44">
        <f t="shared" ref="C9:L9" si="3">C7-C8</f>
        <v>7593.3647999999739</v>
      </c>
      <c r="D9" s="44">
        <f t="shared" si="3"/>
        <v>14735.438807039965</v>
      </c>
      <c r="E9" s="44">
        <f t="shared" si="3"/>
        <v>19992.978793267139</v>
      </c>
      <c r="F9" s="44">
        <f t="shared" si="3"/>
        <v>26300.138057367512</v>
      </c>
      <c r="G9" s="44">
        <f t="shared" si="3"/>
        <v>44530.054130061893</v>
      </c>
      <c r="H9" s="44">
        <f t="shared" si="3"/>
        <v>59100.391569296669</v>
      </c>
      <c r="I9" s="44">
        <f t="shared" si="3"/>
        <v>75129.427077677014</v>
      </c>
      <c r="J9" s="44">
        <f t="shared" si="3"/>
        <v>92167.554138529638</v>
      </c>
      <c r="K9" s="44">
        <f t="shared" si="3"/>
        <v>109637.28373518866</v>
      </c>
      <c r="L9" s="44">
        <f t="shared" si="3"/>
        <v>111698.48674032788</v>
      </c>
      <c r="M9" s="48">
        <f>M7-M8</f>
        <v>78737.604038504316</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8.5999999999999993E-2</v>
      </c>
      <c r="D12" s="41">
        <f>C12</f>
        <v>8.5999999999999993E-2</v>
      </c>
      <c r="E12" s="41">
        <f>D12</f>
        <v>8.5999999999999993E-2</v>
      </c>
      <c r="F12" s="41">
        <f>E12</f>
        <v>8.5999999999999993E-2</v>
      </c>
      <c r="G12" s="41">
        <f>F12</f>
        <v>8.5999999999999993E-2</v>
      </c>
      <c r="H12" s="41">
        <f>G12-($G$12-$M$12)/5</f>
        <v>8.5179999999999992E-2</v>
      </c>
      <c r="I12" s="41">
        <f>H12-($G$12-$M$12)/5</f>
        <v>8.4359999999999991E-2</v>
      </c>
      <c r="J12" s="41">
        <f>I12-($G$12-$M$12)/5</f>
        <v>8.3539999999999989E-2</v>
      </c>
      <c r="K12" s="41">
        <f>J12-($G$12-$M$12)/5</f>
        <v>8.2719999999999988E-2</v>
      </c>
      <c r="L12" s="41">
        <f>K12-($G$12-$M$12)/5</f>
        <v>8.1899999999999987E-2</v>
      </c>
      <c r="M12" s="42">
        <f>IF('Input sheet'!B45="Yes",'Input sheet'!B46,IF('Input sheet'!B64="Yes",'Input sheet'!B65+'Country equity risk premiums'!B1,'Input sheet'!B34+'Country equity risk premiums'!B1))</f>
        <v>8.1900000000000001E-2</v>
      </c>
    </row>
    <row r="13" spans="1:14" ht="15" customHeight="1">
      <c r="A13" s="31" t="s">
        <v>136</v>
      </c>
      <c r="B13" s="40"/>
      <c r="C13" s="79">
        <f>1/(1+C12)</f>
        <v>0.92081031307550643</v>
      </c>
      <c r="D13" s="79">
        <f>C13*(1/(1+D12))</f>
        <v>0.84789163266621215</v>
      </c>
      <c r="E13" s="79">
        <f t="shared" ref="E13:L13" si="5">D13*(1/(1+E12))</f>
        <v>0.78074735972947706</v>
      </c>
      <c r="F13" s="79">
        <f t="shared" si="5"/>
        <v>0.71892022074537476</v>
      </c>
      <c r="G13" s="79">
        <f t="shared" si="5"/>
        <v>0.66198915354086074</v>
      </c>
      <c r="H13" s="79">
        <f t="shared" si="5"/>
        <v>0.61002704946724107</v>
      </c>
      <c r="I13" s="79">
        <f t="shared" si="5"/>
        <v>0.56256874973923887</v>
      </c>
      <c r="J13" s="79">
        <f t="shared" si="5"/>
        <v>0.51919518406264553</v>
      </c>
      <c r="K13" s="79">
        <f t="shared" si="5"/>
        <v>0.47952857993077208</v>
      </c>
      <c r="L13" s="79">
        <f t="shared" si="5"/>
        <v>0.44322819108122014</v>
      </c>
      <c r="M13" s="49"/>
    </row>
    <row r="14" spans="1:14" ht="15" customHeight="1">
      <c r="A14" s="31" t="s">
        <v>15</v>
      </c>
      <c r="B14" s="40"/>
      <c r="C14" s="44">
        <f t="shared" ref="C14:L14" si="6">C9*C13</f>
        <v>6992.0486187845063</v>
      </c>
      <c r="D14" s="44">
        <f t="shared" si="6"/>
        <v>12494.055268154178</v>
      </c>
      <c r="E14" s="44">
        <f t="shared" si="6"/>
        <v>15609.465405970745</v>
      </c>
      <c r="F14" s="44">
        <f t="shared" si="6"/>
        <v>18907.701057836483</v>
      </c>
      <c r="G14" s="44">
        <f t="shared" si="6"/>
        <v>29478.412840688383</v>
      </c>
      <c r="H14" s="44">
        <f t="shared" si="6"/>
        <v>36052.837491376653</v>
      </c>
      <c r="I14" s="44">
        <f t="shared" si="6"/>
        <v>42265.467859714074</v>
      </c>
      <c r="J14" s="44">
        <f t="shared" si="6"/>
        <v>47852.950235557742</v>
      </c>
      <c r="K14" s="44">
        <f t="shared" si="6"/>
        <v>52574.210977002149</v>
      </c>
      <c r="L14" s="44">
        <f t="shared" si="6"/>
        <v>49507.918224425179</v>
      </c>
      <c r="M14" s="49"/>
    </row>
    <row r="15" spans="1:14" ht="15" customHeight="1"/>
    <row r="16" spans="1:14" ht="15" customHeight="1">
      <c r="A16" s="30" t="s">
        <v>16</v>
      </c>
      <c r="B16" s="43">
        <f>M9</f>
        <v>78737.604038504316</v>
      </c>
    </row>
    <row r="17" spans="1:13" ht="15" customHeight="1">
      <c r="A17" s="30" t="s">
        <v>132</v>
      </c>
      <c r="B17" s="45">
        <f>M12</f>
        <v>8.1900000000000001E-2</v>
      </c>
      <c r="D17" s="356"/>
    </row>
    <row r="18" spans="1:13">
      <c r="A18" s="30" t="s">
        <v>17</v>
      </c>
      <c r="B18" s="43">
        <f>B16/(B17-M2)</f>
        <v>1915756.7892580128</v>
      </c>
      <c r="D18" s="357"/>
      <c r="M18" s="356"/>
    </row>
    <row r="19" spans="1:13">
      <c r="A19" s="30" t="s">
        <v>18</v>
      </c>
      <c r="B19" s="50">
        <f>B18*L13</f>
        <v>849117.41625439527</v>
      </c>
      <c r="D19" s="356"/>
    </row>
    <row r="20" spans="1:13">
      <c r="A20" s="30" t="s">
        <v>39</v>
      </c>
      <c r="B20" s="50">
        <f>SUM(C14:L14)</f>
        <v>311735.06797951012</v>
      </c>
    </row>
    <row r="21" spans="1:13">
      <c r="A21" s="30" t="s">
        <v>40</v>
      </c>
      <c r="B21" s="50">
        <f>B19+B20</f>
        <v>1160852.4842339053</v>
      </c>
    </row>
    <row r="22" spans="1:13">
      <c r="A22" s="30" t="s">
        <v>100</v>
      </c>
      <c r="B22" s="51">
        <f>IF('Input sheet'!B51="Yes",'Input sheet'!B52,0)</f>
        <v>0</v>
      </c>
      <c r="E22" s="356"/>
    </row>
    <row r="23" spans="1:13">
      <c r="A23" s="30" t="s">
        <v>101</v>
      </c>
      <c r="B23" s="52">
        <f>IF('Input sheet'!B53="B",('Input sheet'!B14+'Input sheet'!B15)*'Input sheet'!B54,'Valuation output'!B21*'Input sheet'!B54)</f>
        <v>580426.24211695266</v>
      </c>
    </row>
    <row r="24" spans="1:13">
      <c r="A24" s="30" t="s">
        <v>37</v>
      </c>
      <c r="B24" s="43">
        <f>B21*(1-B22)+B23*B22</f>
        <v>1160852.4842339053</v>
      </c>
    </row>
    <row r="25" spans="1:13">
      <c r="A25" s="30" t="s">
        <v>368</v>
      </c>
      <c r="B25" s="43">
        <f>IF('Input sheet'!B17="Yes",'Input sheet'!B15+'Operating lease converter'!C28,'Input sheet'!B15)</f>
        <v>161574</v>
      </c>
    </row>
    <row r="26" spans="1:13">
      <c r="A26" s="30" t="s">
        <v>370</v>
      </c>
      <c r="B26" s="43">
        <f>'Input sheet'!B20</f>
        <v>0</v>
      </c>
    </row>
    <row r="27" spans="1:13" ht="16.149999999999999" customHeight="1">
      <c r="A27" s="30" t="s">
        <v>367</v>
      </c>
      <c r="B27" s="43">
        <f>IF('Input sheet'!B70="YES",'Input sheet'!B18-'Input sheet'!B71*('Input sheet'!B24-'Input sheet'!B72),'Input sheet'!B18)</f>
        <v>86780</v>
      </c>
      <c r="D27" s="573" t="s">
        <v>980</v>
      </c>
      <c r="E27" s="573"/>
      <c r="F27" s="573"/>
    </row>
    <row r="28" spans="1:13">
      <c r="A28" s="30" t="s">
        <v>366</v>
      </c>
      <c r="B28" s="43">
        <f>'Input sheet'!B19</f>
        <v>2954</v>
      </c>
      <c r="D28" s="573"/>
      <c r="E28" s="573"/>
      <c r="F28" s="573"/>
    </row>
    <row r="29" spans="1:13">
      <c r="A29" s="30" t="s">
        <v>45</v>
      </c>
      <c r="B29" s="50">
        <f>B24-B25-B26+B27+B28</f>
        <v>1089012.4842339053</v>
      </c>
      <c r="D29" s="573"/>
      <c r="E29" s="573"/>
      <c r="F29" s="573"/>
    </row>
    <row r="30" spans="1:13">
      <c r="A30" s="30" t="s">
        <v>50</v>
      </c>
      <c r="B30" s="53">
        <f>IF('Input sheet'!B37="No",0,'Option value'!B29)</f>
        <v>0</v>
      </c>
      <c r="D30" s="573"/>
      <c r="E30" s="573"/>
      <c r="F30" s="573"/>
    </row>
    <row r="31" spans="1:13">
      <c r="A31" s="30" t="s">
        <v>51</v>
      </c>
      <c r="B31" s="50">
        <f>B29-B30</f>
        <v>1089012.4842339053</v>
      </c>
      <c r="D31" s="573"/>
      <c r="E31" s="573"/>
      <c r="F31" s="573"/>
    </row>
    <row r="32" spans="1:13">
      <c r="A32" s="30" t="s">
        <v>7</v>
      </c>
      <c r="B32" s="54">
        <f>'Input sheet'!B21</f>
        <v>10492</v>
      </c>
      <c r="D32" s="573"/>
      <c r="E32" s="573"/>
      <c r="F32" s="573"/>
    </row>
    <row r="33" spans="1:13">
      <c r="A33" s="30" t="s">
        <v>85</v>
      </c>
      <c r="B33" s="55">
        <f>B31/B32</f>
        <v>103.79455625561431</v>
      </c>
    </row>
    <row r="34" spans="1:13">
      <c r="A34" s="30" t="s">
        <v>91</v>
      </c>
      <c r="B34" s="43">
        <f>'Input sheet'!B22</f>
        <v>169</v>
      </c>
    </row>
    <row r="35" spans="1:13">
      <c r="A35" s="30" t="s">
        <v>43</v>
      </c>
      <c r="B35" s="46">
        <f>B34/B33</f>
        <v>1.6282164122731504</v>
      </c>
    </row>
    <row r="37" spans="1:13">
      <c r="A37" s="32" t="s">
        <v>11</v>
      </c>
      <c r="B37" s="40"/>
      <c r="C37" s="49"/>
      <c r="D37" s="49"/>
      <c r="E37" s="49"/>
      <c r="F37" s="49"/>
      <c r="G37" s="49"/>
      <c r="H37" s="49"/>
      <c r="I37" s="49"/>
      <c r="J37" s="49"/>
      <c r="K37" s="49"/>
      <c r="L37" s="49"/>
      <c r="M37" s="49" t="s">
        <v>36</v>
      </c>
    </row>
    <row r="38" spans="1:13">
      <c r="A38" s="30" t="s">
        <v>31</v>
      </c>
      <c r="B38" s="40"/>
      <c r="C38" s="56">
        <f>'Input sheet'!B31</f>
        <v>1.5</v>
      </c>
      <c r="D38" s="56">
        <f>'Input sheet'!B31</f>
        <v>1.5</v>
      </c>
      <c r="E38" s="56">
        <f t="shared" ref="E38:L38" si="7">D38</f>
        <v>1.5</v>
      </c>
      <c r="F38" s="56">
        <f t="shared" si="7"/>
        <v>1.5</v>
      </c>
      <c r="G38" s="56">
        <f>F38</f>
        <v>1.5</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429783.66666666663</v>
      </c>
      <c r="C39" s="58">
        <f t="shared" ref="C39:L39" si="8">B39+C8</f>
        <v>481284.40266666666</v>
      </c>
      <c r="D39" s="58">
        <f t="shared" si="8"/>
        <v>538965.22698666668</v>
      </c>
      <c r="E39" s="58">
        <f t="shared" si="8"/>
        <v>603567.75022506679</v>
      </c>
      <c r="F39" s="58">
        <f t="shared" si="8"/>
        <v>675922.57625207491</v>
      </c>
      <c r="G39" s="58">
        <f t="shared" si="8"/>
        <v>746263.04392249102</v>
      </c>
      <c r="H39" s="58">
        <f t="shared" si="8"/>
        <v>812119.0442177254</v>
      </c>
      <c r="I39" s="58">
        <f t="shared" si="8"/>
        <v>870937.15692662611</v>
      </c>
      <c r="J39" s="58">
        <f t="shared" si="8"/>
        <v>920232.43800695031</v>
      </c>
      <c r="K39" s="58">
        <f t="shared" si="8"/>
        <v>957752.99811763386</v>
      </c>
      <c r="L39" s="58">
        <f t="shared" si="8"/>
        <v>996804.39708083333</v>
      </c>
      <c r="M39" s="49"/>
    </row>
    <row r="40" spans="1:13">
      <c r="A40" s="30" t="s">
        <v>13</v>
      </c>
      <c r="B40" s="45">
        <f>B7/B39</f>
        <v>0.12276546107305152</v>
      </c>
      <c r="C40" s="41">
        <f>C7/B39</f>
        <v>0.1374973164018177</v>
      </c>
      <c r="D40" s="41">
        <f t="shared" ref="D40:L40" si="9">D7/C39</f>
        <v>0.1504645958310743</v>
      </c>
      <c r="E40" s="41">
        <f t="shared" si="9"/>
        <v>0.15695910941163557</v>
      </c>
      <c r="F40" s="41">
        <f t="shared" si="9"/>
        <v>0.16345300763267712</v>
      </c>
      <c r="G40" s="41">
        <f t="shared" si="9"/>
        <v>0.16994627171269208</v>
      </c>
      <c r="H40" s="41">
        <f t="shared" si="9"/>
        <v>0.16744282446004302</v>
      </c>
      <c r="I40" s="41">
        <f t="shared" si="9"/>
        <v>0.16493584375379705</v>
      </c>
      <c r="J40" s="41">
        <f t="shared" si="9"/>
        <v>0.16242599605929051</v>
      </c>
      <c r="K40" s="41">
        <f t="shared" si="9"/>
        <v>0.15991377587665603</v>
      </c>
      <c r="L40" s="41">
        <f t="shared" si="9"/>
        <v>0.15739954455878594</v>
      </c>
      <c r="M40" s="41">
        <f>IF('Input sheet'!B48="Yes",'Input sheet'!B49,'Valuation output'!L12)</f>
        <v>8.1899999999999987E-2</v>
      </c>
    </row>
  </sheetData>
  <mergeCells count="1">
    <mergeCell ref="D27:F32"/>
  </mergeCells>
  <phoneticPr fontId="8" type="noConversion"/>
  <pageMargins left="0.75" right="0.75" top="1" bottom="1" header="0.5" footer="0.5"/>
  <pageSetup orientation="landscape" horizontalDpi="4294967292" verticalDpi="4294967292"/>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 defaultRowHeight="12"/>
  <cols>
    <col min="1" max="1" width="6.42578125" bestFit="1" customWidth="1"/>
    <col min="2" max="2" width="16.42578125" bestFit="1" customWidth="1"/>
    <col min="3" max="3" width="18.42578125" bestFit="1" customWidth="1"/>
    <col min="4" max="5" width="12.42578125" bestFit="1" customWidth="1"/>
    <col min="6" max="6" width="17.5703125" bestFit="1" customWidth="1"/>
    <col min="9" max="9" width="20.42578125" customWidth="1"/>
    <col min="10" max="10" width="18.85546875" customWidth="1"/>
  </cols>
  <sheetData>
    <row r="1" spans="1:10" s="146" customFormat="1">
      <c r="A1" s="146" t="s">
        <v>222</v>
      </c>
      <c r="B1" s="146" t="s">
        <v>223</v>
      </c>
      <c r="C1" s="146" t="s">
        <v>413</v>
      </c>
      <c r="D1" s="146" t="s">
        <v>421</v>
      </c>
      <c r="E1" s="146" t="s">
        <v>423</v>
      </c>
      <c r="F1" s="146" t="s">
        <v>447</v>
      </c>
      <c r="G1" t="s">
        <v>213</v>
      </c>
      <c r="H1" s="146" t="s">
        <v>335</v>
      </c>
      <c r="I1" s="146" t="s">
        <v>733</v>
      </c>
      <c r="J1" s="146" t="s">
        <v>840</v>
      </c>
    </row>
    <row r="2" spans="1:10">
      <c r="A2" t="s">
        <v>49</v>
      </c>
      <c r="B2" t="s">
        <v>92</v>
      </c>
      <c r="C2" t="s">
        <v>414</v>
      </c>
      <c r="D2" t="s">
        <v>422</v>
      </c>
      <c r="E2">
        <v>1</v>
      </c>
      <c r="F2" t="s">
        <v>422</v>
      </c>
      <c r="G2" t="s">
        <v>442</v>
      </c>
      <c r="H2" s="386" t="s">
        <v>895</v>
      </c>
      <c r="I2" t="s">
        <v>741</v>
      </c>
      <c r="J2" s="80">
        <v>0</v>
      </c>
    </row>
    <row r="3" spans="1:10">
      <c r="A3" t="s">
        <v>44</v>
      </c>
      <c r="B3" t="s">
        <v>219</v>
      </c>
      <c r="C3" t="s">
        <v>417</v>
      </c>
      <c r="D3" t="s">
        <v>423</v>
      </c>
      <c r="E3">
        <v>2</v>
      </c>
      <c r="F3" t="s">
        <v>452</v>
      </c>
      <c r="G3" t="s">
        <v>441</v>
      </c>
      <c r="H3" s="387" t="s">
        <v>897</v>
      </c>
      <c r="I3" t="s">
        <v>734</v>
      </c>
      <c r="J3" s="80">
        <v>1</v>
      </c>
    </row>
    <row r="4" spans="1:10">
      <c r="C4" t="s">
        <v>415</v>
      </c>
      <c r="D4" t="s">
        <v>424</v>
      </c>
      <c r="F4" t="s">
        <v>453</v>
      </c>
      <c r="G4" t="s">
        <v>440</v>
      </c>
      <c r="H4" s="387" t="s">
        <v>738</v>
      </c>
      <c r="I4" t="s">
        <v>742</v>
      </c>
      <c r="J4" s="80">
        <v>2</v>
      </c>
    </row>
    <row r="5" spans="1:10">
      <c r="C5" t="s">
        <v>416</v>
      </c>
      <c r="F5" t="s">
        <v>454</v>
      </c>
      <c r="G5" t="s">
        <v>439</v>
      </c>
      <c r="H5" s="387" t="s">
        <v>739</v>
      </c>
      <c r="I5" t="s">
        <v>743</v>
      </c>
      <c r="J5" s="80">
        <v>3</v>
      </c>
    </row>
    <row r="6" spans="1:10">
      <c r="F6" t="s">
        <v>451</v>
      </c>
      <c r="G6" t="s">
        <v>438</v>
      </c>
      <c r="H6" s="387"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BACB-B9D1-430E-B39D-54174337BC3C}">
  <dimension ref="T2:V8"/>
  <sheetViews>
    <sheetView topLeftCell="N1" workbookViewId="0">
      <selection activeCell="N5" sqref="N5"/>
    </sheetView>
  </sheetViews>
  <sheetFormatPr defaultColWidth="9" defaultRowHeight="15"/>
  <cols>
    <col min="1" max="19" width="9" style="499"/>
    <col min="20" max="20" width="11.7109375" style="499" bestFit="1" customWidth="1"/>
    <col min="21" max="16384" width="9" style="499"/>
  </cols>
  <sheetData>
    <row r="2" spans="20:22">
      <c r="T2" s="499" t="s">
        <v>91</v>
      </c>
      <c r="U2" s="500">
        <v>77</v>
      </c>
    </row>
    <row r="3" spans="20:22">
      <c r="T3" s="499" t="s">
        <v>990</v>
      </c>
      <c r="U3" s="501">
        <f>Sheet2!BD15</f>
        <v>135.89099999999999</v>
      </c>
      <c r="V3" s="499" t="s">
        <v>991</v>
      </c>
    </row>
    <row r="4" spans="20:22">
      <c r="T4" s="499" t="s">
        <v>992</v>
      </c>
      <c r="U4" s="500">
        <f>U3*U2</f>
        <v>10463.607</v>
      </c>
    </row>
    <row r="5" spans="20:22">
      <c r="T5" s="499" t="s">
        <v>993</v>
      </c>
      <c r="U5" s="500">
        <f>252.102+1394.302</f>
        <v>1646.404</v>
      </c>
    </row>
    <row r="6" spans="20:22">
      <c r="T6" s="499" t="s">
        <v>169</v>
      </c>
      <c r="U6" s="500">
        <f>98.592+1200.432</f>
        <v>1299.0240000000001</v>
      </c>
    </row>
    <row r="7" spans="20:22">
      <c r="T7" s="499" t="s">
        <v>994</v>
      </c>
      <c r="U7" s="500">
        <f>U4+U6-U5</f>
        <v>10116.226999999999</v>
      </c>
    </row>
    <row r="8" spans="20:22">
      <c r="U8" s="50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BBA8-6BC3-4C41-A1FD-261F94127B44}">
  <dimension ref="A1:HJ1048576"/>
  <sheetViews>
    <sheetView tabSelected="1" zoomScale="87" zoomScaleNormal="100" workbookViewId="0">
      <pane xSplit="1" ySplit="1" topLeftCell="BV2" activePane="bottomRight" state="frozen"/>
      <selection activeCell="M15" sqref="M15"/>
      <selection pane="topRight" activeCell="M15" sqref="M15"/>
      <selection pane="bottomLeft" activeCell="M15" sqref="M15"/>
      <selection pane="bottomRight" activeCell="BY14" sqref="BY14"/>
    </sheetView>
  </sheetViews>
  <sheetFormatPr defaultColWidth="9" defaultRowHeight="15"/>
  <cols>
    <col min="1" max="1" width="36.42578125" style="499" bestFit="1" customWidth="1"/>
    <col min="2" max="2" width="9" style="499"/>
    <col min="3" max="42" width="10.28515625" style="499" bestFit="1" customWidth="1"/>
    <col min="43" max="43" width="10.85546875" style="499" bestFit="1" customWidth="1"/>
    <col min="44" max="50" width="10.28515625" style="499" bestFit="1" customWidth="1"/>
    <col min="51" max="51" width="10.28515625" style="529" bestFit="1" customWidth="1"/>
    <col min="52" max="56" width="10.28515625" style="499" bestFit="1" customWidth="1"/>
    <col min="57" max="61" width="9" style="499"/>
    <col min="62" max="70" width="9.140625" style="499" bestFit="1" customWidth="1"/>
    <col min="71" max="74" width="10.7109375" style="499" bestFit="1" customWidth="1"/>
    <col min="75" max="76" width="9" style="499"/>
    <col min="77" max="77" width="11.85546875" style="499" bestFit="1" customWidth="1"/>
    <col min="78" max="78" width="9" style="499"/>
    <col min="79" max="79" width="10.85546875" style="499" bestFit="1" customWidth="1"/>
    <col min="80" max="88" width="9" style="499"/>
    <col min="89" max="89" width="10.28515625" style="499" bestFit="1" customWidth="1"/>
    <col min="90" max="16384" width="9" style="499"/>
  </cols>
  <sheetData>
    <row r="1" spans="1:218">
      <c r="A1" s="503" t="s">
        <v>995</v>
      </c>
      <c r="C1" s="499" t="s">
        <v>996</v>
      </c>
      <c r="D1" s="499" t="s">
        <v>997</v>
      </c>
      <c r="E1" s="499" t="s">
        <v>998</v>
      </c>
      <c r="F1" s="499" t="s">
        <v>999</v>
      </c>
      <c r="G1" s="499" t="s">
        <v>1000</v>
      </c>
      <c r="H1" s="499" t="s">
        <v>1001</v>
      </c>
      <c r="I1" s="499" t="s">
        <v>1002</v>
      </c>
      <c r="J1" s="499" t="s">
        <v>1003</v>
      </c>
      <c r="K1" s="499" t="s">
        <v>1004</v>
      </c>
      <c r="L1" s="499" t="s">
        <v>1005</v>
      </c>
      <c r="M1" s="499" t="s">
        <v>1006</v>
      </c>
      <c r="N1" s="499" t="s">
        <v>1007</v>
      </c>
      <c r="O1" s="499" t="s">
        <v>1008</v>
      </c>
      <c r="P1" s="499" t="s">
        <v>1009</v>
      </c>
      <c r="Q1" s="499" t="s">
        <v>1010</v>
      </c>
      <c r="R1" s="499" t="s">
        <v>1011</v>
      </c>
      <c r="S1" s="499" t="s">
        <v>1012</v>
      </c>
      <c r="T1" s="499" t="s">
        <v>1013</v>
      </c>
      <c r="U1" s="499" t="s">
        <v>1014</v>
      </c>
      <c r="V1" s="499" t="s">
        <v>1015</v>
      </c>
      <c r="W1" s="499" t="s">
        <v>1016</v>
      </c>
      <c r="X1" s="499" t="s">
        <v>1017</v>
      </c>
      <c r="Y1" s="499" t="s">
        <v>1018</v>
      </c>
      <c r="Z1" s="499" t="s">
        <v>1019</v>
      </c>
      <c r="AA1" s="499" t="s">
        <v>1020</v>
      </c>
      <c r="AB1" s="499" t="s">
        <v>1021</v>
      </c>
      <c r="AC1" s="499" t="s">
        <v>1022</v>
      </c>
      <c r="AD1" s="499" t="s">
        <v>1023</v>
      </c>
      <c r="AE1" s="499" t="s">
        <v>1024</v>
      </c>
      <c r="AF1" s="499" t="s">
        <v>1025</v>
      </c>
      <c r="AG1" s="499" t="s">
        <v>1026</v>
      </c>
      <c r="AH1" s="499" t="s">
        <v>1027</v>
      </c>
      <c r="AI1" s="499" t="s">
        <v>1028</v>
      </c>
      <c r="AJ1" s="499" t="s">
        <v>1029</v>
      </c>
      <c r="AK1" s="499" t="s">
        <v>1030</v>
      </c>
      <c r="AL1" s="499" t="s">
        <v>1031</v>
      </c>
      <c r="AM1" s="499" t="s">
        <v>1032</v>
      </c>
      <c r="AN1" s="499" t="s">
        <v>1033</v>
      </c>
      <c r="AO1" s="499" t="s">
        <v>1034</v>
      </c>
      <c r="AP1" s="499" t="s">
        <v>1035</v>
      </c>
      <c r="AQ1" s="499" t="s">
        <v>1036</v>
      </c>
      <c r="AR1" s="499" t="s">
        <v>1037</v>
      </c>
      <c r="AS1" s="499" t="s">
        <v>1038</v>
      </c>
      <c r="AT1" s="499" t="s">
        <v>1039</v>
      </c>
      <c r="AU1" s="499" t="s">
        <v>1040</v>
      </c>
      <c r="AV1" s="499" t="s">
        <v>1041</v>
      </c>
      <c r="AW1" s="499" t="s">
        <v>1042</v>
      </c>
      <c r="AX1" s="499" t="s">
        <v>1043</v>
      </c>
      <c r="AY1" s="499" t="s">
        <v>1044</v>
      </c>
      <c r="AZ1" s="499" t="s">
        <v>1045</v>
      </c>
      <c r="BA1" s="499" t="s">
        <v>1046</v>
      </c>
      <c r="BB1" s="499" t="s">
        <v>1047</v>
      </c>
      <c r="BC1" s="499" t="s">
        <v>1048</v>
      </c>
      <c r="BD1" s="499" t="s">
        <v>991</v>
      </c>
      <c r="BE1" s="719" t="s">
        <v>1216</v>
      </c>
      <c r="BF1" s="719" t="s">
        <v>1217</v>
      </c>
      <c r="BJ1" s="499">
        <f>2011</f>
        <v>2011</v>
      </c>
      <c r="BK1" s="499">
        <f>BJ1+1</f>
        <v>2012</v>
      </c>
      <c r="BL1" s="499">
        <f t="shared" ref="BL1:CE1" si="0">BK1+1</f>
        <v>2013</v>
      </c>
      <c r="BM1" s="499">
        <f t="shared" si="0"/>
        <v>2014</v>
      </c>
      <c r="BN1" s="499">
        <f t="shared" si="0"/>
        <v>2015</v>
      </c>
      <c r="BO1" s="499">
        <f t="shared" si="0"/>
        <v>2016</v>
      </c>
      <c r="BP1" s="499">
        <f t="shared" si="0"/>
        <v>2017</v>
      </c>
      <c r="BQ1" s="499">
        <f t="shared" si="0"/>
        <v>2018</v>
      </c>
      <c r="BR1" s="499">
        <f t="shared" si="0"/>
        <v>2019</v>
      </c>
      <c r="BS1" s="499">
        <f t="shared" si="0"/>
        <v>2020</v>
      </c>
      <c r="BT1" s="499">
        <f t="shared" si="0"/>
        <v>2021</v>
      </c>
      <c r="BU1" s="499">
        <f t="shared" si="0"/>
        <v>2022</v>
      </c>
      <c r="BV1" s="499">
        <f t="shared" si="0"/>
        <v>2023</v>
      </c>
      <c r="BW1" s="499">
        <f t="shared" si="0"/>
        <v>2024</v>
      </c>
      <c r="BX1" s="499">
        <f t="shared" si="0"/>
        <v>2025</v>
      </c>
      <c r="BY1" s="499">
        <f t="shared" si="0"/>
        <v>2026</v>
      </c>
      <c r="BZ1" s="499">
        <f t="shared" si="0"/>
        <v>2027</v>
      </c>
      <c r="CA1" s="499">
        <f t="shared" si="0"/>
        <v>2028</v>
      </c>
      <c r="CB1" s="499">
        <f t="shared" si="0"/>
        <v>2029</v>
      </c>
      <c r="CC1" s="499">
        <f t="shared" si="0"/>
        <v>2030</v>
      </c>
      <c r="CD1" s="499">
        <f t="shared" si="0"/>
        <v>2031</v>
      </c>
      <c r="CE1" s="499">
        <f t="shared" si="0"/>
        <v>2032</v>
      </c>
    </row>
    <row r="2" spans="1:218">
      <c r="B2" s="499" t="s">
        <v>1049</v>
      </c>
      <c r="AY2" s="499"/>
    </row>
    <row r="3" spans="1:218">
      <c r="A3" s="499" t="s">
        <v>845</v>
      </c>
      <c r="B3" s="502"/>
      <c r="C3" s="504">
        <v>18.068999999999999</v>
      </c>
      <c r="D3" s="504">
        <v>29.591999999999999</v>
      </c>
      <c r="E3" s="504">
        <v>44.728000000000002</v>
      </c>
      <c r="F3" s="504">
        <f>149.523-SUM(C3:E3)</f>
        <v>57.133999999999986</v>
      </c>
      <c r="G3" s="504">
        <v>42.6</v>
      </c>
      <c r="H3" s="504">
        <v>55.697000000000003</v>
      </c>
      <c r="I3" s="504">
        <v>60.813000000000002</v>
      </c>
      <c r="J3" s="504">
        <f>216.678-SUM(G3:I3)</f>
        <v>57.567999999999984</v>
      </c>
      <c r="K3" s="504">
        <v>45.576999999999998</v>
      </c>
      <c r="L3" s="504">
        <v>58.167000000000002</v>
      </c>
      <c r="M3" s="504">
        <v>62.045999999999999</v>
      </c>
      <c r="N3" s="504">
        <f>232.846-SUM(K3:M3)</f>
        <v>67.056000000000012</v>
      </c>
      <c r="O3" s="504">
        <v>57.58</v>
      </c>
      <c r="P3" s="504">
        <v>82.004000000000005</v>
      </c>
      <c r="Q3" s="504">
        <v>99.113</v>
      </c>
      <c r="R3" s="504">
        <f>343.904-SUM(O3:Q3)</f>
        <v>105.20699999999999</v>
      </c>
      <c r="S3" s="504">
        <v>86.653000000000006</v>
      </c>
      <c r="T3" s="504">
        <v>102.093</v>
      </c>
      <c r="U3" s="504">
        <v>102.874</v>
      </c>
      <c r="V3" s="504">
        <f>357.249-SUM(S3:U3)</f>
        <v>65.629000000000019</v>
      </c>
      <c r="W3" s="504">
        <v>64.120999999999995</v>
      </c>
      <c r="X3" s="504">
        <v>79.185000000000002</v>
      </c>
      <c r="Y3" s="504">
        <v>88.683999999999997</v>
      </c>
      <c r="Z3" s="504">
        <f>322.591-SUM(W3:Y3)</f>
        <v>90.601000000000028</v>
      </c>
      <c r="AA3" s="504">
        <v>54.750999999999998</v>
      </c>
      <c r="AB3" s="504">
        <v>74.706999999999994</v>
      </c>
      <c r="AC3" s="504">
        <v>77.037999999999997</v>
      </c>
      <c r="AD3" s="504">
        <f>286.166-SUM(AA3:AC3)</f>
        <v>79.670000000000016</v>
      </c>
      <c r="AE3" s="504">
        <v>69.971999999999994</v>
      </c>
      <c r="AF3" s="504">
        <v>75.896000000000001</v>
      </c>
      <c r="AG3" s="504">
        <v>78.001999999999995</v>
      </c>
      <c r="AH3" s="504">
        <f>316.159-SUM(AE3:AG3)</f>
        <v>92.288999999999987</v>
      </c>
      <c r="AI3" s="504">
        <v>100.15</v>
      </c>
      <c r="AJ3" s="504">
        <v>134.09399999999999</v>
      </c>
      <c r="AK3" s="504">
        <v>180.05699999999999</v>
      </c>
      <c r="AL3" s="504">
        <f>624.333-SUM(AI3:AK3)</f>
        <v>210.03199999999998</v>
      </c>
      <c r="AM3" s="504">
        <v>205.54499999999999</v>
      </c>
      <c r="AN3" s="504">
        <v>125.538</v>
      </c>
      <c r="AO3" s="504">
        <v>178.50299999999999</v>
      </c>
      <c r="AP3" s="504">
        <v>264.839</v>
      </c>
      <c r="AQ3" s="504">
        <v>301.75400000000002</v>
      </c>
      <c r="AR3" s="504">
        <v>316.05700000000002</v>
      </c>
      <c r="AS3" s="504">
        <v>351.51900000000001</v>
      </c>
      <c r="AT3" s="504">
        <v>412.71899999999999</v>
      </c>
      <c r="AU3" s="504">
        <v>441.29199999999997</v>
      </c>
      <c r="AV3" s="504">
        <v>530.19600000000003</v>
      </c>
      <c r="AW3" s="504">
        <v>634.71299999999997</v>
      </c>
      <c r="AX3" s="504">
        <v>724.65200000000004</v>
      </c>
      <c r="AY3" s="504">
        <v>726.01599999999996</v>
      </c>
      <c r="AZ3" s="504">
        <v>711.11800000000005</v>
      </c>
      <c r="BA3" s="504">
        <v>551.08199999999999</v>
      </c>
      <c r="BB3" s="504">
        <f>302.57</f>
        <v>302.57</v>
      </c>
      <c r="BC3" s="504">
        <v>263.339</v>
      </c>
      <c r="BD3" s="504">
        <v>303.45800000000003</v>
      </c>
      <c r="BE3" s="502">
        <v>380.87299999999999</v>
      </c>
      <c r="BF3" s="502">
        <v>380.87299999999999</v>
      </c>
      <c r="BG3" s="502"/>
      <c r="BH3" s="502"/>
      <c r="BI3" s="502"/>
      <c r="BJ3" s="504">
        <f>SUM(C3:F3)</f>
        <v>149.523</v>
      </c>
      <c r="BK3" s="504">
        <f>SUM(G3:J3)</f>
        <v>216.678</v>
      </c>
      <c r="BL3" s="504">
        <f>SUM(K3:N3)</f>
        <v>232.846</v>
      </c>
      <c r="BM3" s="504">
        <f>SUM(O3:R3)</f>
        <v>343.904</v>
      </c>
      <c r="BN3" s="504">
        <f>SUM(S3:V3)</f>
        <v>357.24900000000002</v>
      </c>
      <c r="BO3" s="504">
        <f>SUM(W3:Z3)</f>
        <v>322.59100000000001</v>
      </c>
      <c r="BP3" s="504">
        <f>SUM(AA3:AD3)</f>
        <v>286.166</v>
      </c>
      <c r="BQ3" s="504">
        <f>SUM(AE3:AH3)</f>
        <v>316.15899999999999</v>
      </c>
      <c r="BR3" s="504">
        <f>SUM(AI3:AL3)</f>
        <v>624.33299999999997</v>
      </c>
      <c r="BS3" s="504">
        <f>SUM(AM3:AP3)</f>
        <v>774.42499999999995</v>
      </c>
      <c r="BT3" s="504">
        <f>SUM(AQ3:AT3)</f>
        <v>1382.049</v>
      </c>
      <c r="BU3" s="504">
        <f>SUM(AU3:AX3)</f>
        <v>2330.8530000000001</v>
      </c>
      <c r="BV3" s="504">
        <f>SUM(AY3:BB3)</f>
        <v>2290.7860000000001</v>
      </c>
      <c r="BW3" s="504">
        <f>SUM(BC3:BF3)</f>
        <v>1328.5430000000001</v>
      </c>
    </row>
    <row r="4" spans="1:218">
      <c r="A4" s="499" t="s">
        <v>1050</v>
      </c>
      <c r="B4" s="502"/>
      <c r="C4" s="504">
        <v>15.420999999999999</v>
      </c>
      <c r="D4" s="504">
        <v>24.785</v>
      </c>
      <c r="E4" s="504">
        <v>36.185000000000002</v>
      </c>
      <c r="F4" s="504">
        <f>120.454-SUM(C4:E4)</f>
        <v>44.062999999999988</v>
      </c>
      <c r="G4" s="504">
        <v>33.292999999999999</v>
      </c>
      <c r="H4" s="504">
        <v>42.095999999999997</v>
      </c>
      <c r="I4" s="504">
        <v>44.488999999999997</v>
      </c>
      <c r="J4" s="504">
        <f>161.39-SUM(G4:I4)</f>
        <v>41.512</v>
      </c>
      <c r="K4" s="504">
        <v>33.375999999999998</v>
      </c>
      <c r="L4" s="504">
        <v>41.883000000000003</v>
      </c>
      <c r="M4" s="504">
        <v>44.610999999999997</v>
      </c>
      <c r="N4" s="504">
        <f>165.43-SUM(K4:M4)</f>
        <v>45.56</v>
      </c>
      <c r="O4" s="504">
        <v>38.924999999999997</v>
      </c>
      <c r="P4" s="504">
        <v>55.171999999999997</v>
      </c>
      <c r="Q4" s="504">
        <v>66.591999999999999</v>
      </c>
      <c r="R4" s="504">
        <f>230.861-SUM(O4:Q4)</f>
        <v>70.171999999999997</v>
      </c>
      <c r="S4" s="504">
        <v>58.628999999999998</v>
      </c>
      <c r="T4" s="504">
        <v>69.066000000000003</v>
      </c>
      <c r="U4" s="504">
        <v>71.408000000000001</v>
      </c>
      <c r="V4" s="504">
        <f>249.032-SUM(S4:U4)</f>
        <v>49.929000000000002</v>
      </c>
      <c r="W4" s="504">
        <v>52.360999999999997</v>
      </c>
      <c r="X4" s="504">
        <v>65.049000000000007</v>
      </c>
      <c r="Y4" s="504">
        <v>72.805000000000007</v>
      </c>
      <c r="Z4" s="504">
        <f>264.583-SUM(W4:Y4)</f>
        <v>74.368000000000023</v>
      </c>
      <c r="AA4" s="504">
        <v>47.703000000000003</v>
      </c>
      <c r="AB4" s="504">
        <v>61.156999999999996</v>
      </c>
      <c r="AC4" s="504">
        <v>60.576999999999998</v>
      </c>
      <c r="AD4" s="504">
        <f>230.123-SUM(AA4:AC4)</f>
        <v>60.685999999999979</v>
      </c>
      <c r="AE4" s="504">
        <v>51.656999999999996</v>
      </c>
      <c r="AF4" s="504">
        <v>53.195</v>
      </c>
      <c r="AG4" s="504">
        <v>52.738</v>
      </c>
      <c r="AH4" s="504">
        <f>221.714-SUM(AE4:AG4)</f>
        <v>64.123999999999995</v>
      </c>
      <c r="AI4" s="504">
        <v>66.811000000000007</v>
      </c>
      <c r="AJ4" s="504">
        <v>88.775000000000006</v>
      </c>
      <c r="AK4" s="504">
        <v>115.351</v>
      </c>
      <c r="AL4" s="504">
        <f>403.088-SUM(AI4:AK4)</f>
        <v>132.15100000000001</v>
      </c>
      <c r="AM4" s="504">
        <v>124.87</v>
      </c>
      <c r="AN4" s="504">
        <v>77.150999999999996</v>
      </c>
      <c r="AO4" s="504">
        <v>83.522000000000006</v>
      </c>
      <c r="AP4" s="504">
        <v>142.90100000000001</v>
      </c>
      <c r="AQ4" s="504">
        <v>178.80500000000001</v>
      </c>
      <c r="AR4" s="504">
        <v>188.256</v>
      </c>
      <c r="AS4" s="504">
        <v>211.161</v>
      </c>
      <c r="AT4" s="504">
        <v>249.405</v>
      </c>
      <c r="AU4" s="504">
        <v>264.31900000000002</v>
      </c>
      <c r="AV4" s="504">
        <v>311.19099999999997</v>
      </c>
      <c r="AW4" s="504">
        <v>366.79700000000003</v>
      </c>
      <c r="AX4" s="504">
        <v>413.95100000000002</v>
      </c>
      <c r="AY4" s="504">
        <v>399.64499999999998</v>
      </c>
      <c r="AZ4" s="504">
        <v>387.77600000000001</v>
      </c>
      <c r="BA4" s="504">
        <v>289.06900000000002</v>
      </c>
      <c r="BB4" s="504">
        <v>155.90799999999999</v>
      </c>
      <c r="BC4" s="504">
        <v>147.83099999999999</v>
      </c>
      <c r="BD4" s="504">
        <v>166.292</v>
      </c>
      <c r="BE4" s="502">
        <v>202.702</v>
      </c>
      <c r="BF4" s="502">
        <v>202.702</v>
      </c>
      <c r="BG4" s="502"/>
      <c r="BH4" s="502"/>
      <c r="BI4" s="502"/>
      <c r="BJ4" s="504">
        <f>SUM(C4:F4)</f>
        <v>120.45399999999999</v>
      </c>
      <c r="BK4" s="504">
        <f>SUM(G4:J4)</f>
        <v>161.38999999999999</v>
      </c>
      <c r="BL4" s="504">
        <f>SUM(K4:N4)</f>
        <v>165.43</v>
      </c>
      <c r="BM4" s="504">
        <f>SUM(O4:R4)</f>
        <v>230.86099999999999</v>
      </c>
      <c r="BN4" s="504">
        <f>SUM(S4:V4)</f>
        <v>249.03200000000001</v>
      </c>
      <c r="BO4" s="504">
        <f>SUM(W4:Z4)</f>
        <v>264.58300000000003</v>
      </c>
      <c r="BP4" s="504">
        <f>SUM(AA4:AD4)</f>
        <v>230.12299999999999</v>
      </c>
      <c r="BQ4" s="504">
        <f>SUM(AE4:AH4)</f>
        <v>221.714</v>
      </c>
      <c r="BR4" s="504">
        <f>SUM(AI4:AL4)</f>
        <v>403.08800000000002</v>
      </c>
      <c r="BS4" s="504">
        <f>SUM(AM4:AP4)</f>
        <v>428.44400000000002</v>
      </c>
      <c r="BT4" s="504">
        <f>SUM(AQ4:AT4)</f>
        <v>827.62699999999995</v>
      </c>
      <c r="BU4" s="504">
        <f>SUM(AU4:AX4)</f>
        <v>1356.258</v>
      </c>
      <c r="BV4" s="504">
        <f>SUM(AY4:BB4)</f>
        <v>1232.3979999999999</v>
      </c>
      <c r="BW4" s="504">
        <f>SUM(BC4:BF4)</f>
        <v>719.52700000000004</v>
      </c>
    </row>
    <row r="5" spans="1:218">
      <c r="A5" s="499" t="s">
        <v>1051</v>
      </c>
      <c r="B5" s="502"/>
      <c r="C5" s="504">
        <f>C3-C4</f>
        <v>2.6479999999999997</v>
      </c>
      <c r="D5" s="504">
        <f t="shared" ref="D5:AZ5" si="1">D3-D4</f>
        <v>4.8069999999999986</v>
      </c>
      <c r="E5" s="504">
        <f t="shared" si="1"/>
        <v>8.5429999999999993</v>
      </c>
      <c r="F5" s="504">
        <f t="shared" si="1"/>
        <v>13.070999999999998</v>
      </c>
      <c r="G5" s="504">
        <f t="shared" si="1"/>
        <v>9.3070000000000022</v>
      </c>
      <c r="H5" s="504">
        <f t="shared" si="1"/>
        <v>13.601000000000006</v>
      </c>
      <c r="I5" s="504">
        <f t="shared" si="1"/>
        <v>16.324000000000005</v>
      </c>
      <c r="J5" s="504">
        <f t="shared" si="1"/>
        <v>16.055999999999983</v>
      </c>
      <c r="K5" s="504">
        <f t="shared" si="1"/>
        <v>12.201000000000001</v>
      </c>
      <c r="L5" s="504">
        <f t="shared" si="1"/>
        <v>16.283999999999999</v>
      </c>
      <c r="M5" s="504">
        <f t="shared" si="1"/>
        <v>17.435000000000002</v>
      </c>
      <c r="N5" s="504">
        <f t="shared" si="1"/>
        <v>21.496000000000009</v>
      </c>
      <c r="O5" s="504">
        <f t="shared" si="1"/>
        <v>18.655000000000001</v>
      </c>
      <c r="P5" s="504">
        <f t="shared" si="1"/>
        <v>26.832000000000008</v>
      </c>
      <c r="Q5" s="504">
        <f t="shared" si="1"/>
        <v>32.521000000000001</v>
      </c>
      <c r="R5" s="504">
        <f t="shared" si="1"/>
        <v>35.034999999999997</v>
      </c>
      <c r="S5" s="504">
        <f t="shared" si="1"/>
        <v>28.024000000000008</v>
      </c>
      <c r="T5" s="504">
        <f t="shared" si="1"/>
        <v>33.027000000000001</v>
      </c>
      <c r="U5" s="504">
        <f t="shared" si="1"/>
        <v>31.465999999999994</v>
      </c>
      <c r="V5" s="504">
        <f t="shared" si="1"/>
        <v>15.700000000000017</v>
      </c>
      <c r="W5" s="504">
        <f t="shared" si="1"/>
        <v>11.759999999999998</v>
      </c>
      <c r="X5" s="504">
        <f t="shared" si="1"/>
        <v>14.135999999999996</v>
      </c>
      <c r="Y5" s="504">
        <f t="shared" si="1"/>
        <v>15.878999999999991</v>
      </c>
      <c r="Z5" s="504">
        <f t="shared" si="1"/>
        <v>16.233000000000004</v>
      </c>
      <c r="AA5" s="504">
        <f t="shared" si="1"/>
        <v>7.0479999999999947</v>
      </c>
      <c r="AB5" s="504">
        <f t="shared" si="1"/>
        <v>13.549999999999997</v>
      </c>
      <c r="AC5" s="504">
        <f t="shared" si="1"/>
        <v>16.460999999999999</v>
      </c>
      <c r="AD5" s="504">
        <f t="shared" si="1"/>
        <v>18.984000000000037</v>
      </c>
      <c r="AE5" s="504">
        <f t="shared" si="1"/>
        <v>18.314999999999998</v>
      </c>
      <c r="AF5" s="504">
        <f t="shared" si="1"/>
        <v>22.701000000000001</v>
      </c>
      <c r="AG5" s="504">
        <f t="shared" si="1"/>
        <v>25.263999999999996</v>
      </c>
      <c r="AH5" s="504">
        <f t="shared" si="1"/>
        <v>28.164999999999992</v>
      </c>
      <c r="AI5" s="504">
        <f t="shared" si="1"/>
        <v>33.338999999999999</v>
      </c>
      <c r="AJ5" s="504">
        <f t="shared" si="1"/>
        <v>45.318999999999988</v>
      </c>
      <c r="AK5" s="504">
        <f t="shared" si="1"/>
        <v>64.705999999999989</v>
      </c>
      <c r="AL5" s="504">
        <f t="shared" si="1"/>
        <v>77.880999999999972</v>
      </c>
      <c r="AM5" s="504">
        <f t="shared" si="1"/>
        <v>80.674999999999983</v>
      </c>
      <c r="AN5" s="504">
        <f t="shared" si="1"/>
        <v>48.387</v>
      </c>
      <c r="AO5" s="504">
        <f t="shared" si="1"/>
        <v>94.98099999999998</v>
      </c>
      <c r="AP5" s="504">
        <f t="shared" si="1"/>
        <v>121.93799999999999</v>
      </c>
      <c r="AQ5" s="504">
        <f t="shared" si="1"/>
        <v>122.94900000000001</v>
      </c>
      <c r="AR5" s="504">
        <f t="shared" si="1"/>
        <v>127.80100000000002</v>
      </c>
      <c r="AS5" s="504">
        <f t="shared" si="1"/>
        <v>140.358</v>
      </c>
      <c r="AT5" s="504">
        <f t="shared" si="1"/>
        <v>163.31399999999999</v>
      </c>
      <c r="AU5" s="504">
        <f t="shared" si="1"/>
        <v>176.97299999999996</v>
      </c>
      <c r="AV5" s="504">
        <f t="shared" si="1"/>
        <v>219.00500000000005</v>
      </c>
      <c r="AW5" s="504">
        <f t="shared" si="1"/>
        <v>267.91599999999994</v>
      </c>
      <c r="AX5" s="504">
        <f t="shared" si="1"/>
        <v>310.70100000000002</v>
      </c>
      <c r="AY5" s="504">
        <f t="shared" si="1"/>
        <v>326.37099999999998</v>
      </c>
      <c r="AZ5" s="504">
        <f t="shared" si="1"/>
        <v>323.34200000000004</v>
      </c>
      <c r="BA5" s="504">
        <f>BA3-BA4</f>
        <v>262.01299999999998</v>
      </c>
      <c r="BB5" s="504">
        <f>BB3-BB4</f>
        <v>146.66200000000001</v>
      </c>
      <c r="BC5" s="504">
        <f>BC3-BC4</f>
        <v>115.50800000000001</v>
      </c>
      <c r="BD5" s="504">
        <f>BD3-BD4</f>
        <v>137.16600000000003</v>
      </c>
      <c r="BE5" s="504">
        <f>BE3-BE4</f>
        <v>178.17099999999999</v>
      </c>
      <c r="BF5" s="504">
        <f>BF3-BF4</f>
        <v>178.17099999999999</v>
      </c>
      <c r="BG5" s="504"/>
      <c r="BH5" s="504"/>
      <c r="BI5" s="504"/>
      <c r="BJ5" s="504">
        <f>SUM(C5:F5)</f>
        <v>29.068999999999996</v>
      </c>
      <c r="BK5" s="504">
        <f>SUM(G5:J5)</f>
        <v>55.287999999999997</v>
      </c>
      <c r="BL5" s="504">
        <f>SUM(K5:N5)</f>
        <v>67.416000000000011</v>
      </c>
      <c r="BM5" s="504">
        <f>SUM(O5:R5)</f>
        <v>113.04300000000001</v>
      </c>
      <c r="BN5" s="504">
        <f>SUM(S5:V5)</f>
        <v>108.21700000000001</v>
      </c>
      <c r="BO5" s="504">
        <f>SUM(W5:Z5)</f>
        <v>58.007999999999988</v>
      </c>
      <c r="BP5" s="504">
        <f>SUM(AA5:AD5)</f>
        <v>56.043000000000028</v>
      </c>
      <c r="BQ5" s="504">
        <f>SUM(AE5:AH5)</f>
        <v>94.444999999999993</v>
      </c>
      <c r="BR5" s="504">
        <f>SUM(AI5:AL5)</f>
        <v>221.24499999999995</v>
      </c>
      <c r="BS5" s="504">
        <f>SUM(AM5:AP5)</f>
        <v>345.98099999999994</v>
      </c>
      <c r="BT5" s="504">
        <f>SUM(AQ5:AT5)</f>
        <v>554.42200000000003</v>
      </c>
      <c r="BU5" s="504">
        <f>SUM(AU5:AX5)</f>
        <v>974.59500000000003</v>
      </c>
      <c r="BV5" s="504">
        <f>SUM(AY5:BB5)</f>
        <v>1058.3879999999999</v>
      </c>
      <c r="BW5" s="504">
        <f>SUM(BC5:BF5)</f>
        <v>609.01600000000008</v>
      </c>
    </row>
    <row r="6" spans="1:218">
      <c r="A6" s="499" t="s">
        <v>1052</v>
      </c>
      <c r="B6" s="502"/>
      <c r="C6" s="504">
        <v>5.3449999999999998</v>
      </c>
      <c r="D6" s="504">
        <v>6.1429999999999998</v>
      </c>
      <c r="E6" s="504">
        <v>6.431</v>
      </c>
      <c r="F6" s="504">
        <f>25.099-SUM(C6:E6)</f>
        <v>7.18</v>
      </c>
      <c r="G6" s="504">
        <v>7.8419999999999996</v>
      </c>
      <c r="H6" s="504">
        <v>8.6549999999999994</v>
      </c>
      <c r="I6" s="504">
        <v>10.571</v>
      </c>
      <c r="J6" s="504">
        <f>35.601-SUM(G6:I6)</f>
        <v>8.5330000000000013</v>
      </c>
      <c r="K6" s="504">
        <v>9.0259999999999998</v>
      </c>
      <c r="L6" s="504">
        <v>8.484</v>
      </c>
      <c r="M6" s="504">
        <v>8.2929999999999993</v>
      </c>
      <c r="N6" s="504">
        <f>34.524-SUM(K6:M6)</f>
        <v>8.7210000000000036</v>
      </c>
      <c r="O6" s="504">
        <v>9.0860000000000003</v>
      </c>
      <c r="P6" s="504">
        <v>11.148</v>
      </c>
      <c r="Q6" s="504">
        <v>12.112</v>
      </c>
      <c r="R6" s="504">
        <f>45.386-SUM(O6:Q6)</f>
        <v>13.04</v>
      </c>
      <c r="S6" s="504">
        <v>13.43</v>
      </c>
      <c r="T6" s="504">
        <v>12.786</v>
      </c>
      <c r="U6" s="504">
        <v>12.058999999999999</v>
      </c>
      <c r="V6" s="504">
        <f>50.819-SUM(S6:U6)</f>
        <v>12.544000000000004</v>
      </c>
      <c r="W6" s="504">
        <v>13.066000000000001</v>
      </c>
      <c r="X6" s="504">
        <v>13.090999999999999</v>
      </c>
      <c r="Y6" s="504">
        <v>13.169</v>
      </c>
      <c r="Z6" s="504">
        <f>50.703-SUM(W6:Y6)</f>
        <v>11.377000000000002</v>
      </c>
      <c r="AA6" s="504">
        <v>9.6050000000000004</v>
      </c>
      <c r="AB6" s="504">
        <v>7.9470000000000001</v>
      </c>
      <c r="AC6" s="504">
        <v>7.3970000000000002</v>
      </c>
      <c r="AD6" s="504">
        <f>33.157-SUM(AA6:AC6)</f>
        <v>8.2079999999999984</v>
      </c>
      <c r="AE6" s="504">
        <v>7.62</v>
      </c>
      <c r="AF6" s="504">
        <v>9.4619999999999997</v>
      </c>
      <c r="AG6" s="504">
        <v>8.1649999999999991</v>
      </c>
      <c r="AH6" s="504">
        <f>32.587-SUM(AE6:AG6)</f>
        <v>7.3400000000000034</v>
      </c>
      <c r="AI6" s="504">
        <v>8.5239999999999991</v>
      </c>
      <c r="AJ6" s="504">
        <v>9.6039999999999992</v>
      </c>
      <c r="AK6" s="504">
        <v>11.085000000000001</v>
      </c>
      <c r="AL6" s="504">
        <f>40.381-SUM(AI6:AK6)</f>
        <v>11.167999999999999</v>
      </c>
      <c r="AM6" s="504">
        <v>11.875999999999999</v>
      </c>
      <c r="AN6" s="504">
        <v>13.192</v>
      </c>
      <c r="AO6" s="504">
        <v>15.052</v>
      </c>
      <c r="AP6" s="504">
        <v>15.801</v>
      </c>
      <c r="AQ6" s="504">
        <v>21.818000000000001</v>
      </c>
      <c r="AR6" s="504">
        <v>22.707999999999998</v>
      </c>
      <c r="AS6" s="504">
        <v>29.411000000000001</v>
      </c>
      <c r="AT6" s="504">
        <v>31.588999999999999</v>
      </c>
      <c r="AU6" s="504">
        <v>35.719000000000001</v>
      </c>
      <c r="AV6" s="504">
        <v>39.256</v>
      </c>
      <c r="AW6" s="504">
        <v>44.188000000000002</v>
      </c>
      <c r="AX6" s="504">
        <v>49.683</v>
      </c>
      <c r="AY6" s="504">
        <v>57.128999999999998</v>
      </c>
      <c r="AZ6" s="504">
        <v>60.042999999999999</v>
      </c>
      <c r="BA6" s="504">
        <v>54.872999999999998</v>
      </c>
      <c r="BB6" s="504">
        <v>55.290999999999997</v>
      </c>
      <c r="BC6" s="504">
        <v>54.210999999999999</v>
      </c>
      <c r="BD6" s="504">
        <v>48.871000000000002</v>
      </c>
      <c r="BE6" s="502">
        <v>47.843000000000004</v>
      </c>
      <c r="BF6" s="502">
        <v>47.843000000000004</v>
      </c>
      <c r="BG6" s="502"/>
      <c r="BH6" s="502"/>
      <c r="BI6" s="502"/>
      <c r="BJ6" s="504">
        <f>SUM(C6:F6)</f>
        <v>25.099</v>
      </c>
      <c r="BK6" s="504">
        <f>SUM(G6:J6)</f>
        <v>35.600999999999999</v>
      </c>
      <c r="BL6" s="504">
        <f>SUM(K6:N6)</f>
        <v>34.524000000000001</v>
      </c>
      <c r="BM6" s="504">
        <f>SUM(O6:R6)</f>
        <v>45.386000000000003</v>
      </c>
      <c r="BN6" s="504">
        <f>SUM(S6:V6)</f>
        <v>50.819000000000003</v>
      </c>
      <c r="BO6" s="504">
        <f>SUM(W6:Z6)</f>
        <v>50.703000000000003</v>
      </c>
      <c r="BP6" s="504">
        <f>SUM(AA6:AD6)</f>
        <v>33.156999999999996</v>
      </c>
      <c r="BQ6" s="504">
        <f>SUM(AE6:AH6)</f>
        <v>32.587000000000003</v>
      </c>
      <c r="BR6" s="504">
        <f>SUM(AI6:AL6)</f>
        <v>40.381</v>
      </c>
      <c r="BS6" s="504">
        <f>SUM(AM6:AP6)</f>
        <v>55.920999999999999</v>
      </c>
      <c r="BT6" s="504">
        <f>SUM(AQ6:AT6)</f>
        <v>105.526</v>
      </c>
      <c r="BU6" s="504">
        <f>SUM(AU6:AX6)</f>
        <v>168.846</v>
      </c>
      <c r="BV6" s="504">
        <f>SUM(AY6:BB6)</f>
        <v>227.33599999999998</v>
      </c>
      <c r="BW6" s="504">
        <f>SUM(BC6:BF6)</f>
        <v>198.76800000000003</v>
      </c>
    </row>
    <row r="7" spans="1:218">
      <c r="A7" s="499" t="s">
        <v>1053</v>
      </c>
      <c r="B7" s="502"/>
      <c r="C7" s="504">
        <v>3.01</v>
      </c>
      <c r="D7" s="504">
        <v>4.2649999999999997</v>
      </c>
      <c r="E7" s="504">
        <v>4.5670000000000002</v>
      </c>
      <c r="F7" s="504">
        <f>17.454-SUM(C7:E7)</f>
        <v>5.6120000000000019</v>
      </c>
      <c r="G7" s="504">
        <v>5.0490000000000004</v>
      </c>
      <c r="H7" s="504">
        <v>6.36</v>
      </c>
      <c r="I7" s="504">
        <v>7.0389999999999997</v>
      </c>
      <c r="J7" s="504">
        <f>25.973-SUM(G7:I7)</f>
        <v>7.5249999999999986</v>
      </c>
      <c r="K7" s="504">
        <v>6.85</v>
      </c>
      <c r="L7" s="504">
        <v>7.3650000000000002</v>
      </c>
      <c r="M7" s="504">
        <v>8.5500000000000007</v>
      </c>
      <c r="N7" s="504">
        <f>31.08-SUM(K7:M7)</f>
        <v>8.3149999999999977</v>
      </c>
      <c r="O7" s="504">
        <v>8.8279999999999994</v>
      </c>
      <c r="P7" s="504">
        <v>10.493</v>
      </c>
      <c r="Q7" s="504">
        <v>9.8840000000000003</v>
      </c>
      <c r="R7" s="504">
        <f>41.003-SUM(O7:Q7)</f>
        <v>11.798000000000002</v>
      </c>
      <c r="S7" s="504">
        <v>11.936999999999999</v>
      </c>
      <c r="T7" s="504">
        <v>12.507999999999999</v>
      </c>
      <c r="U7" s="504">
        <v>10.51</v>
      </c>
      <c r="V7" s="504">
        <f>45.877-SUM(S7:U7)</f>
        <v>10.922000000000004</v>
      </c>
      <c r="W7" s="504">
        <v>10.215</v>
      </c>
      <c r="X7" s="504">
        <v>9.9870000000000001</v>
      </c>
      <c r="Y7" s="504">
        <v>11.016</v>
      </c>
      <c r="Z7" s="504">
        <f>38.81-SUM(W7:Y7)</f>
        <v>7.5920000000000059</v>
      </c>
      <c r="AA7" s="504">
        <v>6.4580000000000002</v>
      </c>
      <c r="AB7" s="504">
        <v>6.274</v>
      </c>
      <c r="AC7" s="504">
        <v>5.4530000000000003</v>
      </c>
      <c r="AD7" s="504">
        <f>23.126-SUM(AA7:AC7)</f>
        <v>4.9410000000000025</v>
      </c>
      <c r="AE7" s="505">
        <f>6.227</f>
        <v>6.2270000000000003</v>
      </c>
      <c r="AF7" s="505">
        <v>6.8280000000000003</v>
      </c>
      <c r="AG7" s="505">
        <v>7.375</v>
      </c>
      <c r="AH7" s="504">
        <f>27.047-SUM(AE7:AG7)</f>
        <v>6.6170000000000009</v>
      </c>
      <c r="AI7" s="505">
        <v>7.4329999999999998</v>
      </c>
      <c r="AJ7" s="505">
        <v>9.0540000000000003</v>
      </c>
      <c r="AK7" s="505">
        <v>9.5510000000000002</v>
      </c>
      <c r="AL7" s="504">
        <f>36.728-SUM(AI7:AK7)</f>
        <v>10.689999999999998</v>
      </c>
      <c r="AM7" s="504">
        <v>11.772</v>
      </c>
      <c r="AN7" s="504">
        <v>12.371</v>
      </c>
      <c r="AO7" s="504">
        <v>14.645</v>
      </c>
      <c r="AP7" s="504">
        <v>14.138999999999999</v>
      </c>
      <c r="AQ7" s="504">
        <v>19.622</v>
      </c>
      <c r="AR7" s="504">
        <v>25.585999999999999</v>
      </c>
      <c r="AS7" s="504">
        <v>39.295999999999999</v>
      </c>
      <c r="AT7" s="504">
        <v>44.47</v>
      </c>
      <c r="AU7" s="504">
        <v>41.344000000000001</v>
      </c>
      <c r="AV7" s="504">
        <v>53.588000000000001</v>
      </c>
      <c r="AW7" s="504">
        <v>55.256999999999998</v>
      </c>
      <c r="AX7" s="504">
        <v>64.912999999999997</v>
      </c>
      <c r="AY7" s="504">
        <v>64.620999999999995</v>
      </c>
      <c r="AZ7" s="504">
        <v>58.405000000000001</v>
      </c>
      <c r="BA7" s="504">
        <v>55.356999999999999</v>
      </c>
      <c r="BB7" s="504">
        <v>53.408999999999999</v>
      </c>
      <c r="BC7" s="504">
        <v>53.307000000000002</v>
      </c>
      <c r="BD7" s="504">
        <v>51.774999999999999</v>
      </c>
      <c r="BE7" s="502">
        <v>49.670999999999999</v>
      </c>
      <c r="BF7" s="502">
        <v>49.670999999999999</v>
      </c>
      <c r="BG7" s="502"/>
      <c r="BH7" s="502"/>
      <c r="BI7" s="502"/>
      <c r="BJ7" s="504">
        <f>SUM(C7:F7)</f>
        <v>17.454000000000001</v>
      </c>
      <c r="BK7" s="504">
        <f>SUM(G7:J7)</f>
        <v>25.972999999999999</v>
      </c>
      <c r="BL7" s="504">
        <f>SUM(K7:N7)</f>
        <v>31.08</v>
      </c>
      <c r="BM7" s="504">
        <f>SUM(O7:R7)</f>
        <v>41.003</v>
      </c>
      <c r="BN7" s="504">
        <f>SUM(S7:V7)</f>
        <v>45.877000000000002</v>
      </c>
      <c r="BO7" s="504">
        <f>SUM(W7:Z7)</f>
        <v>38.81</v>
      </c>
      <c r="BP7" s="504">
        <f>SUM(AA7:AD7)</f>
        <v>23.126000000000001</v>
      </c>
      <c r="BQ7" s="504">
        <f>SUM(AE7:AH7)</f>
        <v>27.047000000000001</v>
      </c>
      <c r="BR7" s="504">
        <f>SUM(AI7:AL7)</f>
        <v>36.728000000000002</v>
      </c>
      <c r="BS7" s="504">
        <f>SUM(AM7:AP7)</f>
        <v>52.926999999999992</v>
      </c>
      <c r="BT7" s="504">
        <f>SUM(AQ7:AT7)</f>
        <v>128.97399999999999</v>
      </c>
      <c r="BU7" s="504">
        <f>SUM(AU7:AX7)</f>
        <v>215.10199999999998</v>
      </c>
      <c r="BV7" s="504">
        <f>SUM(AY7:BB7)</f>
        <v>231.79199999999997</v>
      </c>
      <c r="BW7" s="504">
        <f>SUM(BC7:BF7)</f>
        <v>204.42399999999998</v>
      </c>
    </row>
    <row r="8" spans="1:218">
      <c r="A8" s="499" t="s">
        <v>590</v>
      </c>
      <c r="B8" s="502"/>
      <c r="C8" s="504">
        <v>3.25</v>
      </c>
      <c r="D8" s="504">
        <v>3.8889999999999998</v>
      </c>
      <c r="E8" s="504">
        <v>3.98</v>
      </c>
      <c r="F8" s="504">
        <f>15.228-SUM(C8:E8)</f>
        <v>4.109</v>
      </c>
      <c r="G8" s="504">
        <v>5.6959999999999997</v>
      </c>
      <c r="H8" s="504">
        <v>6.0910000000000002</v>
      </c>
      <c r="I8" s="504">
        <v>6.9109999999999996</v>
      </c>
      <c r="J8" s="504">
        <f>24.875-SUM(G8:I8)</f>
        <v>6.1769999999999996</v>
      </c>
      <c r="K8" s="504">
        <v>6.0359999999999996</v>
      </c>
      <c r="L8" s="504">
        <v>5.9260000000000002</v>
      </c>
      <c r="M8" s="504">
        <v>5.9370000000000003</v>
      </c>
      <c r="N8" s="504">
        <f>23.97-SUM(K8:M8)</f>
        <v>6.070999999999998</v>
      </c>
      <c r="O8" s="504">
        <v>6.5259999999999998</v>
      </c>
      <c r="P8" s="504">
        <v>7.6790000000000003</v>
      </c>
      <c r="Q8" s="504">
        <v>8.6319999999999997</v>
      </c>
      <c r="R8" s="504">
        <f>31.083-SUM(O8:Q8)</f>
        <v>8.2459999999999987</v>
      </c>
      <c r="S8" s="504">
        <v>8.2050000000000001</v>
      </c>
      <c r="T8" s="504">
        <v>8.1020000000000003</v>
      </c>
      <c r="U8" s="504">
        <v>7.1180000000000003</v>
      </c>
      <c r="V8" s="504">
        <f>30.83-SUM(S8:U8)</f>
        <v>7.404999999999994</v>
      </c>
      <c r="W8" s="504">
        <v>7.5670000000000002</v>
      </c>
      <c r="X8" s="504">
        <v>6.8460000000000001</v>
      </c>
      <c r="Y8" s="504">
        <v>6.7080000000000002</v>
      </c>
      <c r="Z8" s="504">
        <f>27.418-SUM(W8:Y8)</f>
        <v>6.296999999999997</v>
      </c>
      <c r="AA8" s="504">
        <v>5.8330000000000002</v>
      </c>
      <c r="AB8" s="504">
        <v>4.9640000000000004</v>
      </c>
      <c r="AC8" s="504">
        <v>5.4409999999999998</v>
      </c>
      <c r="AD8" s="504">
        <f>22.221-SUM(AA8:AC8)</f>
        <v>5.9830000000000005</v>
      </c>
      <c r="AE8" s="504">
        <v>6.9429999999999996</v>
      </c>
      <c r="AF8" s="504">
        <v>6.9690000000000003</v>
      </c>
      <c r="AG8" s="504">
        <v>7.51</v>
      </c>
      <c r="AH8" s="504">
        <f>29.086-SUM(AE8:AG8)</f>
        <v>7.6640000000000015</v>
      </c>
      <c r="AI8" s="504">
        <v>9.8800000000000008</v>
      </c>
      <c r="AJ8" s="504">
        <v>8.5830000000000002</v>
      </c>
      <c r="AK8" s="504">
        <v>9.8949999999999996</v>
      </c>
      <c r="AL8" s="504">
        <f>38.808-SUM(AI8:AK8)</f>
        <v>10.45</v>
      </c>
      <c r="AM8" s="504">
        <v>12.315</v>
      </c>
      <c r="AN8" s="504">
        <v>11.97</v>
      </c>
      <c r="AO8" s="504">
        <v>13.525</v>
      </c>
      <c r="AP8" s="504">
        <v>12.884</v>
      </c>
      <c r="AQ8" s="504">
        <v>20.123000000000001</v>
      </c>
      <c r="AR8" s="504">
        <v>20.106999999999999</v>
      </c>
      <c r="AS8" s="504">
        <v>34.299999999999997</v>
      </c>
      <c r="AT8" s="504">
        <v>29.56</v>
      </c>
      <c r="AU8" s="504">
        <v>38.085999999999999</v>
      </c>
      <c r="AV8" s="504">
        <v>32.125</v>
      </c>
      <c r="AW8" s="504">
        <v>32.436</v>
      </c>
      <c r="AX8" s="504">
        <v>37.354999999999997</v>
      </c>
      <c r="AY8" s="504">
        <v>36.265000000000001</v>
      </c>
      <c r="AZ8" s="504">
        <v>34.396999999999998</v>
      </c>
      <c r="BA8" s="504">
        <v>33.893999999999998</v>
      </c>
      <c r="BB8" s="504">
        <v>33.378999999999998</v>
      </c>
      <c r="BC8" s="504">
        <v>35.182000000000002</v>
      </c>
      <c r="BD8" s="504">
        <v>33.549999999999997</v>
      </c>
      <c r="BE8" s="502">
        <v>30.192</v>
      </c>
      <c r="BF8" s="502">
        <v>30.192</v>
      </c>
      <c r="BG8" s="502"/>
      <c r="BH8" s="502"/>
      <c r="BI8" s="502"/>
      <c r="BJ8" s="504">
        <f>SUM(C8:F8)</f>
        <v>15.228</v>
      </c>
      <c r="BK8" s="504">
        <f>SUM(G8:J8)</f>
        <v>24.875</v>
      </c>
      <c r="BL8" s="504">
        <f>SUM(K8:N8)</f>
        <v>23.97</v>
      </c>
      <c r="BM8" s="504">
        <f>SUM(O8:R8)</f>
        <v>31.082999999999998</v>
      </c>
      <c r="BN8" s="504">
        <f>SUM(S8:V8)</f>
        <v>30.83</v>
      </c>
      <c r="BO8" s="504">
        <f>SUM(W8:Z8)</f>
        <v>27.417999999999999</v>
      </c>
      <c r="BP8" s="504">
        <f>SUM(AA8:AD8)</f>
        <v>22.221</v>
      </c>
      <c r="BQ8" s="504">
        <f>SUM(AE8:AH8)</f>
        <v>29.085999999999999</v>
      </c>
      <c r="BR8" s="504">
        <f>SUM(AI8:AL8)</f>
        <v>38.808</v>
      </c>
      <c r="BS8" s="504">
        <f>SUM(AM8:AP8)</f>
        <v>50.694000000000003</v>
      </c>
      <c r="BT8" s="504">
        <f>SUM(AQ8:AT8)</f>
        <v>104.09</v>
      </c>
      <c r="BU8" s="504">
        <f>SUM(AU8:AX8)</f>
        <v>140.00199999999998</v>
      </c>
      <c r="BV8" s="504">
        <f>SUM(AY8:BB8)</f>
        <v>137.935</v>
      </c>
      <c r="BW8" s="504">
        <f>SUM(BC8:BF8)</f>
        <v>129.11600000000001</v>
      </c>
    </row>
    <row r="9" spans="1:218">
      <c r="A9" s="499" t="s">
        <v>1054</v>
      </c>
      <c r="B9" s="502"/>
      <c r="C9" s="504">
        <v>0</v>
      </c>
      <c r="D9" s="504">
        <v>0</v>
      </c>
      <c r="E9" s="504">
        <v>0</v>
      </c>
      <c r="F9" s="504">
        <v>0</v>
      </c>
      <c r="G9" s="504">
        <v>0</v>
      </c>
      <c r="H9" s="504">
        <v>0</v>
      </c>
      <c r="I9" s="504">
        <v>0</v>
      </c>
      <c r="J9" s="504">
        <v>0</v>
      </c>
      <c r="K9" s="504">
        <v>0</v>
      </c>
      <c r="L9" s="504">
        <v>0</v>
      </c>
      <c r="M9" s="504">
        <v>0</v>
      </c>
      <c r="N9" s="504">
        <v>0</v>
      </c>
      <c r="O9" s="504">
        <v>0</v>
      </c>
      <c r="P9" s="504">
        <v>0</v>
      </c>
      <c r="Q9" s="504">
        <v>0</v>
      </c>
      <c r="R9" s="504">
        <v>0</v>
      </c>
      <c r="S9" s="504">
        <v>0</v>
      </c>
      <c r="T9" s="504">
        <v>0</v>
      </c>
      <c r="U9" s="504">
        <v>0</v>
      </c>
      <c r="V9" s="504">
        <v>0</v>
      </c>
      <c r="W9" s="504">
        <v>0</v>
      </c>
      <c r="X9" s="504">
        <v>0</v>
      </c>
      <c r="Y9" s="504">
        <v>2.7170000000000001</v>
      </c>
      <c r="Z9" s="504">
        <f>3.777-SUM(W9:Y9)</f>
        <v>1.06</v>
      </c>
      <c r="AA9" s="504">
        <v>7.2469999999999999</v>
      </c>
      <c r="AB9" s="504">
        <v>3.609</v>
      </c>
      <c r="AC9" s="504">
        <v>4.0709999999999997</v>
      </c>
      <c r="AD9" s="504">
        <f>16.917-SUM(AA9:AC9)</f>
        <v>1.990000000000002</v>
      </c>
      <c r="AE9" s="504">
        <v>0</v>
      </c>
      <c r="AF9" s="504">
        <v>0</v>
      </c>
      <c r="AG9" s="504">
        <v>2.5880000000000001</v>
      </c>
      <c r="AH9" s="504">
        <f>4.129-SUM(AE9:AG9)</f>
        <v>1.5409999999999995</v>
      </c>
      <c r="AI9" s="504">
        <v>0.36799999999999999</v>
      </c>
      <c r="AJ9" s="504">
        <v>0.63100000000000001</v>
      </c>
      <c r="AK9" s="504">
        <v>0.46899999999999997</v>
      </c>
      <c r="AL9" s="504">
        <f>2.599-SUM(AI9:AK9)</f>
        <v>1.1310000000000002</v>
      </c>
      <c r="AM9" s="504">
        <v>0</v>
      </c>
      <c r="AN9" s="504">
        <v>0</v>
      </c>
      <c r="AO9" s="504">
        <v>0</v>
      </c>
      <c r="AP9" s="504">
        <v>0</v>
      </c>
      <c r="AQ9" s="504">
        <v>0</v>
      </c>
      <c r="AR9" s="504">
        <v>0</v>
      </c>
      <c r="AS9" s="504">
        <v>0</v>
      </c>
      <c r="AT9" s="504">
        <v>0</v>
      </c>
      <c r="AU9" s="504">
        <v>0</v>
      </c>
      <c r="AV9" s="504">
        <v>0</v>
      </c>
      <c r="AW9" s="504">
        <v>0.59399999999999997</v>
      </c>
      <c r="AX9" s="504">
        <v>1.79</v>
      </c>
      <c r="AY9" s="504">
        <v>0.69299999999999995</v>
      </c>
      <c r="AZ9" s="504">
        <v>0.17699999999999999</v>
      </c>
      <c r="BA9" s="504">
        <v>0</v>
      </c>
      <c r="BB9" s="504">
        <v>14.814</v>
      </c>
      <c r="BC9" s="504">
        <v>1.907</v>
      </c>
      <c r="BD9" s="504">
        <v>1.171</v>
      </c>
      <c r="BE9" s="502">
        <v>0.67700000000000005</v>
      </c>
      <c r="BF9" s="502">
        <v>0.67700000000000005</v>
      </c>
      <c r="BG9" s="502"/>
      <c r="BH9" s="502"/>
      <c r="BI9" s="502"/>
      <c r="BJ9" s="504">
        <f>SUM(C9:F9)</f>
        <v>0</v>
      </c>
      <c r="BK9" s="504">
        <f>SUM(G9:J9)</f>
        <v>0</v>
      </c>
      <c r="BL9" s="504">
        <f>SUM(K9:N9)</f>
        <v>0</v>
      </c>
      <c r="BM9" s="504">
        <f>SUM(O9:R9)</f>
        <v>0</v>
      </c>
      <c r="BN9" s="504">
        <f>SUM(S9:V9)</f>
        <v>0</v>
      </c>
      <c r="BO9" s="504">
        <f>SUM(W9:Z9)</f>
        <v>3.7770000000000001</v>
      </c>
      <c r="BP9" s="504">
        <f>SUM(AA9:AD9)</f>
        <v>16.917000000000002</v>
      </c>
      <c r="BQ9" s="504">
        <f>SUM(AE9:AH9)</f>
        <v>4.1289999999999996</v>
      </c>
      <c r="BR9" s="504">
        <f>SUM(AI9:AL9)</f>
        <v>2.5990000000000002</v>
      </c>
      <c r="BS9" s="504">
        <f>SUM(AM9:AP9)</f>
        <v>0</v>
      </c>
      <c r="BT9" s="504">
        <f>SUM(AQ9:AT9)</f>
        <v>0</v>
      </c>
      <c r="BU9" s="504">
        <f>SUM(AU9:AX9)</f>
        <v>2.3839999999999999</v>
      </c>
      <c r="BV9" s="504">
        <f>SUM(AY9:BB9)</f>
        <v>15.683999999999999</v>
      </c>
      <c r="BW9" s="504">
        <f>SUM(BC9:BF9)</f>
        <v>4.4320000000000004</v>
      </c>
    </row>
    <row r="10" spans="1:218">
      <c r="A10" s="499" t="s">
        <v>846</v>
      </c>
      <c r="B10" s="502"/>
      <c r="C10" s="504">
        <f>C5-C6-C7-C8-C9</f>
        <v>-8.9570000000000007</v>
      </c>
      <c r="D10" s="504">
        <f t="shared" ref="D10:K10" si="2">D5-D6-D7-D8-D9</f>
        <v>-9.49</v>
      </c>
      <c r="E10" s="504">
        <f t="shared" si="2"/>
        <v>-6.4350000000000005</v>
      </c>
      <c r="F10" s="504">
        <f t="shared" si="2"/>
        <v>-3.8300000000000036</v>
      </c>
      <c r="G10" s="504">
        <f t="shared" si="2"/>
        <v>-9.2799999999999976</v>
      </c>
      <c r="H10" s="504">
        <f t="shared" si="2"/>
        <v>-7.5049999999999937</v>
      </c>
      <c r="I10" s="504">
        <f t="shared" si="2"/>
        <v>-8.1969999999999938</v>
      </c>
      <c r="J10" s="504">
        <f t="shared" si="2"/>
        <v>-6.1790000000000163</v>
      </c>
      <c r="K10" s="504">
        <f t="shared" si="2"/>
        <v>-9.7109999999999985</v>
      </c>
      <c r="L10" s="504">
        <f>L5-L6-L7-L8-L9</f>
        <v>-5.4910000000000014</v>
      </c>
      <c r="M10" s="504">
        <f>M5-M6-M7-M8-M9</f>
        <v>-5.344999999999998</v>
      </c>
      <c r="N10" s="504">
        <f t="shared" ref="N10:S10" si="3">N5-N6-N7-N8-N9</f>
        <v>-1.61099999999999</v>
      </c>
      <c r="O10" s="504">
        <f t="shared" si="3"/>
        <v>-5.7849999999999984</v>
      </c>
      <c r="P10" s="504">
        <f t="shared" si="3"/>
        <v>-2.4879999999999924</v>
      </c>
      <c r="Q10" s="504">
        <f t="shared" si="3"/>
        <v>1.8929999999999989</v>
      </c>
      <c r="R10" s="504">
        <f t="shared" si="3"/>
        <v>1.950999999999997</v>
      </c>
      <c r="S10" s="504">
        <f t="shared" si="3"/>
        <v>-5.5479999999999912</v>
      </c>
      <c r="T10" s="504">
        <f>T5-T6-T7-T8-T9</f>
        <v>-0.36899999999999977</v>
      </c>
      <c r="U10" s="504">
        <f>U5-U6-U7-U8-U9</f>
        <v>1.7789999999999964</v>
      </c>
      <c r="V10" s="504">
        <f t="shared" ref="V10:AL10" si="4">V5-V6-V7-V8-V9</f>
        <v>-15.170999999999985</v>
      </c>
      <c r="W10" s="504">
        <f t="shared" si="4"/>
        <v>-19.088000000000001</v>
      </c>
      <c r="X10" s="504">
        <f t="shared" si="4"/>
        <v>-15.788000000000004</v>
      </c>
      <c r="Y10" s="504">
        <f t="shared" si="4"/>
        <v>-17.731000000000009</v>
      </c>
      <c r="Z10" s="504">
        <f t="shared" si="4"/>
        <v>-10.093000000000002</v>
      </c>
      <c r="AA10" s="504">
        <f t="shared" si="4"/>
        <v>-22.095000000000006</v>
      </c>
      <c r="AB10" s="504">
        <f t="shared" si="4"/>
        <v>-9.2440000000000033</v>
      </c>
      <c r="AC10" s="504">
        <f t="shared" si="4"/>
        <v>-5.9010000000000016</v>
      </c>
      <c r="AD10" s="504">
        <f t="shared" si="4"/>
        <v>-2.1379999999999661</v>
      </c>
      <c r="AE10" s="504">
        <f t="shared" si="4"/>
        <v>-2.4750000000000032</v>
      </c>
      <c r="AF10" s="504">
        <f t="shared" si="4"/>
        <v>-0.55799999999999983</v>
      </c>
      <c r="AG10" s="504">
        <f t="shared" si="4"/>
        <v>-0.37400000000000322</v>
      </c>
      <c r="AH10" s="504">
        <f t="shared" si="4"/>
        <v>5.0029999999999868</v>
      </c>
      <c r="AI10" s="504">
        <f t="shared" si="4"/>
        <v>7.1339999999999968</v>
      </c>
      <c r="AJ10" s="504">
        <f t="shared" si="4"/>
        <v>17.446999999999989</v>
      </c>
      <c r="AK10" s="504">
        <f t="shared" si="4"/>
        <v>33.705999999999982</v>
      </c>
      <c r="AL10" s="504">
        <f t="shared" si="4"/>
        <v>44.441999999999965</v>
      </c>
      <c r="AM10" s="504">
        <f t="shared" ref="AM10:AZ10" si="5">AM5-SUM(AM6:AM9)</f>
        <v>44.711999999999982</v>
      </c>
      <c r="AN10" s="504">
        <f t="shared" si="5"/>
        <v>10.853999999999999</v>
      </c>
      <c r="AO10" s="504">
        <f t="shared" si="5"/>
        <v>51.758999999999979</v>
      </c>
      <c r="AP10" s="504">
        <f t="shared" si="5"/>
        <v>79.11399999999999</v>
      </c>
      <c r="AQ10" s="504">
        <f t="shared" si="5"/>
        <v>61.38600000000001</v>
      </c>
      <c r="AR10" s="504">
        <f t="shared" si="5"/>
        <v>59.40000000000002</v>
      </c>
      <c r="AS10" s="504">
        <f t="shared" si="5"/>
        <v>37.351000000000013</v>
      </c>
      <c r="AT10" s="504">
        <f t="shared" si="5"/>
        <v>57.694999999999993</v>
      </c>
      <c r="AU10" s="504">
        <f t="shared" si="5"/>
        <v>61.823999999999955</v>
      </c>
      <c r="AV10" s="504">
        <f t="shared" si="5"/>
        <v>94.036000000000058</v>
      </c>
      <c r="AW10" s="504">
        <f t="shared" si="5"/>
        <v>135.44099999999995</v>
      </c>
      <c r="AX10" s="504">
        <f t="shared" si="5"/>
        <v>156.96000000000004</v>
      </c>
      <c r="AY10" s="504">
        <f t="shared" si="5"/>
        <v>167.66299999999998</v>
      </c>
      <c r="AZ10" s="504">
        <f t="shared" si="5"/>
        <v>170.32000000000005</v>
      </c>
      <c r="BA10" s="504">
        <f>BA5-SUM(BA6:BA9)</f>
        <v>117.88899999999998</v>
      </c>
      <c r="BB10" s="504">
        <f>BB5-SUM(BB6:BB9)</f>
        <v>-10.230999999999966</v>
      </c>
      <c r="BC10" s="504">
        <f>BC5-SUM(BC6:BC9)</f>
        <v>-29.09899999999999</v>
      </c>
      <c r="BD10" s="504">
        <f>BD5-SUM(BD6:BD9)</f>
        <v>1.799000000000035</v>
      </c>
      <c r="BE10" s="504">
        <f>BE5-SUM(BE6:BE9)</f>
        <v>49.787999999999982</v>
      </c>
      <c r="BF10" s="504">
        <f>BF5-SUM(BF6:BF9)</f>
        <v>49.787999999999982</v>
      </c>
      <c r="BG10" s="504"/>
      <c r="BH10" s="504"/>
      <c r="BI10" s="504"/>
      <c r="BJ10" s="504">
        <f>SUM(C10:F10)</f>
        <v>-28.71200000000001</v>
      </c>
      <c r="BK10" s="504">
        <f>SUM(G10:J10)</f>
        <v>-31.161000000000001</v>
      </c>
      <c r="BL10" s="504">
        <f>SUM(K10:N10)</f>
        <v>-22.157999999999987</v>
      </c>
      <c r="BM10" s="504">
        <f>SUM(O10:R10)</f>
        <v>-4.4289999999999949</v>
      </c>
      <c r="BN10" s="504">
        <f>SUM(S10:V10)</f>
        <v>-19.30899999999998</v>
      </c>
      <c r="BO10" s="504">
        <f>SUM(W10:Z10)</f>
        <v>-62.700000000000017</v>
      </c>
      <c r="BP10" s="504">
        <f>SUM(AA10:AD10)</f>
        <v>-39.377999999999972</v>
      </c>
      <c r="BQ10" s="504">
        <f>SUM(AE10:AH10)</f>
        <v>1.5959999999999805</v>
      </c>
      <c r="BR10" s="504">
        <f>SUM(AI10:AL10)</f>
        <v>102.72899999999993</v>
      </c>
      <c r="BS10" s="504">
        <f>SUM(AM10:AP10)</f>
        <v>186.43899999999996</v>
      </c>
      <c r="BT10" s="504">
        <f>SUM(AQ10:AT10)</f>
        <v>215.83200000000005</v>
      </c>
      <c r="BU10" s="504">
        <f>SUM(AU10:AX10)</f>
        <v>448.26099999999997</v>
      </c>
      <c r="BV10" s="504">
        <f>SUM(AY10:BB10)</f>
        <v>445.64100000000008</v>
      </c>
      <c r="BW10" s="504">
        <f>SUM(BC10:BF10)</f>
        <v>72.27600000000001</v>
      </c>
    </row>
    <row r="11" spans="1:218">
      <c r="A11" s="499" t="s">
        <v>1055</v>
      </c>
      <c r="B11" s="502"/>
      <c r="C11" s="504">
        <f>0.004-0.28-0.056</f>
        <v>-0.33200000000000002</v>
      </c>
      <c r="D11" s="504">
        <f>-0.46-0.338</f>
        <v>-0.79800000000000004</v>
      </c>
      <c r="E11" s="504">
        <f>-0.886+0.145</f>
        <v>-0.74099999999999999</v>
      </c>
      <c r="F11" s="504">
        <f>-3.578-(C11+D11+E11)</f>
        <v>-1.7069999999999999</v>
      </c>
      <c r="G11" s="504">
        <f>-1.479+0.64</f>
        <v>-0.83900000000000008</v>
      </c>
      <c r="H11" s="504">
        <f>0.014-3.405-0.338</f>
        <v>-3.7290000000000001</v>
      </c>
      <c r="I11" s="504">
        <f>0.003-0.527-0.056</f>
        <v>-0.58000000000000007</v>
      </c>
      <c r="J11" s="504">
        <f>-6.406-(G11+H11+I11)</f>
        <v>-1.2579999999999991</v>
      </c>
      <c r="K11" s="504">
        <v>-0.51300000000000001</v>
      </c>
      <c r="L11" s="504">
        <f>-0.781</f>
        <v>-0.78100000000000003</v>
      </c>
      <c r="M11" s="504">
        <v>-0.81499999999999995</v>
      </c>
      <c r="N11" s="504">
        <f>-2.892-(K11+L11+M11)</f>
        <v>-0.78299999999999992</v>
      </c>
      <c r="O11" s="504">
        <v>-0.34200000000000003</v>
      </c>
      <c r="P11" s="504">
        <v>-0.42799999999999999</v>
      </c>
      <c r="Q11" s="504">
        <v>-0.95299999999999996</v>
      </c>
      <c r="R11" s="504">
        <f>-2.857-(O11+P11+Q11)</f>
        <v>-1.1340000000000003</v>
      </c>
      <c r="S11" s="504">
        <v>-0.60499999999999998</v>
      </c>
      <c r="T11" s="504">
        <v>-8.0000000000000002E-3</v>
      </c>
      <c r="U11" s="504">
        <v>-0.84399999999999997</v>
      </c>
      <c r="V11" s="504">
        <f>-1.394-(S11+T11+U11)</f>
        <v>6.2999999999999945E-2</v>
      </c>
      <c r="W11" s="504">
        <v>0.52900000000000003</v>
      </c>
      <c r="X11" s="504">
        <v>-0.59099999999999997</v>
      </c>
      <c r="Y11" s="504">
        <f>-0.881</f>
        <v>-0.88100000000000001</v>
      </c>
      <c r="Z11" s="504">
        <f>-3.287-(W11+X11+Y11)</f>
        <v>-2.3439999999999999</v>
      </c>
      <c r="AA11" s="504">
        <v>-1.079</v>
      </c>
      <c r="AB11" s="504">
        <v>-1.992</v>
      </c>
      <c r="AC11" s="504">
        <v>-1.137</v>
      </c>
      <c r="AD11" s="504">
        <f>-5.963-(AA11+AB11+AC11)</f>
        <v>-1.7549999999999999</v>
      </c>
      <c r="AE11" s="504">
        <v>-2.4180000000000001</v>
      </c>
      <c r="AF11" s="504">
        <v>-2.8410000000000002</v>
      </c>
      <c r="AG11" s="504">
        <v>-2.8479999999999999</v>
      </c>
      <c r="AH11" s="504">
        <f>-11.825-(AE11+AF11+AG11)</f>
        <v>-3.718</v>
      </c>
      <c r="AI11" s="504">
        <v>-4.0209999999999999</v>
      </c>
      <c r="AJ11" s="504">
        <v>-6.2380000000000004</v>
      </c>
      <c r="AK11" s="504">
        <v>-2.335</v>
      </c>
      <c r="AL11" s="504">
        <f>-12.615-(AI11+AJ11+AK11)</f>
        <v>-2.0999999999999019E-2</v>
      </c>
      <c r="AM11" s="504">
        <v>12.356</v>
      </c>
      <c r="AN11" s="504">
        <v>-64.709000000000003</v>
      </c>
      <c r="AO11" s="504">
        <f>0.11-5.993-1.031</f>
        <v>-6.9139999999999997</v>
      </c>
      <c r="AP11" s="504">
        <f>0.673-5.901-2.534</f>
        <v>-7.7619999999999996</v>
      </c>
      <c r="AQ11" s="504">
        <f>0.073-7.329+0.573-56.369</f>
        <v>-63.052</v>
      </c>
      <c r="AR11" s="504">
        <f>0.098-12.506-0.633-0.013</f>
        <v>-13.054</v>
      </c>
      <c r="AS11" s="504">
        <f>0.11-12.628+0.874</f>
        <v>-11.644</v>
      </c>
      <c r="AT11" s="504">
        <f>0.414-12.689+5.236-0.115</f>
        <v>-7.1540000000000008</v>
      </c>
      <c r="AU11" s="504">
        <f>0.46-2.736-2.141</f>
        <v>-4.4169999999999998</v>
      </c>
      <c r="AV11" s="504">
        <f>0.796-2.168-0.456</f>
        <v>-1.8280000000000001</v>
      </c>
      <c r="AW11" s="504">
        <f>3.68-2.255-2.611</f>
        <v>-1.1859999999999999</v>
      </c>
      <c r="AX11" s="504">
        <f>8.72-2.279+4.777</f>
        <v>11.218</v>
      </c>
      <c r="AY11" s="504">
        <f>13.04-2.156+0.426</f>
        <v>11.309999999999999</v>
      </c>
      <c r="AZ11" s="504">
        <f>16.526-2.219-0.033</f>
        <v>14.274000000000001</v>
      </c>
      <c r="BA11" s="504">
        <v>19.356000000000002</v>
      </c>
      <c r="BB11" s="504">
        <v>22.457999999999998</v>
      </c>
      <c r="BC11" s="504">
        <v>17.600000000000001</v>
      </c>
      <c r="BD11" s="504">
        <v>9.4169999999999998</v>
      </c>
      <c r="BE11" s="502">
        <f>19.977-2.237-16.785</f>
        <v>0.95500000000000185</v>
      </c>
      <c r="BF11" s="502">
        <f>19.977-2.237-16.785</f>
        <v>0.95500000000000185</v>
      </c>
      <c r="BG11" s="502"/>
      <c r="BH11" s="502"/>
      <c r="BI11" s="502"/>
      <c r="BJ11" s="504">
        <f>SUM(C11:F11)</f>
        <v>-3.5779999999999998</v>
      </c>
      <c r="BK11" s="504">
        <f>SUM(G11:J11)</f>
        <v>-6.4059999999999997</v>
      </c>
      <c r="BL11" s="504">
        <f>SUM(K11:N11)</f>
        <v>-2.8919999999999999</v>
      </c>
      <c r="BM11" s="504">
        <f>SUM(O11:R11)</f>
        <v>-2.8570000000000002</v>
      </c>
      <c r="BN11" s="504">
        <f>SUM(S11:V11)</f>
        <v>-1.3939999999999999</v>
      </c>
      <c r="BO11" s="504">
        <f>SUM(W11:Z11)</f>
        <v>-3.2869999999999999</v>
      </c>
      <c r="BP11" s="504">
        <f>SUM(AA11:AD11)</f>
        <v>-5.9630000000000001</v>
      </c>
      <c r="BQ11" s="504">
        <f>SUM(AE11:AH11)</f>
        <v>-11.824999999999999</v>
      </c>
      <c r="BR11" s="504">
        <f>SUM(AI11:AL11)</f>
        <v>-12.615</v>
      </c>
      <c r="BS11" s="504">
        <f>SUM(AM11:AP11)</f>
        <v>-67.028999999999996</v>
      </c>
      <c r="BT11" s="504">
        <f>SUM(AQ11:AT11)</f>
        <v>-94.903999999999996</v>
      </c>
      <c r="BU11" s="504">
        <f>SUM(AU11:AX11)</f>
        <v>3.7869999999999999</v>
      </c>
      <c r="BV11" s="504">
        <f>SUM(AY11:BB11)</f>
        <v>67.397999999999996</v>
      </c>
      <c r="BW11" s="504">
        <f>SUM(BC11:BF11)</f>
        <v>28.927000000000007</v>
      </c>
    </row>
    <row r="12" spans="1:218">
      <c r="A12" s="499" t="s">
        <v>1056</v>
      </c>
      <c r="B12" s="502"/>
      <c r="C12" s="504">
        <f>C10+C11</f>
        <v>-9.2890000000000015</v>
      </c>
      <c r="D12" s="504">
        <f t="shared" ref="D12:K12" si="6">D10+D11</f>
        <v>-10.288</v>
      </c>
      <c r="E12" s="504">
        <f t="shared" si="6"/>
        <v>-7.1760000000000002</v>
      </c>
      <c r="F12" s="504">
        <f t="shared" si="6"/>
        <v>-5.5370000000000035</v>
      </c>
      <c r="G12" s="504">
        <f t="shared" si="6"/>
        <v>-10.118999999999998</v>
      </c>
      <c r="H12" s="504">
        <f t="shared" si="6"/>
        <v>-11.233999999999995</v>
      </c>
      <c r="I12" s="504">
        <f t="shared" si="6"/>
        <v>-8.7769999999999939</v>
      </c>
      <c r="J12" s="504">
        <f t="shared" si="6"/>
        <v>-7.4370000000000154</v>
      </c>
      <c r="K12" s="504">
        <f t="shared" si="6"/>
        <v>-10.223999999999998</v>
      </c>
      <c r="L12" s="504">
        <f>L10+L11</f>
        <v>-6.2720000000000011</v>
      </c>
      <c r="M12" s="504">
        <f>M10+M11</f>
        <v>-6.1599999999999984</v>
      </c>
      <c r="N12" s="504">
        <f t="shared" ref="N12:AZ12" si="7">N10+N11</f>
        <v>-2.3939999999999899</v>
      </c>
      <c r="O12" s="504">
        <f t="shared" si="7"/>
        <v>-6.126999999999998</v>
      </c>
      <c r="P12" s="504">
        <f t="shared" si="7"/>
        <v>-2.9159999999999924</v>
      </c>
      <c r="Q12" s="504">
        <f t="shared" si="7"/>
        <v>0.93999999999999895</v>
      </c>
      <c r="R12" s="504">
        <f t="shared" si="7"/>
        <v>0.81699999999999662</v>
      </c>
      <c r="S12" s="504">
        <f t="shared" si="7"/>
        <v>-6.1529999999999916</v>
      </c>
      <c r="T12" s="504">
        <f t="shared" si="7"/>
        <v>-0.37699999999999978</v>
      </c>
      <c r="U12" s="504">
        <f t="shared" si="7"/>
        <v>0.93499999999999639</v>
      </c>
      <c r="V12" s="504">
        <f t="shared" si="7"/>
        <v>-15.107999999999985</v>
      </c>
      <c r="W12" s="504">
        <f t="shared" si="7"/>
        <v>-18.559000000000001</v>
      </c>
      <c r="X12" s="504">
        <f t="shared" si="7"/>
        <v>-16.379000000000005</v>
      </c>
      <c r="Y12" s="504">
        <f t="shared" si="7"/>
        <v>-18.612000000000009</v>
      </c>
      <c r="Z12" s="504">
        <f t="shared" si="7"/>
        <v>-12.437000000000001</v>
      </c>
      <c r="AA12" s="504">
        <f t="shared" si="7"/>
        <v>-23.174000000000007</v>
      </c>
      <c r="AB12" s="504">
        <f t="shared" si="7"/>
        <v>-11.236000000000004</v>
      </c>
      <c r="AC12" s="504">
        <f t="shared" si="7"/>
        <v>-7.038000000000002</v>
      </c>
      <c r="AD12" s="504">
        <f t="shared" si="7"/>
        <v>-3.892999999999966</v>
      </c>
      <c r="AE12" s="504">
        <f t="shared" si="7"/>
        <v>-4.8930000000000033</v>
      </c>
      <c r="AF12" s="504">
        <f t="shared" si="7"/>
        <v>-3.399</v>
      </c>
      <c r="AG12" s="504">
        <f t="shared" si="7"/>
        <v>-3.2220000000000031</v>
      </c>
      <c r="AH12" s="504">
        <f t="shared" si="7"/>
        <v>1.2849999999999868</v>
      </c>
      <c r="AI12" s="504">
        <f t="shared" si="7"/>
        <v>3.1129999999999969</v>
      </c>
      <c r="AJ12" s="504">
        <f t="shared" si="7"/>
        <v>11.208999999999989</v>
      </c>
      <c r="AK12" s="504">
        <f t="shared" si="7"/>
        <v>31.370999999999981</v>
      </c>
      <c r="AL12" s="504">
        <f t="shared" si="7"/>
        <v>44.420999999999964</v>
      </c>
      <c r="AM12" s="504">
        <f t="shared" si="7"/>
        <v>57.067999999999984</v>
      </c>
      <c r="AN12" s="504">
        <f t="shared" si="7"/>
        <v>-53.855000000000004</v>
      </c>
      <c r="AO12" s="504">
        <f t="shared" si="7"/>
        <v>44.844999999999978</v>
      </c>
      <c r="AP12" s="504">
        <f t="shared" si="7"/>
        <v>71.35199999999999</v>
      </c>
      <c r="AQ12" s="504">
        <f t="shared" si="7"/>
        <v>-1.6659999999999897</v>
      </c>
      <c r="AR12" s="504">
        <f t="shared" si="7"/>
        <v>46.346000000000018</v>
      </c>
      <c r="AS12" s="504">
        <f t="shared" si="7"/>
        <v>25.707000000000015</v>
      </c>
      <c r="AT12" s="504">
        <f t="shared" si="7"/>
        <v>50.54099999999999</v>
      </c>
      <c r="AU12" s="504">
        <f t="shared" si="7"/>
        <v>57.406999999999954</v>
      </c>
      <c r="AV12" s="504">
        <f t="shared" si="7"/>
        <v>92.208000000000055</v>
      </c>
      <c r="AW12" s="504">
        <f t="shared" si="7"/>
        <v>134.25499999999994</v>
      </c>
      <c r="AX12" s="504">
        <f t="shared" si="7"/>
        <v>168.17800000000003</v>
      </c>
      <c r="AY12" s="504">
        <f t="shared" si="7"/>
        <v>178.97299999999998</v>
      </c>
      <c r="AZ12" s="504">
        <f t="shared" si="7"/>
        <v>184.59400000000005</v>
      </c>
      <c r="BA12" s="504">
        <f>BA10+BA11</f>
        <v>137.24499999999998</v>
      </c>
      <c r="BB12" s="504">
        <f>BB10+BB11</f>
        <v>12.227000000000032</v>
      </c>
      <c r="BC12" s="504">
        <f>BC10+BC11</f>
        <v>-11.498999999999988</v>
      </c>
      <c r="BD12" s="504">
        <f>BD10+BD11</f>
        <v>11.216000000000035</v>
      </c>
      <c r="BE12" s="504">
        <f>BE10+BE11</f>
        <v>50.742999999999981</v>
      </c>
      <c r="BF12" s="504">
        <f>BF10+BF11</f>
        <v>50.742999999999981</v>
      </c>
      <c r="BG12" s="504"/>
      <c r="BH12" s="504"/>
      <c r="BI12" s="504"/>
      <c r="BJ12" s="504">
        <f>SUM(C12:F12)</f>
        <v>-32.290000000000006</v>
      </c>
      <c r="BK12" s="504">
        <f>SUM(G12:J12)</f>
        <v>-37.567000000000007</v>
      </c>
      <c r="BL12" s="504">
        <f>SUM(K12:N12)</f>
        <v>-25.04999999999999</v>
      </c>
      <c r="BM12" s="504">
        <f>SUM(O12:R12)</f>
        <v>-7.2859999999999943</v>
      </c>
      <c r="BN12" s="504">
        <f>SUM(S12:V12)</f>
        <v>-20.702999999999982</v>
      </c>
      <c r="BO12" s="504">
        <f>SUM(W12:Z12)</f>
        <v>-65.987000000000009</v>
      </c>
      <c r="BP12" s="504">
        <f>SUM(AA12:AD12)</f>
        <v>-45.34099999999998</v>
      </c>
      <c r="BQ12" s="504">
        <f>SUM(AE12:AH12)</f>
        <v>-10.229000000000021</v>
      </c>
      <c r="BR12" s="504">
        <f>SUM(AI12:AL12)</f>
        <v>90.113999999999933</v>
      </c>
      <c r="BS12" s="504">
        <f>SUM(AM12:AP12)</f>
        <v>119.40999999999994</v>
      </c>
      <c r="BT12" s="504">
        <f>SUM(AQ12:AT12)</f>
        <v>120.92800000000003</v>
      </c>
      <c r="BU12" s="504">
        <f>SUM(AU12:AX12)</f>
        <v>452.048</v>
      </c>
      <c r="BV12" s="504">
        <f>SUM(AY12:BB12)</f>
        <v>513.03899999999999</v>
      </c>
      <c r="BW12" s="504">
        <f>SUM(BC12:BF12)</f>
        <v>101.203</v>
      </c>
    </row>
    <row r="13" spans="1:218">
      <c r="A13" s="499" t="s">
        <v>1057</v>
      </c>
      <c r="B13" s="502"/>
      <c r="C13" s="504">
        <v>0</v>
      </c>
      <c r="D13" s="504">
        <v>0</v>
      </c>
      <c r="E13" s="504">
        <v>0</v>
      </c>
      <c r="F13" s="504">
        <v>0</v>
      </c>
      <c r="G13" s="504">
        <v>-6.5000000000000002E-2</v>
      </c>
      <c r="H13" s="504">
        <v>-0.151</v>
      </c>
      <c r="I13" s="504">
        <v>-0.13</v>
      </c>
      <c r="J13" s="504">
        <f>-0.651-SUM(G13:I13)</f>
        <v>-0.30500000000000005</v>
      </c>
      <c r="K13" s="504">
        <v>-0.182</v>
      </c>
      <c r="L13" s="504">
        <v>-0.124</v>
      </c>
      <c r="M13" s="504">
        <v>-0.14099999999999999</v>
      </c>
      <c r="N13" s="504">
        <f>-0.863-SUM(K13:M13)</f>
        <v>-0.41600000000000004</v>
      </c>
      <c r="O13" s="504">
        <v>-0.109</v>
      </c>
      <c r="P13" s="504">
        <v>-0.115</v>
      </c>
      <c r="Q13" s="504">
        <v>-0.127</v>
      </c>
      <c r="R13" s="504">
        <f>-0.766-SUM(O13:Q13)</f>
        <v>-0.41500000000000004</v>
      </c>
      <c r="S13" s="504">
        <v>-0.16700000000000001</v>
      </c>
      <c r="T13" s="504">
        <v>-0.22600000000000001</v>
      </c>
      <c r="U13" s="504">
        <v>-0.311</v>
      </c>
      <c r="V13" s="504">
        <f>-1.379-SUM(S13:U13)</f>
        <v>-0.67500000000000004</v>
      </c>
      <c r="W13" s="504">
        <v>-0.23599999999999999</v>
      </c>
      <c r="X13" s="504">
        <v>-0.34399999999999997</v>
      </c>
      <c r="Y13" s="504">
        <v>-0.14399999999999999</v>
      </c>
      <c r="Z13" s="504">
        <f>-1.475-SUM(W13:Y13)</f>
        <v>-0.75100000000000011</v>
      </c>
      <c r="AA13" s="504">
        <v>-0.13100000000000001</v>
      </c>
      <c r="AB13" s="504">
        <v>-0.85399999999999998</v>
      </c>
      <c r="AC13" s="506">
        <v>0.184</v>
      </c>
      <c r="AD13" s="504">
        <f>0.149-SUM(AA13:AC13)</f>
        <v>0.95</v>
      </c>
      <c r="AE13" s="504">
        <v>-0.23499999999999999</v>
      </c>
      <c r="AF13" s="504">
        <v>-0.33900000000000002</v>
      </c>
      <c r="AG13" s="504">
        <v>-0.248</v>
      </c>
      <c r="AH13" s="504">
        <f>-1.398-SUM(AE13:AG13)</f>
        <v>-0.57599999999999985</v>
      </c>
      <c r="AI13" s="504">
        <v>-0.34799999999999998</v>
      </c>
      <c r="AJ13" s="504">
        <v>-0.59099999999999997</v>
      </c>
      <c r="AK13" s="504">
        <v>-0.27200000000000002</v>
      </c>
      <c r="AL13" s="504">
        <f>71.034-SUM(AI13:AK13)</f>
        <v>72.245000000000005</v>
      </c>
      <c r="AM13" s="504">
        <v>11.868</v>
      </c>
      <c r="AN13" s="504">
        <v>6.5609999999999999</v>
      </c>
      <c r="AO13" s="504">
        <v>-5.4829999999999997</v>
      </c>
      <c r="AP13" s="504">
        <v>1.639</v>
      </c>
      <c r="AQ13" s="504">
        <v>33.363999999999997</v>
      </c>
      <c r="AR13" s="504">
        <v>-6.9950000000000001</v>
      </c>
      <c r="AS13" s="504">
        <v>-3.8980000000000001</v>
      </c>
      <c r="AT13" s="504">
        <v>2.0499999999999998</v>
      </c>
      <c r="AU13" s="504">
        <v>-5.5860000000000003</v>
      </c>
      <c r="AV13" s="504">
        <v>-15.231999999999999</v>
      </c>
      <c r="AW13" s="504">
        <v>-19.443000000000001</v>
      </c>
      <c r="AX13" s="504">
        <v>-14.425000000000001</v>
      </c>
      <c r="AY13" s="504">
        <v>-32.1</v>
      </c>
      <c r="AZ13" s="504">
        <v>-27.402999999999999</v>
      </c>
      <c r="BA13" s="504">
        <v>-23.391999999999999</v>
      </c>
      <c r="BB13" s="504">
        <v>8.6920000000000002</v>
      </c>
      <c r="BC13" s="504">
        <v>-4.5979999999999999</v>
      </c>
      <c r="BD13" s="504">
        <v>-0.38300000000000001</v>
      </c>
      <c r="BE13" s="504">
        <v>-0.49809999999999999</v>
      </c>
      <c r="BF13" s="504">
        <v>-0.49809999999999999</v>
      </c>
      <c r="BG13" s="504"/>
      <c r="BH13" s="504"/>
      <c r="BI13" s="504"/>
      <c r="BJ13" s="504">
        <f>SUM(C13:F13)</f>
        <v>0</v>
      </c>
      <c r="BK13" s="504">
        <f>SUM(G13:J13)</f>
        <v>-0.65100000000000002</v>
      </c>
      <c r="BL13" s="504">
        <f>SUM(K13:N13)</f>
        <v>-0.86299999999999999</v>
      </c>
      <c r="BM13" s="504">
        <f>SUM(O13:R13)</f>
        <v>-0.76600000000000001</v>
      </c>
      <c r="BN13" s="504">
        <f>SUM(S13:V13)</f>
        <v>-1.379</v>
      </c>
      <c r="BO13" s="504">
        <f>SUM(W13:Z13)</f>
        <v>-1.4750000000000001</v>
      </c>
      <c r="BP13" s="504">
        <f>SUM(AA13:AD13)</f>
        <v>0.14900000000000002</v>
      </c>
      <c r="BQ13" s="504">
        <f>SUM(AE13:AH13)</f>
        <v>-1.3979999999999999</v>
      </c>
      <c r="BR13" s="504">
        <f>SUM(AI13:AL13)</f>
        <v>71.034000000000006</v>
      </c>
      <c r="BS13" s="504">
        <f>SUM(AM13:AP13)</f>
        <v>14.585000000000001</v>
      </c>
      <c r="BT13" s="504">
        <f>SUM(AQ13:AT13)</f>
        <v>24.520999999999997</v>
      </c>
      <c r="BU13" s="504">
        <f>SUM(AU13:AX13)</f>
        <v>-54.685999999999993</v>
      </c>
      <c r="BV13" s="504">
        <f>SUM(AY13:BB13)</f>
        <v>-74.203000000000003</v>
      </c>
      <c r="BW13" s="504">
        <f>SUM(BC13:BF13)</f>
        <v>-5.9771999999999998</v>
      </c>
    </row>
    <row r="14" spans="1:218">
      <c r="A14" s="499" t="s">
        <v>1058</v>
      </c>
      <c r="B14" s="502"/>
      <c r="C14" s="504">
        <f>C12+C13</f>
        <v>-9.2890000000000015</v>
      </c>
      <c r="D14" s="504">
        <f t="shared" ref="D14:BE14" si="8">D12+D13</f>
        <v>-10.288</v>
      </c>
      <c r="E14" s="504">
        <f t="shared" si="8"/>
        <v>-7.1760000000000002</v>
      </c>
      <c r="F14" s="504">
        <f t="shared" si="8"/>
        <v>-5.5370000000000035</v>
      </c>
      <c r="G14" s="504">
        <f t="shared" si="8"/>
        <v>-10.183999999999997</v>
      </c>
      <c r="H14" s="504">
        <f t="shared" si="8"/>
        <v>-11.384999999999994</v>
      </c>
      <c r="I14" s="504">
        <f t="shared" si="8"/>
        <v>-8.9069999999999947</v>
      </c>
      <c r="J14" s="504">
        <f t="shared" si="8"/>
        <v>-7.7420000000000151</v>
      </c>
      <c r="K14" s="504">
        <f t="shared" si="8"/>
        <v>-10.405999999999999</v>
      </c>
      <c r="L14" s="504">
        <f t="shared" si="8"/>
        <v>-6.3960000000000008</v>
      </c>
      <c r="M14" s="504">
        <f t="shared" si="8"/>
        <v>-6.3009999999999984</v>
      </c>
      <c r="N14" s="504">
        <f t="shared" si="8"/>
        <v>-2.8099999999999898</v>
      </c>
      <c r="O14" s="504">
        <f t="shared" si="8"/>
        <v>-6.235999999999998</v>
      </c>
      <c r="P14" s="504">
        <f t="shared" si="8"/>
        <v>-3.0309999999999926</v>
      </c>
      <c r="Q14" s="504">
        <f t="shared" si="8"/>
        <v>0.81299999999999895</v>
      </c>
      <c r="R14" s="504">
        <f t="shared" si="8"/>
        <v>0.40199999999999658</v>
      </c>
      <c r="S14" s="504">
        <f t="shared" si="8"/>
        <v>-6.3199999999999914</v>
      </c>
      <c r="T14" s="504">
        <f t="shared" si="8"/>
        <v>-0.60299999999999976</v>
      </c>
      <c r="U14" s="504">
        <f t="shared" si="8"/>
        <v>0.62399999999999634</v>
      </c>
      <c r="V14" s="504">
        <f t="shared" si="8"/>
        <v>-15.782999999999985</v>
      </c>
      <c r="W14" s="504">
        <f t="shared" si="8"/>
        <v>-18.795000000000002</v>
      </c>
      <c r="X14" s="504">
        <f t="shared" si="8"/>
        <v>-16.723000000000006</v>
      </c>
      <c r="Y14" s="504">
        <f t="shared" si="8"/>
        <v>-18.756000000000007</v>
      </c>
      <c r="Z14" s="504">
        <f t="shared" si="8"/>
        <v>-13.188000000000001</v>
      </c>
      <c r="AA14" s="504">
        <f t="shared" si="8"/>
        <v>-23.305000000000007</v>
      </c>
      <c r="AB14" s="504">
        <f t="shared" si="8"/>
        <v>-12.090000000000003</v>
      </c>
      <c r="AC14" s="504">
        <f t="shared" si="8"/>
        <v>-6.8540000000000019</v>
      </c>
      <c r="AD14" s="504">
        <f t="shared" si="8"/>
        <v>-2.9429999999999659</v>
      </c>
      <c r="AE14" s="504">
        <f t="shared" si="8"/>
        <v>-5.1280000000000037</v>
      </c>
      <c r="AF14" s="504">
        <f t="shared" si="8"/>
        <v>-3.738</v>
      </c>
      <c r="AG14" s="504">
        <f t="shared" si="8"/>
        <v>-3.4700000000000033</v>
      </c>
      <c r="AH14" s="504">
        <f t="shared" si="8"/>
        <v>0.70899999999998697</v>
      </c>
      <c r="AI14" s="504">
        <f t="shared" si="8"/>
        <v>2.764999999999997</v>
      </c>
      <c r="AJ14" s="504">
        <f t="shared" si="8"/>
        <v>10.61799999999999</v>
      </c>
      <c r="AK14" s="504">
        <f t="shared" si="8"/>
        <v>31.098999999999982</v>
      </c>
      <c r="AL14" s="504">
        <f t="shared" si="8"/>
        <v>116.66599999999997</v>
      </c>
      <c r="AM14" s="504">
        <f t="shared" si="8"/>
        <v>68.935999999999979</v>
      </c>
      <c r="AN14" s="504">
        <f t="shared" si="8"/>
        <v>-47.294000000000004</v>
      </c>
      <c r="AO14" s="504">
        <f t="shared" si="8"/>
        <v>39.361999999999981</v>
      </c>
      <c r="AP14" s="504">
        <f t="shared" si="8"/>
        <v>72.990999999999985</v>
      </c>
      <c r="AQ14" s="504">
        <f t="shared" si="8"/>
        <v>31.698000000000008</v>
      </c>
      <c r="AR14" s="504">
        <f t="shared" si="8"/>
        <v>39.35100000000002</v>
      </c>
      <c r="AS14" s="504">
        <f t="shared" si="8"/>
        <v>21.809000000000015</v>
      </c>
      <c r="AT14" s="504">
        <f t="shared" si="8"/>
        <v>52.590999999999987</v>
      </c>
      <c r="AU14" s="504">
        <f t="shared" si="8"/>
        <v>51.820999999999955</v>
      </c>
      <c r="AV14" s="504">
        <f t="shared" si="8"/>
        <v>76.976000000000056</v>
      </c>
      <c r="AW14" s="504">
        <f t="shared" si="8"/>
        <v>114.81199999999994</v>
      </c>
      <c r="AX14" s="504">
        <f t="shared" si="8"/>
        <v>153.75300000000001</v>
      </c>
      <c r="AY14" s="504">
        <f t="shared" si="8"/>
        <v>146.87299999999999</v>
      </c>
      <c r="AZ14" s="504">
        <f t="shared" si="8"/>
        <v>157.19100000000006</v>
      </c>
      <c r="BA14" s="504">
        <f t="shared" si="8"/>
        <v>113.85299999999998</v>
      </c>
      <c r="BB14" s="504">
        <f t="shared" si="8"/>
        <v>20.919000000000032</v>
      </c>
      <c r="BC14" s="504">
        <f t="shared" si="8"/>
        <v>-16.096999999999987</v>
      </c>
      <c r="BD14" s="504">
        <f t="shared" si="8"/>
        <v>10.833000000000034</v>
      </c>
      <c r="BE14" s="504">
        <f t="shared" si="8"/>
        <v>50.24489999999998</v>
      </c>
      <c r="BF14" s="504">
        <f t="shared" ref="BF14" si="9">BF12+BF13</f>
        <v>50.24489999999998</v>
      </c>
      <c r="BG14" s="504"/>
      <c r="BH14" s="504"/>
      <c r="BI14" s="504"/>
      <c r="BJ14" s="504">
        <f>SUM(C14:F14)</f>
        <v>-32.290000000000006</v>
      </c>
      <c r="BK14" s="504">
        <f>SUM(G14:J14)</f>
        <v>-38.218000000000004</v>
      </c>
      <c r="BL14" s="504">
        <f>SUM(K14:N14)</f>
        <v>-25.91299999999999</v>
      </c>
      <c r="BM14" s="504">
        <f>SUM(O14:R14)</f>
        <v>-8.051999999999996</v>
      </c>
      <c r="BN14" s="504">
        <f>SUM(S14:V14)</f>
        <v>-22.081999999999979</v>
      </c>
      <c r="BO14" s="504">
        <f>SUM(W14:Z14)</f>
        <v>-67.462000000000018</v>
      </c>
      <c r="BP14" s="504">
        <f>SUM(AA14:AD14)</f>
        <v>-45.191999999999979</v>
      </c>
      <c r="BQ14" s="504">
        <f>SUM(AE14:AH14)</f>
        <v>-11.627000000000018</v>
      </c>
      <c r="BR14" s="504">
        <f>SUM(AI14:AL14)</f>
        <v>161.14799999999994</v>
      </c>
      <c r="BS14" s="504">
        <f>SUM(AM14:AP14)</f>
        <v>133.99499999999995</v>
      </c>
      <c r="BT14" s="504">
        <f>SUM(AQ14:AT14)</f>
        <v>145.44900000000004</v>
      </c>
      <c r="BU14" s="504">
        <f>SUM(AU14:AX14)</f>
        <v>397.36199999999997</v>
      </c>
      <c r="BV14" s="504">
        <f>SUM(AY14:BB14)</f>
        <v>438.83600000000007</v>
      </c>
      <c r="BW14" s="504">
        <f>SUM(BC14:BF14)</f>
        <v>95.225800000000007</v>
      </c>
      <c r="BX14" s="502"/>
      <c r="BY14" s="502"/>
      <c r="BZ14" s="502"/>
      <c r="CA14" s="502"/>
      <c r="CB14" s="502"/>
      <c r="CC14" s="502"/>
      <c r="CD14" s="502"/>
      <c r="CE14" s="502"/>
      <c r="CF14" s="502"/>
      <c r="CG14" s="502"/>
      <c r="CH14" s="502"/>
      <c r="CI14" s="502"/>
      <c r="CJ14" s="502"/>
      <c r="CK14" s="502"/>
      <c r="CL14" s="502"/>
      <c r="CM14" s="502"/>
      <c r="CN14" s="502"/>
      <c r="CO14" s="502"/>
      <c r="CP14" s="502"/>
      <c r="CQ14" s="502"/>
      <c r="CR14" s="502"/>
      <c r="CS14" s="502"/>
      <c r="CT14" s="502"/>
      <c r="CU14" s="502"/>
      <c r="CV14" s="502"/>
      <c r="CW14" s="502"/>
      <c r="CX14" s="502"/>
      <c r="CY14" s="502"/>
      <c r="CZ14" s="502"/>
      <c r="DA14" s="502"/>
      <c r="DB14" s="502"/>
      <c r="DC14" s="502"/>
      <c r="DD14" s="502"/>
      <c r="DE14" s="502"/>
      <c r="DF14" s="502"/>
      <c r="DG14" s="502"/>
      <c r="DH14" s="502"/>
      <c r="DI14" s="502"/>
      <c r="DJ14" s="502"/>
      <c r="DK14" s="502"/>
      <c r="DL14" s="502"/>
      <c r="DM14" s="502"/>
      <c r="DN14" s="502"/>
      <c r="DO14" s="502"/>
      <c r="DP14" s="502"/>
      <c r="DQ14" s="502"/>
      <c r="DR14" s="502"/>
      <c r="DS14" s="502"/>
      <c r="DT14" s="502"/>
      <c r="DU14" s="502"/>
      <c r="DV14" s="502"/>
      <c r="DW14" s="502"/>
      <c r="DX14" s="502"/>
      <c r="DY14" s="502"/>
      <c r="DZ14" s="502"/>
      <c r="EA14" s="502"/>
      <c r="EB14" s="502"/>
      <c r="EC14" s="502"/>
      <c r="ED14" s="502"/>
      <c r="EE14" s="502"/>
      <c r="EF14" s="502"/>
      <c r="EG14" s="502"/>
      <c r="EH14" s="502"/>
      <c r="EI14" s="502"/>
      <c r="EJ14" s="502"/>
      <c r="EK14" s="502"/>
      <c r="EL14" s="502"/>
      <c r="EM14" s="502"/>
      <c r="EN14" s="502"/>
      <c r="EO14" s="502"/>
      <c r="EP14" s="502"/>
      <c r="EQ14" s="502"/>
      <c r="ER14" s="502"/>
      <c r="ES14" s="502"/>
      <c r="ET14" s="502"/>
      <c r="EU14" s="502"/>
      <c r="EV14" s="502"/>
      <c r="EW14" s="502"/>
      <c r="EX14" s="502"/>
      <c r="EY14" s="502"/>
      <c r="EZ14" s="502"/>
      <c r="FA14" s="502"/>
      <c r="FB14" s="502"/>
      <c r="FC14" s="502"/>
      <c r="FD14" s="502"/>
      <c r="FE14" s="502"/>
      <c r="FF14" s="502"/>
      <c r="FG14" s="502"/>
      <c r="FH14" s="502"/>
      <c r="FI14" s="502"/>
      <c r="FJ14" s="502"/>
      <c r="FK14" s="502"/>
      <c r="FL14" s="502"/>
      <c r="FM14" s="502"/>
      <c r="FN14" s="502"/>
      <c r="FO14" s="502"/>
      <c r="FP14" s="502"/>
      <c r="FQ14" s="502"/>
      <c r="FR14" s="502"/>
      <c r="FS14" s="502"/>
      <c r="FT14" s="502"/>
      <c r="FU14" s="502"/>
      <c r="FV14" s="502"/>
      <c r="FW14" s="502"/>
      <c r="FX14" s="502"/>
      <c r="FY14" s="502"/>
      <c r="FZ14" s="502"/>
      <c r="GA14" s="502"/>
      <c r="GB14" s="502"/>
      <c r="GC14" s="502"/>
      <c r="GD14" s="502"/>
      <c r="GE14" s="502"/>
      <c r="GF14" s="502"/>
      <c r="GG14" s="502"/>
      <c r="GH14" s="502"/>
      <c r="GI14" s="502"/>
      <c r="GJ14" s="502"/>
      <c r="GK14" s="502"/>
      <c r="GL14" s="502"/>
      <c r="GM14" s="502"/>
      <c r="GN14" s="502"/>
      <c r="GO14" s="502"/>
      <c r="GP14" s="502"/>
      <c r="GQ14" s="502"/>
      <c r="GR14" s="502"/>
      <c r="GS14" s="502"/>
      <c r="GT14" s="502"/>
      <c r="GU14" s="502"/>
      <c r="GV14" s="502"/>
      <c r="GW14" s="502"/>
      <c r="GX14" s="502"/>
      <c r="GY14" s="502"/>
      <c r="GZ14" s="502"/>
      <c r="HA14" s="502"/>
      <c r="HB14" s="502"/>
      <c r="HC14" s="502"/>
      <c r="HD14" s="502"/>
      <c r="HE14" s="502"/>
      <c r="HF14" s="502"/>
      <c r="HG14" s="502"/>
      <c r="HH14" s="502"/>
      <c r="HI14" s="502"/>
      <c r="HJ14" s="502"/>
    </row>
    <row r="15" spans="1:218">
      <c r="A15" s="499" t="s">
        <v>990</v>
      </c>
      <c r="C15" s="504"/>
      <c r="D15" s="504"/>
      <c r="E15" s="504"/>
      <c r="F15" s="504"/>
      <c r="G15" s="504"/>
      <c r="H15" s="504"/>
      <c r="I15" s="504"/>
      <c r="J15" s="504"/>
      <c r="K15" s="504"/>
      <c r="L15" s="504"/>
      <c r="M15" s="504"/>
      <c r="N15" s="504"/>
      <c r="O15" s="504"/>
      <c r="P15" s="504"/>
      <c r="Q15" s="504"/>
      <c r="R15" s="504"/>
      <c r="S15" s="504"/>
      <c r="T15" s="504"/>
      <c r="U15" s="504"/>
      <c r="V15" s="504"/>
      <c r="W15" s="504"/>
      <c r="X15" s="504"/>
      <c r="Y15" s="504"/>
      <c r="Z15" s="504"/>
      <c r="AA15" s="504"/>
      <c r="AB15" s="504"/>
      <c r="AC15" s="507"/>
      <c r="AD15" s="504"/>
      <c r="AE15" s="504"/>
      <c r="AF15" s="504"/>
      <c r="AG15" s="504"/>
      <c r="AH15" s="504"/>
      <c r="AI15" s="504"/>
      <c r="AJ15" s="504"/>
      <c r="AK15" s="504"/>
      <c r="AL15" s="504"/>
      <c r="AM15" s="504">
        <v>138.10400000000001</v>
      </c>
      <c r="AN15" s="504">
        <v>125.60299999999999</v>
      </c>
      <c r="AO15" s="504">
        <v>141.82</v>
      </c>
      <c r="AP15" s="504">
        <v>145.99</v>
      </c>
      <c r="AQ15" s="504">
        <v>146.44200000000001</v>
      </c>
      <c r="AR15" s="504">
        <v>141.53299999999999</v>
      </c>
      <c r="AS15" s="504">
        <v>141.22</v>
      </c>
      <c r="AT15" s="504">
        <v>141.47999999999999</v>
      </c>
      <c r="AU15" s="504">
        <v>144.61699999999999</v>
      </c>
      <c r="AV15" s="504">
        <v>143.72499999999999</v>
      </c>
      <c r="AW15" s="504">
        <v>145.96199999999999</v>
      </c>
      <c r="AX15" s="504">
        <v>146.31100000000001</v>
      </c>
      <c r="AY15" s="504">
        <v>145.98599999999999</v>
      </c>
      <c r="AZ15" s="504">
        <v>145.09800000000001</v>
      </c>
      <c r="BA15" s="504">
        <v>143.863</v>
      </c>
      <c r="BB15" s="504">
        <v>139.20500000000001</v>
      </c>
      <c r="BC15" s="504">
        <v>135.89099999999999</v>
      </c>
      <c r="BD15" s="504">
        <v>135.89099999999999</v>
      </c>
      <c r="BE15" s="499">
        <v>135.32900000000001</v>
      </c>
      <c r="BF15" s="499">
        <v>135.32900000000001</v>
      </c>
      <c r="BJ15" s="504">
        <f>BJ63</f>
        <v>39.299999999999997</v>
      </c>
      <c r="BK15" s="504">
        <f t="shared" ref="BK15:BV15" si="10">BK63</f>
        <v>40.9</v>
      </c>
      <c r="BL15" s="504">
        <f t="shared" si="10"/>
        <v>42.1</v>
      </c>
      <c r="BM15" s="504">
        <f t="shared" si="10"/>
        <v>43.8</v>
      </c>
      <c r="BN15" s="504">
        <f t="shared" si="10"/>
        <v>45.8</v>
      </c>
      <c r="BO15" s="504">
        <f t="shared" si="10"/>
        <v>62.3</v>
      </c>
      <c r="BP15" s="504">
        <f t="shared" si="10"/>
        <v>85.9</v>
      </c>
      <c r="BQ15" s="504">
        <f t="shared" si="10"/>
        <v>107</v>
      </c>
      <c r="BR15" s="504">
        <f t="shared" si="10"/>
        <v>123.1</v>
      </c>
      <c r="BS15" s="504">
        <f t="shared" si="10"/>
        <v>129</v>
      </c>
      <c r="BT15" s="504">
        <f t="shared" si="10"/>
        <v>133.9</v>
      </c>
      <c r="BU15" s="504">
        <f t="shared" si="10"/>
        <v>136.4</v>
      </c>
      <c r="BV15" s="504">
        <f t="shared" si="10"/>
        <v>135.69999999999999</v>
      </c>
      <c r="BW15" s="504">
        <f>SUM(BC15:BF15)</f>
        <v>542.44000000000005</v>
      </c>
    </row>
    <row r="16" spans="1:218">
      <c r="A16" s="499" t="s">
        <v>1059</v>
      </c>
      <c r="AM16" s="508">
        <f t="shared" ref="AM16:AZ16" si="11">AM14/AM15</f>
        <v>0.49916005329317015</v>
      </c>
      <c r="AN16" s="508">
        <f t="shared" si="11"/>
        <v>-0.37653559230273165</v>
      </c>
      <c r="AO16" s="508">
        <f t="shared" si="11"/>
        <v>0.27754900578197705</v>
      </c>
      <c r="AP16" s="508">
        <f t="shared" si="11"/>
        <v>0.49997260086307266</v>
      </c>
      <c r="AQ16" s="508">
        <f t="shared" si="11"/>
        <v>0.21645429589871762</v>
      </c>
      <c r="AR16" s="508">
        <f t="shared" si="11"/>
        <v>0.27803409805487078</v>
      </c>
      <c r="AS16" s="508">
        <f t="shared" si="11"/>
        <v>0.15443279988670172</v>
      </c>
      <c r="AT16" s="508">
        <f t="shared" si="11"/>
        <v>0.37172038450664396</v>
      </c>
      <c r="AU16" s="508">
        <f t="shared" si="11"/>
        <v>0.35833269947516516</v>
      </c>
      <c r="AV16" s="508">
        <f t="shared" si="11"/>
        <v>0.53557836145416637</v>
      </c>
      <c r="AW16" s="508">
        <f t="shared" si="11"/>
        <v>0.7865882901029031</v>
      </c>
      <c r="AX16" s="508">
        <f t="shared" si="11"/>
        <v>1.0508642549090637</v>
      </c>
      <c r="AY16" s="508">
        <f t="shared" si="11"/>
        <v>1.0060759250887072</v>
      </c>
      <c r="AZ16" s="508">
        <f t="shared" si="11"/>
        <v>1.0833436711739655</v>
      </c>
      <c r="BA16" s="508">
        <f>BA14/BA15</f>
        <v>0.79139876132153497</v>
      </c>
      <c r="BB16" s="508">
        <f>BB14/BB15</f>
        <v>0.15027477461298108</v>
      </c>
      <c r="BC16" s="508">
        <f>BC14/BC15</f>
        <v>-0.11845523250252031</v>
      </c>
      <c r="BD16" s="508">
        <f>BD14/BD15</f>
        <v>7.9718303640417945E-2</v>
      </c>
      <c r="BE16" s="508">
        <f>BE14/BE15</f>
        <v>0.37127962225391437</v>
      </c>
      <c r="BF16" s="508">
        <f>BF14/BF15</f>
        <v>0.37127962225391437</v>
      </c>
      <c r="BG16" s="508"/>
      <c r="BH16" s="508"/>
      <c r="BI16" s="508"/>
      <c r="BJ16" s="504">
        <f>BJ14/BJ15</f>
        <v>-0.82162849872773558</v>
      </c>
      <c r="BK16" s="504">
        <f t="shared" ref="BK16:BV16" si="12">BK14/BK15</f>
        <v>-0.93442542787286076</v>
      </c>
      <c r="BL16" s="504">
        <f t="shared" si="12"/>
        <v>-0.61551068883610427</v>
      </c>
      <c r="BM16" s="504">
        <f t="shared" si="12"/>
        <v>-0.18383561643835608</v>
      </c>
      <c r="BN16" s="504">
        <f t="shared" si="12"/>
        <v>-0.48213973799126597</v>
      </c>
      <c r="BO16" s="504">
        <f t="shared" si="12"/>
        <v>-1.0828571428571432</v>
      </c>
      <c r="BP16" s="504">
        <f t="shared" si="12"/>
        <v>-0.5261001164144351</v>
      </c>
      <c r="BQ16" s="504">
        <f t="shared" si="12"/>
        <v>-0.10866355140186933</v>
      </c>
      <c r="BR16" s="504">
        <f t="shared" si="12"/>
        <v>1.3090820471161653</v>
      </c>
      <c r="BS16" s="504">
        <f t="shared" si="12"/>
        <v>1.0387209302325577</v>
      </c>
      <c r="BT16" s="504">
        <f t="shared" si="12"/>
        <v>1.0862509335324873</v>
      </c>
      <c r="BU16" s="504">
        <f t="shared" si="12"/>
        <v>2.9132111436950141</v>
      </c>
      <c r="BV16" s="504">
        <f t="shared" si="12"/>
        <v>3.2338688282977164</v>
      </c>
      <c r="BW16" s="504">
        <f>SUM(BC16:BF16)</f>
        <v>0.70382231564572639</v>
      </c>
    </row>
    <row r="17" spans="1:79">
      <c r="AY17" s="499"/>
    </row>
    <row r="18" spans="1:79">
      <c r="A18" s="499" t="s">
        <v>1060</v>
      </c>
      <c r="G18" s="509">
        <f>G3/C3-1</f>
        <v>1.357629088494106</v>
      </c>
      <c r="H18" s="509">
        <f t="shared" ref="H18:BF19" si="13">H3/D3-1</f>
        <v>0.88216409840497456</v>
      </c>
      <c r="I18" s="509">
        <f>I3/E3-1</f>
        <v>0.35961813629046691</v>
      </c>
      <c r="J18" s="509">
        <f t="shared" si="13"/>
        <v>7.5961774074981836E-3</v>
      </c>
      <c r="K18" s="509">
        <f t="shared" si="13"/>
        <v>6.9882629107981042E-2</v>
      </c>
      <c r="L18" s="509">
        <f t="shared" si="13"/>
        <v>4.4347092302996494E-2</v>
      </c>
      <c r="M18" s="509">
        <f t="shared" si="13"/>
        <v>2.0275270090276631E-2</v>
      </c>
      <c r="N18" s="509">
        <f t="shared" si="13"/>
        <v>0.16481378543635405</v>
      </c>
      <c r="O18" s="509">
        <f t="shared" si="13"/>
        <v>0.2633565175417425</v>
      </c>
      <c r="P18" s="509">
        <f t="shared" si="13"/>
        <v>0.40980280915295619</v>
      </c>
      <c r="Q18" s="509">
        <f t="shared" si="13"/>
        <v>0.5974115978467589</v>
      </c>
      <c r="R18" s="509">
        <f t="shared" si="13"/>
        <v>0.56894237652111634</v>
      </c>
      <c r="S18" s="509">
        <f t="shared" si="13"/>
        <v>0.50491490100729441</v>
      </c>
      <c r="T18" s="509">
        <f t="shared" si="13"/>
        <v>0.24497585483634943</v>
      </c>
      <c r="U18" s="509">
        <f t="shared" si="13"/>
        <v>3.7946586219769207E-2</v>
      </c>
      <c r="V18" s="509">
        <f t="shared" si="13"/>
        <v>-0.37619169827102739</v>
      </c>
      <c r="W18" s="509">
        <f t="shared" si="13"/>
        <v>-0.26002561942460167</v>
      </c>
      <c r="X18" s="509">
        <f t="shared" si="13"/>
        <v>-0.22438365020128703</v>
      </c>
      <c r="Y18" s="509">
        <f t="shared" si="13"/>
        <v>-0.13793572720026437</v>
      </c>
      <c r="Z18" s="509">
        <f t="shared" si="13"/>
        <v>0.38050252175105514</v>
      </c>
      <c r="AA18" s="509">
        <f t="shared" si="13"/>
        <v>-0.1461299730197595</v>
      </c>
      <c r="AB18" s="509">
        <f t="shared" si="13"/>
        <v>-5.6551114478752385E-2</v>
      </c>
      <c r="AC18" s="509">
        <f t="shared" si="13"/>
        <v>-0.13132019304496867</v>
      </c>
      <c r="AD18" s="509">
        <f t="shared" si="13"/>
        <v>-0.12064988245162866</v>
      </c>
      <c r="AE18" s="509">
        <f t="shared" si="13"/>
        <v>0.27800405472046164</v>
      </c>
      <c r="AF18" s="509">
        <f t="shared" si="13"/>
        <v>1.5915509925442217E-2</v>
      </c>
      <c r="AG18" s="509">
        <f t="shared" si="13"/>
        <v>1.2513305122147544E-2</v>
      </c>
      <c r="AH18" s="509">
        <f t="shared" si="13"/>
        <v>0.15839086230701604</v>
      </c>
      <c r="AI18" s="509">
        <f t="shared" si="13"/>
        <v>0.43128680043445966</v>
      </c>
      <c r="AJ18" s="509">
        <f t="shared" si="13"/>
        <v>0.76681248023611248</v>
      </c>
      <c r="AK18" s="509">
        <f t="shared" si="13"/>
        <v>1.3083638881054331</v>
      </c>
      <c r="AL18" s="509">
        <f t="shared" si="13"/>
        <v>1.2758075176889987</v>
      </c>
      <c r="AM18" s="509">
        <f t="shared" si="13"/>
        <v>1.0523714428357462</v>
      </c>
      <c r="AN18" s="509">
        <f t="shared" si="13"/>
        <v>-6.3805986845049012E-2</v>
      </c>
      <c r="AO18" s="509">
        <f t="shared" si="13"/>
        <v>-8.6306003099019257E-3</v>
      </c>
      <c r="AP18" s="509">
        <f t="shared" si="13"/>
        <v>0.26094595109316687</v>
      </c>
      <c r="AQ18" s="509">
        <f t="shared" si="13"/>
        <v>0.46806781969884947</v>
      </c>
      <c r="AR18" s="509">
        <f t="shared" si="13"/>
        <v>1.5176201628192261</v>
      </c>
      <c r="AS18" s="509">
        <f t="shared" si="13"/>
        <v>0.96926102082317955</v>
      </c>
      <c r="AT18" s="509">
        <f t="shared" si="13"/>
        <v>0.55837697620063498</v>
      </c>
      <c r="AU18" s="509">
        <f t="shared" si="13"/>
        <v>0.46242303333178669</v>
      </c>
      <c r="AV18" s="509">
        <f t="shared" si="13"/>
        <v>0.67753285008716779</v>
      </c>
      <c r="AW18" s="509">
        <f t="shared" si="13"/>
        <v>0.80562928319664073</v>
      </c>
      <c r="AX18" s="509">
        <f t="shared" si="13"/>
        <v>0.75579995105628783</v>
      </c>
      <c r="AY18" s="509">
        <f t="shared" si="13"/>
        <v>0.64520544220153542</v>
      </c>
      <c r="AZ18" s="509">
        <f t="shared" si="13"/>
        <v>0.34123607118876786</v>
      </c>
      <c r="BA18" s="509">
        <f t="shared" si="13"/>
        <v>-0.13176191444006968</v>
      </c>
      <c r="BB18" s="509">
        <f t="shared" si="13"/>
        <v>-0.58246165055778509</v>
      </c>
      <c r="BC18" s="509">
        <f t="shared" si="13"/>
        <v>-0.63728209846614947</v>
      </c>
      <c r="BD18" s="509">
        <f t="shared" si="13"/>
        <v>-0.57326632148251067</v>
      </c>
      <c r="BE18" s="509">
        <f t="shared" si="13"/>
        <v>-0.30886329076253627</v>
      </c>
      <c r="BF18" s="509">
        <f t="shared" si="13"/>
        <v>0.25879300657699034</v>
      </c>
      <c r="BG18" s="509"/>
      <c r="BH18" s="509"/>
      <c r="BI18" s="509"/>
      <c r="BJ18" s="509"/>
      <c r="BK18" s="509"/>
      <c r="BL18" s="509">
        <f t="shared" ref="BL18:BW18" si="14">BL3/BK3-1</f>
        <v>7.4617635385226144E-2</v>
      </c>
      <c r="BM18" s="509">
        <f t="shared" si="14"/>
        <v>0.47695902012488944</v>
      </c>
      <c r="BN18" s="509">
        <f t="shared" si="14"/>
        <v>3.8804433795477822E-2</v>
      </c>
      <c r="BO18" s="509">
        <f t="shared" si="14"/>
        <v>-9.701356756771895E-2</v>
      </c>
      <c r="BP18" s="509">
        <f t="shared" si="14"/>
        <v>-0.11291387546459764</v>
      </c>
      <c r="BQ18" s="509">
        <f t="shared" si="14"/>
        <v>0.10480979571297766</v>
      </c>
      <c r="BR18" s="509">
        <f t="shared" si="14"/>
        <v>0.97474372072280091</v>
      </c>
      <c r="BS18" s="509">
        <f t="shared" si="14"/>
        <v>0.24040375889148891</v>
      </c>
      <c r="BT18" s="509">
        <f t="shared" si="14"/>
        <v>0.78461310004196672</v>
      </c>
      <c r="BU18" s="509">
        <f t="shared" si="14"/>
        <v>0.68651979777851579</v>
      </c>
      <c r="BV18" s="509">
        <f t="shared" si="14"/>
        <v>-1.7189844232991081E-2</v>
      </c>
      <c r="BW18" s="509">
        <f t="shared" si="14"/>
        <v>-0.42004927566346217</v>
      </c>
      <c r="BY18" s="510"/>
      <c r="CA18" s="510"/>
    </row>
    <row r="19" spans="1:79">
      <c r="A19" s="499" t="s">
        <v>1061</v>
      </c>
      <c r="G19" s="509">
        <f>G4/C4-1</f>
        <v>1.1589391090071981</v>
      </c>
      <c r="H19" s="509">
        <f t="shared" si="13"/>
        <v>0.69844664111357657</v>
      </c>
      <c r="I19" s="509">
        <f>I4/E4-1</f>
        <v>0.22948735663949127</v>
      </c>
      <c r="J19" s="509">
        <f t="shared" si="13"/>
        <v>-5.7894378503506094E-2</v>
      </c>
      <c r="K19" s="509">
        <f t="shared" si="13"/>
        <v>2.4930165500254287E-3</v>
      </c>
      <c r="L19" s="509">
        <f t="shared" si="13"/>
        <v>-5.0598631698972607E-3</v>
      </c>
      <c r="M19" s="509">
        <f t="shared" si="13"/>
        <v>2.7422508934793477E-3</v>
      </c>
      <c r="N19" s="509">
        <f t="shared" si="13"/>
        <v>9.7513971863557591E-2</v>
      </c>
      <c r="O19" s="509">
        <f t="shared" si="13"/>
        <v>0.1662571907957815</v>
      </c>
      <c r="P19" s="509">
        <f t="shared" si="13"/>
        <v>0.31728863739464686</v>
      </c>
      <c r="Q19" s="509">
        <f t="shared" si="13"/>
        <v>0.49272600928022237</v>
      </c>
      <c r="R19" s="509">
        <f t="shared" si="13"/>
        <v>0.54021071115013153</v>
      </c>
      <c r="S19" s="509">
        <f t="shared" si="13"/>
        <v>0.50620423892100197</v>
      </c>
      <c r="T19" s="509">
        <f t="shared" si="13"/>
        <v>0.25183063872979061</v>
      </c>
      <c r="U19" s="509">
        <f t="shared" si="13"/>
        <v>7.2320999519461804E-2</v>
      </c>
      <c r="V19" s="509">
        <f t="shared" si="13"/>
        <v>-0.28847688536738292</v>
      </c>
      <c r="W19" s="509">
        <f t="shared" si="13"/>
        <v>-0.10690954988145795</v>
      </c>
      <c r="X19" s="509">
        <f t="shared" si="13"/>
        <v>-5.8161758318130419E-2</v>
      </c>
      <c r="Y19" s="509">
        <f t="shared" si="13"/>
        <v>1.9563634326686064E-2</v>
      </c>
      <c r="Z19" s="509">
        <f t="shared" si="13"/>
        <v>0.4894750545775004</v>
      </c>
      <c r="AA19" s="509">
        <f t="shared" si="13"/>
        <v>-8.895933996676908E-2</v>
      </c>
      <c r="AB19" s="509">
        <f t="shared" si="13"/>
        <v>-5.9831819090224392E-2</v>
      </c>
      <c r="AC19" s="509">
        <f t="shared" si="13"/>
        <v>-0.16795549756198069</v>
      </c>
      <c r="AD19" s="509">
        <f t="shared" si="13"/>
        <v>-0.1839769793459558</v>
      </c>
      <c r="AE19" s="509">
        <f t="shared" si="13"/>
        <v>8.2887868687503863E-2</v>
      </c>
      <c r="AF19" s="509">
        <f t="shared" si="13"/>
        <v>-0.13018951223899144</v>
      </c>
      <c r="AG19" s="509">
        <f t="shared" si="13"/>
        <v>-0.12940554996120635</v>
      </c>
      <c r="AH19" s="509">
        <f t="shared" si="13"/>
        <v>5.6652275648420014E-2</v>
      </c>
      <c r="AI19" s="509">
        <f t="shared" si="13"/>
        <v>0.29335811216292096</v>
      </c>
      <c r="AJ19" s="509">
        <f t="shared" si="13"/>
        <v>0.66885985524955371</v>
      </c>
      <c r="AK19" s="509">
        <f t="shared" si="13"/>
        <v>1.1872463878038606</v>
      </c>
      <c r="AL19" s="509">
        <f t="shared" si="13"/>
        <v>1.0608664462603707</v>
      </c>
      <c r="AM19" s="509">
        <f t="shared" si="13"/>
        <v>0.86900360719043257</v>
      </c>
      <c r="AN19" s="509">
        <f t="shared" si="13"/>
        <v>-0.13093776401013812</v>
      </c>
      <c r="AO19" s="509">
        <f t="shared" si="13"/>
        <v>-0.27593172144151323</v>
      </c>
      <c r="AP19" s="509">
        <f t="shared" si="13"/>
        <v>8.1346338658050188E-2</v>
      </c>
      <c r="AQ19" s="509">
        <f t="shared" si="13"/>
        <v>0.43192920637462962</v>
      </c>
      <c r="AR19" s="509">
        <f t="shared" si="13"/>
        <v>1.4400979896566475</v>
      </c>
      <c r="AS19" s="509">
        <f t="shared" si="13"/>
        <v>1.5282081367783338</v>
      </c>
      <c r="AT19" s="509">
        <f t="shared" si="13"/>
        <v>0.74529919314770354</v>
      </c>
      <c r="AU19" s="509">
        <f t="shared" si="13"/>
        <v>0.47825284527837586</v>
      </c>
      <c r="AV19" s="509">
        <f t="shared" si="13"/>
        <v>0.65302035526092106</v>
      </c>
      <c r="AW19" s="509">
        <f t="shared" si="13"/>
        <v>0.73704898158277343</v>
      </c>
      <c r="AX19" s="509">
        <f t="shared" si="13"/>
        <v>0.65975421503177567</v>
      </c>
      <c r="AY19" s="509">
        <f t="shared" si="13"/>
        <v>0.51197984253875028</v>
      </c>
      <c r="AZ19" s="509">
        <f t="shared" si="13"/>
        <v>0.24610287572584055</v>
      </c>
      <c r="BA19" s="509">
        <f t="shared" ref="BA19" si="15">BA4/AW4-1</f>
        <v>-0.2119101301264732</v>
      </c>
      <c r="BB19" s="509">
        <f t="shared" ref="BB19" si="16">BB4/AX4-1</f>
        <v>-0.62336605057120287</v>
      </c>
      <c r="BC19" s="509">
        <f t="shared" ref="BC19" si="17">BC4/AY4-1</f>
        <v>-0.63009420861014154</v>
      </c>
      <c r="BD19" s="509">
        <f t="shared" ref="BD19" si="18">BD4/AZ4-1</f>
        <v>-0.57116479617098537</v>
      </c>
      <c r="BE19" s="509">
        <f t="shared" ref="BE19:BF19" si="19">BE4/BA4-1</f>
        <v>-0.29877641670327848</v>
      </c>
      <c r="BF19" s="509">
        <f t="shared" si="19"/>
        <v>0.30013854324345135</v>
      </c>
      <c r="BG19" s="509"/>
      <c r="BH19" s="509"/>
      <c r="BI19" s="509"/>
      <c r="BJ19" s="509"/>
      <c r="BK19" s="509"/>
      <c r="BL19" s="509"/>
      <c r="BM19" s="509"/>
      <c r="BN19" s="509"/>
      <c r="BO19" s="509"/>
      <c r="BP19" s="509"/>
      <c r="BQ19" s="509"/>
      <c r="BR19" s="509"/>
      <c r="BS19" s="509"/>
      <c r="BT19" s="509"/>
      <c r="BU19" s="509"/>
      <c r="BV19" s="509"/>
      <c r="BY19" s="510"/>
    </row>
    <row r="20" spans="1:79">
      <c r="G20" s="509"/>
      <c r="H20" s="509"/>
      <c r="I20" s="509"/>
      <c r="J20" s="509"/>
      <c r="K20" s="509"/>
      <c r="L20" s="509"/>
      <c r="M20" s="509"/>
      <c r="N20" s="509"/>
      <c r="O20" s="509"/>
      <c r="P20" s="509"/>
      <c r="Q20" s="509"/>
      <c r="R20" s="509"/>
      <c r="S20" s="509"/>
      <c r="T20" s="509"/>
      <c r="U20" s="509"/>
      <c r="V20" s="509"/>
      <c r="W20" s="509"/>
      <c r="X20" s="509"/>
      <c r="Y20" s="509"/>
      <c r="Z20" s="509"/>
      <c r="AA20" s="509"/>
      <c r="AB20" s="509"/>
      <c r="AC20" s="509"/>
      <c r="AD20" s="509"/>
      <c r="AE20" s="509"/>
      <c r="AF20" s="509"/>
      <c r="AG20" s="509"/>
      <c r="AH20" s="509"/>
      <c r="AI20" s="509"/>
      <c r="AJ20" s="509"/>
      <c r="AK20" s="509"/>
      <c r="AL20" s="509"/>
      <c r="AM20" s="509"/>
      <c r="AN20" s="509"/>
      <c r="AO20" s="509"/>
      <c r="AP20" s="509"/>
      <c r="AQ20" s="509"/>
      <c r="AR20" s="509"/>
      <c r="AS20" s="509"/>
      <c r="AT20" s="509"/>
      <c r="AU20" s="509"/>
      <c r="AV20" s="509"/>
      <c r="AW20" s="509"/>
      <c r="AX20" s="509"/>
      <c r="AY20" s="509"/>
      <c r="AZ20" s="509"/>
      <c r="BA20" s="509"/>
      <c r="BB20" s="509"/>
      <c r="BC20" s="509"/>
      <c r="BD20" s="509"/>
      <c r="BE20" s="509"/>
      <c r="BF20" s="509"/>
      <c r="BG20" s="509"/>
      <c r="BH20" s="509"/>
      <c r="BI20" s="509"/>
      <c r="BJ20" s="509"/>
      <c r="BK20" s="509"/>
      <c r="BL20" s="509"/>
      <c r="BM20" s="509"/>
      <c r="BN20" s="509"/>
      <c r="BO20" s="509"/>
      <c r="BP20" s="509"/>
      <c r="BQ20" s="509"/>
      <c r="BR20" s="509"/>
      <c r="BS20" s="509"/>
      <c r="BT20" s="509"/>
      <c r="BU20" s="509"/>
      <c r="BV20" s="509"/>
    </row>
    <row r="21" spans="1:79">
      <c r="A21" s="499" t="s">
        <v>1062</v>
      </c>
      <c r="D21" s="511">
        <f t="shared" ref="D21:BF22" si="20">D3/C3-1</f>
        <v>0.6377220654159057</v>
      </c>
      <c r="E21" s="511">
        <f t="shared" si="20"/>
        <v>0.51148959178156272</v>
      </c>
      <c r="F21" s="511">
        <f t="shared" si="20"/>
        <v>0.27736540869254123</v>
      </c>
      <c r="G21" s="509">
        <f t="shared" si="20"/>
        <v>-0.25438442958658569</v>
      </c>
      <c r="H21" s="509">
        <f t="shared" si="20"/>
        <v>0.30744131455399071</v>
      </c>
      <c r="I21" s="509">
        <f t="shared" si="20"/>
        <v>9.1854139361186471E-2</v>
      </c>
      <c r="J21" s="509">
        <f t="shared" si="20"/>
        <v>-5.3360301251377473E-2</v>
      </c>
      <c r="K21" s="509">
        <f t="shared" si="20"/>
        <v>-0.20829280155642005</v>
      </c>
      <c r="L21" s="509">
        <f t="shared" si="20"/>
        <v>0.27623582069903696</v>
      </c>
      <c r="M21" s="509">
        <f t="shared" si="20"/>
        <v>6.6687296920934447E-2</v>
      </c>
      <c r="N21" s="509">
        <f t="shared" si="20"/>
        <v>8.0746542887535355E-2</v>
      </c>
      <c r="O21" s="509">
        <f t="shared" si="20"/>
        <v>-0.14131472202338358</v>
      </c>
      <c r="P21" s="509">
        <f t="shared" si="20"/>
        <v>0.42417506078499501</v>
      </c>
      <c r="Q21" s="509">
        <f t="shared" si="20"/>
        <v>0.20863616408955643</v>
      </c>
      <c r="R21" s="509">
        <f t="shared" si="20"/>
        <v>6.148537527872211E-2</v>
      </c>
      <c r="S21" s="509">
        <f t="shared" si="20"/>
        <v>-0.17635708650565063</v>
      </c>
      <c r="T21" s="509">
        <f t="shared" si="20"/>
        <v>0.17818194407579657</v>
      </c>
      <c r="U21" s="509">
        <f t="shared" si="20"/>
        <v>7.6498878473547638E-3</v>
      </c>
      <c r="V21" s="509">
        <f t="shared" si="20"/>
        <v>-0.36204483154149714</v>
      </c>
      <c r="W21" s="509">
        <f t="shared" si="20"/>
        <v>-2.2977647076749985E-2</v>
      </c>
      <c r="X21" s="509">
        <f t="shared" si="20"/>
        <v>0.23493083389217273</v>
      </c>
      <c r="Y21" s="509">
        <f t="shared" si="20"/>
        <v>0.11995958830586595</v>
      </c>
      <c r="Z21" s="509">
        <f t="shared" si="20"/>
        <v>2.1616075052997452E-2</v>
      </c>
      <c r="AA21" s="509">
        <f t="shared" si="20"/>
        <v>-0.39569099678811515</v>
      </c>
      <c r="AB21" s="509">
        <f t="shared" si="20"/>
        <v>0.36448649339738082</v>
      </c>
      <c r="AC21" s="509">
        <f t="shared" si="20"/>
        <v>3.1201895404714408E-2</v>
      </c>
      <c r="AD21" s="509">
        <f t="shared" si="20"/>
        <v>3.4164957553415531E-2</v>
      </c>
      <c r="AE21" s="509">
        <f t="shared" si="20"/>
        <v>-0.12172712438810118</v>
      </c>
      <c r="AF21" s="509">
        <f t="shared" si="20"/>
        <v>8.4662436403132757E-2</v>
      </c>
      <c r="AG21" s="509">
        <f t="shared" si="20"/>
        <v>2.7748497944555695E-2</v>
      </c>
      <c r="AH21" s="509">
        <f t="shared" si="20"/>
        <v>0.18316197020589198</v>
      </c>
      <c r="AI21" s="509">
        <f t="shared" si="20"/>
        <v>8.5178081894917268E-2</v>
      </c>
      <c r="AJ21" s="509">
        <f t="shared" si="20"/>
        <v>0.33893160259610577</v>
      </c>
      <c r="AK21" s="509">
        <f t="shared" si="20"/>
        <v>0.34276701418407973</v>
      </c>
      <c r="AL21" s="509">
        <f t="shared" si="20"/>
        <v>0.16647506067523055</v>
      </c>
      <c r="AM21" s="509">
        <f t="shared" si="20"/>
        <v>-2.1363411289708201E-2</v>
      </c>
      <c r="AN21" s="509">
        <f t="shared" si="20"/>
        <v>-0.38924323140918049</v>
      </c>
      <c r="AO21" s="509">
        <f t="shared" si="20"/>
        <v>0.42190412464751703</v>
      </c>
      <c r="AP21" s="509">
        <f t="shared" si="20"/>
        <v>0.48366694117185727</v>
      </c>
      <c r="AQ21" s="509">
        <f t="shared" si="20"/>
        <v>0.13938657070899696</v>
      </c>
      <c r="AR21" s="509">
        <f t="shared" si="20"/>
        <v>4.7399537371501266E-2</v>
      </c>
      <c r="AS21" s="509">
        <f t="shared" si="20"/>
        <v>0.1122012801488339</v>
      </c>
      <c r="AT21" s="509">
        <f t="shared" si="20"/>
        <v>0.1741015421641503</v>
      </c>
      <c r="AU21" s="509">
        <f t="shared" si="20"/>
        <v>6.923112335511572E-2</v>
      </c>
      <c r="AV21" s="509">
        <f t="shared" si="20"/>
        <v>0.20146297689511727</v>
      </c>
      <c r="AW21" s="509">
        <f t="shared" si="20"/>
        <v>0.19712898626168429</v>
      </c>
      <c r="AX21" s="509">
        <f t="shared" si="20"/>
        <v>0.14170026452900775</v>
      </c>
      <c r="AY21" s="509">
        <f t="shared" si="20"/>
        <v>1.8822828060915953E-3</v>
      </c>
      <c r="AZ21" s="509">
        <f t="shared" si="20"/>
        <v>-2.0520208921015359E-2</v>
      </c>
      <c r="BA21" s="509">
        <f t="shared" si="20"/>
        <v>-0.22504844484319064</v>
      </c>
      <c r="BB21" s="509">
        <f t="shared" si="20"/>
        <v>-0.4509528527514961</v>
      </c>
      <c r="BC21" s="509">
        <f t="shared" si="20"/>
        <v>-0.12965925240440224</v>
      </c>
      <c r="BD21" s="509">
        <f t="shared" si="20"/>
        <v>0.15234735455059845</v>
      </c>
      <c r="BE21" s="509">
        <f t="shared" si="20"/>
        <v>0.2551094385384467</v>
      </c>
      <c r="BF21" s="509">
        <f t="shared" si="20"/>
        <v>0</v>
      </c>
      <c r="BG21" s="509"/>
      <c r="BH21" s="509"/>
      <c r="BI21" s="509"/>
      <c r="BJ21" s="512"/>
      <c r="BK21" s="512"/>
      <c r="BL21" s="512"/>
      <c r="BM21" s="512"/>
      <c r="BN21" s="512"/>
      <c r="BO21" s="512"/>
      <c r="BP21" s="512"/>
      <c r="BQ21" s="512"/>
      <c r="BR21" s="512"/>
      <c r="BS21" s="512"/>
      <c r="BT21" s="512"/>
      <c r="BU21" s="512"/>
      <c r="BV21" s="512"/>
      <c r="BW21" s="512"/>
    </row>
    <row r="22" spans="1:79">
      <c r="A22" s="499" t="s">
        <v>1063</v>
      </c>
      <c r="D22" s="511">
        <f t="shared" si="20"/>
        <v>0.60722391543998455</v>
      </c>
      <c r="E22" s="511">
        <f t="shared" si="20"/>
        <v>0.45995561831753085</v>
      </c>
      <c r="F22" s="511">
        <f t="shared" si="20"/>
        <v>0.21771452259223389</v>
      </c>
      <c r="G22" s="509">
        <f t="shared" si="20"/>
        <v>-0.24442275832330962</v>
      </c>
      <c r="H22" s="509">
        <f t="shared" si="20"/>
        <v>0.26440993602258733</v>
      </c>
      <c r="I22" s="509">
        <f t="shared" si="20"/>
        <v>5.6846256176358745E-2</v>
      </c>
      <c r="J22" s="509">
        <f t="shared" si="20"/>
        <v>-6.6915417294162505E-2</v>
      </c>
      <c r="K22" s="509">
        <f t="shared" si="20"/>
        <v>-0.19599152052418589</v>
      </c>
      <c r="L22" s="509">
        <f t="shared" si="20"/>
        <v>0.2548837488015343</v>
      </c>
      <c r="M22" s="509">
        <f t="shared" si="20"/>
        <v>6.5133825179666927E-2</v>
      </c>
      <c r="N22" s="509">
        <f t="shared" si="20"/>
        <v>2.1272780255990886E-2</v>
      </c>
      <c r="O22" s="509">
        <f t="shared" si="20"/>
        <v>-0.14563213345039516</v>
      </c>
      <c r="P22" s="509">
        <f t="shared" si="20"/>
        <v>0.41739242132305709</v>
      </c>
      <c r="Q22" s="509">
        <f t="shared" si="20"/>
        <v>0.20698905241789323</v>
      </c>
      <c r="R22" s="509">
        <f t="shared" si="20"/>
        <v>5.3760211436809202E-2</v>
      </c>
      <c r="S22" s="509">
        <f t="shared" si="20"/>
        <v>-0.16449581029470439</v>
      </c>
      <c r="T22" s="509">
        <f t="shared" si="20"/>
        <v>0.1780177045489435</v>
      </c>
      <c r="U22" s="509">
        <f t="shared" si="20"/>
        <v>3.3909593721947129E-2</v>
      </c>
      <c r="V22" s="509">
        <f t="shared" si="20"/>
        <v>-0.30079262827694375</v>
      </c>
      <c r="W22" s="509">
        <f t="shared" si="20"/>
        <v>4.8709167017164212E-2</v>
      </c>
      <c r="X22" s="509">
        <f t="shared" si="20"/>
        <v>0.24231775558144442</v>
      </c>
      <c r="Y22" s="509">
        <f t="shared" si="20"/>
        <v>0.11923319343879224</v>
      </c>
      <c r="Z22" s="509">
        <f t="shared" si="20"/>
        <v>2.1468305748231886E-2</v>
      </c>
      <c r="AA22" s="509">
        <f t="shared" si="20"/>
        <v>-0.35855475473321874</v>
      </c>
      <c r="AB22" s="509">
        <f t="shared" si="20"/>
        <v>0.28203676917594267</v>
      </c>
      <c r="AC22" s="509">
        <f t="shared" si="20"/>
        <v>-9.4837876285625011E-3</v>
      </c>
      <c r="AD22" s="509">
        <f t="shared" si="20"/>
        <v>1.7993627944596913E-3</v>
      </c>
      <c r="AE22" s="509">
        <f t="shared" si="20"/>
        <v>-0.1487822562040666</v>
      </c>
      <c r="AF22" s="509">
        <f t="shared" si="20"/>
        <v>2.9773312426195853E-2</v>
      </c>
      <c r="AG22" s="509">
        <f t="shared" si="20"/>
        <v>-8.5910329918225115E-3</v>
      </c>
      <c r="AH22" s="509">
        <f t="shared" si="20"/>
        <v>0.2158974553452917</v>
      </c>
      <c r="AI22" s="509">
        <f t="shared" si="20"/>
        <v>4.1903187574075407E-2</v>
      </c>
      <c r="AJ22" s="509">
        <f t="shared" si="20"/>
        <v>0.32874826001706303</v>
      </c>
      <c r="AK22" s="509">
        <f t="shared" si="20"/>
        <v>0.29936355956068694</v>
      </c>
      <c r="AL22" s="509">
        <f t="shared" si="20"/>
        <v>0.14564243049475101</v>
      </c>
      <c r="AM22" s="509">
        <f t="shared" si="20"/>
        <v>-5.5096064350629192E-2</v>
      </c>
      <c r="AN22" s="509">
        <f t="shared" si="20"/>
        <v>-0.38214943541282942</v>
      </c>
      <c r="AO22" s="509">
        <f t="shared" si="20"/>
        <v>8.2578320436546671E-2</v>
      </c>
      <c r="AP22" s="509">
        <f t="shared" si="20"/>
        <v>0.71093843538229451</v>
      </c>
      <c r="AQ22" s="509">
        <f t="shared" si="20"/>
        <v>0.25125086598414281</v>
      </c>
      <c r="AR22" s="509">
        <f t="shared" si="20"/>
        <v>5.2856463745420967E-2</v>
      </c>
      <c r="AS22" s="509">
        <f t="shared" si="20"/>
        <v>0.12166942886282506</v>
      </c>
      <c r="AT22" s="509">
        <f t="shared" si="20"/>
        <v>0.18111298961455957</v>
      </c>
      <c r="AU22" s="509">
        <f t="shared" si="20"/>
        <v>5.97983200016039E-2</v>
      </c>
      <c r="AV22" s="509">
        <f t="shared" si="20"/>
        <v>0.17733117937038179</v>
      </c>
      <c r="AW22" s="509">
        <f t="shared" si="20"/>
        <v>0.17868768698323545</v>
      </c>
      <c r="AX22" s="509">
        <f t="shared" si="20"/>
        <v>0.1285561223237921</v>
      </c>
      <c r="AY22" s="509">
        <f t="shared" si="20"/>
        <v>-3.4559645948433637E-2</v>
      </c>
      <c r="AZ22" s="509">
        <f t="shared" si="20"/>
        <v>-2.9698857736240813E-2</v>
      </c>
      <c r="BA22" s="509">
        <f t="shared" si="20"/>
        <v>-0.25454643918138309</v>
      </c>
      <c r="BB22" s="509">
        <f t="shared" si="20"/>
        <v>-0.46065472257488704</v>
      </c>
      <c r="BC22" s="509">
        <f t="shared" si="20"/>
        <v>-5.1806193396105371E-2</v>
      </c>
      <c r="BD22" s="509">
        <f t="shared" si="20"/>
        <v>0.12487908490100197</v>
      </c>
      <c r="BE22" s="509">
        <f t="shared" si="20"/>
        <v>0.21895220455584141</v>
      </c>
      <c r="BF22" s="509">
        <f t="shared" si="20"/>
        <v>0</v>
      </c>
      <c r="BG22" s="509"/>
      <c r="BH22" s="509"/>
      <c r="BI22" s="509"/>
      <c r="BJ22" s="509"/>
      <c r="BK22" s="509"/>
      <c r="BL22" s="509"/>
      <c r="BM22" s="509"/>
      <c r="BN22" s="509"/>
      <c r="BO22" s="509"/>
      <c r="BP22" s="509"/>
      <c r="BQ22" s="509"/>
      <c r="BR22" s="509"/>
      <c r="BS22" s="509"/>
      <c r="BT22" s="509"/>
      <c r="BU22" s="509"/>
      <c r="BV22" s="509"/>
    </row>
    <row r="23" spans="1:79">
      <c r="G23" s="509"/>
      <c r="H23" s="509"/>
      <c r="I23" s="509"/>
      <c r="J23" s="509"/>
      <c r="K23" s="509"/>
      <c r="L23" s="509"/>
      <c r="M23" s="509"/>
      <c r="N23" s="509"/>
      <c r="O23" s="509"/>
      <c r="P23" s="509"/>
      <c r="Q23" s="509"/>
      <c r="R23" s="509"/>
      <c r="S23" s="509"/>
      <c r="T23" s="509"/>
      <c r="U23" s="509"/>
      <c r="V23" s="509"/>
      <c r="W23" s="509"/>
      <c r="X23" s="509"/>
      <c r="Y23" s="509"/>
      <c r="Z23" s="509"/>
      <c r="AA23" s="509"/>
      <c r="AB23" s="509"/>
      <c r="AC23" s="509"/>
      <c r="AD23" s="509"/>
      <c r="AE23" s="509"/>
      <c r="AF23" s="509"/>
      <c r="AG23" s="509"/>
      <c r="AH23" s="509"/>
      <c r="AI23" s="509"/>
      <c r="AJ23" s="509"/>
      <c r="AK23" s="509"/>
      <c r="AL23" s="509"/>
      <c r="AM23" s="509"/>
      <c r="AN23" s="509"/>
      <c r="AO23" s="509"/>
      <c r="AP23" s="509"/>
      <c r="AQ23" s="509"/>
      <c r="AR23" s="509"/>
      <c r="AS23" s="509"/>
      <c r="AT23" s="509"/>
      <c r="AU23" s="509"/>
      <c r="AV23" s="509"/>
      <c r="AW23" s="509"/>
      <c r="AX23" s="509"/>
      <c r="AY23" s="509"/>
      <c r="AZ23" s="509"/>
      <c r="BA23" s="509"/>
      <c r="BB23" s="509"/>
      <c r="BC23" s="509"/>
      <c r="BD23" s="509"/>
      <c r="BE23" s="509"/>
      <c r="BF23" s="509"/>
      <c r="BG23" s="509"/>
      <c r="BH23" s="509"/>
      <c r="BI23" s="509"/>
      <c r="BJ23" s="509"/>
      <c r="BK23" s="509"/>
      <c r="BL23" s="509"/>
      <c r="BM23" s="509"/>
      <c r="BN23" s="509"/>
      <c r="BO23" s="509"/>
      <c r="BP23" s="509"/>
      <c r="BQ23" s="509"/>
      <c r="BR23" s="509"/>
      <c r="BS23" s="509"/>
      <c r="BT23" s="509"/>
      <c r="BU23" s="509"/>
      <c r="BV23" s="509"/>
    </row>
    <row r="24" spans="1:79">
      <c r="A24" s="499" t="s">
        <v>1064</v>
      </c>
      <c r="C24" s="511">
        <f>C13/C12</f>
        <v>0</v>
      </c>
      <c r="D24" s="511">
        <f t="shared" ref="D24:BD24" si="21">D13/D12</f>
        <v>0</v>
      </c>
      <c r="E24" s="511">
        <f t="shared" si="21"/>
        <v>0</v>
      </c>
      <c r="F24" s="511">
        <f t="shared" si="21"/>
        <v>0</v>
      </c>
      <c r="G24" s="509">
        <f t="shared" si="21"/>
        <v>6.4235596402806615E-3</v>
      </c>
      <c r="H24" s="509">
        <f t="shared" si="21"/>
        <v>1.3441338792949979E-2</v>
      </c>
      <c r="I24" s="509">
        <f t="shared" si="21"/>
        <v>1.4811438988264794E-2</v>
      </c>
      <c r="J24" s="509">
        <f t="shared" si="21"/>
        <v>4.101116041414541E-2</v>
      </c>
      <c r="K24" s="509">
        <f t="shared" si="21"/>
        <v>1.7801251956181537E-2</v>
      </c>
      <c r="L24" s="509">
        <f t="shared" si="21"/>
        <v>1.9770408163265304E-2</v>
      </c>
      <c r="M24" s="509">
        <f t="shared" si="21"/>
        <v>2.2889610389610394E-2</v>
      </c>
      <c r="N24" s="509">
        <f t="shared" si="21"/>
        <v>0.17376775271512188</v>
      </c>
      <c r="O24" s="509">
        <f t="shared" si="21"/>
        <v>1.7790109352048316E-2</v>
      </c>
      <c r="P24" s="509">
        <f t="shared" si="21"/>
        <v>3.9437585733882133E-2</v>
      </c>
      <c r="Q24" s="509">
        <f t="shared" si="21"/>
        <v>-0.13510638297872354</v>
      </c>
      <c r="R24" s="509">
        <f t="shared" si="21"/>
        <v>-0.50795593635251135</v>
      </c>
      <c r="S24" s="509">
        <f t="shared" si="21"/>
        <v>2.7141231919388956E-2</v>
      </c>
      <c r="T24" s="509">
        <f t="shared" si="21"/>
        <v>0.59946949602122057</v>
      </c>
      <c r="U24" s="509">
        <f t="shared" si="21"/>
        <v>-0.33262032085561627</v>
      </c>
      <c r="V24" s="509">
        <f t="shared" si="21"/>
        <v>4.4678316123907914E-2</v>
      </c>
      <c r="W24" s="509">
        <f t="shared" si="21"/>
        <v>1.2716202381593834E-2</v>
      </c>
      <c r="X24" s="509">
        <f t="shared" si="21"/>
        <v>2.1002503205323882E-2</v>
      </c>
      <c r="Y24" s="509">
        <f t="shared" si="21"/>
        <v>7.7369439071566688E-3</v>
      </c>
      <c r="Z24" s="509">
        <f t="shared" si="21"/>
        <v>6.0384337058776237E-2</v>
      </c>
      <c r="AA24" s="509">
        <f t="shared" si="21"/>
        <v>5.6528868559592637E-3</v>
      </c>
      <c r="AB24" s="509">
        <f t="shared" si="21"/>
        <v>7.6005695977216056E-2</v>
      </c>
      <c r="AC24" s="509">
        <f t="shared" si="21"/>
        <v>-2.6143790849673193E-2</v>
      </c>
      <c r="AD24" s="509">
        <f t="shared" si="21"/>
        <v>-0.24402774210120942</v>
      </c>
      <c r="AE24" s="509">
        <f t="shared" si="21"/>
        <v>4.8027794808910652E-2</v>
      </c>
      <c r="AF24" s="509">
        <f t="shared" si="21"/>
        <v>9.9735216240070618E-2</v>
      </c>
      <c r="AG24" s="509">
        <f t="shared" si="21"/>
        <v>7.6970825574177462E-2</v>
      </c>
      <c r="AH24" s="509">
        <f t="shared" si="21"/>
        <v>-0.44824902723735854</v>
      </c>
      <c r="AI24" s="509">
        <f t="shared" si="21"/>
        <v>-0.11178927079987161</v>
      </c>
      <c r="AJ24" s="509">
        <f t="shared" si="21"/>
        <v>-5.2725488446783882E-2</v>
      </c>
      <c r="AK24" s="509">
        <f t="shared" si="21"/>
        <v>-8.6704281023875611E-3</v>
      </c>
      <c r="AL24" s="509">
        <f t="shared" si="21"/>
        <v>1.6263704103914829</v>
      </c>
      <c r="AM24" s="509">
        <f t="shared" si="21"/>
        <v>0.20796243078432752</v>
      </c>
      <c r="AN24" s="509">
        <f t="shared" si="21"/>
        <v>-0.12182712840033422</v>
      </c>
      <c r="AO24" s="509">
        <f t="shared" si="21"/>
        <v>-0.1222655814472071</v>
      </c>
      <c r="AP24" s="509">
        <f t="shared" si="21"/>
        <v>2.2970624509474159E-2</v>
      </c>
      <c r="AQ24" s="509">
        <f t="shared" si="21"/>
        <v>-20.026410564225813</v>
      </c>
      <c r="AR24" s="509">
        <f t="shared" si="21"/>
        <v>-0.15092996159323344</v>
      </c>
      <c r="AS24" s="509">
        <f t="shared" si="21"/>
        <v>-0.15163185124674206</v>
      </c>
      <c r="AT24" s="509">
        <f t="shared" si="21"/>
        <v>4.0561128588670586E-2</v>
      </c>
      <c r="AU24" s="509">
        <f t="shared" si="21"/>
        <v>-9.7305206682112025E-2</v>
      </c>
      <c r="AV24" s="509">
        <f t="shared" si="21"/>
        <v>-0.16519174041297924</v>
      </c>
      <c r="AW24" s="509">
        <f t="shared" si="21"/>
        <v>-0.14482142192097136</v>
      </c>
      <c r="AX24" s="509">
        <f t="shared" si="21"/>
        <v>-8.5772217531425027E-2</v>
      </c>
      <c r="AY24" s="509">
        <f t="shared" si="21"/>
        <v>-0.17935666273683742</v>
      </c>
      <c r="AZ24" s="509">
        <f t="shared" si="21"/>
        <v>-0.14845011213798928</v>
      </c>
      <c r="BA24" s="509">
        <f t="shared" si="21"/>
        <v>-0.17043972458013046</v>
      </c>
      <c r="BB24" s="509">
        <f t="shared" si="21"/>
        <v>0.71088574466344789</v>
      </c>
      <c r="BC24" s="509">
        <f t="shared" si="21"/>
        <v>0.39986085746586703</v>
      </c>
      <c r="BD24" s="509">
        <f t="shared" si="21"/>
        <v>-3.4147646219686058E-2</v>
      </c>
      <c r="BE24" s="509">
        <f t="shared" ref="BE24:BG24" si="22">BE13/BE12</f>
        <v>-9.8161322744023845E-3</v>
      </c>
      <c r="BF24" s="509">
        <f t="shared" ref="BF24" si="23">BF13/BF12</f>
        <v>-9.8161322744023845E-3</v>
      </c>
      <c r="BG24" s="509"/>
      <c r="BH24" s="509"/>
      <c r="BI24" s="509"/>
      <c r="BJ24" s="509">
        <f>BJ13/BJ12</f>
        <v>0</v>
      </c>
      <c r="BK24" s="509">
        <f t="shared" ref="BK24:BV24" si="24">BK13/BK12</f>
        <v>1.7329038784039182E-2</v>
      </c>
      <c r="BL24" s="509">
        <f t="shared" si="24"/>
        <v>3.4451097804391234E-2</v>
      </c>
      <c r="BM24" s="509">
        <f t="shared" si="24"/>
        <v>0.10513313203403797</v>
      </c>
      <c r="BN24" s="509">
        <f t="shared" si="24"/>
        <v>6.6608704052552828E-2</v>
      </c>
      <c r="BO24" s="509">
        <f t="shared" si="24"/>
        <v>2.2352887689999542E-2</v>
      </c>
      <c r="BP24" s="509">
        <f t="shared" si="24"/>
        <v>-3.2862089499569947E-3</v>
      </c>
      <c r="BQ24" s="509">
        <f t="shared" si="24"/>
        <v>0.13667025124645588</v>
      </c>
      <c r="BR24" s="509">
        <f t="shared" si="24"/>
        <v>0.78826819362141354</v>
      </c>
      <c r="BS24" s="509">
        <f t="shared" si="24"/>
        <v>0.12214219914580025</v>
      </c>
      <c r="BT24" s="509">
        <f t="shared" si="24"/>
        <v>0.20277355120402216</v>
      </c>
      <c r="BU24" s="509">
        <f t="shared" si="24"/>
        <v>-0.12097387888011892</v>
      </c>
      <c r="BV24" s="509">
        <f t="shared" si="24"/>
        <v>-0.14463422858691055</v>
      </c>
      <c r="BW24" s="509">
        <f t="shared" ref="BW24" si="25">BW13/BW12</f>
        <v>-5.9061490272027506E-2</v>
      </c>
    </row>
    <row r="25" spans="1:79">
      <c r="A25" s="499" t="s">
        <v>1065</v>
      </c>
      <c r="C25" s="511">
        <f>C5/C3</f>
        <v>0.14654933864630029</v>
      </c>
      <c r="D25" s="511">
        <f t="shared" ref="D25:BD25" si="26">D5/D3</f>
        <v>0.16244255204109215</v>
      </c>
      <c r="E25" s="511">
        <f t="shared" si="26"/>
        <v>0.1909989268467179</v>
      </c>
      <c r="F25" s="511">
        <f t="shared" si="26"/>
        <v>0.22877796058389052</v>
      </c>
      <c r="G25" s="509">
        <f t="shared" si="26"/>
        <v>0.21847417840375591</v>
      </c>
      <c r="H25" s="509">
        <f t="shared" si="26"/>
        <v>0.24419627628058971</v>
      </c>
      <c r="I25" s="509">
        <f t="shared" si="26"/>
        <v>0.26842944765099575</v>
      </c>
      <c r="J25" s="509">
        <f t="shared" si="26"/>
        <v>0.27890494719288472</v>
      </c>
      <c r="K25" s="509">
        <f t="shared" si="26"/>
        <v>0.26770081400706497</v>
      </c>
      <c r="L25" s="509">
        <f t="shared" si="26"/>
        <v>0.27995255041518385</v>
      </c>
      <c r="M25" s="509">
        <f t="shared" si="26"/>
        <v>0.28100119266350776</v>
      </c>
      <c r="N25" s="509">
        <f t="shared" si="26"/>
        <v>0.32056788356000965</v>
      </c>
      <c r="O25" s="509">
        <f t="shared" si="26"/>
        <v>0.32398402222994099</v>
      </c>
      <c r="P25" s="509">
        <f t="shared" si="26"/>
        <v>0.32720355104629051</v>
      </c>
      <c r="Q25" s="509">
        <f t="shared" si="26"/>
        <v>0.32812042819811732</v>
      </c>
      <c r="R25" s="509">
        <f t="shared" si="26"/>
        <v>0.33301016092085128</v>
      </c>
      <c r="S25" s="509">
        <f t="shared" si="26"/>
        <v>0.32340484461011165</v>
      </c>
      <c r="T25" s="509">
        <f t="shared" si="26"/>
        <v>0.32349916252828304</v>
      </c>
      <c r="U25" s="509">
        <f t="shared" si="26"/>
        <v>0.30586931586212257</v>
      </c>
      <c r="V25" s="509">
        <f t="shared" si="26"/>
        <v>0.23922351399533762</v>
      </c>
      <c r="W25" s="509">
        <f t="shared" si="26"/>
        <v>0.18340325322437265</v>
      </c>
      <c r="X25" s="509">
        <f t="shared" si="26"/>
        <v>0.17851865883690088</v>
      </c>
      <c r="Y25" s="509">
        <f t="shared" si="26"/>
        <v>0.17905146362365243</v>
      </c>
      <c r="Z25" s="509">
        <f t="shared" si="26"/>
        <v>0.17917020783435061</v>
      </c>
      <c r="AA25" s="509">
        <f t="shared" si="26"/>
        <v>0.1287282424065313</v>
      </c>
      <c r="AB25" s="509">
        <f t="shared" si="26"/>
        <v>0.18137523926807392</v>
      </c>
      <c r="AC25" s="509">
        <f t="shared" si="26"/>
        <v>0.21367377138554997</v>
      </c>
      <c r="AD25" s="509">
        <f t="shared" si="26"/>
        <v>0.23828291703276056</v>
      </c>
      <c r="AE25" s="509">
        <f t="shared" si="26"/>
        <v>0.26174755616532325</v>
      </c>
      <c r="AF25" s="509">
        <f t="shared" si="26"/>
        <v>0.29910667228839466</v>
      </c>
      <c r="AG25" s="509">
        <f t="shared" si="26"/>
        <v>0.32388913104792183</v>
      </c>
      <c r="AH25" s="509">
        <f t="shared" si="26"/>
        <v>0.30518263281647862</v>
      </c>
      <c r="AI25" s="509">
        <f t="shared" si="26"/>
        <v>0.33289066400399397</v>
      </c>
      <c r="AJ25" s="509">
        <f t="shared" si="26"/>
        <v>0.33796441302369973</v>
      </c>
      <c r="AK25" s="509">
        <f t="shared" si="26"/>
        <v>0.35936397918436935</v>
      </c>
      <c r="AL25" s="509">
        <f t="shared" si="26"/>
        <v>0.37080540108173982</v>
      </c>
      <c r="AM25" s="509">
        <f t="shared" si="26"/>
        <v>0.39249312802549313</v>
      </c>
      <c r="AN25" s="509">
        <f t="shared" si="26"/>
        <v>0.38543707881278977</v>
      </c>
      <c r="AO25" s="509">
        <f t="shared" si="26"/>
        <v>0.53209749976190868</v>
      </c>
      <c r="AP25" s="509">
        <f t="shared" si="26"/>
        <v>0.46042312499292021</v>
      </c>
      <c r="AQ25" s="509">
        <f t="shared" si="26"/>
        <v>0.40744778859600866</v>
      </c>
      <c r="AR25" s="509">
        <f t="shared" si="26"/>
        <v>0.40436060584008582</v>
      </c>
      <c r="AS25" s="509">
        <f t="shared" si="26"/>
        <v>0.39928993880842856</v>
      </c>
      <c r="AT25" s="509">
        <f t="shared" si="26"/>
        <v>0.39570264514112508</v>
      </c>
      <c r="AU25" s="509">
        <f t="shared" si="26"/>
        <v>0.40103378262012446</v>
      </c>
      <c r="AV25" s="509">
        <f t="shared" si="26"/>
        <v>0.41306422530535886</v>
      </c>
      <c r="AW25" s="509">
        <f t="shared" si="26"/>
        <v>0.42210573912933869</v>
      </c>
      <c r="AX25" s="509">
        <f t="shared" si="26"/>
        <v>0.4287589077239834</v>
      </c>
      <c r="AY25" s="509">
        <f t="shared" si="26"/>
        <v>0.44953692480606489</v>
      </c>
      <c r="AZ25" s="509">
        <f t="shared" si="26"/>
        <v>0.45469528263944947</v>
      </c>
      <c r="BA25" s="509">
        <f t="shared" si="26"/>
        <v>0.47545192911399753</v>
      </c>
      <c r="BB25" s="509">
        <f t="shared" si="26"/>
        <v>0.48472089103347987</v>
      </c>
      <c r="BC25" s="509">
        <f t="shared" si="26"/>
        <v>0.4386285358416338</v>
      </c>
      <c r="BD25" s="509">
        <f t="shared" si="26"/>
        <v>0.45200983332125044</v>
      </c>
      <c r="BE25" s="509">
        <f t="shared" ref="BE25:BG25" si="27">BE5/BE3</f>
        <v>0.46779635206486153</v>
      </c>
      <c r="BF25" s="509">
        <f t="shared" ref="BF25" si="28">BF5/BF3</f>
        <v>0.46779635206486153</v>
      </c>
      <c r="BG25" s="509"/>
      <c r="BH25" s="509"/>
      <c r="BI25" s="509"/>
      <c r="BJ25" s="509">
        <f>BJ5/BJ3</f>
        <v>0.19441156210081389</v>
      </c>
      <c r="BK25" s="509">
        <f t="shared" ref="BK25:BV25" si="29">BK5/BK3</f>
        <v>0.25516203767802914</v>
      </c>
      <c r="BL25" s="509">
        <f t="shared" si="29"/>
        <v>0.28953041924705603</v>
      </c>
      <c r="BM25" s="509">
        <f t="shared" si="29"/>
        <v>0.32870510374988371</v>
      </c>
      <c r="BN25" s="509">
        <f t="shared" si="29"/>
        <v>0.30291757289733495</v>
      </c>
      <c r="BO25" s="509">
        <f t="shared" si="29"/>
        <v>0.17981902780920728</v>
      </c>
      <c r="BP25" s="509">
        <f t="shared" si="29"/>
        <v>0.19584087557571489</v>
      </c>
      <c r="BQ25" s="509">
        <f t="shared" si="29"/>
        <v>0.29872627380526884</v>
      </c>
      <c r="BR25" s="509">
        <f t="shared" si="29"/>
        <v>0.35437018386021557</v>
      </c>
      <c r="BS25" s="509">
        <f t="shared" si="29"/>
        <v>0.44675856280466147</v>
      </c>
      <c r="BT25" s="509">
        <f t="shared" si="29"/>
        <v>0.40115943790704961</v>
      </c>
      <c r="BU25" s="509">
        <f t="shared" si="29"/>
        <v>0.41812804153672495</v>
      </c>
      <c r="BV25" s="509">
        <f t="shared" si="29"/>
        <v>0.46201958629046969</v>
      </c>
      <c r="BW25" s="509">
        <f t="shared" ref="BW25" si="30">BW5/BW3</f>
        <v>0.45840894875062382</v>
      </c>
    </row>
    <row r="26" spans="1:79">
      <c r="AY26" s="499"/>
    </row>
    <row r="27" spans="1:79" ht="15.75" thickBot="1">
      <c r="A27" s="513" t="s">
        <v>1066</v>
      </c>
      <c r="AY27" s="499"/>
      <c r="BJ27" s="514">
        <f t="shared" ref="BJ27:BU27" si="31">BJ28+BJ31+BJ32+BJ35</f>
        <v>81.8</v>
      </c>
      <c r="BK27" s="514">
        <f t="shared" si="31"/>
        <v>94.899999999999991</v>
      </c>
      <c r="BL27" s="514">
        <f t="shared" si="31"/>
        <v>90.600000000000009</v>
      </c>
      <c r="BM27" s="514">
        <f t="shared" si="31"/>
        <v>114.89999999999999</v>
      </c>
      <c r="BN27" s="514">
        <f t="shared" si="31"/>
        <v>121.8</v>
      </c>
      <c r="BO27" s="514">
        <f t="shared" si="31"/>
        <v>117.89999999999999</v>
      </c>
      <c r="BP27" s="514">
        <f t="shared" si="31"/>
        <v>130.4</v>
      </c>
      <c r="BQ27" s="514">
        <f t="shared" si="31"/>
        <v>222.30000000000004</v>
      </c>
      <c r="BR27" s="514">
        <f t="shared" si="31"/>
        <v>455.00000000000006</v>
      </c>
      <c r="BS27" s="514">
        <f t="shared" si="31"/>
        <v>933.19999999999982</v>
      </c>
      <c r="BT27" s="514">
        <f t="shared" si="31"/>
        <v>1462.3999999999999</v>
      </c>
      <c r="BU27" s="514">
        <f t="shared" si="31"/>
        <v>2264.1999999999998</v>
      </c>
      <c r="BV27" s="514">
        <f>BV28+BV31+BV32+BV35</f>
        <v>2443.4999999999995</v>
      </c>
    </row>
    <row r="28" spans="1:79" ht="15.75" thickBot="1">
      <c r="A28" s="515" t="s">
        <v>1067</v>
      </c>
      <c r="C28" s="504"/>
      <c r="D28" s="504"/>
      <c r="E28" s="504"/>
      <c r="F28" s="504"/>
      <c r="G28" s="504"/>
      <c r="H28" s="504"/>
      <c r="I28" s="504"/>
      <c r="J28" s="504"/>
      <c r="K28" s="504"/>
      <c r="L28" s="504"/>
      <c r="M28" s="504"/>
      <c r="N28" s="504"/>
      <c r="O28" s="504"/>
      <c r="P28" s="504"/>
      <c r="Q28" s="504"/>
      <c r="R28" s="504"/>
      <c r="S28" s="504"/>
      <c r="T28" s="504"/>
      <c r="U28" s="504"/>
      <c r="V28" s="504"/>
      <c r="W28" s="504"/>
      <c r="X28" s="504"/>
      <c r="Y28" s="504"/>
      <c r="Z28" s="504"/>
      <c r="AA28" s="504"/>
      <c r="AB28" s="504"/>
      <c r="AC28" s="504"/>
      <c r="AD28" s="504"/>
      <c r="AE28" s="504"/>
      <c r="AF28" s="504"/>
      <c r="AG28" s="504"/>
      <c r="AH28" s="504"/>
      <c r="AI28" s="504"/>
      <c r="AJ28" s="504"/>
      <c r="AK28" s="504"/>
      <c r="AL28" s="504"/>
      <c r="AM28" s="504"/>
      <c r="AN28" s="504"/>
      <c r="AO28" s="504"/>
      <c r="AP28" s="504"/>
      <c r="AQ28" s="504"/>
      <c r="AR28" s="504"/>
      <c r="AS28" s="504"/>
      <c r="AT28" s="504"/>
      <c r="AU28" s="504"/>
      <c r="AV28" s="504"/>
      <c r="AW28" s="504"/>
      <c r="AX28" s="504"/>
      <c r="AY28" s="504"/>
      <c r="AZ28" s="504"/>
      <c r="BA28" s="504"/>
      <c r="BB28" s="504"/>
      <c r="BC28" s="504"/>
      <c r="BD28" s="504"/>
      <c r="BJ28" s="516">
        <f t="shared" ref="BJ28:BV28" si="32">BJ29+BJ30</f>
        <v>51.5</v>
      </c>
      <c r="BK28" s="516">
        <f t="shared" si="32"/>
        <v>45.3</v>
      </c>
      <c r="BL28" s="516">
        <f t="shared" si="32"/>
        <v>38.200000000000003</v>
      </c>
      <c r="BM28" s="516">
        <f t="shared" si="32"/>
        <v>42</v>
      </c>
      <c r="BN28" s="516">
        <f t="shared" si="32"/>
        <v>28.5</v>
      </c>
      <c r="BO28" s="516">
        <f t="shared" si="32"/>
        <v>17.8</v>
      </c>
      <c r="BP28" s="516">
        <f t="shared" si="32"/>
        <v>29.1</v>
      </c>
      <c r="BQ28" s="516">
        <f t="shared" si="32"/>
        <v>106.2</v>
      </c>
      <c r="BR28" s="516">
        <f t="shared" si="32"/>
        <v>251.4</v>
      </c>
      <c r="BS28" s="516">
        <f t="shared" si="32"/>
        <v>679.4</v>
      </c>
      <c r="BT28" s="516">
        <f t="shared" si="32"/>
        <v>1016.5999999999999</v>
      </c>
      <c r="BU28" s="516">
        <f t="shared" si="32"/>
        <v>1612.8</v>
      </c>
      <c r="BV28" s="516">
        <f t="shared" si="32"/>
        <v>1695</v>
      </c>
    </row>
    <row r="29" spans="1:79" ht="15.75" thickBot="1">
      <c r="A29" s="517" t="s">
        <v>1068</v>
      </c>
      <c r="AY29" s="499"/>
      <c r="BJ29" s="516">
        <v>51.5</v>
      </c>
      <c r="BK29" s="516">
        <v>45.3</v>
      </c>
      <c r="BL29" s="516">
        <v>38.200000000000003</v>
      </c>
      <c r="BM29" s="516">
        <v>42</v>
      </c>
      <c r="BN29" s="516">
        <v>28.5</v>
      </c>
      <c r="BO29" s="516">
        <v>17.8</v>
      </c>
      <c r="BP29" s="516">
        <v>29.1</v>
      </c>
      <c r="BQ29" s="516">
        <v>106.2</v>
      </c>
      <c r="BR29" s="516">
        <v>251.4</v>
      </c>
      <c r="BS29" s="516">
        <v>679.4</v>
      </c>
      <c r="BT29" s="516">
        <v>119.3</v>
      </c>
      <c r="BU29" s="516">
        <v>473.2</v>
      </c>
      <c r="BV29" s="516">
        <v>288.7</v>
      </c>
    </row>
    <row r="30" spans="1:79" ht="15.75" thickBot="1">
      <c r="A30" s="517" t="s">
        <v>1069</v>
      </c>
      <c r="AY30" s="499"/>
      <c r="BJ30" s="516">
        <v>0</v>
      </c>
      <c r="BK30" s="516">
        <v>0</v>
      </c>
      <c r="BL30" s="516">
        <v>0</v>
      </c>
      <c r="BM30" s="516">
        <v>0</v>
      </c>
      <c r="BN30" s="516">
        <v>0</v>
      </c>
      <c r="BO30" s="516">
        <v>0</v>
      </c>
      <c r="BP30" s="516">
        <v>0</v>
      </c>
      <c r="BQ30" s="516">
        <v>0</v>
      </c>
      <c r="BR30" s="516">
        <v>0</v>
      </c>
      <c r="BS30" s="516">
        <v>0</v>
      </c>
      <c r="BT30" s="516">
        <v>897.3</v>
      </c>
      <c r="BU30" s="516">
        <v>1139.5999999999999</v>
      </c>
      <c r="BV30" s="516">
        <v>1406.3</v>
      </c>
    </row>
    <row r="31" spans="1:79" ht="15.75" thickBot="1">
      <c r="A31" s="499" t="s">
        <v>1070</v>
      </c>
      <c r="AY31" s="499"/>
      <c r="BJ31" s="516">
        <v>17.8</v>
      </c>
      <c r="BK31" s="516">
        <v>27.7</v>
      </c>
      <c r="BL31" s="516">
        <v>32.1</v>
      </c>
      <c r="BM31" s="516">
        <v>45.1</v>
      </c>
      <c r="BN31" s="516">
        <v>46.1</v>
      </c>
      <c r="BO31" s="516">
        <v>61</v>
      </c>
      <c r="BP31" s="516">
        <v>65.3</v>
      </c>
      <c r="BQ31" s="516">
        <v>78.900000000000006</v>
      </c>
      <c r="BR31" s="516">
        <v>145.4</v>
      </c>
      <c r="BS31" s="516">
        <v>182.2</v>
      </c>
      <c r="BT31" s="516">
        <v>333.6</v>
      </c>
      <c r="BU31" s="516">
        <v>473</v>
      </c>
      <c r="BV31" s="516">
        <v>486.2</v>
      </c>
    </row>
    <row r="32" spans="1:79" ht="15.75" thickBot="1">
      <c r="A32" s="515" t="s">
        <v>1071</v>
      </c>
      <c r="AY32" s="499"/>
      <c r="BJ32" s="516">
        <v>11.2</v>
      </c>
      <c r="BK32" s="516">
        <v>19.8</v>
      </c>
      <c r="BL32" s="516">
        <v>16.600000000000001</v>
      </c>
      <c r="BM32" s="516">
        <v>21.6</v>
      </c>
      <c r="BN32" s="516">
        <v>40.799999999999997</v>
      </c>
      <c r="BO32" s="516">
        <v>32</v>
      </c>
      <c r="BP32" s="516">
        <v>26</v>
      </c>
      <c r="BQ32" s="516">
        <v>16.3</v>
      </c>
      <c r="BR32" s="516">
        <v>32.1</v>
      </c>
      <c r="BS32" s="516">
        <v>41.8</v>
      </c>
      <c r="BT32" s="516">
        <v>74.400000000000006</v>
      </c>
      <c r="BU32" s="516">
        <v>149.69999999999999</v>
      </c>
      <c r="BV32" s="516">
        <v>213.6</v>
      </c>
    </row>
    <row r="33" spans="1:74" ht="15.75" thickBot="1">
      <c r="A33" s="517" t="s">
        <v>1072</v>
      </c>
      <c r="AY33" s="499"/>
      <c r="BJ33" s="516">
        <v>9.4</v>
      </c>
      <c r="BK33" s="516">
        <v>17.600000000000001</v>
      </c>
      <c r="BL33" s="516">
        <v>15.2</v>
      </c>
      <c r="BM33" s="516">
        <v>18.2</v>
      </c>
      <c r="BN33" s="516">
        <v>38.6</v>
      </c>
      <c r="BO33" s="516">
        <v>26.9</v>
      </c>
      <c r="BP33" s="516">
        <v>23.7</v>
      </c>
      <c r="BQ33" s="516">
        <v>15.3</v>
      </c>
      <c r="BR33" s="516">
        <v>27.9</v>
      </c>
      <c r="BS33" s="516">
        <v>31.6</v>
      </c>
      <c r="BT33" s="516">
        <v>49</v>
      </c>
      <c r="BU33" s="516">
        <v>114.7</v>
      </c>
      <c r="BV33" s="516">
        <v>182.7</v>
      </c>
    </row>
    <row r="34" spans="1:74" ht="15.75" thickBot="1">
      <c r="A34" s="517" t="s">
        <v>1073</v>
      </c>
      <c r="AY34" s="499"/>
      <c r="BJ34" s="516">
        <v>1.8</v>
      </c>
      <c r="BK34" s="516">
        <v>2.2000000000000002</v>
      </c>
      <c r="BL34" s="516">
        <v>1.4</v>
      </c>
      <c r="BM34" s="516">
        <v>3.4</v>
      </c>
      <c r="BN34" s="516">
        <v>2.2000000000000002</v>
      </c>
      <c r="BO34" s="516">
        <v>5.0999999999999996</v>
      </c>
      <c r="BP34" s="516">
        <v>2.2999999999999998</v>
      </c>
      <c r="BQ34" s="516">
        <v>1</v>
      </c>
      <c r="BR34" s="516">
        <v>4.2</v>
      </c>
      <c r="BS34" s="516">
        <v>10.1</v>
      </c>
      <c r="BT34" s="516">
        <v>25.4</v>
      </c>
      <c r="BU34" s="516">
        <v>35</v>
      </c>
      <c r="BV34" s="516">
        <v>30.8</v>
      </c>
    </row>
    <row r="35" spans="1:74">
      <c r="A35" s="518" t="s">
        <v>1074</v>
      </c>
      <c r="AY35" s="499"/>
      <c r="BJ35" s="519">
        <v>1.3</v>
      </c>
      <c r="BK35" s="519">
        <v>2.1</v>
      </c>
      <c r="BL35" s="519">
        <v>3.7</v>
      </c>
      <c r="BM35" s="519">
        <v>6.2</v>
      </c>
      <c r="BN35" s="519">
        <v>6.4</v>
      </c>
      <c r="BO35" s="519">
        <v>7.1</v>
      </c>
      <c r="BP35" s="519">
        <v>10</v>
      </c>
      <c r="BQ35" s="519">
        <v>20.9</v>
      </c>
      <c r="BR35" s="519">
        <v>26.1</v>
      </c>
      <c r="BS35" s="519">
        <v>29.8</v>
      </c>
      <c r="BT35" s="519">
        <v>37.799999999999997</v>
      </c>
      <c r="BU35" s="519">
        <v>28.7</v>
      </c>
      <c r="BV35" s="519">
        <v>48.7</v>
      </c>
    </row>
    <row r="36" spans="1:74" ht="15.75" thickBot="1">
      <c r="A36" s="499" t="s">
        <v>1075</v>
      </c>
      <c r="AY36" s="499"/>
      <c r="BJ36" s="520">
        <v>18.411000000000001</v>
      </c>
      <c r="BK36" s="520">
        <v>25.541</v>
      </c>
      <c r="BL36" s="520">
        <v>24.853000000000002</v>
      </c>
      <c r="BM36" s="520">
        <v>30.82</v>
      </c>
      <c r="BN36" s="520">
        <v>32.119999999999997</v>
      </c>
      <c r="BO36" s="520">
        <v>31.44</v>
      </c>
      <c r="BP36" s="520">
        <v>26.48</v>
      </c>
      <c r="BQ36" s="520">
        <v>21</v>
      </c>
      <c r="BR36" s="520">
        <v>39.049999999999997</v>
      </c>
      <c r="BS36" s="520">
        <v>60.67</v>
      </c>
      <c r="BT36" s="520">
        <v>96.59</v>
      </c>
      <c r="BU36" s="520">
        <v>132.75</v>
      </c>
      <c r="BV36" s="520">
        <v>188.13</v>
      </c>
    </row>
    <row r="37" spans="1:74" ht="15.75" thickBot="1">
      <c r="A37" s="515" t="s">
        <v>1076</v>
      </c>
      <c r="AY37" s="499"/>
      <c r="BJ37" s="516">
        <v>0</v>
      </c>
      <c r="BK37" s="516">
        <v>0</v>
      </c>
      <c r="BL37" s="516">
        <v>0</v>
      </c>
      <c r="BM37" s="516">
        <v>3.7</v>
      </c>
      <c r="BN37" s="516">
        <v>3.7</v>
      </c>
      <c r="BO37" s="516">
        <v>3.7</v>
      </c>
      <c r="BP37" s="516">
        <v>3.7</v>
      </c>
      <c r="BQ37" s="516">
        <v>24.8</v>
      </c>
      <c r="BR37" s="516">
        <v>24.8</v>
      </c>
      <c r="BS37" s="516">
        <v>24.8</v>
      </c>
      <c r="BT37" s="516">
        <v>181.3</v>
      </c>
      <c r="BU37" s="516">
        <v>213.6</v>
      </c>
      <c r="BV37" s="516">
        <v>214.6</v>
      </c>
    </row>
    <row r="38" spans="1:74" ht="15.75" thickBot="1">
      <c r="A38" s="515" t="s">
        <v>1077</v>
      </c>
      <c r="AY38" s="499"/>
      <c r="BJ38" s="516">
        <v>0</v>
      </c>
      <c r="BK38" s="516">
        <v>0</v>
      </c>
      <c r="BL38" s="516">
        <v>0.3</v>
      </c>
      <c r="BM38" s="516">
        <v>1.8</v>
      </c>
      <c r="BN38" s="516">
        <v>2.2000000000000002</v>
      </c>
      <c r="BO38" s="516">
        <v>0.9</v>
      </c>
      <c r="BP38" s="516">
        <v>0.5</v>
      </c>
      <c r="BQ38" s="516">
        <v>35.299999999999997</v>
      </c>
      <c r="BR38" s="516">
        <v>30.6</v>
      </c>
      <c r="BS38" s="516">
        <v>28.8</v>
      </c>
      <c r="BT38" s="516">
        <v>97.8</v>
      </c>
      <c r="BU38" s="516">
        <v>99.5</v>
      </c>
      <c r="BV38" s="516">
        <v>68.5</v>
      </c>
    </row>
    <row r="39" spans="1:74" ht="15.75" thickBot="1">
      <c r="A39" s="518" t="s">
        <v>1078</v>
      </c>
      <c r="AY39" s="499"/>
      <c r="BJ39" s="519">
        <v>0</v>
      </c>
      <c r="BK39" s="519">
        <v>0</v>
      </c>
      <c r="BL39" s="519">
        <v>0</v>
      </c>
      <c r="BM39" s="519">
        <v>0</v>
      </c>
      <c r="BN39" s="519">
        <v>0</v>
      </c>
      <c r="BO39" s="519">
        <v>0</v>
      </c>
      <c r="BP39" s="519">
        <v>0</v>
      </c>
      <c r="BQ39" s="519">
        <v>0</v>
      </c>
      <c r="BR39" s="519">
        <v>0</v>
      </c>
      <c r="BS39" s="519">
        <v>0</v>
      </c>
      <c r="BT39" s="519">
        <v>0</v>
      </c>
      <c r="BU39" s="519">
        <v>101</v>
      </c>
      <c r="BV39" s="519">
        <v>124.2</v>
      </c>
    </row>
    <row r="40" spans="1:74" ht="15.75" thickBot="1">
      <c r="A40" s="515" t="s">
        <v>1079</v>
      </c>
      <c r="AY40" s="499"/>
      <c r="BJ40" s="516">
        <v>0</v>
      </c>
      <c r="BK40" s="516">
        <v>0</v>
      </c>
      <c r="BL40" s="516">
        <v>0</v>
      </c>
      <c r="BM40" s="516">
        <v>0</v>
      </c>
      <c r="BN40" s="516">
        <v>0</v>
      </c>
      <c r="BO40" s="516">
        <v>0</v>
      </c>
      <c r="BP40" s="516">
        <v>0</v>
      </c>
      <c r="BQ40" s="516">
        <v>0</v>
      </c>
      <c r="BR40" s="516">
        <v>74.5</v>
      </c>
      <c r="BS40" s="516">
        <v>92.9</v>
      </c>
      <c r="BT40" s="516">
        <v>122.5</v>
      </c>
      <c r="BU40" s="516">
        <v>204.9</v>
      </c>
      <c r="BV40" s="516">
        <v>252.4</v>
      </c>
    </row>
    <row r="41" spans="1:74">
      <c r="A41" s="515" t="s">
        <v>1080</v>
      </c>
      <c r="AY41" s="499"/>
      <c r="BJ41" s="516">
        <v>6</v>
      </c>
      <c r="BK41" s="516">
        <v>1.8</v>
      </c>
      <c r="BL41" s="516">
        <v>1</v>
      </c>
      <c r="BM41" s="516">
        <v>0.9</v>
      </c>
      <c r="BN41" s="516">
        <v>5.7</v>
      </c>
      <c r="BO41" s="516">
        <v>9.6999999999999993</v>
      </c>
      <c r="BP41" s="516">
        <v>8</v>
      </c>
      <c r="BQ41" s="516">
        <v>36.5</v>
      </c>
      <c r="BR41" s="516">
        <v>44.6</v>
      </c>
      <c r="BS41" s="516">
        <v>59.9</v>
      </c>
      <c r="BT41" s="516">
        <v>118.7</v>
      </c>
      <c r="BU41" s="516">
        <v>68.3</v>
      </c>
      <c r="BV41" s="516">
        <v>91.7</v>
      </c>
    </row>
    <row r="42" spans="1:74">
      <c r="A42" s="513" t="s">
        <v>1081</v>
      </c>
      <c r="AY42" s="499"/>
      <c r="BJ42" s="514">
        <f>BJ27+SUM(BJ36:BJ41)</f>
        <v>106.211</v>
      </c>
      <c r="BK42" s="514">
        <f t="shared" ref="BK42:BV42" si="33">BK27+SUM(BK36:BK41)</f>
        <v>122.24099999999999</v>
      </c>
      <c r="BL42" s="514">
        <f t="shared" si="33"/>
        <v>116.75300000000001</v>
      </c>
      <c r="BM42" s="514">
        <f t="shared" si="33"/>
        <v>152.12</v>
      </c>
      <c r="BN42" s="514">
        <f t="shared" si="33"/>
        <v>165.52</v>
      </c>
      <c r="BO42" s="514">
        <f t="shared" si="33"/>
        <v>163.63999999999999</v>
      </c>
      <c r="BP42" s="514">
        <f t="shared" si="33"/>
        <v>169.08</v>
      </c>
      <c r="BQ42" s="514">
        <f t="shared" si="33"/>
        <v>339.90000000000003</v>
      </c>
      <c r="BR42" s="514">
        <f t="shared" si="33"/>
        <v>668.55000000000007</v>
      </c>
      <c r="BS42" s="514">
        <f t="shared" si="33"/>
        <v>1200.2699999999998</v>
      </c>
      <c r="BT42" s="514">
        <f t="shared" si="33"/>
        <v>2079.29</v>
      </c>
      <c r="BU42" s="514">
        <f t="shared" si="33"/>
        <v>3084.25</v>
      </c>
      <c r="BV42" s="514">
        <f t="shared" si="33"/>
        <v>3383.0299999999997</v>
      </c>
    </row>
    <row r="43" spans="1:74">
      <c r="AY43" s="499"/>
      <c r="BJ43" s="504"/>
      <c r="BK43" s="504"/>
      <c r="BL43" s="504"/>
      <c r="BM43" s="504"/>
      <c r="BN43" s="504"/>
      <c r="BO43" s="504"/>
      <c r="BP43" s="504"/>
      <c r="BQ43" s="504"/>
      <c r="BR43" s="504"/>
      <c r="BS43" s="504"/>
      <c r="BT43" s="504"/>
      <c r="BU43" s="504"/>
      <c r="BV43" s="504"/>
    </row>
    <row r="44" spans="1:74" ht="15.75" thickBot="1">
      <c r="A44" s="513" t="s">
        <v>1082</v>
      </c>
      <c r="AY44" s="499"/>
      <c r="BJ44" s="514">
        <f>SUM(BJ45:BJ49)</f>
        <v>52.3</v>
      </c>
      <c r="BK44" s="514">
        <f t="shared" ref="BK44:BV44" si="34">SUM(BK45:BK49)</f>
        <v>33.9</v>
      </c>
      <c r="BL44" s="514">
        <f t="shared" si="34"/>
        <v>33.400000000000006</v>
      </c>
      <c r="BM44" s="514">
        <f t="shared" si="34"/>
        <v>58.699999999999996</v>
      </c>
      <c r="BN44" s="514">
        <f t="shared" si="34"/>
        <v>72.900000000000006</v>
      </c>
      <c r="BO44" s="514">
        <f t="shared" si="34"/>
        <v>82.699999999999989</v>
      </c>
      <c r="BP44" s="514">
        <f t="shared" si="34"/>
        <v>91.6</v>
      </c>
      <c r="BQ44" s="514">
        <f t="shared" si="34"/>
        <v>147.19999999999999</v>
      </c>
      <c r="BR44" s="514">
        <f t="shared" si="34"/>
        <v>199.4</v>
      </c>
      <c r="BS44" s="514">
        <f t="shared" si="34"/>
        <v>534</v>
      </c>
      <c r="BT44" s="514">
        <f t="shared" si="34"/>
        <v>439.9</v>
      </c>
      <c r="BU44" s="514">
        <f t="shared" si="34"/>
        <v>638.19999999999993</v>
      </c>
      <c r="BV44" s="514">
        <f t="shared" si="34"/>
        <v>532.5</v>
      </c>
    </row>
    <row r="45" spans="1:74" ht="15.75" thickBot="1">
      <c r="A45" s="499" t="s">
        <v>1083</v>
      </c>
      <c r="AY45" s="499"/>
      <c r="BJ45" s="519">
        <v>12.9</v>
      </c>
      <c r="BK45" s="519">
        <v>11.3</v>
      </c>
      <c r="BL45" s="519">
        <v>7.4</v>
      </c>
      <c r="BM45" s="519">
        <v>22.3</v>
      </c>
      <c r="BN45" s="519">
        <v>25.6</v>
      </c>
      <c r="BO45" s="519">
        <v>31.7</v>
      </c>
      <c r="BP45" s="519">
        <v>28.7</v>
      </c>
      <c r="BQ45" s="519">
        <v>48.8</v>
      </c>
      <c r="BR45" s="519">
        <v>57.5</v>
      </c>
      <c r="BS45" s="519">
        <v>72.599999999999994</v>
      </c>
      <c r="BT45" s="519">
        <v>113.8</v>
      </c>
      <c r="BU45" s="519">
        <v>125.1</v>
      </c>
      <c r="BV45" s="519">
        <v>116.2</v>
      </c>
    </row>
    <row r="46" spans="1:74" ht="15.75" thickBot="1">
      <c r="A46" s="499" t="s">
        <v>1084</v>
      </c>
      <c r="AY46" s="499"/>
      <c r="BJ46" s="516">
        <v>10.1</v>
      </c>
      <c r="BK46" s="516">
        <v>19.3</v>
      </c>
      <c r="BL46" s="516">
        <v>14.8</v>
      </c>
      <c r="BM46" s="516">
        <v>26</v>
      </c>
      <c r="BN46" s="516">
        <v>19.3</v>
      </c>
      <c r="BO46" s="516">
        <v>22.9</v>
      </c>
      <c r="BP46" s="516">
        <v>22.4</v>
      </c>
      <c r="BQ46" s="516">
        <v>29</v>
      </c>
      <c r="BR46" s="516">
        <v>47.1</v>
      </c>
      <c r="BS46" s="516">
        <v>76.5</v>
      </c>
      <c r="BT46" s="516">
        <v>157.9</v>
      </c>
      <c r="BU46" s="516">
        <v>279.8</v>
      </c>
      <c r="BV46" s="516">
        <v>253.4</v>
      </c>
    </row>
    <row r="47" spans="1:74" ht="15.75" thickBot="1">
      <c r="A47" s="518" t="s">
        <v>1085</v>
      </c>
      <c r="AY47" s="499"/>
      <c r="BJ47" s="516">
        <v>4.5</v>
      </c>
      <c r="BK47" s="516">
        <v>2.4</v>
      </c>
      <c r="BL47" s="516">
        <v>0</v>
      </c>
      <c r="BM47" s="516">
        <v>0</v>
      </c>
      <c r="BN47" s="516">
        <v>17</v>
      </c>
      <c r="BO47" s="516">
        <v>10.1</v>
      </c>
      <c r="BP47" s="516">
        <v>0</v>
      </c>
      <c r="BQ47" s="516">
        <v>0</v>
      </c>
      <c r="BR47" s="516">
        <v>0</v>
      </c>
      <c r="BS47" s="516">
        <v>0</v>
      </c>
      <c r="BT47" s="516">
        <v>0</v>
      </c>
      <c r="BU47" s="516">
        <v>0</v>
      </c>
      <c r="BV47" s="516">
        <v>0</v>
      </c>
    </row>
    <row r="48" spans="1:74" ht="15.75" thickBot="1">
      <c r="A48" s="518" t="s">
        <v>1086</v>
      </c>
      <c r="AY48" s="499"/>
      <c r="BJ48" s="516">
        <v>0</v>
      </c>
      <c r="BK48" s="516">
        <v>0</v>
      </c>
      <c r="BL48" s="516">
        <v>3.5</v>
      </c>
      <c r="BM48" s="516">
        <v>0</v>
      </c>
      <c r="BN48" s="516">
        <v>0</v>
      </c>
      <c r="BO48" s="516">
        <v>3</v>
      </c>
      <c r="BP48" s="516">
        <v>17.399999999999999</v>
      </c>
      <c r="BQ48" s="516">
        <v>28.2</v>
      </c>
      <c r="BR48" s="516">
        <v>2.9</v>
      </c>
      <c r="BS48" s="516">
        <v>326</v>
      </c>
      <c r="BT48" s="516">
        <v>86.1</v>
      </c>
      <c r="BU48" s="516">
        <v>90.9</v>
      </c>
      <c r="BV48" s="516">
        <v>0</v>
      </c>
    </row>
    <row r="49" spans="1:74" ht="15.75" thickBot="1">
      <c r="A49" s="515" t="s">
        <v>1087</v>
      </c>
      <c r="AY49" s="499"/>
      <c r="BJ49" s="516">
        <v>24.8</v>
      </c>
      <c r="BK49" s="516">
        <v>0.9</v>
      </c>
      <c r="BL49" s="516">
        <v>7.7</v>
      </c>
      <c r="BM49" s="516">
        <v>10.4</v>
      </c>
      <c r="BN49" s="516">
        <v>11</v>
      </c>
      <c r="BO49" s="516">
        <v>15</v>
      </c>
      <c r="BP49" s="516">
        <v>23.1</v>
      </c>
      <c r="BQ49" s="516">
        <v>41.2</v>
      </c>
      <c r="BR49" s="516">
        <v>91.9</v>
      </c>
      <c r="BS49" s="516">
        <v>58.9</v>
      </c>
      <c r="BT49" s="516">
        <v>82.1</v>
      </c>
      <c r="BU49" s="516">
        <v>142.4</v>
      </c>
      <c r="BV49" s="516">
        <v>162.9</v>
      </c>
    </row>
    <row r="50" spans="1:74" ht="15.75" thickBot="1">
      <c r="A50" s="517" t="s">
        <v>1088</v>
      </c>
      <c r="AY50" s="499"/>
      <c r="BJ50" s="516">
        <v>23.4</v>
      </c>
      <c r="BK50" s="516">
        <v>0.9</v>
      </c>
      <c r="BL50" s="516">
        <v>2.8</v>
      </c>
      <c r="BM50" s="516">
        <v>2.7</v>
      </c>
      <c r="BN50" s="516">
        <v>3.9</v>
      </c>
      <c r="BO50" s="516">
        <v>6.4</v>
      </c>
      <c r="BP50" s="516">
        <v>15.7</v>
      </c>
      <c r="BQ50" s="516">
        <v>33.1</v>
      </c>
      <c r="BR50" s="516">
        <v>81.8</v>
      </c>
      <c r="BS50" s="516">
        <v>47.7</v>
      </c>
      <c r="BT50" s="516">
        <v>62.7</v>
      </c>
      <c r="BU50" s="516">
        <v>90.7</v>
      </c>
      <c r="BV50" s="516">
        <v>118.3</v>
      </c>
    </row>
    <row r="51" spans="1:74" ht="15.75" thickBot="1">
      <c r="A51" s="517" t="s">
        <v>1089</v>
      </c>
      <c r="AY51" s="499"/>
      <c r="BJ51" s="516">
        <v>0</v>
      </c>
      <c r="BK51" s="516">
        <v>0</v>
      </c>
      <c r="BL51" s="516">
        <v>0</v>
      </c>
      <c r="BM51" s="516">
        <v>0</v>
      </c>
      <c r="BN51" s="516">
        <v>0</v>
      </c>
      <c r="BO51" s="516">
        <v>0</v>
      </c>
      <c r="BP51" s="516">
        <v>0</v>
      </c>
      <c r="BQ51" s="516">
        <v>0</v>
      </c>
      <c r="BR51" s="516">
        <v>0</v>
      </c>
      <c r="BS51" s="516">
        <v>0</v>
      </c>
      <c r="BT51" s="516">
        <v>0</v>
      </c>
      <c r="BU51" s="516">
        <v>16.100000000000001</v>
      </c>
      <c r="BV51" s="516">
        <v>8.5</v>
      </c>
    </row>
    <row r="52" spans="1:74">
      <c r="A52" s="517" t="s">
        <v>1090</v>
      </c>
      <c r="AY52" s="499"/>
      <c r="BJ52" s="516">
        <v>1.4</v>
      </c>
      <c r="BK52" s="516">
        <v>0</v>
      </c>
      <c r="BL52" s="516">
        <v>4.9000000000000004</v>
      </c>
      <c r="BM52" s="516">
        <v>7.6</v>
      </c>
      <c r="BN52" s="516">
        <v>7.1</v>
      </c>
      <c r="BO52" s="516">
        <v>8.6</v>
      </c>
      <c r="BP52" s="516">
        <v>7.4</v>
      </c>
      <c r="BQ52" s="516">
        <v>8.1</v>
      </c>
      <c r="BR52" s="516">
        <v>10.1</v>
      </c>
      <c r="BS52" s="516">
        <v>11.3</v>
      </c>
      <c r="BT52" s="516">
        <v>19.399999999999999</v>
      </c>
      <c r="BU52" s="516">
        <v>35.6</v>
      </c>
      <c r="BV52" s="516">
        <v>36.1</v>
      </c>
    </row>
    <row r="53" spans="1:74" ht="15.75" thickBot="1">
      <c r="A53" s="521" t="s">
        <v>1091</v>
      </c>
      <c r="AY53" s="499"/>
      <c r="BJ53" s="514">
        <f>SUM(BJ54:BJ55)</f>
        <v>39.9</v>
      </c>
      <c r="BK53" s="514">
        <f t="shared" ref="BK53:BV53" si="35">SUM(BK54:BK55)</f>
        <v>31.8</v>
      </c>
      <c r="BL53" s="514">
        <f t="shared" si="35"/>
        <v>43.1</v>
      </c>
      <c r="BM53" s="514">
        <f t="shared" si="35"/>
        <v>46.5</v>
      </c>
      <c r="BN53" s="514">
        <f t="shared" si="35"/>
        <v>51.2</v>
      </c>
      <c r="BO53" s="514">
        <f t="shared" si="35"/>
        <v>79.5</v>
      </c>
      <c r="BP53" s="514">
        <f t="shared" si="35"/>
        <v>86.5</v>
      </c>
      <c r="BQ53" s="514">
        <f t="shared" si="35"/>
        <v>185</v>
      </c>
      <c r="BR53" s="514">
        <f t="shared" si="35"/>
        <v>241.7</v>
      </c>
      <c r="BS53" s="514">
        <f t="shared" si="35"/>
        <v>182.1</v>
      </c>
      <c r="BT53" s="514">
        <f t="shared" si="35"/>
        <v>1209.3</v>
      </c>
      <c r="BU53" s="514">
        <f t="shared" si="35"/>
        <v>1620.5</v>
      </c>
      <c r="BV53" s="514">
        <f t="shared" si="35"/>
        <v>1866.9</v>
      </c>
    </row>
    <row r="54" spans="1:74" ht="15.75" thickBot="1">
      <c r="A54" s="522" t="s">
        <v>1092</v>
      </c>
      <c r="AY54" s="499"/>
      <c r="BJ54" s="516">
        <v>29.4</v>
      </c>
      <c r="BK54" s="516">
        <v>8.6999999999999993</v>
      </c>
      <c r="BL54" s="516">
        <v>5.2</v>
      </c>
      <c r="BM54" s="516">
        <v>0</v>
      </c>
      <c r="BN54" s="516">
        <v>0</v>
      </c>
      <c r="BO54" s="516">
        <v>20.8</v>
      </c>
      <c r="BP54" s="516">
        <v>32.299999999999997</v>
      </c>
      <c r="BQ54" s="516">
        <v>81.599999999999994</v>
      </c>
      <c r="BR54" s="516">
        <v>102.7</v>
      </c>
      <c r="BS54" s="516">
        <v>4.9000000000000004</v>
      </c>
      <c r="BT54" s="516">
        <v>951.6</v>
      </c>
      <c r="BU54" s="516">
        <v>1199.5</v>
      </c>
      <c r="BV54" s="516">
        <v>1293.7</v>
      </c>
    </row>
    <row r="55" spans="1:74">
      <c r="A55" s="515" t="s">
        <v>1093</v>
      </c>
      <c r="AY55" s="499"/>
      <c r="BJ55" s="516">
        <v>10.5</v>
      </c>
      <c r="BK55" s="516">
        <v>23.1</v>
      </c>
      <c r="BL55" s="516">
        <v>37.9</v>
      </c>
      <c r="BM55" s="516">
        <v>46.5</v>
      </c>
      <c r="BN55" s="516">
        <v>51.2</v>
      </c>
      <c r="BO55" s="516">
        <v>58.7</v>
      </c>
      <c r="BP55" s="516">
        <v>54.2</v>
      </c>
      <c r="BQ55" s="516">
        <v>103.4</v>
      </c>
      <c r="BR55" s="516">
        <v>139</v>
      </c>
      <c r="BS55" s="516">
        <v>177.2</v>
      </c>
      <c r="BT55" s="516">
        <v>257.7</v>
      </c>
      <c r="BU55" s="516">
        <v>421</v>
      </c>
      <c r="BV55" s="516">
        <v>573.20000000000005</v>
      </c>
    </row>
    <row r="56" spans="1:74">
      <c r="A56" s="513" t="s">
        <v>1094</v>
      </c>
      <c r="AY56" s="499"/>
      <c r="BJ56" s="514">
        <f>BJ53+BJ44</f>
        <v>92.199999999999989</v>
      </c>
      <c r="BK56" s="514">
        <f t="shared" ref="BK56:BV56" si="36">BK53+BK44</f>
        <v>65.7</v>
      </c>
      <c r="BL56" s="514">
        <f t="shared" si="36"/>
        <v>76.5</v>
      </c>
      <c r="BM56" s="514">
        <f t="shared" si="36"/>
        <v>105.19999999999999</v>
      </c>
      <c r="BN56" s="514">
        <f t="shared" si="36"/>
        <v>124.10000000000001</v>
      </c>
      <c r="BO56" s="514">
        <f t="shared" si="36"/>
        <v>162.19999999999999</v>
      </c>
      <c r="BP56" s="514">
        <f t="shared" si="36"/>
        <v>178.1</v>
      </c>
      <c r="BQ56" s="514">
        <f t="shared" si="36"/>
        <v>332.2</v>
      </c>
      <c r="BR56" s="514">
        <f t="shared" si="36"/>
        <v>441.1</v>
      </c>
      <c r="BS56" s="514">
        <f t="shared" si="36"/>
        <v>716.1</v>
      </c>
      <c r="BT56" s="514">
        <f t="shared" si="36"/>
        <v>1649.1999999999998</v>
      </c>
      <c r="BU56" s="514">
        <f t="shared" si="36"/>
        <v>2258.6999999999998</v>
      </c>
      <c r="BV56" s="514">
        <f t="shared" si="36"/>
        <v>2399.4</v>
      </c>
    </row>
    <row r="57" spans="1:74">
      <c r="AY57" s="499"/>
      <c r="BJ57" s="504"/>
      <c r="BK57" s="504"/>
      <c r="BL57" s="504"/>
      <c r="BM57" s="504"/>
      <c r="BN57" s="504"/>
      <c r="BO57" s="504"/>
      <c r="BP57" s="504"/>
      <c r="BQ57" s="504"/>
      <c r="BR57" s="504"/>
      <c r="BS57" s="504"/>
      <c r="BT57" s="504"/>
      <c r="BU57" s="504"/>
      <c r="BV57" s="504"/>
    </row>
    <row r="58" spans="1:74" ht="15.75" thickBot="1">
      <c r="A58" s="513" t="s">
        <v>1095</v>
      </c>
      <c r="AY58" s="499"/>
      <c r="BJ58" s="514">
        <f>SUM(BJ59:BJ62)</f>
        <v>13.999999999999991</v>
      </c>
      <c r="BK58" s="514">
        <f t="shared" ref="BK58:BV58" si="37">SUM(BK59:BK62)</f>
        <v>56.699999999999996</v>
      </c>
      <c r="BL58" s="514">
        <f t="shared" si="37"/>
        <v>40.200000000000003</v>
      </c>
      <c r="BM58" s="514">
        <f t="shared" si="37"/>
        <v>46.9</v>
      </c>
      <c r="BN58" s="514">
        <f t="shared" si="37"/>
        <v>41.399999999999991</v>
      </c>
      <c r="BO58" s="514">
        <f t="shared" si="37"/>
        <v>1.2999999999999943</v>
      </c>
      <c r="BP58" s="514">
        <f t="shared" si="37"/>
        <v>-9.0999999999999766</v>
      </c>
      <c r="BQ58" s="514">
        <f t="shared" si="37"/>
        <v>7.7</v>
      </c>
      <c r="BR58" s="514">
        <f t="shared" si="37"/>
        <v>272.20000000000005</v>
      </c>
      <c r="BS58" s="514">
        <f t="shared" si="37"/>
        <v>483.90000000000003</v>
      </c>
      <c r="BT58" s="514">
        <f t="shared" si="37"/>
        <v>430.2</v>
      </c>
      <c r="BU58" s="514">
        <f t="shared" si="37"/>
        <v>825.5</v>
      </c>
      <c r="BV58" s="514">
        <f t="shared" si="37"/>
        <v>983.59999999999991</v>
      </c>
    </row>
    <row r="59" spans="1:74" ht="15.75" thickBot="1">
      <c r="A59" s="515" t="s">
        <v>1096</v>
      </c>
      <c r="AY59" s="499"/>
      <c r="BJ59" s="516">
        <v>93.6</v>
      </c>
      <c r="BK59" s="516">
        <v>0</v>
      </c>
      <c r="BL59" s="516">
        <v>0</v>
      </c>
      <c r="BM59" s="516">
        <v>0</v>
      </c>
      <c r="BN59" s="516">
        <v>0</v>
      </c>
      <c r="BO59" s="516">
        <v>0</v>
      </c>
      <c r="BP59" s="516">
        <v>0</v>
      </c>
      <c r="BQ59" s="516">
        <v>0</v>
      </c>
      <c r="BR59" s="516">
        <v>0</v>
      </c>
      <c r="BS59" s="516">
        <v>0</v>
      </c>
      <c r="BT59" s="516">
        <v>0</v>
      </c>
      <c r="BU59" s="516">
        <v>0</v>
      </c>
      <c r="BV59" s="516">
        <v>0</v>
      </c>
    </row>
    <row r="60" spans="1:74" ht="15.75" thickBot="1">
      <c r="A60" s="518" t="s">
        <v>1097</v>
      </c>
      <c r="AY60" s="499"/>
      <c r="BJ60" s="519">
        <v>9.1</v>
      </c>
      <c r="BK60" s="519">
        <v>183.6</v>
      </c>
      <c r="BL60" s="519">
        <v>192.9</v>
      </c>
      <c r="BM60" s="519">
        <v>208</v>
      </c>
      <c r="BN60" s="519">
        <v>224.7</v>
      </c>
      <c r="BO60" s="519">
        <v>252.1</v>
      </c>
      <c r="BP60" s="519">
        <v>287.3</v>
      </c>
      <c r="BQ60" s="519">
        <v>353.3</v>
      </c>
      <c r="BR60" s="519">
        <v>458.3</v>
      </c>
      <c r="BS60" s="519">
        <v>534.70000000000005</v>
      </c>
      <c r="BT60" s="519">
        <v>837.9</v>
      </c>
      <c r="BU60" s="519">
        <v>819.1</v>
      </c>
      <c r="BV60" s="519">
        <v>939.3</v>
      </c>
    </row>
    <row r="61" spans="1:74" ht="15.75" thickBot="1">
      <c r="A61" s="518" t="s">
        <v>1098</v>
      </c>
      <c r="AY61" s="499"/>
      <c r="BJ61" s="519">
        <v>-88.8</v>
      </c>
      <c r="BK61" s="519">
        <v>-127</v>
      </c>
      <c r="BL61" s="519">
        <v>-152.9</v>
      </c>
      <c r="BM61" s="519">
        <v>-161</v>
      </c>
      <c r="BN61" s="519">
        <v>-183.1</v>
      </c>
      <c r="BO61" s="519">
        <v>-250.5</v>
      </c>
      <c r="BP61" s="519">
        <v>-295.7</v>
      </c>
      <c r="BQ61" s="519">
        <v>-346.3</v>
      </c>
      <c r="BR61" s="519">
        <v>-185.2</v>
      </c>
      <c r="BS61" s="519">
        <v>-51.2</v>
      </c>
      <c r="BT61" s="519">
        <v>-405.7</v>
      </c>
      <c r="BU61" s="519">
        <v>17.3</v>
      </c>
      <c r="BV61" s="519">
        <v>46.3</v>
      </c>
    </row>
    <row r="62" spans="1:74" ht="15.75" thickBot="1">
      <c r="A62" s="499" t="s">
        <v>1099</v>
      </c>
      <c r="AY62" s="499"/>
      <c r="BJ62" s="516">
        <v>0.1</v>
      </c>
      <c r="BK62" s="516">
        <v>0.1</v>
      </c>
      <c r="BL62" s="516">
        <v>0.2</v>
      </c>
      <c r="BM62" s="516">
        <v>-0.1</v>
      </c>
      <c r="BN62" s="516">
        <v>-0.2</v>
      </c>
      <c r="BO62" s="516">
        <v>-0.3</v>
      </c>
      <c r="BP62" s="516">
        <v>-0.7</v>
      </c>
      <c r="BQ62" s="516">
        <v>0.7</v>
      </c>
      <c r="BR62" s="516">
        <v>-0.9</v>
      </c>
      <c r="BS62" s="516">
        <v>0.4</v>
      </c>
      <c r="BT62" s="516">
        <v>-2</v>
      </c>
      <c r="BU62" s="516">
        <v>-10.9</v>
      </c>
      <c r="BV62" s="516">
        <v>-2</v>
      </c>
    </row>
    <row r="63" spans="1:74" ht="15.75" thickBot="1">
      <c r="A63" s="523" t="s">
        <v>1100</v>
      </c>
      <c r="AY63" s="499"/>
      <c r="BJ63" s="524">
        <v>39.299999999999997</v>
      </c>
      <c r="BK63" s="524">
        <v>40.9</v>
      </c>
      <c r="BL63" s="524">
        <v>42.1</v>
      </c>
      <c r="BM63" s="524">
        <v>43.8</v>
      </c>
      <c r="BN63" s="524">
        <v>45.8</v>
      </c>
      <c r="BO63" s="524">
        <v>62.3</v>
      </c>
      <c r="BP63" s="524">
        <v>85.9</v>
      </c>
      <c r="BQ63" s="524">
        <v>107</v>
      </c>
      <c r="BR63" s="524">
        <v>123.1</v>
      </c>
      <c r="BS63" s="524">
        <v>129</v>
      </c>
      <c r="BT63" s="524">
        <v>133.9</v>
      </c>
      <c r="BU63" s="524">
        <v>136.4</v>
      </c>
      <c r="BV63" s="524">
        <v>135.69999999999999</v>
      </c>
    </row>
    <row r="64" spans="1:74">
      <c r="A64" s="523" t="s">
        <v>1101</v>
      </c>
      <c r="AY64" s="499"/>
      <c r="BJ64" s="525">
        <v>298</v>
      </c>
      <c r="BK64" s="525">
        <v>384</v>
      </c>
      <c r="BL64" s="525">
        <v>398</v>
      </c>
      <c r="BM64" s="525">
        <v>539</v>
      </c>
      <c r="BN64" s="525">
        <v>543</v>
      </c>
      <c r="BO64" s="525">
        <v>430</v>
      </c>
      <c r="BP64" s="525">
        <v>336</v>
      </c>
      <c r="BQ64" s="525">
        <v>427</v>
      </c>
      <c r="BR64" s="525">
        <v>577</v>
      </c>
      <c r="BS64" s="525">
        <v>850</v>
      </c>
      <c r="BT64" s="525">
        <v>2260</v>
      </c>
      <c r="BU64" s="525">
        <v>2821</v>
      </c>
      <c r="BV64" s="525">
        <v>3157</v>
      </c>
    </row>
    <row r="65" spans="1:74">
      <c r="AY65" s="499"/>
      <c r="BJ65" s="504"/>
      <c r="BK65" s="504"/>
      <c r="BL65" s="504"/>
      <c r="BM65" s="504"/>
      <c r="BN65" s="504"/>
      <c r="BO65" s="504"/>
      <c r="BP65" s="504"/>
      <c r="BQ65" s="504"/>
      <c r="BR65" s="504"/>
      <c r="BS65" s="504"/>
      <c r="BT65" s="504"/>
      <c r="BU65" s="504"/>
      <c r="BV65" s="504"/>
    </row>
    <row r="66" spans="1:74" ht="15.75" thickBot="1">
      <c r="A66" s="526" t="s">
        <v>1102</v>
      </c>
      <c r="AY66" s="499"/>
      <c r="BJ66" s="504"/>
      <c r="BK66" s="504"/>
      <c r="BL66" s="504"/>
      <c r="BM66" s="504"/>
      <c r="BN66" s="504"/>
      <c r="BO66" s="504"/>
      <c r="BP66" s="504"/>
      <c r="BQ66" s="504"/>
      <c r="BR66" s="504"/>
      <c r="BS66" s="504"/>
      <c r="BT66" s="504"/>
      <c r="BU66" s="504"/>
      <c r="BV66" s="504"/>
    </row>
    <row r="67" spans="1:74" ht="15.75" thickBot="1">
      <c r="A67" s="518" t="s">
        <v>1103</v>
      </c>
      <c r="AY67" s="499"/>
      <c r="BJ67" s="504">
        <f>BJ14</f>
        <v>-32.290000000000006</v>
      </c>
      <c r="BK67" s="504">
        <f t="shared" ref="BK67:BV67" si="38">BK14</f>
        <v>-38.218000000000004</v>
      </c>
      <c r="BL67" s="504">
        <f t="shared" si="38"/>
        <v>-25.91299999999999</v>
      </c>
      <c r="BM67" s="504">
        <f t="shared" si="38"/>
        <v>-8.051999999999996</v>
      </c>
      <c r="BN67" s="504">
        <f t="shared" si="38"/>
        <v>-22.081999999999979</v>
      </c>
      <c r="BO67" s="504">
        <f t="shared" si="38"/>
        <v>-67.462000000000018</v>
      </c>
      <c r="BP67" s="504">
        <f t="shared" si="38"/>
        <v>-45.191999999999979</v>
      </c>
      <c r="BQ67" s="504">
        <f t="shared" si="38"/>
        <v>-11.627000000000018</v>
      </c>
      <c r="BR67" s="504">
        <f t="shared" si="38"/>
        <v>161.14799999999994</v>
      </c>
      <c r="BS67" s="504">
        <f t="shared" si="38"/>
        <v>133.99499999999995</v>
      </c>
      <c r="BT67" s="504">
        <f t="shared" si="38"/>
        <v>145.44900000000004</v>
      </c>
      <c r="BU67" s="504">
        <f t="shared" si="38"/>
        <v>397.36199999999997</v>
      </c>
      <c r="BV67" s="504">
        <f t="shared" si="38"/>
        <v>438.83600000000007</v>
      </c>
    </row>
    <row r="68" spans="1:74" ht="15.75" thickBot="1">
      <c r="A68" s="515" t="s">
        <v>1104</v>
      </c>
      <c r="AY68" s="499"/>
      <c r="BJ68" s="516">
        <v>3</v>
      </c>
      <c r="BK68" s="516">
        <v>5.6</v>
      </c>
      <c r="BL68" s="516">
        <v>7</v>
      </c>
      <c r="BM68" s="516">
        <v>8.3000000000000007</v>
      </c>
      <c r="BN68" s="516">
        <v>10.5</v>
      </c>
      <c r="BO68" s="516">
        <v>10.6</v>
      </c>
      <c r="BP68" s="516">
        <v>9</v>
      </c>
      <c r="BQ68" s="516">
        <v>9.6999999999999993</v>
      </c>
      <c r="BR68" s="516">
        <v>14.1</v>
      </c>
      <c r="BS68" s="516">
        <v>18.100000000000001</v>
      </c>
      <c r="BT68" s="516">
        <v>32.4</v>
      </c>
      <c r="BU68" s="516">
        <v>58.8</v>
      </c>
      <c r="BV68" s="516">
        <v>74.7</v>
      </c>
    </row>
    <row r="69" spans="1:74" ht="15.75" thickBot="1">
      <c r="A69" s="518" t="s">
        <v>1105</v>
      </c>
      <c r="AY69" s="499"/>
      <c r="BJ69" s="504" t="e">
        <f>#REF!</f>
        <v>#REF!</v>
      </c>
      <c r="BK69" s="504" t="e">
        <f>#REF!</f>
        <v>#REF!</v>
      </c>
      <c r="BL69" s="504" t="e">
        <f>#REF!</f>
        <v>#REF!</v>
      </c>
      <c r="BM69" s="504" t="e">
        <f>#REF!</f>
        <v>#REF!</v>
      </c>
      <c r="BN69" s="504" t="e">
        <f>#REF!</f>
        <v>#REF!</v>
      </c>
      <c r="BO69" s="504" t="e">
        <f>#REF!</f>
        <v>#REF!</v>
      </c>
      <c r="BP69" s="504" t="e">
        <f>#REF!</f>
        <v>#REF!</v>
      </c>
      <c r="BQ69" s="504" t="e">
        <f>#REF!</f>
        <v>#REF!</v>
      </c>
      <c r="BR69" s="504" t="e">
        <f>#REF!</f>
        <v>#REF!</v>
      </c>
      <c r="BS69" s="504" t="e">
        <f>#REF!</f>
        <v>#REF!</v>
      </c>
      <c r="BT69" s="504" t="e">
        <f>#REF!</f>
        <v>#REF!</v>
      </c>
      <c r="BU69" s="504" t="e">
        <f>#REF!</f>
        <v>#REF!</v>
      </c>
      <c r="BV69" s="504" t="e">
        <f>#REF!</f>
        <v>#REF!</v>
      </c>
    </row>
    <row r="70" spans="1:74" ht="15.75" thickBot="1">
      <c r="A70" s="518" t="s">
        <v>1106</v>
      </c>
      <c r="AY70" s="499"/>
      <c r="BJ70" s="504" t="e">
        <f>#REF!</f>
        <v>#REF!</v>
      </c>
      <c r="BK70" s="504" t="e">
        <f>#REF!</f>
        <v>#REF!</v>
      </c>
      <c r="BL70" s="504" t="e">
        <f>#REF!</f>
        <v>#REF!</v>
      </c>
      <c r="BM70" s="504" t="e">
        <f>#REF!</f>
        <v>#REF!</v>
      </c>
      <c r="BN70" s="504" t="e">
        <f>#REF!</f>
        <v>#REF!</v>
      </c>
      <c r="BO70" s="504" t="e">
        <f>#REF!</f>
        <v>#REF!</v>
      </c>
      <c r="BP70" s="504" t="e">
        <f>#REF!</f>
        <v>#REF!</v>
      </c>
      <c r="BQ70" s="504" t="e">
        <f>#REF!</f>
        <v>#REF!</v>
      </c>
      <c r="BR70" s="504" t="e">
        <f>#REF!</f>
        <v>#REF!</v>
      </c>
      <c r="BS70" s="504" t="e">
        <f>#REF!</f>
        <v>#REF!</v>
      </c>
      <c r="BT70" s="504" t="e">
        <f>#REF!</f>
        <v>#REF!</v>
      </c>
      <c r="BU70" s="504" t="e">
        <f>#REF!</f>
        <v>#REF!</v>
      </c>
      <c r="BV70" s="504" t="e">
        <f>#REF!</f>
        <v>#REF!</v>
      </c>
    </row>
    <row r="71" spans="1:74" ht="15.75" thickBot="1">
      <c r="A71" s="515" t="s">
        <v>1107</v>
      </c>
      <c r="AY71" s="499"/>
      <c r="BJ71" s="516">
        <v>24.5</v>
      </c>
      <c r="BK71" s="516">
        <v>-22.2</v>
      </c>
      <c r="BL71" s="516">
        <v>10</v>
      </c>
      <c r="BM71" s="516">
        <v>12.8</v>
      </c>
      <c r="BN71" s="516">
        <v>-23.3</v>
      </c>
      <c r="BO71" s="516">
        <v>7.1</v>
      </c>
      <c r="BP71" s="516">
        <v>-1.4</v>
      </c>
      <c r="BQ71" s="516">
        <v>1.5</v>
      </c>
      <c r="BR71" s="516">
        <v>1.4</v>
      </c>
      <c r="BS71" s="516">
        <v>-24.7</v>
      </c>
      <c r="BT71" s="516">
        <v>15.1</v>
      </c>
      <c r="BU71" s="516">
        <v>62.1</v>
      </c>
      <c r="BV71" s="516">
        <v>17.100000000000001</v>
      </c>
    </row>
    <row r="72" spans="1:74" ht="15.75" thickBot="1">
      <c r="A72" s="517" t="s">
        <v>1108</v>
      </c>
      <c r="AY72" s="499"/>
      <c r="BJ72" s="516">
        <v>-9.9</v>
      </c>
      <c r="BK72" s="516">
        <v>-11</v>
      </c>
      <c r="BL72" s="516">
        <v>-5</v>
      </c>
      <c r="BM72" s="516">
        <v>-13.7</v>
      </c>
      <c r="BN72" s="516">
        <v>-2.5</v>
      </c>
      <c r="BO72" s="516">
        <v>-18</v>
      </c>
      <c r="BP72" s="516">
        <v>-4.8</v>
      </c>
      <c r="BQ72" s="516">
        <v>-13.5</v>
      </c>
      <c r="BR72" s="516">
        <v>-68.7</v>
      </c>
      <c r="BS72" s="516">
        <v>-34.299999999999997</v>
      </c>
      <c r="BT72" s="516">
        <v>-151.19999999999999</v>
      </c>
      <c r="BU72" s="516">
        <v>-107.6</v>
      </c>
      <c r="BV72" s="516">
        <v>-12.5</v>
      </c>
    </row>
    <row r="73" spans="1:74" ht="15.75" thickBot="1">
      <c r="A73" s="517" t="s">
        <v>1109</v>
      </c>
      <c r="AY73" s="499"/>
      <c r="BJ73" s="516">
        <v>-6.7</v>
      </c>
      <c r="BK73" s="516">
        <v>-8.6</v>
      </c>
      <c r="BL73" s="516">
        <v>3.3</v>
      </c>
      <c r="BM73" s="516">
        <v>-5</v>
      </c>
      <c r="BN73" s="516">
        <v>-19.2</v>
      </c>
      <c r="BO73" s="516">
        <v>8.8000000000000007</v>
      </c>
      <c r="BP73" s="516">
        <v>6</v>
      </c>
      <c r="BQ73" s="516">
        <v>9.6999999999999993</v>
      </c>
      <c r="BR73" s="516">
        <v>-15.8</v>
      </c>
      <c r="BS73" s="516">
        <v>-9.6999999999999993</v>
      </c>
      <c r="BT73" s="516">
        <v>-29.3</v>
      </c>
      <c r="BU73" s="516">
        <v>-75.3</v>
      </c>
      <c r="BV73" s="516">
        <v>-63.9</v>
      </c>
    </row>
    <row r="74" spans="1:74" ht="15.75" thickBot="1">
      <c r="A74" s="517" t="s">
        <v>1074</v>
      </c>
      <c r="AY74" s="499"/>
      <c r="BJ74" s="516">
        <v>-1.6</v>
      </c>
      <c r="BK74" s="516">
        <v>-0.7</v>
      </c>
      <c r="BL74" s="516">
        <v>-1.5</v>
      </c>
      <c r="BM74" s="516">
        <v>-2.5</v>
      </c>
      <c r="BN74" s="516">
        <v>-5.3</v>
      </c>
      <c r="BO74" s="516">
        <v>-4.8</v>
      </c>
      <c r="BP74" s="516">
        <v>-1.2</v>
      </c>
      <c r="BQ74" s="516">
        <v>-3.1</v>
      </c>
      <c r="BR74" s="516">
        <v>-14.3</v>
      </c>
      <c r="BS74" s="516">
        <v>-14.6</v>
      </c>
      <c r="BT74" s="516">
        <v>-26.9</v>
      </c>
      <c r="BU74" s="516">
        <v>-68.400000000000006</v>
      </c>
      <c r="BV74" s="516">
        <v>-59.8</v>
      </c>
    </row>
    <row r="75" spans="1:74" ht="15.75" thickBot="1">
      <c r="A75" s="517" t="s">
        <v>1110</v>
      </c>
      <c r="AY75" s="499"/>
      <c r="BJ75" s="516">
        <v>0</v>
      </c>
      <c r="BK75" s="516">
        <v>0</v>
      </c>
      <c r="BL75" s="516">
        <v>0</v>
      </c>
      <c r="BM75" s="516">
        <v>0</v>
      </c>
      <c r="BN75" s="516">
        <v>0</v>
      </c>
      <c r="BO75" s="516">
        <v>0</v>
      </c>
      <c r="BP75" s="516">
        <v>0</v>
      </c>
      <c r="BQ75" s="516">
        <v>-10</v>
      </c>
      <c r="BR75" s="516">
        <v>0</v>
      </c>
      <c r="BS75" s="516">
        <v>0</v>
      </c>
      <c r="BT75" s="516">
        <v>0</v>
      </c>
      <c r="BU75" s="516">
        <v>0</v>
      </c>
      <c r="BV75" s="516">
        <v>0</v>
      </c>
    </row>
    <row r="76" spans="1:74" ht="15.75" thickBot="1">
      <c r="A76" s="517" t="s">
        <v>1111</v>
      </c>
      <c r="AY76" s="499"/>
      <c r="BJ76" s="516">
        <v>17.3</v>
      </c>
      <c r="BK76" s="516">
        <v>16.8</v>
      </c>
      <c r="BL76" s="516">
        <v>7.6</v>
      </c>
      <c r="BM76" s="516">
        <v>25.3</v>
      </c>
      <c r="BN76" s="516">
        <v>-2.6</v>
      </c>
      <c r="BO76" s="516">
        <v>8.9</v>
      </c>
      <c r="BP76" s="516">
        <v>-5.0999999999999996</v>
      </c>
      <c r="BQ76" s="516">
        <v>23.1</v>
      </c>
      <c r="BR76" s="516">
        <v>22.2</v>
      </c>
      <c r="BS76" s="516">
        <v>35.700000000000003</v>
      </c>
      <c r="BT76" s="516">
        <v>117.2</v>
      </c>
      <c r="BU76" s="516">
        <v>133.4</v>
      </c>
      <c r="BV76" s="516">
        <v>-22.1</v>
      </c>
    </row>
    <row r="77" spans="1:74" ht="15.75" thickBot="1">
      <c r="A77" s="517" t="s">
        <v>1112</v>
      </c>
      <c r="AY77" s="499"/>
      <c r="BJ77" s="516">
        <v>25.4</v>
      </c>
      <c r="BK77" s="516">
        <v>-18.600000000000001</v>
      </c>
      <c r="BL77" s="516">
        <v>5.6</v>
      </c>
      <c r="BM77" s="516">
        <v>8.8000000000000007</v>
      </c>
      <c r="BN77" s="516">
        <v>6.3</v>
      </c>
      <c r="BO77" s="516">
        <v>12.1</v>
      </c>
      <c r="BP77" s="516">
        <v>3.7</v>
      </c>
      <c r="BQ77" s="516">
        <v>-4.5999999999999996</v>
      </c>
      <c r="BR77" s="516">
        <v>78.099999999999994</v>
      </c>
      <c r="BS77" s="516">
        <v>-1.7</v>
      </c>
      <c r="BT77" s="516">
        <v>105.2</v>
      </c>
      <c r="BU77" s="516">
        <v>180</v>
      </c>
      <c r="BV77" s="516">
        <v>175.4</v>
      </c>
    </row>
    <row r="78" spans="1:74">
      <c r="A78" s="518" t="s">
        <v>1113</v>
      </c>
      <c r="AY78" s="499"/>
      <c r="BJ78" s="504" t="e">
        <f>BJ67+SUM(BJ68:BJ71)</f>
        <v>#REF!</v>
      </c>
      <c r="BK78" s="504" t="e">
        <f t="shared" ref="BK78:BV78" si="39">BK67+SUM(BK68:BK71)</f>
        <v>#REF!</v>
      </c>
      <c r="BL78" s="504" t="e">
        <f t="shared" si="39"/>
        <v>#REF!</v>
      </c>
      <c r="BM78" s="504" t="e">
        <f t="shared" si="39"/>
        <v>#REF!</v>
      </c>
      <c r="BN78" s="504" t="e">
        <f t="shared" si="39"/>
        <v>#REF!</v>
      </c>
      <c r="BO78" s="504" t="e">
        <f t="shared" si="39"/>
        <v>#REF!</v>
      </c>
      <c r="BP78" s="504" t="e">
        <f t="shared" si="39"/>
        <v>#REF!</v>
      </c>
      <c r="BQ78" s="504" t="e">
        <f t="shared" si="39"/>
        <v>#REF!</v>
      </c>
      <c r="BR78" s="504" t="e">
        <f t="shared" si="39"/>
        <v>#REF!</v>
      </c>
      <c r="BS78" s="504" t="e">
        <f t="shared" si="39"/>
        <v>#REF!</v>
      </c>
      <c r="BT78" s="504" t="e">
        <f t="shared" si="39"/>
        <v>#REF!</v>
      </c>
      <c r="BU78" s="504" t="e">
        <f t="shared" si="39"/>
        <v>#REF!</v>
      </c>
      <c r="BV78" s="504" t="e">
        <f t="shared" si="39"/>
        <v>#REF!</v>
      </c>
    </row>
    <row r="79" spans="1:74" ht="15.75" thickBot="1">
      <c r="A79" s="526" t="s">
        <v>1114</v>
      </c>
      <c r="AY79" s="499"/>
      <c r="BJ79" s="504"/>
      <c r="BK79" s="504"/>
      <c r="BL79" s="504"/>
      <c r="BM79" s="504"/>
      <c r="BN79" s="504"/>
      <c r="BO79" s="504"/>
      <c r="BP79" s="504"/>
      <c r="BQ79" s="504"/>
      <c r="BR79" s="504"/>
      <c r="BS79" s="504"/>
      <c r="BT79" s="504"/>
      <c r="BU79" s="504"/>
      <c r="BV79" s="504"/>
    </row>
    <row r="80" spans="1:74" ht="15.75" thickBot="1">
      <c r="A80" s="515" t="s">
        <v>1115</v>
      </c>
      <c r="AY80" s="499"/>
      <c r="BJ80" s="504" t="e">
        <f>#REF!</f>
        <v>#REF!</v>
      </c>
      <c r="BK80" s="504" t="e">
        <f>#REF!</f>
        <v>#REF!</v>
      </c>
      <c r="BL80" s="504" t="e">
        <f>#REF!</f>
        <v>#REF!</v>
      </c>
      <c r="BM80" s="504" t="e">
        <f>#REF!</f>
        <v>#REF!</v>
      </c>
      <c r="BN80" s="504" t="e">
        <f>#REF!</f>
        <v>#REF!</v>
      </c>
      <c r="BO80" s="504" t="e">
        <f>#REF!</f>
        <v>#REF!</v>
      </c>
      <c r="BP80" s="504" t="e">
        <f>#REF!</f>
        <v>#REF!</v>
      </c>
      <c r="BQ80" s="504" t="e">
        <f>#REF!</f>
        <v>#REF!</v>
      </c>
      <c r="BR80" s="504" t="e">
        <f>#REF!</f>
        <v>#REF!</v>
      </c>
      <c r="BS80" s="504" t="e">
        <f>#REF!</f>
        <v>#REF!</v>
      </c>
      <c r="BT80" s="504" t="e">
        <f>#REF!</f>
        <v>#REF!</v>
      </c>
      <c r="BU80" s="504" t="e">
        <f>#REF!</f>
        <v>#REF!</v>
      </c>
      <c r="BV80" s="504" t="e">
        <f>#REF!</f>
        <v>#REF!</v>
      </c>
    </row>
    <row r="81" spans="1:74" ht="15.75" thickBot="1">
      <c r="A81" s="517" t="s">
        <v>1116</v>
      </c>
      <c r="AY81" s="499"/>
      <c r="BJ81" s="504" t="e">
        <f>#REF!</f>
        <v>#REF!</v>
      </c>
      <c r="BK81" s="504" t="e">
        <f>#REF!</f>
        <v>#REF!</v>
      </c>
      <c r="BL81" s="504" t="e">
        <f>#REF!</f>
        <v>#REF!</v>
      </c>
      <c r="BM81" s="504" t="e">
        <f>#REF!</f>
        <v>#REF!</v>
      </c>
      <c r="BN81" s="504" t="e">
        <f>#REF!</f>
        <v>#REF!</v>
      </c>
      <c r="BO81" s="504" t="e">
        <f>#REF!</f>
        <v>#REF!</v>
      </c>
      <c r="BP81" s="504" t="e">
        <f>#REF!</f>
        <v>#REF!</v>
      </c>
      <c r="BQ81" s="504" t="e">
        <f>#REF!</f>
        <v>#REF!</v>
      </c>
      <c r="BR81" s="504" t="e">
        <f>#REF!</f>
        <v>#REF!</v>
      </c>
      <c r="BS81" s="504" t="e">
        <f>#REF!</f>
        <v>#REF!</v>
      </c>
      <c r="BT81" s="504" t="e">
        <f>#REF!</f>
        <v>#REF!</v>
      </c>
      <c r="BU81" s="504" t="e">
        <f>#REF!</f>
        <v>#REF!</v>
      </c>
      <c r="BV81" s="504" t="e">
        <f>#REF!</f>
        <v>#REF!</v>
      </c>
    </row>
    <row r="82" spans="1:74" ht="15.75" thickBot="1">
      <c r="A82" s="517" t="s">
        <v>1117</v>
      </c>
      <c r="AY82" s="499"/>
      <c r="BJ82" s="504" t="e">
        <f>#REF!</f>
        <v>#REF!</v>
      </c>
      <c r="BK82" s="504" t="e">
        <f>#REF!</f>
        <v>#REF!</v>
      </c>
      <c r="BL82" s="504" t="e">
        <f>#REF!</f>
        <v>#REF!</v>
      </c>
      <c r="BM82" s="504" t="e">
        <f>#REF!</f>
        <v>#REF!</v>
      </c>
      <c r="BN82" s="504" t="e">
        <f>#REF!</f>
        <v>#REF!</v>
      </c>
      <c r="BO82" s="504" t="e">
        <f>#REF!</f>
        <v>#REF!</v>
      </c>
      <c r="BP82" s="504" t="e">
        <f>#REF!</f>
        <v>#REF!</v>
      </c>
      <c r="BQ82" s="504" t="e">
        <f>#REF!</f>
        <v>#REF!</v>
      </c>
      <c r="BR82" s="504" t="e">
        <f>#REF!</f>
        <v>#REF!</v>
      </c>
      <c r="BS82" s="504" t="e">
        <f>#REF!</f>
        <v>#REF!</v>
      </c>
      <c r="BT82" s="504" t="e">
        <f>#REF!</f>
        <v>#REF!</v>
      </c>
      <c r="BU82" s="504" t="e">
        <f>#REF!</f>
        <v>#REF!</v>
      </c>
      <c r="BV82" s="504" t="e">
        <f>#REF!</f>
        <v>#REF!</v>
      </c>
    </row>
    <row r="83" spans="1:74" ht="15.75" thickBot="1">
      <c r="A83" s="515" t="s">
        <v>1118</v>
      </c>
      <c r="AY83" s="499"/>
      <c r="BJ83" s="504" t="e">
        <f>#REF!</f>
        <v>#REF!</v>
      </c>
      <c r="BK83" s="504" t="e">
        <f>#REF!</f>
        <v>#REF!</v>
      </c>
      <c r="BL83" s="504" t="e">
        <f>#REF!</f>
        <v>#REF!</v>
      </c>
      <c r="BM83" s="504" t="e">
        <f>#REF!</f>
        <v>#REF!</v>
      </c>
      <c r="BN83" s="504" t="e">
        <f>#REF!</f>
        <v>#REF!</v>
      </c>
      <c r="BO83" s="504" t="e">
        <f>#REF!</f>
        <v>#REF!</v>
      </c>
      <c r="BP83" s="504" t="e">
        <f>#REF!</f>
        <v>#REF!</v>
      </c>
      <c r="BQ83" s="504" t="e">
        <f>#REF!</f>
        <v>#REF!</v>
      </c>
      <c r="BR83" s="504" t="e">
        <f>#REF!</f>
        <v>#REF!</v>
      </c>
      <c r="BS83" s="504" t="e">
        <f>#REF!</f>
        <v>#REF!</v>
      </c>
      <c r="BT83" s="504" t="e">
        <f>#REF!</f>
        <v>#REF!</v>
      </c>
      <c r="BU83" s="504" t="e">
        <f>#REF!</f>
        <v>#REF!</v>
      </c>
      <c r="BV83" s="504" t="e">
        <f>#REF!</f>
        <v>#REF!</v>
      </c>
    </row>
    <row r="84" spans="1:74" ht="15.75" thickBot="1">
      <c r="A84" s="517" t="s">
        <v>1119</v>
      </c>
      <c r="AY84" s="499"/>
      <c r="BJ84" s="504" t="e">
        <f>#REF!</f>
        <v>#REF!</v>
      </c>
      <c r="BK84" s="504" t="e">
        <f>#REF!</f>
        <v>#REF!</v>
      </c>
      <c r="BL84" s="504" t="e">
        <f>#REF!</f>
        <v>#REF!</v>
      </c>
      <c r="BM84" s="504" t="e">
        <f>#REF!</f>
        <v>#REF!</v>
      </c>
      <c r="BN84" s="504" t="e">
        <f>#REF!</f>
        <v>#REF!</v>
      </c>
      <c r="BO84" s="504" t="e">
        <f>#REF!</f>
        <v>#REF!</v>
      </c>
      <c r="BP84" s="504" t="e">
        <f>#REF!</f>
        <v>#REF!</v>
      </c>
      <c r="BQ84" s="504" t="e">
        <f>#REF!</f>
        <v>#REF!</v>
      </c>
      <c r="BR84" s="504" t="e">
        <f>#REF!</f>
        <v>#REF!</v>
      </c>
      <c r="BS84" s="504" t="e">
        <f>#REF!</f>
        <v>#REF!</v>
      </c>
      <c r="BT84" s="504" t="e">
        <f>#REF!</f>
        <v>#REF!</v>
      </c>
      <c r="BU84" s="504" t="e">
        <f>#REF!</f>
        <v>#REF!</v>
      </c>
      <c r="BV84" s="504" t="e">
        <f>#REF!</f>
        <v>#REF!</v>
      </c>
    </row>
    <row r="85" spans="1:74" ht="15.75" thickBot="1">
      <c r="A85" s="517" t="s">
        <v>1120</v>
      </c>
      <c r="AY85" s="499"/>
      <c r="BJ85" s="504" t="e">
        <f>#REF!</f>
        <v>#REF!</v>
      </c>
      <c r="BK85" s="504" t="e">
        <f>#REF!</f>
        <v>#REF!</v>
      </c>
      <c r="BL85" s="504" t="e">
        <f>#REF!</f>
        <v>#REF!</v>
      </c>
      <c r="BM85" s="504" t="e">
        <f>#REF!</f>
        <v>#REF!</v>
      </c>
      <c r="BN85" s="504" t="e">
        <f>#REF!</f>
        <v>#REF!</v>
      </c>
      <c r="BO85" s="504" t="e">
        <f>#REF!</f>
        <v>#REF!</v>
      </c>
      <c r="BP85" s="504" t="e">
        <f>#REF!</f>
        <v>#REF!</v>
      </c>
      <c r="BQ85" s="504" t="e">
        <f>#REF!</f>
        <v>#REF!</v>
      </c>
      <c r="BR85" s="504" t="e">
        <f>#REF!</f>
        <v>#REF!</v>
      </c>
      <c r="BS85" s="504" t="e">
        <f>#REF!</f>
        <v>#REF!</v>
      </c>
      <c r="BT85" s="504" t="e">
        <f>#REF!</f>
        <v>#REF!</v>
      </c>
      <c r="BU85" s="504" t="e">
        <f>#REF!</f>
        <v>#REF!</v>
      </c>
      <c r="BV85" s="504" t="e">
        <f>#REF!</f>
        <v>#REF!</v>
      </c>
    </row>
    <row r="86" spans="1:74" ht="15.75" thickBot="1">
      <c r="A86" s="517" t="s">
        <v>1121</v>
      </c>
      <c r="AY86" s="499"/>
      <c r="BJ86" s="504" t="e">
        <f>#REF!</f>
        <v>#REF!</v>
      </c>
      <c r="BK86" s="504" t="e">
        <f>#REF!</f>
        <v>#REF!</v>
      </c>
      <c r="BL86" s="504" t="e">
        <f>#REF!</f>
        <v>#REF!</v>
      </c>
      <c r="BM86" s="504" t="e">
        <f>#REF!</f>
        <v>#REF!</v>
      </c>
      <c r="BN86" s="504" t="e">
        <f>#REF!</f>
        <v>#REF!</v>
      </c>
      <c r="BO86" s="504" t="e">
        <f>#REF!</f>
        <v>#REF!</v>
      </c>
      <c r="BP86" s="504" t="e">
        <f>#REF!</f>
        <v>#REF!</v>
      </c>
      <c r="BQ86" s="504" t="e">
        <f>#REF!</f>
        <v>#REF!</v>
      </c>
      <c r="BR86" s="504" t="e">
        <f>#REF!</f>
        <v>#REF!</v>
      </c>
      <c r="BS86" s="504" t="e">
        <f>#REF!</f>
        <v>#REF!</v>
      </c>
      <c r="BT86" s="504" t="e">
        <f>#REF!</f>
        <v>#REF!</v>
      </c>
      <c r="BU86" s="504" t="e">
        <f>#REF!</f>
        <v>#REF!</v>
      </c>
      <c r="BV86" s="504" t="e">
        <f>#REF!</f>
        <v>#REF!</v>
      </c>
    </row>
    <row r="87" spans="1:74" ht="15.75" thickBot="1">
      <c r="A87" s="517" t="s">
        <v>1122</v>
      </c>
      <c r="AY87" s="499"/>
      <c r="BJ87" s="504" t="e">
        <f>#REF!</f>
        <v>#REF!</v>
      </c>
      <c r="BK87" s="504" t="e">
        <f>#REF!</f>
        <v>#REF!</v>
      </c>
      <c r="BL87" s="504" t="e">
        <f>#REF!</f>
        <v>#REF!</v>
      </c>
      <c r="BM87" s="504" t="e">
        <f>#REF!</f>
        <v>#REF!</v>
      </c>
      <c r="BN87" s="504" t="e">
        <f>#REF!</f>
        <v>#REF!</v>
      </c>
      <c r="BO87" s="504" t="e">
        <f>#REF!</f>
        <v>#REF!</v>
      </c>
      <c r="BP87" s="504" t="e">
        <f>#REF!</f>
        <v>#REF!</v>
      </c>
      <c r="BQ87" s="504" t="e">
        <f>#REF!</f>
        <v>#REF!</v>
      </c>
      <c r="BR87" s="504" t="e">
        <f>#REF!</f>
        <v>#REF!</v>
      </c>
      <c r="BS87" s="504" t="e">
        <f>#REF!</f>
        <v>#REF!</v>
      </c>
      <c r="BT87" s="504" t="e">
        <f>#REF!</f>
        <v>#REF!</v>
      </c>
      <c r="BU87" s="504" t="e">
        <f>#REF!</f>
        <v>#REF!</v>
      </c>
      <c r="BV87" s="504" t="e">
        <f>#REF!</f>
        <v>#REF!</v>
      </c>
    </row>
    <row r="88" spans="1:74" ht="15.75" thickBot="1">
      <c r="A88" s="517" t="s">
        <v>1123</v>
      </c>
      <c r="AY88" s="499"/>
      <c r="BJ88" s="504" t="e">
        <f>#REF!</f>
        <v>#REF!</v>
      </c>
      <c r="BK88" s="504" t="e">
        <f>#REF!</f>
        <v>#REF!</v>
      </c>
      <c r="BL88" s="504" t="e">
        <f>#REF!</f>
        <v>#REF!</v>
      </c>
      <c r="BM88" s="504" t="e">
        <f>#REF!</f>
        <v>#REF!</v>
      </c>
      <c r="BN88" s="504" t="e">
        <f>#REF!</f>
        <v>#REF!</v>
      </c>
      <c r="BO88" s="504" t="e">
        <f>#REF!</f>
        <v>#REF!</v>
      </c>
      <c r="BP88" s="504" t="e">
        <f>#REF!</f>
        <v>#REF!</v>
      </c>
      <c r="BQ88" s="504" t="e">
        <f>#REF!</f>
        <v>#REF!</v>
      </c>
      <c r="BR88" s="504" t="e">
        <f>#REF!</f>
        <v>#REF!</v>
      </c>
      <c r="BS88" s="504" t="e">
        <f>#REF!</f>
        <v>#REF!</v>
      </c>
      <c r="BT88" s="504" t="e">
        <f>#REF!</f>
        <v>#REF!</v>
      </c>
      <c r="BU88" s="504" t="e">
        <f>#REF!</f>
        <v>#REF!</v>
      </c>
      <c r="BV88" s="504" t="e">
        <f>#REF!</f>
        <v>#REF!</v>
      </c>
    </row>
    <row r="89" spans="1:74" ht="15.75" thickBot="1">
      <c r="A89" s="517" t="s">
        <v>1124</v>
      </c>
      <c r="AY89" s="499"/>
      <c r="BJ89" s="504" t="e">
        <f>#REF!</f>
        <v>#REF!</v>
      </c>
      <c r="BK89" s="504" t="e">
        <f>#REF!</f>
        <v>#REF!</v>
      </c>
      <c r="BL89" s="504" t="e">
        <f>#REF!</f>
        <v>#REF!</v>
      </c>
      <c r="BM89" s="504" t="e">
        <f>#REF!</f>
        <v>#REF!</v>
      </c>
      <c r="BN89" s="504" t="e">
        <f>#REF!</f>
        <v>#REF!</v>
      </c>
      <c r="BO89" s="504" t="e">
        <f>#REF!</f>
        <v>#REF!</v>
      </c>
      <c r="BP89" s="504" t="e">
        <f>#REF!</f>
        <v>#REF!</v>
      </c>
      <c r="BQ89" s="504" t="e">
        <f>#REF!</f>
        <v>#REF!</v>
      </c>
      <c r="BR89" s="504" t="e">
        <f>#REF!</f>
        <v>#REF!</v>
      </c>
      <c r="BS89" s="504" t="e">
        <f>#REF!</f>
        <v>#REF!</v>
      </c>
      <c r="BT89" s="504" t="e">
        <f>#REF!</f>
        <v>#REF!</v>
      </c>
      <c r="BU89" s="504" t="e">
        <f>#REF!</f>
        <v>#REF!</v>
      </c>
      <c r="BV89" s="504" t="e">
        <f>#REF!</f>
        <v>#REF!</v>
      </c>
    </row>
    <row r="90" spans="1:74">
      <c r="A90" s="515" t="s">
        <v>1125</v>
      </c>
      <c r="AY90" s="499"/>
      <c r="BJ90" s="504" t="e">
        <f>BJ80+BJ83</f>
        <v>#REF!</v>
      </c>
      <c r="BK90" s="504" t="e">
        <f t="shared" ref="BK90:BV90" si="40">BK80+BK83</f>
        <v>#REF!</v>
      </c>
      <c r="BL90" s="504" t="e">
        <f t="shared" si="40"/>
        <v>#REF!</v>
      </c>
      <c r="BM90" s="504" t="e">
        <f t="shared" si="40"/>
        <v>#REF!</v>
      </c>
      <c r="BN90" s="504" t="e">
        <f t="shared" si="40"/>
        <v>#REF!</v>
      </c>
      <c r="BO90" s="504" t="e">
        <f t="shared" si="40"/>
        <v>#REF!</v>
      </c>
      <c r="BP90" s="504" t="e">
        <f t="shared" si="40"/>
        <v>#REF!</v>
      </c>
      <c r="BQ90" s="504" t="e">
        <f t="shared" si="40"/>
        <v>#REF!</v>
      </c>
      <c r="BR90" s="504" t="e">
        <f t="shared" si="40"/>
        <v>#REF!</v>
      </c>
      <c r="BS90" s="504" t="e">
        <f t="shared" si="40"/>
        <v>#REF!</v>
      </c>
      <c r="BT90" s="504" t="e">
        <f t="shared" si="40"/>
        <v>#REF!</v>
      </c>
      <c r="BU90" s="504" t="e">
        <f t="shared" si="40"/>
        <v>#REF!</v>
      </c>
      <c r="BV90" s="504" t="e">
        <f t="shared" si="40"/>
        <v>#REF!</v>
      </c>
    </row>
    <row r="91" spans="1:74" ht="15.75" thickBot="1">
      <c r="A91" s="527" t="s">
        <v>1126</v>
      </c>
      <c r="AY91" s="499"/>
      <c r="BJ91" s="504"/>
      <c r="BK91" s="504"/>
      <c r="BL91" s="504"/>
      <c r="BM91" s="504"/>
      <c r="BN91" s="504"/>
      <c r="BO91" s="504"/>
      <c r="BP91" s="504"/>
      <c r="BQ91" s="504"/>
      <c r="BR91" s="504"/>
      <c r="BS91" s="504"/>
      <c r="BT91" s="504"/>
      <c r="BU91" s="504"/>
      <c r="BV91" s="504"/>
    </row>
    <row r="92" spans="1:74" ht="15.75" thickBot="1">
      <c r="A92" s="515" t="s">
        <v>1127</v>
      </c>
      <c r="AY92" s="499"/>
      <c r="BJ92" s="504" t="e">
        <f>#REF!</f>
        <v>#REF!</v>
      </c>
      <c r="BK92" s="504" t="e">
        <f>#REF!</f>
        <v>#REF!</v>
      </c>
      <c r="BL92" s="504" t="e">
        <f>#REF!</f>
        <v>#REF!</v>
      </c>
      <c r="BM92" s="504" t="e">
        <f>#REF!</f>
        <v>#REF!</v>
      </c>
      <c r="BN92" s="504" t="e">
        <f>#REF!</f>
        <v>#REF!</v>
      </c>
      <c r="BO92" s="504" t="e">
        <f>#REF!</f>
        <v>#REF!</v>
      </c>
      <c r="BP92" s="504" t="e">
        <f>#REF!</f>
        <v>#REF!</v>
      </c>
      <c r="BQ92" s="504" t="e">
        <f>#REF!</f>
        <v>#REF!</v>
      </c>
      <c r="BR92" s="504" t="e">
        <f>#REF!</f>
        <v>#REF!</v>
      </c>
      <c r="BS92" s="504" t="e">
        <f>#REF!</f>
        <v>#REF!</v>
      </c>
      <c r="BT92" s="504" t="e">
        <f>#REF!</f>
        <v>#REF!</v>
      </c>
      <c r="BU92" s="504" t="e">
        <f>#REF!</f>
        <v>#REF!</v>
      </c>
      <c r="BV92" s="504" t="e">
        <f>#REF!</f>
        <v>#REF!</v>
      </c>
    </row>
    <row r="93" spans="1:74" ht="15.75" thickBot="1">
      <c r="A93" s="515" t="s">
        <v>1128</v>
      </c>
      <c r="AY93" s="499"/>
      <c r="BJ93" s="504" t="e">
        <f>#REF!</f>
        <v>#REF!</v>
      </c>
      <c r="BK93" s="504" t="e">
        <f>#REF!</f>
        <v>#REF!</v>
      </c>
      <c r="BL93" s="504" t="e">
        <f>#REF!</f>
        <v>#REF!</v>
      </c>
      <c r="BM93" s="504" t="e">
        <f>#REF!</f>
        <v>#REF!</v>
      </c>
      <c r="BN93" s="504" t="e">
        <f>#REF!</f>
        <v>#REF!</v>
      </c>
      <c r="BO93" s="504" t="e">
        <f>#REF!</f>
        <v>#REF!</v>
      </c>
      <c r="BP93" s="504" t="e">
        <f>#REF!</f>
        <v>#REF!</v>
      </c>
      <c r="BQ93" s="504" t="e">
        <f>#REF!</f>
        <v>#REF!</v>
      </c>
      <c r="BR93" s="504" t="e">
        <f>#REF!</f>
        <v>#REF!</v>
      </c>
      <c r="BS93" s="504" t="e">
        <f>#REF!</f>
        <v>#REF!</v>
      </c>
      <c r="BT93" s="504" t="e">
        <f>#REF!</f>
        <v>#REF!</v>
      </c>
      <c r="BU93" s="504" t="e">
        <f>#REF!</f>
        <v>#REF!</v>
      </c>
      <c r="BV93" s="504" t="e">
        <f>#REF!</f>
        <v>#REF!</v>
      </c>
    </row>
    <row r="94" spans="1:74" ht="15.75" thickBot="1">
      <c r="A94" s="517" t="s">
        <v>1129</v>
      </c>
      <c r="AY94" s="499"/>
      <c r="BJ94" s="504" t="e">
        <f>#REF!</f>
        <v>#REF!</v>
      </c>
      <c r="BK94" s="504" t="e">
        <f>#REF!</f>
        <v>#REF!</v>
      </c>
      <c r="BL94" s="504" t="e">
        <f>#REF!</f>
        <v>#REF!</v>
      </c>
      <c r="BM94" s="504" t="e">
        <f>#REF!</f>
        <v>#REF!</v>
      </c>
      <c r="BN94" s="504" t="e">
        <f>#REF!</f>
        <v>#REF!</v>
      </c>
      <c r="BO94" s="504" t="e">
        <f>#REF!</f>
        <v>#REF!</v>
      </c>
      <c r="BP94" s="504" t="e">
        <f>#REF!</f>
        <v>#REF!</v>
      </c>
      <c r="BQ94" s="504" t="e">
        <f>#REF!</f>
        <v>#REF!</v>
      </c>
      <c r="BR94" s="504" t="e">
        <f>#REF!</f>
        <v>#REF!</v>
      </c>
      <c r="BS94" s="504" t="e">
        <f>#REF!</f>
        <v>#REF!</v>
      </c>
      <c r="BT94" s="504" t="e">
        <f>#REF!</f>
        <v>#REF!</v>
      </c>
      <c r="BU94" s="504" t="e">
        <f>#REF!</f>
        <v>#REF!</v>
      </c>
      <c r="BV94" s="504" t="e">
        <f>#REF!</f>
        <v>#REF!</v>
      </c>
    </row>
    <row r="95" spans="1:74" ht="15.75" thickBot="1">
      <c r="A95" s="517" t="s">
        <v>1130</v>
      </c>
      <c r="AY95" s="499"/>
      <c r="BJ95" s="504" t="e">
        <f>#REF!</f>
        <v>#REF!</v>
      </c>
      <c r="BK95" s="504" t="e">
        <f>#REF!</f>
        <v>#REF!</v>
      </c>
      <c r="BL95" s="504" t="e">
        <f>#REF!</f>
        <v>#REF!</v>
      </c>
      <c r="BM95" s="504" t="e">
        <f>#REF!</f>
        <v>#REF!</v>
      </c>
      <c r="BN95" s="504" t="e">
        <f>#REF!</f>
        <v>#REF!</v>
      </c>
      <c r="BO95" s="504" t="e">
        <f>#REF!</f>
        <v>#REF!</v>
      </c>
      <c r="BP95" s="504" t="e">
        <f>#REF!</f>
        <v>#REF!</v>
      </c>
      <c r="BQ95" s="504" t="e">
        <f>#REF!</f>
        <v>#REF!</v>
      </c>
      <c r="BR95" s="504" t="e">
        <f>#REF!</f>
        <v>#REF!</v>
      </c>
      <c r="BS95" s="504" t="e">
        <f>#REF!</f>
        <v>#REF!</v>
      </c>
      <c r="BT95" s="504" t="e">
        <f>#REF!</f>
        <v>#REF!</v>
      </c>
      <c r="BU95" s="504" t="e">
        <f>#REF!</f>
        <v>#REF!</v>
      </c>
      <c r="BV95" s="504" t="e">
        <f>#REF!</f>
        <v>#REF!</v>
      </c>
    </row>
    <row r="96" spans="1:74" ht="15.75" thickBot="1">
      <c r="A96" s="517" t="s">
        <v>1131</v>
      </c>
      <c r="AY96" s="499"/>
      <c r="BJ96" s="504" t="e">
        <f>#REF!</f>
        <v>#REF!</v>
      </c>
      <c r="BK96" s="504" t="e">
        <f>#REF!</f>
        <v>#REF!</v>
      </c>
      <c r="BL96" s="504" t="e">
        <f>#REF!</f>
        <v>#REF!</v>
      </c>
      <c r="BM96" s="504" t="e">
        <f>#REF!</f>
        <v>#REF!</v>
      </c>
      <c r="BN96" s="504" t="e">
        <f>#REF!</f>
        <v>#REF!</v>
      </c>
      <c r="BO96" s="504" t="e">
        <f>#REF!</f>
        <v>#REF!</v>
      </c>
      <c r="BP96" s="504" t="e">
        <f>#REF!</f>
        <v>#REF!</v>
      </c>
      <c r="BQ96" s="504" t="e">
        <f>#REF!</f>
        <v>#REF!</v>
      </c>
      <c r="BR96" s="504" t="e">
        <f>#REF!</f>
        <v>#REF!</v>
      </c>
      <c r="BS96" s="504" t="e">
        <f>#REF!</f>
        <v>#REF!</v>
      </c>
      <c r="BT96" s="504" t="e">
        <f>#REF!</f>
        <v>#REF!</v>
      </c>
      <c r="BU96" s="504" t="e">
        <f>#REF!</f>
        <v>#REF!</v>
      </c>
      <c r="BV96" s="504" t="e">
        <f>#REF!</f>
        <v>#REF!</v>
      </c>
    </row>
    <row r="97" spans="1:74" ht="15.75" thickBot="1">
      <c r="A97" s="517" t="s">
        <v>1132</v>
      </c>
      <c r="AY97" s="499"/>
      <c r="BJ97" s="504" t="e">
        <f>#REF!</f>
        <v>#REF!</v>
      </c>
      <c r="BK97" s="504" t="e">
        <f>#REF!</f>
        <v>#REF!</v>
      </c>
      <c r="BL97" s="504" t="e">
        <f>#REF!</f>
        <v>#REF!</v>
      </c>
      <c r="BM97" s="504" t="e">
        <f>#REF!</f>
        <v>#REF!</v>
      </c>
      <c r="BN97" s="504" t="e">
        <f>#REF!</f>
        <v>#REF!</v>
      </c>
      <c r="BO97" s="504" t="e">
        <f>#REF!</f>
        <v>#REF!</v>
      </c>
      <c r="BP97" s="504" t="e">
        <f>#REF!</f>
        <v>#REF!</v>
      </c>
      <c r="BQ97" s="504" t="e">
        <f>#REF!</f>
        <v>#REF!</v>
      </c>
      <c r="BR97" s="504" t="e">
        <f>#REF!</f>
        <v>#REF!</v>
      </c>
      <c r="BS97" s="504" t="e">
        <f>#REF!</f>
        <v>#REF!</v>
      </c>
      <c r="BT97" s="504" t="e">
        <f>#REF!</f>
        <v>#REF!</v>
      </c>
      <c r="BU97" s="504" t="e">
        <f>#REF!</f>
        <v>#REF!</v>
      </c>
      <c r="BV97" s="504" t="e">
        <f>#REF!</f>
        <v>#REF!</v>
      </c>
    </row>
    <row r="98" spans="1:74" ht="15.75" thickBot="1">
      <c r="A98" s="517" t="s">
        <v>1133</v>
      </c>
      <c r="AY98" s="499"/>
      <c r="BJ98" s="504" t="e">
        <f>#REF!</f>
        <v>#REF!</v>
      </c>
      <c r="BK98" s="504" t="e">
        <f>#REF!</f>
        <v>#REF!</v>
      </c>
      <c r="BL98" s="504" t="e">
        <f>#REF!</f>
        <v>#REF!</v>
      </c>
      <c r="BM98" s="504" t="e">
        <f>#REF!</f>
        <v>#REF!</v>
      </c>
      <c r="BN98" s="504" t="e">
        <f>#REF!</f>
        <v>#REF!</v>
      </c>
      <c r="BO98" s="504" t="e">
        <f>#REF!</f>
        <v>#REF!</v>
      </c>
      <c r="BP98" s="504" t="e">
        <f>#REF!</f>
        <v>#REF!</v>
      </c>
      <c r="BQ98" s="504" t="e">
        <f>#REF!</f>
        <v>#REF!</v>
      </c>
      <c r="BR98" s="504" t="e">
        <f>#REF!</f>
        <v>#REF!</v>
      </c>
      <c r="BS98" s="504" t="e">
        <f>#REF!</f>
        <v>#REF!</v>
      </c>
      <c r="BT98" s="504" t="e">
        <f>#REF!</f>
        <v>#REF!</v>
      </c>
      <c r="BU98" s="504" t="e">
        <f>#REF!</f>
        <v>#REF!</v>
      </c>
      <c r="BV98" s="504" t="e">
        <f>#REF!</f>
        <v>#REF!</v>
      </c>
    </row>
    <row r="99" spans="1:74" ht="15.75" thickBot="1">
      <c r="A99" s="517" t="s">
        <v>1134</v>
      </c>
      <c r="AY99" s="499"/>
      <c r="BJ99" s="504" t="e">
        <f>#REF!</f>
        <v>#REF!</v>
      </c>
      <c r="BK99" s="504" t="e">
        <f>#REF!</f>
        <v>#REF!</v>
      </c>
      <c r="BL99" s="504" t="e">
        <f>#REF!</f>
        <v>#REF!</v>
      </c>
      <c r="BM99" s="504" t="e">
        <f>#REF!</f>
        <v>#REF!</v>
      </c>
      <c r="BN99" s="504" t="e">
        <f>#REF!</f>
        <v>#REF!</v>
      </c>
      <c r="BO99" s="504" t="e">
        <f>#REF!</f>
        <v>#REF!</v>
      </c>
      <c r="BP99" s="504" t="e">
        <f>#REF!</f>
        <v>#REF!</v>
      </c>
      <c r="BQ99" s="504" t="e">
        <f>#REF!</f>
        <v>#REF!</v>
      </c>
      <c r="BR99" s="504" t="e">
        <f>#REF!</f>
        <v>#REF!</v>
      </c>
      <c r="BS99" s="504" t="e">
        <f>#REF!</f>
        <v>#REF!</v>
      </c>
      <c r="BT99" s="504" t="e">
        <f>#REF!</f>
        <v>#REF!</v>
      </c>
      <c r="BU99" s="504" t="e">
        <f>#REF!</f>
        <v>#REF!</v>
      </c>
      <c r="BV99" s="504" t="e">
        <f>#REF!</f>
        <v>#REF!</v>
      </c>
    </row>
    <row r="100" spans="1:74" ht="15.75" thickBot="1">
      <c r="A100" s="515" t="s">
        <v>1135</v>
      </c>
      <c r="AY100" s="499"/>
      <c r="BJ100" s="504" t="e">
        <f>#REF!</f>
        <v>#REF!</v>
      </c>
      <c r="BK100" s="504" t="e">
        <f>#REF!</f>
        <v>#REF!</v>
      </c>
      <c r="BL100" s="504" t="e">
        <f>#REF!</f>
        <v>#REF!</v>
      </c>
      <c r="BM100" s="504" t="e">
        <f>#REF!</f>
        <v>#REF!</v>
      </c>
      <c r="BN100" s="504" t="e">
        <f>#REF!</f>
        <v>#REF!</v>
      </c>
      <c r="BO100" s="504" t="e">
        <f>#REF!</f>
        <v>#REF!</v>
      </c>
      <c r="BP100" s="504" t="e">
        <f>#REF!</f>
        <v>#REF!</v>
      </c>
      <c r="BQ100" s="504" t="e">
        <f>#REF!</f>
        <v>#REF!</v>
      </c>
      <c r="BR100" s="504" t="e">
        <f>#REF!</f>
        <v>#REF!</v>
      </c>
      <c r="BS100" s="504" t="e">
        <f>#REF!</f>
        <v>#REF!</v>
      </c>
      <c r="BT100" s="504" t="e">
        <f>#REF!</f>
        <v>#REF!</v>
      </c>
      <c r="BU100" s="504" t="e">
        <f>#REF!</f>
        <v>#REF!</v>
      </c>
      <c r="BV100" s="504" t="e">
        <f>#REF!</f>
        <v>#REF!</v>
      </c>
    </row>
    <row r="101" spans="1:74" ht="15.75" thickBot="1">
      <c r="A101" s="517" t="s">
        <v>1136</v>
      </c>
      <c r="AY101" s="499"/>
      <c r="BJ101" s="504" t="e">
        <f>#REF!</f>
        <v>#REF!</v>
      </c>
      <c r="BK101" s="504" t="e">
        <f>#REF!</f>
        <v>#REF!</v>
      </c>
      <c r="BL101" s="504" t="e">
        <f>#REF!</f>
        <v>#REF!</v>
      </c>
      <c r="BM101" s="504" t="e">
        <f>#REF!</f>
        <v>#REF!</v>
      </c>
      <c r="BN101" s="504" t="e">
        <f>#REF!</f>
        <v>#REF!</v>
      </c>
      <c r="BO101" s="504" t="e">
        <f>#REF!</f>
        <v>#REF!</v>
      </c>
      <c r="BP101" s="504" t="e">
        <f>#REF!</f>
        <v>#REF!</v>
      </c>
      <c r="BQ101" s="504" t="e">
        <f>#REF!</f>
        <v>#REF!</v>
      </c>
      <c r="BR101" s="504" t="e">
        <f>#REF!</f>
        <v>#REF!</v>
      </c>
      <c r="BS101" s="504" t="e">
        <f>#REF!</f>
        <v>#REF!</v>
      </c>
      <c r="BT101" s="504" t="e">
        <f>#REF!</f>
        <v>#REF!</v>
      </c>
      <c r="BU101" s="504" t="e">
        <f>#REF!</f>
        <v>#REF!</v>
      </c>
      <c r="BV101" s="504" t="e">
        <f>#REF!</f>
        <v>#REF!</v>
      </c>
    </row>
    <row r="102" spans="1:74" ht="15.75" thickBot="1">
      <c r="A102" s="517" t="s">
        <v>1137</v>
      </c>
      <c r="AY102" s="499"/>
      <c r="BJ102" s="504" t="e">
        <f>#REF!</f>
        <v>#REF!</v>
      </c>
      <c r="BK102" s="504" t="e">
        <f>#REF!</f>
        <v>#REF!</v>
      </c>
      <c r="BL102" s="504" t="e">
        <f>#REF!</f>
        <v>#REF!</v>
      </c>
      <c r="BM102" s="504" t="e">
        <f>#REF!</f>
        <v>#REF!</v>
      </c>
      <c r="BN102" s="504" t="e">
        <f>#REF!</f>
        <v>#REF!</v>
      </c>
      <c r="BO102" s="504" t="e">
        <f>#REF!</f>
        <v>#REF!</v>
      </c>
      <c r="BP102" s="504" t="e">
        <f>#REF!</f>
        <v>#REF!</v>
      </c>
      <c r="BQ102" s="504" t="e">
        <f>#REF!</f>
        <v>#REF!</v>
      </c>
      <c r="BR102" s="504" t="e">
        <f>#REF!</f>
        <v>#REF!</v>
      </c>
      <c r="BS102" s="504" t="e">
        <f>#REF!</f>
        <v>#REF!</v>
      </c>
      <c r="BT102" s="504" t="e">
        <f>#REF!</f>
        <v>#REF!</v>
      </c>
      <c r="BU102" s="504" t="e">
        <f>#REF!</f>
        <v>#REF!</v>
      </c>
      <c r="BV102" s="504" t="e">
        <f>#REF!</f>
        <v>#REF!</v>
      </c>
    </row>
    <row r="103" spans="1:74" ht="15.75" thickBot="1">
      <c r="A103" s="517" t="s">
        <v>1138</v>
      </c>
      <c r="AY103" s="499"/>
      <c r="BJ103" s="504" t="e">
        <f>#REF!</f>
        <v>#REF!</v>
      </c>
      <c r="BK103" s="504" t="e">
        <f>#REF!</f>
        <v>#REF!</v>
      </c>
      <c r="BL103" s="504" t="e">
        <f>#REF!</f>
        <v>#REF!</v>
      </c>
      <c r="BM103" s="504" t="e">
        <f>#REF!</f>
        <v>#REF!</v>
      </c>
      <c r="BN103" s="504" t="e">
        <f>#REF!</f>
        <v>#REF!</v>
      </c>
      <c r="BO103" s="504" t="e">
        <f>#REF!</f>
        <v>#REF!</v>
      </c>
      <c r="BP103" s="504" t="e">
        <f>#REF!</f>
        <v>#REF!</v>
      </c>
      <c r="BQ103" s="504" t="e">
        <f>#REF!</f>
        <v>#REF!</v>
      </c>
      <c r="BR103" s="504" t="e">
        <f>#REF!</f>
        <v>#REF!</v>
      </c>
      <c r="BS103" s="504" t="e">
        <f>#REF!</f>
        <v>#REF!</v>
      </c>
      <c r="BT103" s="504" t="e">
        <f>#REF!</f>
        <v>#REF!</v>
      </c>
      <c r="BU103" s="504" t="e">
        <f>#REF!</f>
        <v>#REF!</v>
      </c>
      <c r="BV103" s="504" t="e">
        <f>#REF!</f>
        <v>#REF!</v>
      </c>
    </row>
    <row r="104" spans="1:74" ht="15.75" thickBot="1">
      <c r="A104" s="515" t="s">
        <v>1139</v>
      </c>
      <c r="AY104" s="499"/>
      <c r="BJ104" s="504" t="e">
        <f>#REF!</f>
        <v>#REF!</v>
      </c>
      <c r="BK104" s="504" t="e">
        <f>#REF!</f>
        <v>#REF!</v>
      </c>
      <c r="BL104" s="504" t="e">
        <f>#REF!</f>
        <v>#REF!</v>
      </c>
      <c r="BM104" s="504" t="e">
        <f>#REF!</f>
        <v>#REF!</v>
      </c>
      <c r="BN104" s="504" t="e">
        <f>#REF!</f>
        <v>#REF!</v>
      </c>
      <c r="BO104" s="504" t="e">
        <f>#REF!</f>
        <v>#REF!</v>
      </c>
      <c r="BP104" s="504" t="e">
        <f>#REF!</f>
        <v>#REF!</v>
      </c>
      <c r="BQ104" s="504" t="e">
        <f>#REF!</f>
        <v>#REF!</v>
      </c>
      <c r="BR104" s="504" t="e">
        <f>#REF!</f>
        <v>#REF!</v>
      </c>
      <c r="BS104" s="504" t="e">
        <f>#REF!</f>
        <v>#REF!</v>
      </c>
      <c r="BT104" s="504" t="e">
        <f>#REF!</f>
        <v>#REF!</v>
      </c>
      <c r="BU104" s="504" t="e">
        <f>#REF!</f>
        <v>#REF!</v>
      </c>
      <c r="BV104" s="504" t="e">
        <f>#REF!</f>
        <v>#REF!</v>
      </c>
    </row>
    <row r="105" spans="1:74" ht="15.75" thickBot="1">
      <c r="A105" s="518" t="s">
        <v>1140</v>
      </c>
      <c r="AY105" s="499"/>
      <c r="BJ105" s="519">
        <v>40</v>
      </c>
      <c r="BK105" s="519">
        <v>51.5</v>
      </c>
      <c r="BL105" s="519">
        <v>45.3</v>
      </c>
      <c r="BM105" s="519">
        <v>38.200000000000003</v>
      </c>
      <c r="BN105" s="519">
        <v>42</v>
      </c>
      <c r="BO105" s="519">
        <v>28.5</v>
      </c>
      <c r="BP105" s="519">
        <v>17.8</v>
      </c>
      <c r="BQ105" s="519">
        <v>29.1</v>
      </c>
      <c r="BR105" s="519">
        <v>106.2</v>
      </c>
      <c r="BS105" s="519">
        <v>296.10000000000002</v>
      </c>
      <c r="BT105" s="519">
        <v>679.4</v>
      </c>
      <c r="BU105" s="519">
        <v>119.3</v>
      </c>
      <c r="BV105" s="519">
        <v>473.2</v>
      </c>
    </row>
    <row r="106" spans="1:74" ht="15.75" thickBot="1">
      <c r="A106" s="518" t="s">
        <v>1141</v>
      </c>
      <c r="AY106" s="499"/>
      <c r="BJ106" s="519">
        <v>0.1</v>
      </c>
      <c r="BK106" s="519">
        <v>0</v>
      </c>
      <c r="BL106" s="519">
        <v>0.1</v>
      </c>
      <c r="BM106" s="519">
        <v>-0.5</v>
      </c>
      <c r="BN106" s="519">
        <v>-0.5</v>
      </c>
      <c r="BO106" s="519">
        <v>-0.3</v>
      </c>
      <c r="BP106" s="519">
        <v>0.6</v>
      </c>
      <c r="BQ106" s="519">
        <v>-0.5</v>
      </c>
      <c r="BR106" s="519">
        <v>-0.3</v>
      </c>
      <c r="BS106" s="519">
        <v>0.8</v>
      </c>
      <c r="BT106" s="519">
        <v>-2</v>
      </c>
      <c r="BU106" s="519">
        <v>-1.9</v>
      </c>
      <c r="BV106" s="519">
        <v>1.9</v>
      </c>
    </row>
    <row r="107" spans="1:74" ht="15.75" thickBot="1">
      <c r="A107" s="518" t="s">
        <v>1142</v>
      </c>
      <c r="AY107" s="499"/>
      <c r="BJ107" s="519">
        <v>11.5</v>
      </c>
      <c r="BK107" s="519">
        <v>-6.2</v>
      </c>
      <c r="BL107" s="519">
        <v>-7.1</v>
      </c>
      <c r="BM107" s="519">
        <v>3.8</v>
      </c>
      <c r="BN107" s="519">
        <v>-13.6</v>
      </c>
      <c r="BO107" s="519">
        <v>-10.7</v>
      </c>
      <c r="BP107" s="519">
        <v>11.4</v>
      </c>
      <c r="BQ107" s="519">
        <v>77.099999999999994</v>
      </c>
      <c r="BR107" s="519">
        <v>189.9</v>
      </c>
      <c r="BS107" s="519">
        <v>383.3</v>
      </c>
      <c r="BT107" s="519">
        <v>-560.1</v>
      </c>
      <c r="BU107" s="519">
        <v>353.9</v>
      </c>
      <c r="BV107" s="519">
        <v>-184.5</v>
      </c>
    </row>
    <row r="108" spans="1:74">
      <c r="A108" s="518" t="s">
        <v>1143</v>
      </c>
      <c r="AY108" s="499"/>
      <c r="BJ108" s="519">
        <f>BJ105+BJ107</f>
        <v>51.5</v>
      </c>
      <c r="BK108" s="519">
        <f t="shared" ref="BK108:BV108" si="41">BK105+BK107</f>
        <v>45.3</v>
      </c>
      <c r="BL108" s="519">
        <f t="shared" si="41"/>
        <v>38.199999999999996</v>
      </c>
      <c r="BM108" s="519">
        <f t="shared" si="41"/>
        <v>42</v>
      </c>
      <c r="BN108" s="519">
        <f t="shared" si="41"/>
        <v>28.4</v>
      </c>
      <c r="BO108" s="519">
        <f t="shared" si="41"/>
        <v>17.8</v>
      </c>
      <c r="BP108" s="519">
        <f t="shared" si="41"/>
        <v>29.200000000000003</v>
      </c>
      <c r="BQ108" s="519">
        <f t="shared" si="41"/>
        <v>106.19999999999999</v>
      </c>
      <c r="BR108" s="519">
        <f t="shared" si="41"/>
        <v>296.10000000000002</v>
      </c>
      <c r="BS108" s="519">
        <f t="shared" si="41"/>
        <v>679.40000000000009</v>
      </c>
      <c r="BT108" s="519">
        <f t="shared" si="41"/>
        <v>119.29999999999995</v>
      </c>
      <c r="BU108" s="519">
        <f t="shared" si="41"/>
        <v>473.2</v>
      </c>
      <c r="BV108" s="519">
        <f t="shared" si="41"/>
        <v>288.7</v>
      </c>
    </row>
    <row r="109" spans="1:74">
      <c r="AY109" s="499"/>
      <c r="BJ109" s="504"/>
      <c r="BK109" s="504"/>
      <c r="BL109" s="504"/>
      <c r="BM109" s="504"/>
      <c r="BN109" s="504"/>
      <c r="BO109" s="504"/>
      <c r="BP109" s="504"/>
      <c r="BQ109" s="504"/>
      <c r="BR109" s="504"/>
      <c r="BS109" s="504"/>
      <c r="BT109" s="504"/>
      <c r="BU109" s="504"/>
      <c r="BV109" s="504"/>
    </row>
    <row r="110" spans="1:74">
      <c r="A110" s="528" t="s">
        <v>1144</v>
      </c>
      <c r="AY110" s="499"/>
      <c r="BJ110" s="504" t="e">
        <f>BJ78+BJ80</f>
        <v>#REF!</v>
      </c>
      <c r="BK110" s="504" t="e">
        <f t="shared" ref="BK110:BV110" si="42">BK78+BK80</f>
        <v>#REF!</v>
      </c>
      <c r="BL110" s="504" t="e">
        <f t="shared" si="42"/>
        <v>#REF!</v>
      </c>
      <c r="BM110" s="504" t="e">
        <f t="shared" si="42"/>
        <v>#REF!</v>
      </c>
      <c r="BN110" s="504" t="e">
        <f t="shared" si="42"/>
        <v>#REF!</v>
      </c>
      <c r="BO110" s="504" t="e">
        <f t="shared" si="42"/>
        <v>#REF!</v>
      </c>
      <c r="BP110" s="504" t="e">
        <f t="shared" si="42"/>
        <v>#REF!</v>
      </c>
      <c r="BQ110" s="504" t="e">
        <f t="shared" si="42"/>
        <v>#REF!</v>
      </c>
      <c r="BR110" s="504" t="e">
        <f t="shared" si="42"/>
        <v>#REF!</v>
      </c>
      <c r="BS110" s="504" t="e">
        <f t="shared" si="42"/>
        <v>#REF!</v>
      </c>
      <c r="BT110" s="504" t="e">
        <f t="shared" si="42"/>
        <v>#REF!</v>
      </c>
      <c r="BU110" s="504" t="e">
        <f t="shared" si="42"/>
        <v>#REF!</v>
      </c>
      <c r="BV110" s="504" t="e">
        <f t="shared" si="42"/>
        <v>#REF!</v>
      </c>
    </row>
    <row r="111" spans="1:74">
      <c r="AY111" s="499"/>
    </row>
    <row r="112" spans="1:74">
      <c r="AY112" s="499"/>
    </row>
    <row r="113" spans="51:51">
      <c r="AY113" s="499"/>
    </row>
    <row r="114" spans="51:51">
      <c r="AY114" s="499"/>
    </row>
    <row r="115" spans="51:51">
      <c r="AY115" s="499"/>
    </row>
    <row r="116" spans="51:51">
      <c r="AY116" s="499"/>
    </row>
    <row r="117" spans="51:51">
      <c r="AY117" s="499"/>
    </row>
    <row r="118" spans="51:51">
      <c r="AY118" s="499"/>
    </row>
    <row r="119" spans="51:51">
      <c r="AY119" s="499"/>
    </row>
    <row r="120" spans="51:51">
      <c r="AY120" s="499"/>
    </row>
    <row r="121" spans="51:51">
      <c r="AY121" s="499"/>
    </row>
    <row r="122" spans="51:51">
      <c r="AY122" s="499"/>
    </row>
    <row r="123" spans="51:51">
      <c r="AY123" s="499"/>
    </row>
    <row r="124" spans="51:51">
      <c r="AY124" s="499"/>
    </row>
    <row r="125" spans="51:51">
      <c r="AY125" s="499"/>
    </row>
    <row r="126" spans="51:51">
      <c r="AY126" s="499"/>
    </row>
    <row r="127" spans="51:51">
      <c r="AY127" s="499"/>
    </row>
    <row r="128" spans="51:51">
      <c r="AY128" s="499"/>
    </row>
    <row r="129" spans="51:51">
      <c r="AY129" s="499"/>
    </row>
    <row r="130" spans="51:51">
      <c r="AY130" s="499"/>
    </row>
    <row r="131" spans="51:51">
      <c r="AY131" s="499"/>
    </row>
    <row r="132" spans="51:51">
      <c r="AY132" s="499"/>
    </row>
    <row r="133" spans="51:51">
      <c r="AY133" s="499"/>
    </row>
    <row r="134" spans="51:51">
      <c r="AY134" s="499"/>
    </row>
    <row r="135" spans="51:51">
      <c r="AY135" s="499"/>
    </row>
    <row r="136" spans="51:51">
      <c r="AY136" s="499"/>
    </row>
    <row r="137" spans="51:51">
      <c r="AY137" s="499"/>
    </row>
    <row r="138" spans="51:51">
      <c r="AY138" s="499"/>
    </row>
    <row r="139" spans="51:51">
      <c r="AY139" s="499"/>
    </row>
    <row r="140" spans="51:51">
      <c r="AY140" s="499"/>
    </row>
    <row r="141" spans="51:51">
      <c r="AY141" s="499"/>
    </row>
    <row r="142" spans="51:51">
      <c r="AY142" s="499"/>
    </row>
    <row r="143" spans="51:51">
      <c r="AY143" s="499"/>
    </row>
    <row r="144" spans="51:51">
      <c r="AY144" s="499"/>
    </row>
    <row r="145" spans="51:51">
      <c r="AY145" s="499"/>
    </row>
    <row r="146" spans="51:51">
      <c r="AY146" s="499"/>
    </row>
    <row r="147" spans="51:51">
      <c r="AY147" s="499"/>
    </row>
    <row r="148" spans="51:51">
      <c r="AY148" s="499"/>
    </row>
    <row r="149" spans="51:51">
      <c r="AY149" s="499"/>
    </row>
    <row r="150" spans="51:51">
      <c r="AY150" s="499"/>
    </row>
    <row r="151" spans="51:51">
      <c r="AY151" s="499"/>
    </row>
    <row r="152" spans="51:51">
      <c r="AY152" s="499"/>
    </row>
    <row r="153" spans="51:51">
      <c r="AY153" s="499"/>
    </row>
    <row r="154" spans="51:51">
      <c r="AY154" s="499"/>
    </row>
    <row r="155" spans="51:51">
      <c r="AY155" s="499"/>
    </row>
    <row r="156" spans="51:51">
      <c r="AY156" s="499"/>
    </row>
    <row r="157" spans="51:51">
      <c r="AY157" s="499"/>
    </row>
    <row r="158" spans="51:51">
      <c r="AY158" s="499"/>
    </row>
    <row r="159" spans="51:51">
      <c r="AY159" s="499"/>
    </row>
    <row r="160" spans="51:51">
      <c r="AY160" s="499"/>
    </row>
    <row r="161" spans="51:51">
      <c r="AY161" s="499"/>
    </row>
    <row r="162" spans="51:51">
      <c r="AY162" s="499"/>
    </row>
    <row r="163" spans="51:51">
      <c r="AY163" s="499"/>
    </row>
    <row r="164" spans="51:51">
      <c r="AY164" s="499"/>
    </row>
    <row r="165" spans="51:51">
      <c r="AY165" s="499"/>
    </row>
    <row r="166" spans="51:51">
      <c r="AY166" s="499"/>
    </row>
    <row r="167" spans="51:51">
      <c r="AY167" s="499"/>
    </row>
    <row r="168" spans="51:51">
      <c r="AY168" s="499"/>
    </row>
    <row r="169" spans="51:51">
      <c r="AY169" s="499"/>
    </row>
    <row r="170" spans="51:51">
      <c r="AY170" s="499"/>
    </row>
    <row r="171" spans="51:51">
      <c r="AY171" s="499"/>
    </row>
    <row r="172" spans="51:51">
      <c r="AY172" s="499"/>
    </row>
    <row r="173" spans="51:51">
      <c r="AY173" s="499"/>
    </row>
    <row r="174" spans="51:51">
      <c r="AY174" s="499"/>
    </row>
    <row r="175" spans="51:51">
      <c r="AY175" s="499"/>
    </row>
    <row r="176" spans="51:51">
      <c r="AY176" s="499"/>
    </row>
    <row r="177" spans="51:51">
      <c r="AY177" s="499"/>
    </row>
    <row r="178" spans="51:51">
      <c r="AY178" s="499"/>
    </row>
    <row r="179" spans="51:51">
      <c r="AY179" s="499"/>
    </row>
    <row r="180" spans="51:51">
      <c r="AY180" s="499"/>
    </row>
    <row r="181" spans="51:51">
      <c r="AY181" s="499"/>
    </row>
    <row r="182" spans="51:51">
      <c r="AY182" s="499"/>
    </row>
    <row r="183" spans="51:51">
      <c r="AY183" s="499"/>
    </row>
    <row r="184" spans="51:51">
      <c r="AY184" s="499"/>
    </row>
    <row r="185" spans="51:51">
      <c r="AY185" s="499"/>
    </row>
    <row r="186" spans="51:51">
      <c r="AY186" s="499"/>
    </row>
    <row r="187" spans="51:51">
      <c r="AY187" s="499"/>
    </row>
    <row r="188" spans="51:51">
      <c r="AY188" s="499"/>
    </row>
    <row r="189" spans="51:51">
      <c r="AY189" s="499"/>
    </row>
    <row r="190" spans="51:51">
      <c r="AY190" s="499"/>
    </row>
    <row r="191" spans="51:51">
      <c r="AY191" s="499"/>
    </row>
    <row r="192" spans="51:51">
      <c r="AY192" s="499"/>
    </row>
    <row r="193" spans="51:51">
      <c r="AY193" s="499"/>
    </row>
    <row r="194" spans="51:51">
      <c r="AY194" s="499"/>
    </row>
    <row r="195" spans="51:51">
      <c r="AY195" s="499"/>
    </row>
    <row r="196" spans="51:51">
      <c r="AY196" s="499"/>
    </row>
    <row r="197" spans="51:51">
      <c r="AY197" s="499"/>
    </row>
    <row r="198" spans="51:51">
      <c r="AY198" s="499"/>
    </row>
    <row r="199" spans="51:51">
      <c r="AY199" s="499"/>
    </row>
    <row r="200" spans="51:51">
      <c r="AY200" s="499"/>
    </row>
    <row r="201" spans="51:51">
      <c r="AY201" s="499"/>
    </row>
    <row r="202" spans="51:51">
      <c r="AY202" s="499"/>
    </row>
    <row r="203" spans="51:51">
      <c r="AY203" s="499"/>
    </row>
    <row r="204" spans="51:51">
      <c r="AY204" s="499"/>
    </row>
    <row r="205" spans="51:51">
      <c r="AY205" s="499"/>
    </row>
    <row r="206" spans="51:51">
      <c r="AY206" s="499"/>
    </row>
    <row r="207" spans="51:51">
      <c r="AY207" s="499"/>
    </row>
    <row r="208" spans="51:51">
      <c r="AY208" s="499"/>
    </row>
    <row r="209" spans="51:51">
      <c r="AY209" s="499"/>
    </row>
    <row r="210" spans="51:51">
      <c r="AY210" s="499"/>
    </row>
    <row r="211" spans="51:51">
      <c r="AY211" s="499"/>
    </row>
    <row r="212" spans="51:51">
      <c r="AY212" s="499"/>
    </row>
    <row r="213" spans="51:51">
      <c r="AY213" s="499"/>
    </row>
    <row r="214" spans="51:51">
      <c r="AY214" s="499"/>
    </row>
    <row r="215" spans="51:51">
      <c r="AY215" s="499"/>
    </row>
    <row r="216" spans="51:51">
      <c r="AY216" s="499"/>
    </row>
    <row r="217" spans="51:51">
      <c r="AY217" s="499"/>
    </row>
    <row r="218" spans="51:51">
      <c r="AY218" s="499"/>
    </row>
    <row r="219" spans="51:51">
      <c r="AY219" s="499"/>
    </row>
    <row r="220" spans="51:51">
      <c r="AY220" s="499"/>
    </row>
    <row r="221" spans="51:51">
      <c r="AY221" s="499"/>
    </row>
    <row r="222" spans="51:51">
      <c r="AY222" s="499"/>
    </row>
    <row r="223" spans="51:51">
      <c r="AY223" s="499"/>
    </row>
    <row r="224" spans="51:51">
      <c r="AY224" s="499"/>
    </row>
    <row r="225" spans="51:51">
      <c r="AY225" s="499"/>
    </row>
    <row r="226" spans="51:51">
      <c r="AY226" s="499"/>
    </row>
    <row r="227" spans="51:51">
      <c r="AY227" s="499"/>
    </row>
    <row r="228" spans="51:51">
      <c r="AY228" s="499"/>
    </row>
    <row r="229" spans="51:51">
      <c r="AY229" s="499"/>
    </row>
    <row r="230" spans="51:51">
      <c r="AY230" s="499"/>
    </row>
    <row r="231" spans="51:51">
      <c r="AY231" s="499"/>
    </row>
    <row r="232" spans="51:51">
      <c r="AY232" s="499"/>
    </row>
    <row r="233" spans="51:51">
      <c r="AY233" s="499"/>
    </row>
    <row r="234" spans="51:51">
      <c r="AY234" s="499"/>
    </row>
    <row r="235" spans="51:51">
      <c r="AY235" s="499"/>
    </row>
    <row r="236" spans="51:51">
      <c r="AY236" s="499"/>
    </row>
    <row r="237" spans="51:51">
      <c r="AY237" s="499"/>
    </row>
    <row r="238" spans="51:51">
      <c r="AY238" s="499"/>
    </row>
    <row r="239" spans="51:51">
      <c r="AY239" s="499"/>
    </row>
    <row r="240" spans="51:51">
      <c r="AY240" s="499"/>
    </row>
    <row r="241" spans="51:51">
      <c r="AY241" s="499"/>
    </row>
    <row r="242" spans="51:51">
      <c r="AY242" s="499"/>
    </row>
    <row r="243" spans="51:51">
      <c r="AY243" s="499"/>
    </row>
    <row r="244" spans="51:51">
      <c r="AY244" s="499"/>
    </row>
    <row r="245" spans="51:51">
      <c r="AY245" s="499"/>
    </row>
    <row r="246" spans="51:51">
      <c r="AY246" s="499"/>
    </row>
    <row r="247" spans="51:51">
      <c r="AY247" s="499"/>
    </row>
    <row r="248" spans="51:51">
      <c r="AY248" s="499"/>
    </row>
    <row r="249" spans="51:51">
      <c r="AY249" s="499"/>
    </row>
    <row r="250" spans="51:51">
      <c r="AY250" s="499"/>
    </row>
    <row r="251" spans="51:51">
      <c r="AY251" s="499"/>
    </row>
    <row r="252" spans="51:51">
      <c r="AY252" s="499"/>
    </row>
    <row r="253" spans="51:51">
      <c r="AY253" s="499"/>
    </row>
    <row r="254" spans="51:51">
      <c r="AY254" s="499"/>
    </row>
    <row r="255" spans="51:51">
      <c r="AY255" s="499"/>
    </row>
    <row r="256" spans="51:51">
      <c r="AY256" s="499"/>
    </row>
    <row r="257" spans="51:51">
      <c r="AY257" s="499"/>
    </row>
    <row r="258" spans="51:51">
      <c r="AY258" s="499"/>
    </row>
    <row r="259" spans="51:51">
      <c r="AY259" s="499"/>
    </row>
    <row r="260" spans="51:51">
      <c r="AY260" s="499"/>
    </row>
    <row r="261" spans="51:51">
      <c r="AY261" s="499"/>
    </row>
    <row r="262" spans="51:51">
      <c r="AY262" s="499"/>
    </row>
    <row r="263" spans="51:51">
      <c r="AY263" s="499"/>
    </row>
    <row r="264" spans="51:51">
      <c r="AY264" s="499"/>
    </row>
    <row r="265" spans="51:51">
      <c r="AY265" s="499"/>
    </row>
    <row r="266" spans="51:51">
      <c r="AY266" s="499"/>
    </row>
    <row r="267" spans="51:51">
      <c r="AY267" s="499"/>
    </row>
    <row r="268" spans="51:51">
      <c r="AY268" s="499"/>
    </row>
    <row r="269" spans="51:51">
      <c r="AY269" s="499"/>
    </row>
    <row r="270" spans="51:51">
      <c r="AY270" s="499"/>
    </row>
    <row r="271" spans="51:51">
      <c r="AY271" s="499"/>
    </row>
    <row r="272" spans="51:51">
      <c r="AY272" s="499"/>
    </row>
    <row r="273" spans="51:51">
      <c r="AY273" s="499"/>
    </row>
    <row r="274" spans="51:51">
      <c r="AY274" s="499"/>
    </row>
    <row r="275" spans="51:51">
      <c r="AY275" s="499"/>
    </row>
    <row r="276" spans="51:51">
      <c r="AY276" s="499"/>
    </row>
    <row r="277" spans="51:51">
      <c r="AY277" s="499"/>
    </row>
    <row r="278" spans="51:51">
      <c r="AY278" s="499"/>
    </row>
    <row r="279" spans="51:51">
      <c r="AY279" s="499"/>
    </row>
    <row r="280" spans="51:51">
      <c r="AY280" s="499"/>
    </row>
    <row r="281" spans="51:51">
      <c r="AY281" s="499"/>
    </row>
    <row r="282" spans="51:51">
      <c r="AY282" s="499"/>
    </row>
    <row r="283" spans="51:51">
      <c r="AY283" s="499"/>
    </row>
    <row r="284" spans="51:51">
      <c r="AY284" s="499"/>
    </row>
    <row r="285" spans="51:51">
      <c r="AY285" s="499"/>
    </row>
    <row r="286" spans="51:51">
      <c r="AY286" s="499"/>
    </row>
    <row r="287" spans="51:51">
      <c r="AY287" s="499"/>
    </row>
    <row r="288" spans="51:51">
      <c r="AY288" s="499"/>
    </row>
    <row r="289" spans="51:51">
      <c r="AY289" s="499"/>
    </row>
    <row r="290" spans="51:51">
      <c r="AY290" s="499"/>
    </row>
    <row r="291" spans="51:51">
      <c r="AY291" s="499"/>
    </row>
    <row r="292" spans="51:51">
      <c r="AY292" s="499"/>
    </row>
    <row r="293" spans="51:51">
      <c r="AY293" s="499"/>
    </row>
    <row r="294" spans="51:51">
      <c r="AY294" s="499"/>
    </row>
    <row r="295" spans="51:51">
      <c r="AY295" s="499"/>
    </row>
    <row r="296" spans="51:51">
      <c r="AY296" s="499"/>
    </row>
    <row r="297" spans="51:51">
      <c r="AY297" s="499"/>
    </row>
    <row r="298" spans="51:51">
      <c r="AY298" s="499"/>
    </row>
    <row r="299" spans="51:51">
      <c r="AY299" s="499"/>
    </row>
    <row r="300" spans="51:51">
      <c r="AY300" s="499"/>
    </row>
    <row r="301" spans="51:51">
      <c r="AY301" s="499"/>
    </row>
    <row r="302" spans="51:51">
      <c r="AY302" s="499"/>
    </row>
    <row r="303" spans="51:51">
      <c r="AY303" s="499"/>
    </row>
    <row r="304" spans="51:51">
      <c r="AY304" s="499"/>
    </row>
    <row r="305" spans="51:51">
      <c r="AY305" s="499"/>
    </row>
    <row r="306" spans="51:51">
      <c r="AY306" s="499"/>
    </row>
    <row r="307" spans="51:51">
      <c r="AY307" s="499"/>
    </row>
    <row r="308" spans="51:51">
      <c r="AY308" s="499"/>
    </row>
    <row r="309" spans="51:51">
      <c r="AY309" s="499"/>
    </row>
    <row r="310" spans="51:51">
      <c r="AY310" s="499"/>
    </row>
    <row r="311" spans="51:51">
      <c r="AY311" s="499"/>
    </row>
    <row r="312" spans="51:51">
      <c r="AY312" s="499"/>
    </row>
    <row r="313" spans="51:51">
      <c r="AY313" s="499"/>
    </row>
    <row r="314" spans="51:51">
      <c r="AY314" s="499"/>
    </row>
    <row r="315" spans="51:51">
      <c r="AY315" s="499"/>
    </row>
    <row r="316" spans="51:51">
      <c r="AY316" s="499"/>
    </row>
    <row r="317" spans="51:51">
      <c r="AY317" s="499"/>
    </row>
    <row r="318" spans="51:51">
      <c r="AY318" s="499"/>
    </row>
    <row r="319" spans="51:51">
      <c r="AY319" s="499"/>
    </row>
    <row r="320" spans="51:51">
      <c r="AY320" s="499"/>
    </row>
    <row r="321" spans="51:51">
      <c r="AY321" s="499"/>
    </row>
    <row r="322" spans="51:51">
      <c r="AY322" s="499"/>
    </row>
    <row r="323" spans="51:51">
      <c r="AY323" s="499"/>
    </row>
    <row r="324" spans="51:51">
      <c r="AY324" s="499"/>
    </row>
    <row r="325" spans="51:51">
      <c r="AY325" s="499"/>
    </row>
    <row r="326" spans="51:51">
      <c r="AY326" s="499"/>
    </row>
    <row r="327" spans="51:51">
      <c r="AY327" s="499"/>
    </row>
    <row r="328" spans="51:51">
      <c r="AY328" s="499"/>
    </row>
    <row r="329" spans="51:51">
      <c r="AY329" s="499"/>
    </row>
    <row r="330" spans="51:51">
      <c r="AY330" s="499"/>
    </row>
    <row r="331" spans="51:51">
      <c r="AY331" s="499"/>
    </row>
    <row r="332" spans="51:51">
      <c r="AY332" s="499"/>
    </row>
    <row r="333" spans="51:51">
      <c r="AY333" s="499"/>
    </row>
    <row r="334" spans="51:51">
      <c r="AY334" s="499"/>
    </row>
    <row r="335" spans="51:51">
      <c r="AY335" s="499"/>
    </row>
    <row r="336" spans="51:51">
      <c r="AY336" s="499"/>
    </row>
    <row r="337" spans="51:51">
      <c r="AY337" s="499"/>
    </row>
    <row r="338" spans="51:51">
      <c r="AY338" s="499"/>
    </row>
    <row r="339" spans="51:51">
      <c r="AY339" s="499"/>
    </row>
    <row r="340" spans="51:51">
      <c r="AY340" s="499"/>
    </row>
    <row r="341" spans="51:51">
      <c r="AY341" s="499"/>
    </row>
    <row r="342" spans="51:51">
      <c r="AY342" s="499"/>
    </row>
    <row r="343" spans="51:51">
      <c r="AY343" s="499"/>
    </row>
    <row r="344" spans="51:51">
      <c r="AY344" s="499"/>
    </row>
    <row r="345" spans="51:51">
      <c r="AY345" s="499"/>
    </row>
    <row r="346" spans="51:51">
      <c r="AY346" s="499"/>
    </row>
    <row r="347" spans="51:51">
      <c r="AY347" s="499"/>
    </row>
    <row r="348" spans="51:51">
      <c r="AY348" s="499"/>
    </row>
    <row r="349" spans="51:51">
      <c r="AY349" s="499"/>
    </row>
    <row r="350" spans="51:51">
      <c r="AY350" s="499"/>
    </row>
    <row r="351" spans="51:51">
      <c r="AY351" s="499"/>
    </row>
    <row r="352" spans="51:51">
      <c r="AY352" s="499"/>
    </row>
    <row r="353" spans="51:51">
      <c r="AY353" s="499"/>
    </row>
    <row r="354" spans="51:51">
      <c r="AY354" s="499"/>
    </row>
    <row r="355" spans="51:51">
      <c r="AY355" s="499"/>
    </row>
    <row r="356" spans="51:51">
      <c r="AY356" s="499"/>
    </row>
    <row r="357" spans="51:51">
      <c r="AY357" s="499"/>
    </row>
    <row r="358" spans="51:51">
      <c r="AY358" s="499"/>
    </row>
    <row r="359" spans="51:51">
      <c r="AY359" s="499"/>
    </row>
    <row r="360" spans="51:51">
      <c r="AY360" s="499"/>
    </row>
    <row r="361" spans="51:51">
      <c r="AY361" s="499"/>
    </row>
    <row r="362" spans="51:51">
      <c r="AY362" s="499"/>
    </row>
    <row r="363" spans="51:51">
      <c r="AY363" s="499"/>
    </row>
    <row r="364" spans="51:51">
      <c r="AY364" s="499"/>
    </row>
    <row r="365" spans="51:51">
      <c r="AY365" s="499"/>
    </row>
    <row r="366" spans="51:51">
      <c r="AY366" s="499"/>
    </row>
    <row r="367" spans="51:51">
      <c r="AY367" s="499"/>
    </row>
    <row r="368" spans="51:51">
      <c r="AY368" s="499"/>
    </row>
    <row r="369" spans="51:51">
      <c r="AY369" s="499"/>
    </row>
    <row r="370" spans="51:51">
      <c r="AY370" s="499"/>
    </row>
    <row r="371" spans="51:51">
      <c r="AY371" s="499"/>
    </row>
    <row r="372" spans="51:51">
      <c r="AY372" s="499"/>
    </row>
    <row r="373" spans="51:51">
      <c r="AY373" s="499"/>
    </row>
    <row r="374" spans="51:51">
      <c r="AY374" s="499"/>
    </row>
    <row r="375" spans="51:51">
      <c r="AY375" s="499"/>
    </row>
    <row r="376" spans="51:51">
      <c r="AY376" s="499"/>
    </row>
    <row r="377" spans="51:51">
      <c r="AY377" s="499"/>
    </row>
    <row r="378" spans="51:51">
      <c r="AY378" s="499"/>
    </row>
    <row r="379" spans="51:51">
      <c r="AY379" s="499"/>
    </row>
    <row r="380" spans="51:51">
      <c r="AY380" s="499"/>
    </row>
    <row r="381" spans="51:51">
      <c r="AY381" s="499"/>
    </row>
    <row r="382" spans="51:51">
      <c r="AY382" s="499"/>
    </row>
    <row r="383" spans="51:51">
      <c r="AY383" s="499"/>
    </row>
    <row r="384" spans="51:51">
      <c r="AY384" s="499"/>
    </row>
    <row r="385" spans="51:51">
      <c r="AY385" s="499"/>
    </row>
    <row r="386" spans="51:51">
      <c r="AY386" s="499"/>
    </row>
    <row r="387" spans="51:51">
      <c r="AY387" s="499"/>
    </row>
    <row r="388" spans="51:51">
      <c r="AY388" s="499"/>
    </row>
    <row r="389" spans="51:51">
      <c r="AY389" s="499"/>
    </row>
    <row r="390" spans="51:51">
      <c r="AY390" s="499"/>
    </row>
    <row r="391" spans="51:51">
      <c r="AY391" s="499"/>
    </row>
    <row r="392" spans="51:51">
      <c r="AY392" s="499"/>
    </row>
    <row r="393" spans="51:51">
      <c r="AY393" s="499"/>
    </row>
    <row r="394" spans="51:51">
      <c r="AY394" s="499"/>
    </row>
    <row r="395" spans="51:51">
      <c r="AY395" s="499"/>
    </row>
    <row r="396" spans="51:51">
      <c r="AY396" s="499"/>
    </row>
    <row r="397" spans="51:51">
      <c r="AY397" s="499"/>
    </row>
    <row r="398" spans="51:51">
      <c r="AY398" s="499"/>
    </row>
    <row r="399" spans="51:51">
      <c r="AY399" s="499"/>
    </row>
    <row r="400" spans="51:51">
      <c r="AY400" s="499"/>
    </row>
    <row r="401" spans="51:51">
      <c r="AY401" s="499"/>
    </row>
    <row r="402" spans="51:51">
      <c r="AY402" s="499"/>
    </row>
    <row r="403" spans="51:51">
      <c r="AY403" s="499"/>
    </row>
    <row r="404" spans="51:51">
      <c r="AY404" s="499"/>
    </row>
    <row r="405" spans="51:51">
      <c r="AY405" s="499"/>
    </row>
    <row r="406" spans="51:51">
      <c r="AY406" s="499"/>
    </row>
    <row r="407" spans="51:51">
      <c r="AY407" s="499"/>
    </row>
    <row r="408" spans="51:51">
      <c r="AY408" s="499"/>
    </row>
    <row r="409" spans="51:51">
      <c r="AY409" s="499"/>
    </row>
    <row r="410" spans="51:51">
      <c r="AY410" s="499"/>
    </row>
    <row r="411" spans="51:51">
      <c r="AY411" s="499"/>
    </row>
    <row r="412" spans="51:51">
      <c r="AY412" s="499"/>
    </row>
    <row r="413" spans="51:51">
      <c r="AY413" s="499"/>
    </row>
    <row r="414" spans="51:51">
      <c r="AY414" s="499"/>
    </row>
    <row r="415" spans="51:51">
      <c r="AY415" s="499"/>
    </row>
    <row r="416" spans="51:51">
      <c r="AY416" s="499"/>
    </row>
    <row r="417" spans="51:51">
      <c r="AY417" s="499"/>
    </row>
    <row r="418" spans="51:51">
      <c r="AY418" s="499"/>
    </row>
    <row r="419" spans="51:51">
      <c r="AY419" s="499"/>
    </row>
    <row r="420" spans="51:51">
      <c r="AY420" s="499"/>
    </row>
    <row r="421" spans="51:51">
      <c r="AY421" s="499"/>
    </row>
    <row r="422" spans="51:51">
      <c r="AY422" s="499"/>
    </row>
    <row r="423" spans="51:51">
      <c r="AY423" s="499"/>
    </row>
    <row r="424" spans="51:51">
      <c r="AY424" s="499"/>
    </row>
    <row r="425" spans="51:51">
      <c r="AY425" s="499"/>
    </row>
    <row r="426" spans="51:51">
      <c r="AY426" s="499"/>
    </row>
    <row r="427" spans="51:51">
      <c r="AY427" s="499"/>
    </row>
    <row r="428" spans="51:51">
      <c r="AY428" s="499"/>
    </row>
    <row r="429" spans="51:51">
      <c r="AY429" s="499"/>
    </row>
    <row r="430" spans="51:51">
      <c r="AY430" s="499"/>
    </row>
    <row r="431" spans="51:51">
      <c r="AY431" s="499"/>
    </row>
    <row r="432" spans="51:51">
      <c r="AY432" s="499"/>
    </row>
    <row r="433" spans="51:51">
      <c r="AY433" s="499"/>
    </row>
    <row r="434" spans="51:51">
      <c r="AY434" s="499"/>
    </row>
    <row r="435" spans="51:51">
      <c r="AY435" s="499"/>
    </row>
    <row r="436" spans="51:51">
      <c r="AY436" s="499"/>
    </row>
    <row r="437" spans="51:51">
      <c r="AY437" s="499"/>
    </row>
    <row r="438" spans="51:51">
      <c r="AY438" s="499"/>
    </row>
    <row r="439" spans="51:51">
      <c r="AY439" s="499"/>
    </row>
    <row r="440" spans="51:51">
      <c r="AY440" s="499"/>
    </row>
    <row r="441" spans="51:51">
      <c r="AY441" s="499"/>
    </row>
    <row r="442" spans="51:51">
      <c r="AY442" s="499"/>
    </row>
    <row r="443" spans="51:51">
      <c r="AY443" s="499"/>
    </row>
    <row r="444" spans="51:51">
      <c r="AY444" s="499"/>
    </row>
    <row r="445" spans="51:51">
      <c r="AY445" s="499"/>
    </row>
    <row r="446" spans="51:51">
      <c r="AY446" s="499"/>
    </row>
    <row r="447" spans="51:51">
      <c r="AY447" s="499"/>
    </row>
    <row r="448" spans="51:51">
      <c r="AY448" s="499"/>
    </row>
    <row r="449" spans="51:51">
      <c r="AY449" s="499"/>
    </row>
    <row r="450" spans="51:51">
      <c r="AY450" s="499"/>
    </row>
    <row r="451" spans="51:51">
      <c r="AY451" s="499"/>
    </row>
    <row r="452" spans="51:51">
      <c r="AY452" s="499"/>
    </row>
    <row r="453" spans="51:51">
      <c r="AY453" s="499"/>
    </row>
    <row r="454" spans="51:51">
      <c r="AY454" s="499"/>
    </row>
    <row r="455" spans="51:51">
      <c r="AY455" s="499"/>
    </row>
    <row r="456" spans="51:51">
      <c r="AY456" s="499"/>
    </row>
    <row r="457" spans="51:51">
      <c r="AY457" s="499"/>
    </row>
    <row r="458" spans="51:51">
      <c r="AY458" s="499"/>
    </row>
    <row r="459" spans="51:51">
      <c r="AY459" s="499"/>
    </row>
    <row r="460" spans="51:51">
      <c r="AY460" s="499"/>
    </row>
    <row r="461" spans="51:51">
      <c r="AY461" s="499"/>
    </row>
    <row r="462" spans="51:51">
      <c r="AY462" s="499"/>
    </row>
    <row r="463" spans="51:51">
      <c r="AY463" s="499"/>
    </row>
    <row r="464" spans="51:51">
      <c r="AY464" s="499"/>
    </row>
    <row r="465" spans="51:51">
      <c r="AY465" s="499"/>
    </row>
    <row r="466" spans="51:51">
      <c r="AY466" s="499"/>
    </row>
    <row r="467" spans="51:51">
      <c r="AY467" s="499"/>
    </row>
    <row r="468" spans="51:51">
      <c r="AY468" s="499"/>
    </row>
    <row r="469" spans="51:51">
      <c r="AY469" s="499"/>
    </row>
    <row r="470" spans="51:51">
      <c r="AY470" s="499"/>
    </row>
    <row r="471" spans="51:51">
      <c r="AY471" s="499"/>
    </row>
    <row r="472" spans="51:51">
      <c r="AY472" s="499"/>
    </row>
    <row r="473" spans="51:51">
      <c r="AY473" s="499"/>
    </row>
    <row r="474" spans="51:51">
      <c r="AY474" s="499"/>
    </row>
    <row r="475" spans="51:51">
      <c r="AY475" s="499"/>
    </row>
    <row r="476" spans="51:51">
      <c r="AY476" s="499"/>
    </row>
    <row r="477" spans="51:51">
      <c r="AY477" s="499"/>
    </row>
    <row r="478" spans="51:51">
      <c r="AY478" s="499"/>
    </row>
    <row r="479" spans="51:51">
      <c r="AY479" s="499"/>
    </row>
    <row r="480" spans="51:51">
      <c r="AY480" s="499"/>
    </row>
    <row r="481" spans="51:51">
      <c r="AY481" s="499"/>
    </row>
    <row r="482" spans="51:51">
      <c r="AY482" s="499"/>
    </row>
    <row r="483" spans="51:51">
      <c r="AY483" s="499"/>
    </row>
    <row r="484" spans="51:51">
      <c r="AY484" s="499"/>
    </row>
    <row r="485" spans="51:51">
      <c r="AY485" s="499"/>
    </row>
    <row r="486" spans="51:51">
      <c r="AY486" s="499"/>
    </row>
    <row r="487" spans="51:51">
      <c r="AY487" s="499"/>
    </row>
    <row r="488" spans="51:51">
      <c r="AY488" s="499"/>
    </row>
    <row r="489" spans="51:51">
      <c r="AY489" s="499"/>
    </row>
    <row r="490" spans="51:51">
      <c r="AY490" s="499"/>
    </row>
    <row r="491" spans="51:51">
      <c r="AY491" s="499"/>
    </row>
    <row r="492" spans="51:51">
      <c r="AY492" s="499"/>
    </row>
    <row r="493" spans="51:51">
      <c r="AY493" s="499"/>
    </row>
    <row r="494" spans="51:51">
      <c r="AY494" s="499"/>
    </row>
    <row r="495" spans="51:51">
      <c r="AY495" s="499"/>
    </row>
    <row r="496" spans="51:51">
      <c r="AY496" s="499"/>
    </row>
    <row r="497" spans="51:51">
      <c r="AY497" s="499"/>
    </row>
    <row r="498" spans="51:51">
      <c r="AY498" s="499"/>
    </row>
    <row r="499" spans="51:51">
      <c r="AY499" s="499"/>
    </row>
    <row r="500" spans="51:51">
      <c r="AY500" s="499"/>
    </row>
    <row r="501" spans="51:51">
      <c r="AY501" s="499"/>
    </row>
    <row r="502" spans="51:51">
      <c r="AY502" s="499"/>
    </row>
    <row r="503" spans="51:51">
      <c r="AY503" s="499"/>
    </row>
    <row r="504" spans="51:51">
      <c r="AY504" s="499"/>
    </row>
    <row r="505" spans="51:51">
      <c r="AY505" s="499"/>
    </row>
    <row r="506" spans="51:51">
      <c r="AY506" s="499"/>
    </row>
    <row r="507" spans="51:51">
      <c r="AY507" s="499"/>
    </row>
    <row r="508" spans="51:51">
      <c r="AY508" s="499"/>
    </row>
    <row r="509" spans="51:51">
      <c r="AY509" s="499"/>
    </row>
    <row r="510" spans="51:51">
      <c r="AY510" s="499"/>
    </row>
    <row r="511" spans="51:51">
      <c r="AY511" s="499"/>
    </row>
    <row r="512" spans="51:51">
      <c r="AY512" s="499"/>
    </row>
    <row r="513" spans="51:51">
      <c r="AY513" s="499"/>
    </row>
    <row r="514" spans="51:51">
      <c r="AY514" s="499"/>
    </row>
    <row r="515" spans="51:51">
      <c r="AY515" s="499"/>
    </row>
    <row r="516" spans="51:51">
      <c r="AY516" s="499"/>
    </row>
    <row r="517" spans="51:51">
      <c r="AY517" s="499"/>
    </row>
    <row r="518" spans="51:51">
      <c r="AY518" s="499"/>
    </row>
    <row r="519" spans="51:51">
      <c r="AY519" s="499"/>
    </row>
    <row r="520" spans="51:51">
      <c r="AY520" s="499"/>
    </row>
    <row r="521" spans="51:51">
      <c r="AY521" s="499"/>
    </row>
    <row r="522" spans="51:51">
      <c r="AY522" s="499"/>
    </row>
    <row r="523" spans="51:51">
      <c r="AY523" s="499"/>
    </row>
    <row r="524" spans="51:51">
      <c r="AY524" s="499"/>
    </row>
    <row r="525" spans="51:51">
      <c r="AY525" s="499"/>
    </row>
    <row r="526" spans="51:51">
      <c r="AY526" s="499"/>
    </row>
    <row r="527" spans="51:51">
      <c r="AY527" s="499"/>
    </row>
    <row r="528" spans="51:51">
      <c r="AY528" s="499"/>
    </row>
    <row r="529" spans="51:51">
      <c r="AY529" s="499"/>
    </row>
    <row r="530" spans="51:51">
      <c r="AY530" s="499"/>
    </row>
    <row r="531" spans="51:51">
      <c r="AY531" s="499"/>
    </row>
    <row r="532" spans="51:51">
      <c r="AY532" s="499"/>
    </row>
    <row r="533" spans="51:51">
      <c r="AY533" s="499"/>
    </row>
    <row r="534" spans="51:51">
      <c r="AY534" s="499"/>
    </row>
    <row r="535" spans="51:51">
      <c r="AY535" s="499"/>
    </row>
    <row r="536" spans="51:51">
      <c r="AY536" s="499"/>
    </row>
    <row r="537" spans="51:51">
      <c r="AY537" s="499"/>
    </row>
    <row r="538" spans="51:51">
      <c r="AY538" s="499"/>
    </row>
    <row r="539" spans="51:51">
      <c r="AY539" s="499"/>
    </row>
    <row r="540" spans="51:51">
      <c r="AY540" s="499"/>
    </row>
    <row r="541" spans="51:51">
      <c r="AY541" s="499"/>
    </row>
    <row r="542" spans="51:51">
      <c r="AY542" s="499"/>
    </row>
    <row r="543" spans="51:51">
      <c r="AY543" s="499"/>
    </row>
    <row r="544" spans="51:51">
      <c r="AY544" s="499"/>
    </row>
    <row r="545" spans="51:51">
      <c r="AY545" s="499"/>
    </row>
    <row r="546" spans="51:51">
      <c r="AY546" s="499"/>
    </row>
    <row r="547" spans="51:51">
      <c r="AY547" s="499"/>
    </row>
    <row r="548" spans="51:51">
      <c r="AY548" s="499"/>
    </row>
    <row r="549" spans="51:51">
      <c r="AY549" s="499"/>
    </row>
    <row r="550" spans="51:51">
      <c r="AY550" s="499"/>
    </row>
    <row r="551" spans="51:51">
      <c r="AY551" s="499"/>
    </row>
    <row r="552" spans="51:51">
      <c r="AY552" s="499"/>
    </row>
    <row r="553" spans="51:51">
      <c r="AY553" s="499"/>
    </row>
    <row r="554" spans="51:51">
      <c r="AY554" s="499"/>
    </row>
    <row r="555" spans="51:51">
      <c r="AY555" s="499"/>
    </row>
    <row r="556" spans="51:51">
      <c r="AY556" s="499"/>
    </row>
    <row r="557" spans="51:51">
      <c r="AY557" s="499"/>
    </row>
    <row r="558" spans="51:51">
      <c r="AY558" s="499"/>
    </row>
    <row r="559" spans="51:51">
      <c r="AY559" s="499"/>
    </row>
    <row r="560" spans="51:51">
      <c r="AY560" s="499"/>
    </row>
    <row r="561" spans="51:51">
      <c r="AY561" s="499"/>
    </row>
    <row r="562" spans="51:51">
      <c r="AY562" s="499"/>
    </row>
    <row r="563" spans="51:51">
      <c r="AY563" s="499"/>
    </row>
    <row r="564" spans="51:51">
      <c r="AY564" s="499"/>
    </row>
    <row r="565" spans="51:51">
      <c r="AY565" s="499"/>
    </row>
    <row r="566" spans="51:51">
      <c r="AY566" s="499"/>
    </row>
    <row r="567" spans="51:51">
      <c r="AY567" s="499"/>
    </row>
    <row r="568" spans="51:51">
      <c r="AY568" s="499"/>
    </row>
    <row r="569" spans="51:51">
      <c r="AY569" s="499"/>
    </row>
    <row r="570" spans="51:51">
      <c r="AY570" s="499"/>
    </row>
    <row r="571" spans="51:51">
      <c r="AY571" s="499"/>
    </row>
    <row r="572" spans="51:51">
      <c r="AY572" s="499"/>
    </row>
    <row r="573" spans="51:51">
      <c r="AY573" s="499"/>
    </row>
    <row r="574" spans="51:51">
      <c r="AY574" s="499"/>
    </row>
    <row r="575" spans="51:51">
      <c r="AY575" s="499"/>
    </row>
    <row r="576" spans="51:51">
      <c r="AY576" s="499"/>
    </row>
    <row r="577" spans="51:51">
      <c r="AY577" s="499"/>
    </row>
    <row r="578" spans="51:51">
      <c r="AY578" s="499"/>
    </row>
    <row r="579" spans="51:51">
      <c r="AY579" s="499"/>
    </row>
    <row r="580" spans="51:51">
      <c r="AY580" s="499"/>
    </row>
    <row r="581" spans="51:51">
      <c r="AY581" s="499"/>
    </row>
    <row r="582" spans="51:51">
      <c r="AY582" s="499"/>
    </row>
    <row r="583" spans="51:51">
      <c r="AY583" s="499"/>
    </row>
    <row r="584" spans="51:51">
      <c r="AY584" s="499"/>
    </row>
    <row r="585" spans="51:51">
      <c r="AY585" s="499"/>
    </row>
    <row r="586" spans="51:51">
      <c r="AY586" s="499"/>
    </row>
    <row r="587" spans="51:51">
      <c r="AY587" s="499"/>
    </row>
    <row r="588" spans="51:51">
      <c r="AY588" s="499"/>
    </row>
    <row r="589" spans="51:51">
      <c r="AY589" s="499"/>
    </row>
    <row r="590" spans="51:51">
      <c r="AY590" s="499"/>
    </row>
    <row r="591" spans="51:51">
      <c r="AY591" s="499"/>
    </row>
    <row r="592" spans="51:51">
      <c r="AY592" s="499"/>
    </row>
    <row r="593" spans="51:51">
      <c r="AY593" s="499"/>
    </row>
    <row r="594" spans="51:51">
      <c r="AY594" s="499"/>
    </row>
    <row r="595" spans="51:51">
      <c r="AY595" s="499"/>
    </row>
    <row r="596" spans="51:51">
      <c r="AY596" s="499"/>
    </row>
    <row r="597" spans="51:51">
      <c r="AY597" s="499"/>
    </row>
    <row r="598" spans="51:51">
      <c r="AY598" s="499"/>
    </row>
    <row r="599" spans="51:51">
      <c r="AY599" s="499"/>
    </row>
    <row r="600" spans="51:51">
      <c r="AY600" s="499"/>
    </row>
    <row r="601" spans="51:51">
      <c r="AY601" s="499"/>
    </row>
    <row r="602" spans="51:51">
      <c r="AY602" s="499"/>
    </row>
    <row r="603" spans="51:51">
      <c r="AY603" s="499"/>
    </row>
    <row r="604" spans="51:51">
      <c r="AY604" s="499"/>
    </row>
    <row r="605" spans="51:51">
      <c r="AY605" s="499"/>
    </row>
    <row r="606" spans="51:51">
      <c r="AY606" s="499"/>
    </row>
    <row r="607" spans="51:51">
      <c r="AY607" s="499"/>
    </row>
    <row r="608" spans="51:51">
      <c r="AY608" s="499"/>
    </row>
    <row r="609" spans="51:51">
      <c r="AY609" s="499"/>
    </row>
    <row r="610" spans="51:51">
      <c r="AY610" s="499"/>
    </row>
    <row r="611" spans="51:51">
      <c r="AY611" s="499"/>
    </row>
    <row r="612" spans="51:51">
      <c r="AY612" s="499"/>
    </row>
    <row r="613" spans="51:51">
      <c r="AY613" s="499"/>
    </row>
    <row r="614" spans="51:51">
      <c r="AY614" s="499"/>
    </row>
    <row r="615" spans="51:51">
      <c r="AY615" s="499"/>
    </row>
    <row r="616" spans="51:51">
      <c r="AY616" s="499"/>
    </row>
    <row r="617" spans="51:51">
      <c r="AY617" s="499"/>
    </row>
    <row r="618" spans="51:51">
      <c r="AY618" s="499"/>
    </row>
    <row r="619" spans="51:51">
      <c r="AY619" s="499"/>
    </row>
    <row r="620" spans="51:51">
      <c r="AY620" s="499"/>
    </row>
    <row r="621" spans="51:51">
      <c r="AY621" s="499"/>
    </row>
    <row r="622" spans="51:51">
      <c r="AY622" s="499"/>
    </row>
    <row r="623" spans="51:51">
      <c r="AY623" s="499"/>
    </row>
    <row r="624" spans="51:51">
      <c r="AY624" s="499"/>
    </row>
    <row r="625" spans="51:51">
      <c r="AY625" s="499"/>
    </row>
    <row r="626" spans="51:51">
      <c r="AY626" s="499"/>
    </row>
    <row r="627" spans="51:51">
      <c r="AY627" s="499"/>
    </row>
    <row r="628" spans="51:51">
      <c r="AY628" s="499"/>
    </row>
    <row r="629" spans="51:51">
      <c r="AY629" s="499"/>
    </row>
    <row r="630" spans="51:51">
      <c r="AY630" s="499"/>
    </row>
    <row r="631" spans="51:51">
      <c r="AY631" s="499"/>
    </row>
    <row r="632" spans="51:51">
      <c r="AY632" s="499"/>
    </row>
    <row r="633" spans="51:51">
      <c r="AY633" s="499"/>
    </row>
    <row r="634" spans="51:51">
      <c r="AY634" s="499"/>
    </row>
    <row r="635" spans="51:51">
      <c r="AY635" s="499"/>
    </row>
    <row r="636" spans="51:51">
      <c r="AY636" s="499"/>
    </row>
    <row r="637" spans="51:51">
      <c r="AY637" s="499"/>
    </row>
    <row r="638" spans="51:51">
      <c r="AY638" s="499"/>
    </row>
    <row r="639" spans="51:51">
      <c r="AY639" s="499"/>
    </row>
    <row r="640" spans="51:51">
      <c r="AY640" s="499"/>
    </row>
    <row r="641" spans="51:51">
      <c r="AY641" s="499"/>
    </row>
    <row r="642" spans="51:51">
      <c r="AY642" s="499"/>
    </row>
    <row r="643" spans="51:51">
      <c r="AY643" s="499"/>
    </row>
    <row r="644" spans="51:51">
      <c r="AY644" s="499"/>
    </row>
    <row r="645" spans="51:51">
      <c r="AY645" s="499"/>
    </row>
    <row r="646" spans="51:51">
      <c r="AY646" s="499"/>
    </row>
    <row r="647" spans="51:51">
      <c r="AY647" s="499"/>
    </row>
    <row r="648" spans="51:51">
      <c r="AY648" s="499"/>
    </row>
    <row r="649" spans="51:51">
      <c r="AY649" s="499"/>
    </row>
    <row r="650" spans="51:51">
      <c r="AY650" s="499"/>
    </row>
    <row r="651" spans="51:51">
      <c r="AY651" s="499"/>
    </row>
    <row r="652" spans="51:51">
      <c r="AY652" s="499"/>
    </row>
    <row r="653" spans="51:51">
      <c r="AY653" s="499"/>
    </row>
    <row r="654" spans="51:51">
      <c r="AY654" s="499"/>
    </row>
    <row r="655" spans="51:51">
      <c r="AY655" s="499"/>
    </row>
    <row r="656" spans="51:51">
      <c r="AY656" s="499"/>
    </row>
    <row r="657" spans="51:51">
      <c r="AY657" s="499"/>
    </row>
    <row r="658" spans="51:51">
      <c r="AY658" s="499"/>
    </row>
    <row r="659" spans="51:51">
      <c r="AY659" s="499"/>
    </row>
    <row r="660" spans="51:51">
      <c r="AY660" s="499"/>
    </row>
    <row r="661" spans="51:51">
      <c r="AY661" s="499"/>
    </row>
    <row r="662" spans="51:51">
      <c r="AY662" s="499"/>
    </row>
    <row r="663" spans="51:51">
      <c r="AY663" s="499"/>
    </row>
    <row r="664" spans="51:51">
      <c r="AY664" s="499"/>
    </row>
    <row r="665" spans="51:51">
      <c r="AY665" s="499"/>
    </row>
    <row r="666" spans="51:51">
      <c r="AY666" s="499"/>
    </row>
    <row r="667" spans="51:51">
      <c r="AY667" s="499"/>
    </row>
    <row r="668" spans="51:51">
      <c r="AY668" s="499"/>
    </row>
    <row r="669" spans="51:51">
      <c r="AY669" s="499"/>
    </row>
    <row r="670" spans="51:51">
      <c r="AY670" s="499"/>
    </row>
    <row r="671" spans="51:51">
      <c r="AY671" s="499"/>
    </row>
    <row r="672" spans="51:51">
      <c r="AY672" s="499"/>
    </row>
    <row r="673" spans="51:51">
      <c r="AY673" s="499"/>
    </row>
    <row r="674" spans="51:51">
      <c r="AY674" s="499"/>
    </row>
    <row r="675" spans="51:51">
      <c r="AY675" s="499"/>
    </row>
    <row r="676" spans="51:51">
      <c r="AY676" s="499"/>
    </row>
    <row r="677" spans="51:51">
      <c r="AY677" s="499"/>
    </row>
    <row r="678" spans="51:51">
      <c r="AY678" s="499"/>
    </row>
    <row r="679" spans="51:51">
      <c r="AY679" s="499"/>
    </row>
    <row r="680" spans="51:51">
      <c r="AY680" s="499"/>
    </row>
    <row r="681" spans="51:51">
      <c r="AY681" s="499"/>
    </row>
    <row r="682" spans="51:51">
      <c r="AY682" s="499"/>
    </row>
    <row r="683" spans="51:51">
      <c r="AY683" s="499"/>
    </row>
    <row r="684" spans="51:51">
      <c r="AY684" s="499"/>
    </row>
    <row r="685" spans="51:51">
      <c r="AY685" s="499"/>
    </row>
    <row r="686" spans="51:51">
      <c r="AY686" s="499"/>
    </row>
    <row r="687" spans="51:51">
      <c r="AY687" s="499"/>
    </row>
    <row r="688" spans="51:51">
      <c r="AY688" s="499"/>
    </row>
    <row r="689" spans="51:51">
      <c r="AY689" s="499"/>
    </row>
    <row r="690" spans="51:51">
      <c r="AY690" s="499"/>
    </row>
    <row r="691" spans="51:51">
      <c r="AY691" s="499"/>
    </row>
    <row r="692" spans="51:51">
      <c r="AY692" s="499"/>
    </row>
    <row r="693" spans="51:51">
      <c r="AY693" s="499"/>
    </row>
    <row r="694" spans="51:51">
      <c r="AY694" s="499"/>
    </row>
    <row r="695" spans="51:51">
      <c r="AY695" s="499"/>
    </row>
    <row r="696" spans="51:51">
      <c r="AY696" s="499"/>
    </row>
    <row r="697" spans="51:51">
      <c r="AY697" s="499"/>
    </row>
    <row r="698" spans="51:51">
      <c r="AY698" s="499"/>
    </row>
    <row r="699" spans="51:51">
      <c r="AY699" s="499"/>
    </row>
    <row r="700" spans="51:51">
      <c r="AY700" s="499"/>
    </row>
    <row r="701" spans="51:51">
      <c r="AY701" s="499"/>
    </row>
    <row r="702" spans="51:51">
      <c r="AY702" s="499"/>
    </row>
    <row r="703" spans="51:51">
      <c r="AY703" s="499"/>
    </row>
    <row r="704" spans="51:51">
      <c r="AY704" s="499"/>
    </row>
    <row r="705" spans="51:51">
      <c r="AY705" s="499"/>
    </row>
    <row r="706" spans="51:51">
      <c r="AY706" s="499"/>
    </row>
    <row r="707" spans="51:51">
      <c r="AY707" s="499"/>
    </row>
    <row r="708" spans="51:51">
      <c r="AY708" s="499"/>
    </row>
    <row r="709" spans="51:51">
      <c r="AY709" s="499"/>
    </row>
    <row r="710" spans="51:51">
      <c r="AY710" s="499"/>
    </row>
    <row r="711" spans="51:51">
      <c r="AY711" s="499"/>
    </row>
    <row r="712" spans="51:51">
      <c r="AY712" s="499"/>
    </row>
    <row r="713" spans="51:51">
      <c r="AY713" s="499"/>
    </row>
    <row r="714" spans="51:51">
      <c r="AY714" s="499"/>
    </row>
    <row r="715" spans="51:51">
      <c r="AY715" s="499"/>
    </row>
    <row r="716" spans="51:51">
      <c r="AY716" s="499"/>
    </row>
    <row r="717" spans="51:51">
      <c r="AY717" s="499"/>
    </row>
    <row r="718" spans="51:51">
      <c r="AY718" s="499"/>
    </row>
    <row r="719" spans="51:51">
      <c r="AY719" s="499"/>
    </row>
    <row r="720" spans="51:51">
      <c r="AY720" s="499"/>
    </row>
    <row r="721" spans="51:51">
      <c r="AY721" s="499"/>
    </row>
    <row r="722" spans="51:51">
      <c r="AY722" s="499"/>
    </row>
    <row r="723" spans="51:51">
      <c r="AY723" s="499"/>
    </row>
    <row r="724" spans="51:51">
      <c r="AY724" s="499"/>
    </row>
    <row r="725" spans="51:51">
      <c r="AY725" s="499"/>
    </row>
    <row r="726" spans="51:51">
      <c r="AY726" s="499"/>
    </row>
    <row r="727" spans="51:51">
      <c r="AY727" s="499"/>
    </row>
    <row r="728" spans="51:51">
      <c r="AY728" s="499"/>
    </row>
    <row r="729" spans="51:51">
      <c r="AY729" s="499"/>
    </row>
    <row r="730" spans="51:51">
      <c r="AY730" s="499"/>
    </row>
    <row r="731" spans="51:51">
      <c r="AY731" s="499"/>
    </row>
    <row r="732" spans="51:51">
      <c r="AY732" s="499"/>
    </row>
    <row r="733" spans="51:51">
      <c r="AY733" s="499"/>
    </row>
    <row r="734" spans="51:51">
      <c r="AY734" s="499"/>
    </row>
    <row r="735" spans="51:51">
      <c r="AY735" s="499"/>
    </row>
    <row r="736" spans="51:51">
      <c r="AY736" s="499"/>
    </row>
    <row r="737" spans="51:51">
      <c r="AY737" s="499"/>
    </row>
    <row r="738" spans="51:51">
      <c r="AY738" s="499"/>
    </row>
    <row r="739" spans="51:51">
      <c r="AY739" s="499"/>
    </row>
    <row r="740" spans="51:51">
      <c r="AY740" s="499"/>
    </row>
    <row r="741" spans="51:51">
      <c r="AY741" s="499"/>
    </row>
    <row r="742" spans="51:51">
      <c r="AY742" s="499"/>
    </row>
    <row r="743" spans="51:51">
      <c r="AY743" s="499"/>
    </row>
    <row r="744" spans="51:51">
      <c r="AY744" s="499"/>
    </row>
    <row r="745" spans="51:51">
      <c r="AY745" s="499"/>
    </row>
    <row r="746" spans="51:51">
      <c r="AY746" s="499"/>
    </row>
    <row r="747" spans="51:51">
      <c r="AY747" s="499"/>
    </row>
    <row r="748" spans="51:51">
      <c r="AY748" s="499"/>
    </row>
    <row r="749" spans="51:51">
      <c r="AY749" s="499"/>
    </row>
    <row r="750" spans="51:51">
      <c r="AY750" s="499"/>
    </row>
    <row r="751" spans="51:51">
      <c r="AY751" s="499"/>
    </row>
    <row r="752" spans="51:51">
      <c r="AY752" s="499"/>
    </row>
    <row r="753" spans="51:51">
      <c r="AY753" s="499"/>
    </row>
    <row r="754" spans="51:51">
      <c r="AY754" s="499"/>
    </row>
    <row r="755" spans="51:51">
      <c r="AY755" s="499"/>
    </row>
    <row r="756" spans="51:51">
      <c r="AY756" s="499"/>
    </row>
    <row r="757" spans="51:51">
      <c r="AY757" s="499"/>
    </row>
    <row r="758" spans="51:51">
      <c r="AY758" s="499"/>
    </row>
    <row r="759" spans="51:51">
      <c r="AY759" s="499"/>
    </row>
    <row r="760" spans="51:51">
      <c r="AY760" s="499"/>
    </row>
    <row r="761" spans="51:51">
      <c r="AY761" s="499"/>
    </row>
    <row r="762" spans="51:51">
      <c r="AY762" s="499"/>
    </row>
    <row r="763" spans="51:51">
      <c r="AY763" s="499"/>
    </row>
    <row r="764" spans="51:51">
      <c r="AY764" s="499"/>
    </row>
    <row r="765" spans="51:51">
      <c r="AY765" s="499"/>
    </row>
    <row r="766" spans="51:51">
      <c r="AY766" s="499"/>
    </row>
    <row r="767" spans="51:51">
      <c r="AY767" s="499"/>
    </row>
    <row r="768" spans="51:51">
      <c r="AY768" s="499"/>
    </row>
    <row r="769" spans="51:51">
      <c r="AY769" s="499"/>
    </row>
    <row r="770" spans="51:51">
      <c r="AY770" s="499"/>
    </row>
    <row r="771" spans="51:51">
      <c r="AY771" s="499"/>
    </row>
    <row r="772" spans="51:51">
      <c r="AY772" s="499"/>
    </row>
    <row r="773" spans="51:51">
      <c r="AY773" s="499"/>
    </row>
    <row r="774" spans="51:51">
      <c r="AY774" s="499"/>
    </row>
    <row r="775" spans="51:51">
      <c r="AY775" s="499"/>
    </row>
    <row r="776" spans="51:51">
      <c r="AY776" s="499"/>
    </row>
    <row r="777" spans="51:51">
      <c r="AY777" s="499"/>
    </row>
    <row r="778" spans="51:51">
      <c r="AY778" s="499"/>
    </row>
    <row r="779" spans="51:51">
      <c r="AY779" s="499"/>
    </row>
    <row r="780" spans="51:51">
      <c r="AY780" s="499"/>
    </row>
    <row r="781" spans="51:51">
      <c r="AY781" s="499"/>
    </row>
    <row r="782" spans="51:51">
      <c r="AY782" s="499"/>
    </row>
    <row r="783" spans="51:51">
      <c r="AY783" s="499"/>
    </row>
    <row r="784" spans="51:51">
      <c r="AY784" s="499"/>
    </row>
    <row r="785" spans="51:51">
      <c r="AY785" s="499"/>
    </row>
    <row r="786" spans="51:51">
      <c r="AY786" s="499"/>
    </row>
    <row r="787" spans="51:51">
      <c r="AY787" s="499"/>
    </row>
    <row r="788" spans="51:51">
      <c r="AY788" s="499"/>
    </row>
    <row r="789" spans="51:51">
      <c r="AY789" s="499"/>
    </row>
    <row r="790" spans="51:51">
      <c r="AY790" s="499"/>
    </row>
    <row r="791" spans="51:51">
      <c r="AY791" s="499"/>
    </row>
    <row r="792" spans="51:51">
      <c r="AY792" s="499"/>
    </row>
    <row r="793" spans="51:51">
      <c r="AY793" s="499"/>
    </row>
    <row r="794" spans="51:51">
      <c r="AY794" s="499"/>
    </row>
    <row r="795" spans="51:51">
      <c r="AY795" s="499"/>
    </row>
    <row r="796" spans="51:51">
      <c r="AY796" s="499"/>
    </row>
    <row r="797" spans="51:51">
      <c r="AY797" s="499"/>
    </row>
    <row r="798" spans="51:51">
      <c r="AY798" s="499"/>
    </row>
    <row r="799" spans="51:51">
      <c r="AY799" s="499"/>
    </row>
    <row r="800" spans="51:51">
      <c r="AY800" s="499"/>
    </row>
    <row r="801" spans="51:51">
      <c r="AY801" s="499"/>
    </row>
    <row r="802" spans="51:51">
      <c r="AY802" s="499"/>
    </row>
    <row r="803" spans="51:51">
      <c r="AY803" s="499"/>
    </row>
    <row r="804" spans="51:51">
      <c r="AY804" s="499"/>
    </row>
    <row r="805" spans="51:51">
      <c r="AY805" s="499"/>
    </row>
    <row r="806" spans="51:51">
      <c r="AY806" s="499"/>
    </row>
    <row r="807" spans="51:51">
      <c r="AY807" s="499"/>
    </row>
    <row r="808" spans="51:51">
      <c r="AY808" s="499"/>
    </row>
    <row r="809" spans="51:51">
      <c r="AY809" s="499"/>
    </row>
    <row r="810" spans="51:51">
      <c r="AY810" s="499"/>
    </row>
    <row r="811" spans="51:51">
      <c r="AY811" s="499"/>
    </row>
    <row r="812" spans="51:51">
      <c r="AY812" s="499"/>
    </row>
    <row r="813" spans="51:51">
      <c r="AY813" s="499"/>
    </row>
    <row r="814" spans="51:51">
      <c r="AY814" s="499"/>
    </row>
    <row r="815" spans="51:51">
      <c r="AY815" s="499"/>
    </row>
    <row r="816" spans="51:51">
      <c r="AY816" s="499"/>
    </row>
    <row r="817" spans="51:51">
      <c r="AY817" s="499"/>
    </row>
    <row r="818" spans="51:51">
      <c r="AY818" s="499"/>
    </row>
    <row r="819" spans="51:51">
      <c r="AY819" s="499"/>
    </row>
    <row r="820" spans="51:51">
      <c r="AY820" s="499"/>
    </row>
    <row r="821" spans="51:51">
      <c r="AY821" s="499"/>
    </row>
    <row r="822" spans="51:51">
      <c r="AY822" s="499"/>
    </row>
    <row r="823" spans="51:51">
      <c r="AY823" s="499"/>
    </row>
    <row r="824" spans="51:51">
      <c r="AY824" s="499"/>
    </row>
    <row r="825" spans="51:51">
      <c r="AY825" s="499"/>
    </row>
    <row r="826" spans="51:51">
      <c r="AY826" s="499"/>
    </row>
    <row r="827" spans="51:51">
      <c r="AY827" s="499"/>
    </row>
    <row r="828" spans="51:51">
      <c r="AY828" s="499"/>
    </row>
    <row r="829" spans="51:51">
      <c r="AY829" s="499"/>
    </row>
    <row r="830" spans="51:51">
      <c r="AY830" s="499"/>
    </row>
    <row r="831" spans="51:51">
      <c r="AY831" s="499"/>
    </row>
    <row r="832" spans="51:51">
      <c r="AY832" s="499"/>
    </row>
    <row r="833" spans="51:51">
      <c r="AY833" s="499"/>
    </row>
    <row r="834" spans="51:51">
      <c r="AY834" s="499"/>
    </row>
    <row r="835" spans="51:51">
      <c r="AY835" s="499"/>
    </row>
    <row r="836" spans="51:51">
      <c r="AY836" s="499"/>
    </row>
    <row r="837" spans="51:51">
      <c r="AY837" s="499"/>
    </row>
    <row r="838" spans="51:51">
      <c r="AY838" s="499"/>
    </row>
    <row r="839" spans="51:51">
      <c r="AY839" s="499"/>
    </row>
    <row r="840" spans="51:51">
      <c r="AY840" s="499"/>
    </row>
    <row r="841" spans="51:51">
      <c r="AY841" s="499"/>
    </row>
    <row r="842" spans="51:51">
      <c r="AY842" s="499"/>
    </row>
    <row r="843" spans="51:51">
      <c r="AY843" s="499"/>
    </row>
    <row r="844" spans="51:51">
      <c r="AY844" s="499"/>
    </row>
    <row r="845" spans="51:51">
      <c r="AY845" s="499"/>
    </row>
    <row r="846" spans="51:51">
      <c r="AY846" s="499"/>
    </row>
    <row r="847" spans="51:51">
      <c r="AY847" s="499"/>
    </row>
    <row r="848" spans="51:51">
      <c r="AY848" s="499"/>
    </row>
    <row r="849" spans="51:51">
      <c r="AY849" s="499"/>
    </row>
    <row r="850" spans="51:51">
      <c r="AY850" s="499"/>
    </row>
    <row r="851" spans="51:51">
      <c r="AY851" s="499"/>
    </row>
    <row r="852" spans="51:51">
      <c r="AY852" s="499"/>
    </row>
    <row r="853" spans="51:51">
      <c r="AY853" s="499"/>
    </row>
    <row r="854" spans="51:51">
      <c r="AY854" s="499"/>
    </row>
    <row r="855" spans="51:51">
      <c r="AY855" s="499"/>
    </row>
    <row r="856" spans="51:51">
      <c r="AY856" s="499"/>
    </row>
    <row r="857" spans="51:51">
      <c r="AY857" s="499"/>
    </row>
    <row r="858" spans="51:51">
      <c r="AY858" s="499"/>
    </row>
    <row r="859" spans="51:51">
      <c r="AY859" s="499"/>
    </row>
    <row r="860" spans="51:51">
      <c r="AY860" s="499"/>
    </row>
    <row r="861" spans="51:51">
      <c r="AY861" s="499"/>
    </row>
    <row r="862" spans="51:51">
      <c r="AY862" s="499"/>
    </row>
    <row r="863" spans="51:51">
      <c r="AY863" s="499"/>
    </row>
    <row r="864" spans="51:51">
      <c r="AY864" s="499"/>
    </row>
    <row r="865" spans="51:51">
      <c r="AY865" s="499"/>
    </row>
    <row r="866" spans="51:51">
      <c r="AY866" s="499"/>
    </row>
    <row r="867" spans="51:51">
      <c r="AY867" s="499"/>
    </row>
    <row r="868" spans="51:51">
      <c r="AY868" s="499"/>
    </row>
    <row r="869" spans="51:51">
      <c r="AY869" s="499"/>
    </row>
    <row r="870" spans="51:51">
      <c r="AY870" s="499"/>
    </row>
    <row r="871" spans="51:51">
      <c r="AY871" s="499"/>
    </row>
    <row r="872" spans="51:51">
      <c r="AY872" s="499"/>
    </row>
    <row r="873" spans="51:51">
      <c r="AY873" s="499"/>
    </row>
    <row r="874" spans="51:51">
      <c r="AY874" s="499"/>
    </row>
    <row r="875" spans="51:51">
      <c r="AY875" s="499"/>
    </row>
    <row r="876" spans="51:51">
      <c r="AY876" s="499"/>
    </row>
    <row r="877" spans="51:51">
      <c r="AY877" s="499"/>
    </row>
    <row r="878" spans="51:51">
      <c r="AY878" s="499"/>
    </row>
    <row r="879" spans="51:51">
      <c r="AY879" s="499"/>
    </row>
    <row r="880" spans="51:51">
      <c r="AY880" s="499"/>
    </row>
    <row r="881" spans="51:51">
      <c r="AY881" s="499"/>
    </row>
    <row r="882" spans="51:51">
      <c r="AY882" s="499"/>
    </row>
    <row r="883" spans="51:51">
      <c r="AY883" s="499"/>
    </row>
    <row r="884" spans="51:51">
      <c r="AY884" s="499"/>
    </row>
    <row r="885" spans="51:51">
      <c r="AY885" s="499"/>
    </row>
    <row r="886" spans="51:51">
      <c r="AY886" s="499"/>
    </row>
    <row r="887" spans="51:51">
      <c r="AY887" s="499"/>
    </row>
    <row r="888" spans="51:51">
      <c r="AY888" s="499"/>
    </row>
    <row r="889" spans="51:51">
      <c r="AY889" s="499"/>
    </row>
    <row r="890" spans="51:51">
      <c r="AY890" s="499"/>
    </row>
    <row r="891" spans="51:51">
      <c r="AY891" s="499"/>
    </row>
    <row r="892" spans="51:51">
      <c r="AY892" s="499"/>
    </row>
    <row r="893" spans="51:51">
      <c r="AY893" s="499"/>
    </row>
    <row r="894" spans="51:51">
      <c r="AY894" s="499"/>
    </row>
    <row r="895" spans="51:51">
      <c r="AY895" s="499"/>
    </row>
    <row r="896" spans="51:51">
      <c r="AY896" s="499"/>
    </row>
    <row r="897" spans="51:51">
      <c r="AY897" s="499"/>
    </row>
    <row r="898" spans="51:51">
      <c r="AY898" s="499"/>
    </row>
    <row r="899" spans="51:51">
      <c r="AY899" s="499"/>
    </row>
    <row r="900" spans="51:51">
      <c r="AY900" s="499"/>
    </row>
    <row r="901" spans="51:51">
      <c r="AY901" s="499"/>
    </row>
    <row r="902" spans="51:51">
      <c r="AY902" s="499"/>
    </row>
    <row r="903" spans="51:51">
      <c r="AY903" s="499"/>
    </row>
    <row r="904" spans="51:51">
      <c r="AY904" s="499"/>
    </row>
    <row r="905" spans="51:51">
      <c r="AY905" s="499"/>
    </row>
    <row r="906" spans="51:51">
      <c r="AY906" s="499"/>
    </row>
    <row r="907" spans="51:51">
      <c r="AY907" s="499"/>
    </row>
    <row r="908" spans="51:51">
      <c r="AY908" s="499"/>
    </row>
    <row r="909" spans="51:51">
      <c r="AY909" s="499"/>
    </row>
    <row r="910" spans="51:51">
      <c r="AY910" s="499"/>
    </row>
    <row r="911" spans="51:51">
      <c r="AY911" s="499"/>
    </row>
    <row r="912" spans="51:51">
      <c r="AY912" s="499"/>
    </row>
    <row r="913" spans="51:51">
      <c r="AY913" s="499"/>
    </row>
    <row r="914" spans="51:51">
      <c r="AY914" s="499"/>
    </row>
    <row r="915" spans="51:51">
      <c r="AY915" s="499"/>
    </row>
    <row r="916" spans="51:51">
      <c r="AY916" s="499"/>
    </row>
    <row r="917" spans="51:51">
      <c r="AY917" s="499"/>
    </row>
    <row r="918" spans="51:51">
      <c r="AY918" s="499"/>
    </row>
    <row r="919" spans="51:51">
      <c r="AY919" s="499"/>
    </row>
    <row r="920" spans="51:51">
      <c r="AY920" s="499"/>
    </row>
    <row r="921" spans="51:51">
      <c r="AY921" s="499"/>
    </row>
    <row r="922" spans="51:51">
      <c r="AY922" s="499"/>
    </row>
    <row r="923" spans="51:51">
      <c r="AY923" s="499"/>
    </row>
    <row r="924" spans="51:51">
      <c r="AY924" s="499"/>
    </row>
    <row r="925" spans="51:51">
      <c r="AY925" s="499"/>
    </row>
    <row r="926" spans="51:51">
      <c r="AY926" s="499"/>
    </row>
    <row r="927" spans="51:51">
      <c r="AY927" s="499"/>
    </row>
    <row r="928" spans="51:51">
      <c r="AY928" s="499"/>
    </row>
    <row r="929" spans="51:51">
      <c r="AY929" s="499"/>
    </row>
    <row r="930" spans="51:51">
      <c r="AY930" s="499"/>
    </row>
    <row r="931" spans="51:51">
      <c r="AY931" s="499"/>
    </row>
    <row r="932" spans="51:51">
      <c r="AY932" s="499"/>
    </row>
    <row r="933" spans="51:51">
      <c r="AY933" s="499"/>
    </row>
    <row r="934" spans="51:51">
      <c r="AY934" s="499"/>
    </row>
    <row r="935" spans="51:51">
      <c r="AY935" s="499"/>
    </row>
    <row r="936" spans="51:51">
      <c r="AY936" s="499"/>
    </row>
    <row r="937" spans="51:51">
      <c r="AY937" s="499"/>
    </row>
    <row r="938" spans="51:51">
      <c r="AY938" s="499"/>
    </row>
    <row r="939" spans="51:51">
      <c r="AY939" s="499"/>
    </row>
    <row r="940" spans="51:51">
      <c r="AY940" s="499"/>
    </row>
    <row r="941" spans="51:51">
      <c r="AY941" s="499"/>
    </row>
    <row r="942" spans="51:51">
      <c r="AY942" s="499"/>
    </row>
    <row r="943" spans="51:51">
      <c r="AY943" s="499"/>
    </row>
    <row r="944" spans="51:51">
      <c r="AY944" s="499"/>
    </row>
    <row r="945" spans="51:51">
      <c r="AY945" s="499"/>
    </row>
    <row r="946" spans="51:51">
      <c r="AY946" s="499"/>
    </row>
    <row r="947" spans="51:51">
      <c r="AY947" s="499"/>
    </row>
    <row r="948" spans="51:51">
      <c r="AY948" s="499"/>
    </row>
    <row r="949" spans="51:51">
      <c r="AY949" s="499"/>
    </row>
    <row r="950" spans="51:51">
      <c r="AY950" s="499"/>
    </row>
    <row r="951" spans="51:51">
      <c r="AY951" s="499"/>
    </row>
    <row r="952" spans="51:51">
      <c r="AY952" s="499"/>
    </row>
    <row r="953" spans="51:51">
      <c r="AY953" s="499"/>
    </row>
    <row r="954" spans="51:51">
      <c r="AY954" s="499"/>
    </row>
    <row r="955" spans="51:51">
      <c r="AY955" s="499"/>
    </row>
    <row r="956" spans="51:51">
      <c r="AY956" s="499"/>
    </row>
    <row r="957" spans="51:51">
      <c r="AY957" s="499"/>
    </row>
    <row r="958" spans="51:51">
      <c r="AY958" s="499"/>
    </row>
    <row r="959" spans="51:51">
      <c r="AY959" s="499"/>
    </row>
    <row r="960" spans="51:51">
      <c r="AY960" s="499"/>
    </row>
    <row r="961" spans="51:51">
      <c r="AY961" s="499"/>
    </row>
    <row r="962" spans="51:51">
      <c r="AY962" s="499"/>
    </row>
    <row r="963" spans="51:51">
      <c r="AY963" s="499"/>
    </row>
    <row r="964" spans="51:51">
      <c r="AY964" s="499"/>
    </row>
    <row r="965" spans="51:51">
      <c r="AY965" s="499"/>
    </row>
    <row r="966" spans="51:51">
      <c r="AY966" s="499"/>
    </row>
    <row r="967" spans="51:51">
      <c r="AY967" s="499"/>
    </row>
    <row r="968" spans="51:51">
      <c r="AY968" s="499"/>
    </row>
    <row r="969" spans="51:51">
      <c r="AY969" s="499"/>
    </row>
    <row r="970" spans="51:51">
      <c r="AY970" s="499"/>
    </row>
    <row r="971" spans="51:51">
      <c r="AY971" s="499"/>
    </row>
    <row r="972" spans="51:51">
      <c r="AY972" s="499"/>
    </row>
    <row r="973" spans="51:51">
      <c r="AY973" s="499"/>
    </row>
    <row r="974" spans="51:51">
      <c r="AY974" s="499"/>
    </row>
    <row r="975" spans="51:51">
      <c r="AY975" s="499"/>
    </row>
    <row r="976" spans="51:51">
      <c r="AY976" s="499"/>
    </row>
    <row r="977" spans="51:51">
      <c r="AY977" s="499"/>
    </row>
    <row r="978" spans="51:51">
      <c r="AY978" s="499"/>
    </row>
    <row r="979" spans="51:51">
      <c r="AY979" s="499"/>
    </row>
    <row r="980" spans="51:51">
      <c r="AY980" s="499"/>
    </row>
    <row r="981" spans="51:51">
      <c r="AY981" s="499"/>
    </row>
    <row r="982" spans="51:51">
      <c r="AY982" s="499"/>
    </row>
    <row r="983" spans="51:51">
      <c r="AY983" s="499"/>
    </row>
    <row r="984" spans="51:51">
      <c r="AY984" s="499"/>
    </row>
    <row r="985" spans="51:51">
      <c r="AY985" s="499"/>
    </row>
    <row r="986" spans="51:51">
      <c r="AY986" s="499"/>
    </row>
    <row r="987" spans="51:51">
      <c r="AY987" s="499"/>
    </row>
    <row r="988" spans="51:51">
      <c r="AY988" s="499"/>
    </row>
    <row r="989" spans="51:51">
      <c r="AY989" s="499"/>
    </row>
    <row r="990" spans="51:51">
      <c r="AY990" s="499"/>
    </row>
    <row r="991" spans="51:51">
      <c r="AY991" s="499"/>
    </row>
    <row r="992" spans="51:51">
      <c r="AY992" s="499"/>
    </row>
    <row r="993" spans="51:51">
      <c r="AY993" s="499"/>
    </row>
    <row r="994" spans="51:51">
      <c r="AY994" s="499"/>
    </row>
    <row r="995" spans="51:51">
      <c r="AY995" s="499"/>
    </row>
    <row r="996" spans="51:51">
      <c r="AY996" s="499"/>
    </row>
    <row r="997" spans="51:51">
      <c r="AY997" s="499"/>
    </row>
    <row r="998" spans="51:51">
      <c r="AY998" s="499"/>
    </row>
    <row r="999" spans="51:51">
      <c r="AY999" s="499"/>
    </row>
    <row r="1000" spans="51:51">
      <c r="AY1000" s="499"/>
    </row>
    <row r="1001" spans="51:51">
      <c r="AY1001" s="499"/>
    </row>
    <row r="1002" spans="51:51">
      <c r="AY1002" s="499"/>
    </row>
    <row r="1003" spans="51:51">
      <c r="AY1003" s="499"/>
    </row>
    <row r="1004" spans="51:51">
      <c r="AY1004" s="499"/>
    </row>
    <row r="1005" spans="51:51">
      <c r="AY1005" s="499"/>
    </row>
    <row r="1006" spans="51:51">
      <c r="AY1006" s="499"/>
    </row>
    <row r="1007" spans="51:51">
      <c r="AY1007" s="499"/>
    </row>
    <row r="1008" spans="51:51">
      <c r="AY1008" s="499"/>
    </row>
    <row r="1009" spans="51:51">
      <c r="AY1009" s="499"/>
    </row>
    <row r="1010" spans="51:51">
      <c r="AY1010" s="499"/>
    </row>
    <row r="1011" spans="51:51">
      <c r="AY1011" s="499"/>
    </row>
    <row r="1012" spans="51:51">
      <c r="AY1012" s="499"/>
    </row>
    <row r="1013" spans="51:51">
      <c r="AY1013" s="499"/>
    </row>
    <row r="1014" spans="51:51">
      <c r="AY1014" s="499"/>
    </row>
    <row r="1015" spans="51:51">
      <c r="AY1015" s="499"/>
    </row>
    <row r="1016" spans="51:51">
      <c r="AY1016" s="499"/>
    </row>
    <row r="1017" spans="51:51">
      <c r="AY1017" s="499"/>
    </row>
    <row r="1018" spans="51:51">
      <c r="AY1018" s="499"/>
    </row>
    <row r="1019" spans="51:51">
      <c r="AY1019" s="499"/>
    </row>
    <row r="1020" spans="51:51">
      <c r="AY1020" s="499"/>
    </row>
    <row r="1021" spans="51:51">
      <c r="AY1021" s="499"/>
    </row>
    <row r="1022" spans="51:51">
      <c r="AY1022" s="499"/>
    </row>
    <row r="1023" spans="51:51">
      <c r="AY1023" s="499"/>
    </row>
    <row r="1024" spans="51:51">
      <c r="AY1024" s="499"/>
    </row>
    <row r="1025" spans="51:51">
      <c r="AY1025" s="499"/>
    </row>
    <row r="1026" spans="51:51">
      <c r="AY1026" s="499"/>
    </row>
    <row r="1027" spans="51:51">
      <c r="AY1027" s="499"/>
    </row>
    <row r="1028" spans="51:51">
      <c r="AY1028" s="499"/>
    </row>
    <row r="1029" spans="51:51">
      <c r="AY1029" s="499"/>
    </row>
    <row r="1030" spans="51:51">
      <c r="AY1030" s="499"/>
    </row>
    <row r="1031" spans="51:51">
      <c r="AY1031" s="499"/>
    </row>
    <row r="1032" spans="51:51">
      <c r="AY1032" s="499"/>
    </row>
    <row r="1033" spans="51:51">
      <c r="AY1033" s="499"/>
    </row>
    <row r="1034" spans="51:51">
      <c r="AY1034" s="499"/>
    </row>
    <row r="1035" spans="51:51">
      <c r="AY1035" s="499"/>
    </row>
    <row r="1036" spans="51:51">
      <c r="AY1036" s="499"/>
    </row>
    <row r="1037" spans="51:51">
      <c r="AY1037" s="499"/>
    </row>
    <row r="1038" spans="51:51">
      <c r="AY1038" s="499"/>
    </row>
    <row r="1039" spans="51:51">
      <c r="AY1039" s="499"/>
    </row>
    <row r="1040" spans="51:51">
      <c r="AY1040" s="499"/>
    </row>
    <row r="1041" spans="51:51">
      <c r="AY1041" s="499"/>
    </row>
    <row r="1042" spans="51:51">
      <c r="AY1042" s="499"/>
    </row>
    <row r="1043" spans="51:51">
      <c r="AY1043" s="499"/>
    </row>
    <row r="1044" spans="51:51">
      <c r="AY1044" s="499"/>
    </row>
    <row r="1045" spans="51:51">
      <c r="AY1045" s="499"/>
    </row>
    <row r="1046" spans="51:51">
      <c r="AY1046" s="499"/>
    </row>
    <row r="1047" spans="51:51">
      <c r="AY1047" s="499"/>
    </row>
    <row r="1048" spans="51:51">
      <c r="AY1048" s="499"/>
    </row>
    <row r="1049" spans="51:51">
      <c r="AY1049" s="499"/>
    </row>
    <row r="1050" spans="51:51">
      <c r="AY1050" s="499"/>
    </row>
    <row r="1051" spans="51:51">
      <c r="AY1051" s="499"/>
    </row>
    <row r="1052" spans="51:51">
      <c r="AY1052" s="499"/>
    </row>
    <row r="1053" spans="51:51">
      <c r="AY1053" s="499"/>
    </row>
    <row r="1054" spans="51:51">
      <c r="AY1054" s="499"/>
    </row>
    <row r="1055" spans="51:51">
      <c r="AY1055" s="499"/>
    </row>
    <row r="1056" spans="51:51">
      <c r="AY1056" s="499"/>
    </row>
    <row r="1057" spans="51:51">
      <c r="AY1057" s="499"/>
    </row>
    <row r="1058" spans="51:51">
      <c r="AY1058" s="499"/>
    </row>
    <row r="1059" spans="51:51">
      <c r="AY1059" s="499"/>
    </row>
    <row r="1060" spans="51:51">
      <c r="AY1060" s="499"/>
    </row>
    <row r="1061" spans="51:51">
      <c r="AY1061" s="499"/>
    </row>
    <row r="1062" spans="51:51">
      <c r="AY1062" s="499"/>
    </row>
    <row r="1063" spans="51:51">
      <c r="AY1063" s="499"/>
    </row>
    <row r="1064" spans="51:51">
      <c r="AY1064" s="499"/>
    </row>
    <row r="1065" spans="51:51">
      <c r="AY1065" s="499"/>
    </row>
    <row r="1066" spans="51:51">
      <c r="AY1066" s="499"/>
    </row>
    <row r="1067" spans="51:51">
      <c r="AY1067" s="499"/>
    </row>
    <row r="1068" spans="51:51">
      <c r="AY1068" s="499"/>
    </row>
    <row r="1069" spans="51:51">
      <c r="AY1069" s="499"/>
    </row>
    <row r="1070" spans="51:51">
      <c r="AY1070" s="499"/>
    </row>
    <row r="1071" spans="51:51">
      <c r="AY1071" s="499"/>
    </row>
    <row r="1072" spans="51:51">
      <c r="AY1072" s="499"/>
    </row>
    <row r="1073" spans="51:51">
      <c r="AY1073" s="499"/>
    </row>
    <row r="1074" spans="51:51">
      <c r="AY1074" s="499"/>
    </row>
    <row r="1075" spans="51:51">
      <c r="AY1075" s="499"/>
    </row>
    <row r="1076" spans="51:51">
      <c r="AY1076" s="499"/>
    </row>
    <row r="1077" spans="51:51">
      <c r="AY1077" s="499"/>
    </row>
    <row r="1078" spans="51:51">
      <c r="AY1078" s="499"/>
    </row>
    <row r="1079" spans="51:51">
      <c r="AY1079" s="499"/>
    </row>
    <row r="1080" spans="51:51">
      <c r="AY1080" s="499"/>
    </row>
    <row r="1081" spans="51:51">
      <c r="AY1081" s="499"/>
    </row>
    <row r="1082" spans="51:51">
      <c r="AY1082" s="499"/>
    </row>
    <row r="1083" spans="51:51">
      <c r="AY1083" s="499"/>
    </row>
    <row r="1084" spans="51:51">
      <c r="AY1084" s="499"/>
    </row>
    <row r="1085" spans="51:51">
      <c r="AY1085" s="499"/>
    </row>
    <row r="1086" spans="51:51">
      <c r="AY1086" s="499"/>
    </row>
    <row r="1087" spans="51:51">
      <c r="AY1087" s="499"/>
    </row>
    <row r="1088" spans="51:51">
      <c r="AY1088" s="499"/>
    </row>
    <row r="1089" spans="51:51">
      <c r="AY1089" s="499"/>
    </row>
    <row r="1090" spans="51:51">
      <c r="AY1090" s="499"/>
    </row>
    <row r="1091" spans="51:51">
      <c r="AY1091" s="499"/>
    </row>
    <row r="1092" spans="51:51">
      <c r="AY1092" s="499"/>
    </row>
    <row r="1093" spans="51:51">
      <c r="AY1093" s="499"/>
    </row>
    <row r="1094" spans="51:51">
      <c r="AY1094" s="499"/>
    </row>
    <row r="1095" spans="51:51">
      <c r="AY1095" s="499"/>
    </row>
    <row r="1096" spans="51:51">
      <c r="AY1096" s="499"/>
    </row>
    <row r="1097" spans="51:51">
      <c r="AY1097" s="499"/>
    </row>
    <row r="1098" spans="51:51">
      <c r="AY1098" s="499"/>
    </row>
    <row r="1099" spans="51:51">
      <c r="AY1099" s="499"/>
    </row>
    <row r="1100" spans="51:51">
      <c r="AY1100" s="499"/>
    </row>
    <row r="1101" spans="51:51">
      <c r="AY1101" s="499"/>
    </row>
    <row r="1102" spans="51:51">
      <c r="AY1102" s="499"/>
    </row>
    <row r="1103" spans="51:51">
      <c r="AY1103" s="499"/>
    </row>
    <row r="1104" spans="51:51">
      <c r="AY1104" s="499"/>
    </row>
    <row r="1105" spans="51:51">
      <c r="AY1105" s="499"/>
    </row>
    <row r="1106" spans="51:51">
      <c r="AY1106" s="499"/>
    </row>
    <row r="1107" spans="51:51">
      <c r="AY1107" s="499"/>
    </row>
    <row r="1108" spans="51:51">
      <c r="AY1108" s="499"/>
    </row>
    <row r="1109" spans="51:51">
      <c r="AY1109" s="499"/>
    </row>
    <row r="1110" spans="51:51">
      <c r="AY1110" s="499"/>
    </row>
    <row r="1111" spans="51:51">
      <c r="AY1111" s="499"/>
    </row>
    <row r="1112" spans="51:51">
      <c r="AY1112" s="499"/>
    </row>
    <row r="1113" spans="51:51">
      <c r="AY1113" s="499"/>
    </row>
    <row r="1114" spans="51:51">
      <c r="AY1114" s="499"/>
    </row>
    <row r="1115" spans="51:51">
      <c r="AY1115" s="499"/>
    </row>
    <row r="1116" spans="51:51">
      <c r="AY1116" s="499"/>
    </row>
    <row r="1117" spans="51:51">
      <c r="AY1117" s="499"/>
    </row>
    <row r="1118" spans="51:51">
      <c r="AY1118" s="499"/>
    </row>
    <row r="1119" spans="51:51">
      <c r="AY1119" s="499"/>
    </row>
    <row r="1120" spans="51:51">
      <c r="AY1120" s="499"/>
    </row>
    <row r="1121" spans="51:51">
      <c r="AY1121" s="499"/>
    </row>
    <row r="1122" spans="51:51">
      <c r="AY1122" s="499"/>
    </row>
    <row r="1123" spans="51:51">
      <c r="AY1123" s="499"/>
    </row>
    <row r="1124" spans="51:51">
      <c r="AY1124" s="499"/>
    </row>
    <row r="1125" spans="51:51">
      <c r="AY1125" s="499"/>
    </row>
    <row r="1126" spans="51:51">
      <c r="AY1126" s="499"/>
    </row>
    <row r="1127" spans="51:51">
      <c r="AY1127" s="499"/>
    </row>
    <row r="1128" spans="51:51">
      <c r="AY1128" s="499"/>
    </row>
    <row r="1129" spans="51:51">
      <c r="AY1129" s="499"/>
    </row>
    <row r="1130" spans="51:51">
      <c r="AY1130" s="499"/>
    </row>
    <row r="1131" spans="51:51">
      <c r="AY1131" s="499"/>
    </row>
    <row r="1132" spans="51:51">
      <c r="AY1132" s="499"/>
    </row>
    <row r="1133" spans="51:51">
      <c r="AY1133" s="499"/>
    </row>
    <row r="1134" spans="51:51">
      <c r="AY1134" s="499"/>
    </row>
    <row r="1135" spans="51:51">
      <c r="AY1135" s="499"/>
    </row>
    <row r="1136" spans="51:51">
      <c r="AY1136" s="499"/>
    </row>
    <row r="1137" spans="51:51">
      <c r="AY1137" s="499"/>
    </row>
    <row r="1138" spans="51:51">
      <c r="AY1138" s="499"/>
    </row>
    <row r="1139" spans="51:51">
      <c r="AY1139" s="499"/>
    </row>
    <row r="1140" spans="51:51">
      <c r="AY1140" s="499"/>
    </row>
    <row r="1141" spans="51:51">
      <c r="AY1141" s="499"/>
    </row>
    <row r="1142" spans="51:51">
      <c r="AY1142" s="499"/>
    </row>
    <row r="1048576" spans="52:52">
      <c r="AZ1048576" s="529"/>
    </row>
  </sheetData>
  <hyperlinks>
    <hyperlink ref="A1" location="main!A1" display="main" xr:uid="{7CDD4A1B-B7B5-4B58-B2DE-F9640259D6F4}"/>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43E4-B5A2-484A-AA23-3F528DAA9547}">
  <dimension ref="A1:AO46"/>
  <sheetViews>
    <sheetView showGridLines="0" workbookViewId="0">
      <selection activeCell="M15" sqref="M15"/>
    </sheetView>
  </sheetViews>
  <sheetFormatPr defaultColWidth="9" defaultRowHeight="15"/>
  <cols>
    <col min="1" max="1" width="27" style="499" bestFit="1" customWidth="1"/>
    <col min="2" max="2" width="15.42578125" style="499" bestFit="1" customWidth="1"/>
    <col min="3" max="4" width="5.5703125" style="499" bestFit="1" customWidth="1"/>
    <col min="5" max="5" width="9" style="499" bestFit="1" customWidth="1"/>
    <col min="6" max="7" width="7.85546875" style="499" bestFit="1" customWidth="1"/>
    <col min="8" max="8" width="9" style="499" bestFit="1" customWidth="1"/>
    <col min="9" max="15" width="12.85546875" style="499" bestFit="1" customWidth="1"/>
    <col min="16" max="17" width="14.42578125" style="499" bestFit="1" customWidth="1"/>
    <col min="18" max="20" width="12.85546875" style="499" bestFit="1" customWidth="1"/>
    <col min="21" max="16384" width="9" style="499"/>
  </cols>
  <sheetData>
    <row r="1" spans="1:41">
      <c r="A1" s="530" t="s">
        <v>1145</v>
      </c>
    </row>
    <row r="3" spans="1:41">
      <c r="A3" s="528" t="s">
        <v>1146</v>
      </c>
    </row>
    <row r="4" spans="1:41" ht="15.75" thickBot="1">
      <c r="A4" s="528" t="s">
        <v>1147</v>
      </c>
    </row>
    <row r="5" spans="1:41" ht="15.75" thickBot="1">
      <c r="A5" s="531"/>
      <c r="B5" s="531" t="s">
        <v>1148</v>
      </c>
      <c r="C5" s="532">
        <v>2006</v>
      </c>
      <c r="D5" s="532">
        <v>2007</v>
      </c>
      <c r="E5" s="532">
        <v>2008</v>
      </c>
      <c r="F5" s="532">
        <v>2009</v>
      </c>
      <c r="G5" s="532">
        <v>2010</v>
      </c>
      <c r="H5" s="532">
        <v>2011</v>
      </c>
      <c r="I5" s="532">
        <v>2012</v>
      </c>
      <c r="J5" s="532">
        <v>2013</v>
      </c>
      <c r="K5" s="532">
        <v>2014</v>
      </c>
      <c r="L5" s="532">
        <v>2015</v>
      </c>
      <c r="M5" s="532">
        <v>2016</v>
      </c>
      <c r="N5" s="532">
        <v>2017</v>
      </c>
      <c r="O5" s="532">
        <v>2018</v>
      </c>
      <c r="P5" s="532">
        <v>2019</v>
      </c>
      <c r="Q5" s="532">
        <v>2020</v>
      </c>
      <c r="R5" s="532">
        <v>2021</v>
      </c>
      <c r="S5" s="532">
        <v>2022</v>
      </c>
      <c r="T5" s="532">
        <v>2023</v>
      </c>
    </row>
    <row r="6" spans="1:41" ht="11.45" customHeight="1" thickBot="1">
      <c r="A6" s="533" t="s">
        <v>1149</v>
      </c>
      <c r="B6" s="534">
        <v>51</v>
      </c>
      <c r="C6" s="535" t="s">
        <v>1150</v>
      </c>
      <c r="D6" s="535" t="s">
        <v>1150</v>
      </c>
      <c r="E6" s="535" t="s">
        <v>1150</v>
      </c>
      <c r="F6" s="535" t="s">
        <v>1150</v>
      </c>
      <c r="G6" s="535" t="s">
        <v>1150</v>
      </c>
      <c r="H6" s="534">
        <v>47</v>
      </c>
      <c r="I6" s="536">
        <v>1</v>
      </c>
      <c r="J6" s="534">
        <v>46</v>
      </c>
      <c r="K6" s="537">
        <v>92</v>
      </c>
      <c r="L6" s="536">
        <v>1</v>
      </c>
      <c r="M6" s="538">
        <v>13</v>
      </c>
      <c r="N6" s="538">
        <v>30</v>
      </c>
      <c r="O6" s="537">
        <v>93</v>
      </c>
      <c r="P6" s="537">
        <v>100</v>
      </c>
      <c r="Q6" s="537">
        <v>94</v>
      </c>
      <c r="R6" s="537">
        <v>91</v>
      </c>
      <c r="S6" s="537">
        <v>100</v>
      </c>
      <c r="T6" s="539">
        <v>81</v>
      </c>
    </row>
    <row r="7" spans="1:41" ht="15.75" thickBot="1">
      <c r="A7" s="540" t="s">
        <v>1151</v>
      </c>
      <c r="B7" s="527"/>
      <c r="C7" s="541"/>
      <c r="D7" s="541"/>
      <c r="E7" s="541"/>
      <c r="F7" s="541"/>
      <c r="G7" s="541"/>
      <c r="H7" s="541"/>
      <c r="I7" s="541"/>
      <c r="J7" s="541"/>
      <c r="K7" s="541"/>
      <c r="L7" s="541"/>
      <c r="M7" s="541"/>
      <c r="N7" s="541"/>
      <c r="O7" s="541"/>
      <c r="P7" s="541"/>
      <c r="Q7" s="541"/>
      <c r="R7" s="541"/>
      <c r="S7" s="541"/>
      <c r="T7" s="541"/>
      <c r="AC7" s="499">
        <v>2011</v>
      </c>
      <c r="AD7" s="499">
        <f>AC7+1</f>
        <v>2012</v>
      </c>
      <c r="AE7" s="499">
        <f t="shared" ref="AE7:AO7" si="0">AD7+1</f>
        <v>2013</v>
      </c>
      <c r="AF7" s="499">
        <f t="shared" si="0"/>
        <v>2014</v>
      </c>
      <c r="AG7" s="499">
        <f t="shared" si="0"/>
        <v>2015</v>
      </c>
      <c r="AH7" s="499">
        <f t="shared" si="0"/>
        <v>2016</v>
      </c>
      <c r="AI7" s="499">
        <f t="shared" si="0"/>
        <v>2017</v>
      </c>
      <c r="AJ7" s="499">
        <f t="shared" si="0"/>
        <v>2018</v>
      </c>
      <c r="AK7" s="499">
        <f t="shared" si="0"/>
        <v>2019</v>
      </c>
      <c r="AL7" s="499">
        <f t="shared" si="0"/>
        <v>2020</v>
      </c>
      <c r="AM7" s="499">
        <f t="shared" si="0"/>
        <v>2021</v>
      </c>
      <c r="AN7" s="499">
        <f t="shared" si="0"/>
        <v>2022</v>
      </c>
      <c r="AO7" s="499">
        <f t="shared" si="0"/>
        <v>2023</v>
      </c>
    </row>
    <row r="8" spans="1:41" ht="15.75" thickBot="1">
      <c r="A8" s="542" t="s">
        <v>1152</v>
      </c>
      <c r="B8" s="543" t="s">
        <v>1153</v>
      </c>
      <c r="C8" s="544" t="s">
        <v>1154</v>
      </c>
      <c r="D8" s="544" t="s">
        <v>1154</v>
      </c>
      <c r="E8" s="544">
        <v>-3.4809999999999999</v>
      </c>
      <c r="F8" s="544">
        <v>-0.15</v>
      </c>
      <c r="G8" s="544">
        <v>0.105</v>
      </c>
      <c r="H8" s="544">
        <v>0.19400000000000001</v>
      </c>
      <c r="I8" s="544">
        <v>0.255</v>
      </c>
      <c r="J8" s="544">
        <v>0.28999999999999998</v>
      </c>
      <c r="K8" s="544">
        <v>0.32900000000000001</v>
      </c>
      <c r="L8" s="544">
        <v>0.30299999999999999</v>
      </c>
      <c r="M8" s="544">
        <v>0.18</v>
      </c>
      <c r="N8" s="544">
        <v>0.19600000000000001</v>
      </c>
      <c r="O8" s="544">
        <v>0.29899999999999999</v>
      </c>
      <c r="P8" s="544">
        <v>0.35399999999999998</v>
      </c>
      <c r="Q8" s="544">
        <v>0.44700000000000001</v>
      </c>
      <c r="R8" s="544">
        <v>0.40100000000000002</v>
      </c>
      <c r="S8" s="544">
        <v>0.41799999999999998</v>
      </c>
      <c r="T8" s="544">
        <v>0.46200000000000002</v>
      </c>
    </row>
    <row r="9" spans="1:41" ht="15.75" thickBot="1">
      <c r="A9" s="542" t="s">
        <v>1155</v>
      </c>
      <c r="B9" s="543" t="s">
        <v>1156</v>
      </c>
      <c r="C9" s="544" t="s">
        <v>1154</v>
      </c>
      <c r="D9" s="544" t="s">
        <v>1154</v>
      </c>
      <c r="E9" s="544">
        <v>-8.6120000000000001</v>
      </c>
      <c r="F9" s="544">
        <v>-0.78700000000000003</v>
      </c>
      <c r="G9" s="544">
        <v>-0.311</v>
      </c>
      <c r="H9" s="544">
        <v>-0.17199999999999999</v>
      </c>
      <c r="I9" s="544">
        <v>-0.11799999999999999</v>
      </c>
      <c r="J9" s="544">
        <v>-6.5000000000000002E-2</v>
      </c>
      <c r="K9" s="544">
        <v>1.0999999999999999E-2</v>
      </c>
      <c r="L9" s="544">
        <v>-2.5000000000000001E-2</v>
      </c>
      <c r="M9" s="544">
        <v>-0.15</v>
      </c>
      <c r="N9" s="544">
        <v>-4.7E-2</v>
      </c>
      <c r="O9" s="544">
        <v>4.9000000000000002E-2</v>
      </c>
      <c r="P9" s="544">
        <v>0.191</v>
      </c>
      <c r="Q9" s="544">
        <v>0.26400000000000001</v>
      </c>
      <c r="R9" s="544">
        <v>0.183</v>
      </c>
      <c r="S9" s="544">
        <v>0.22</v>
      </c>
      <c r="T9" s="544">
        <v>0.23400000000000001</v>
      </c>
      <c r="X9" s="513" t="s">
        <v>1066</v>
      </c>
      <c r="AC9" s="514">
        <f t="shared" ref="AC9:AN9" si="1">AC10+AC13+AC14+AC17</f>
        <v>81.8</v>
      </c>
      <c r="AD9" s="514">
        <f t="shared" si="1"/>
        <v>94.899999999999991</v>
      </c>
      <c r="AE9" s="514">
        <f t="shared" si="1"/>
        <v>90.600000000000009</v>
      </c>
      <c r="AF9" s="514">
        <f t="shared" si="1"/>
        <v>114.89999999999999</v>
      </c>
      <c r="AG9" s="514">
        <f t="shared" si="1"/>
        <v>121.8</v>
      </c>
      <c r="AH9" s="514">
        <f t="shared" si="1"/>
        <v>117.89999999999999</v>
      </c>
      <c r="AI9" s="514">
        <f t="shared" si="1"/>
        <v>130.4</v>
      </c>
      <c r="AJ9" s="514">
        <f t="shared" si="1"/>
        <v>222.30000000000004</v>
      </c>
      <c r="AK9" s="514">
        <f t="shared" si="1"/>
        <v>455.00000000000006</v>
      </c>
      <c r="AL9" s="514">
        <f t="shared" si="1"/>
        <v>933.19999999999982</v>
      </c>
      <c r="AM9" s="514">
        <f t="shared" si="1"/>
        <v>1462.3999999999999</v>
      </c>
      <c r="AN9" s="514">
        <f t="shared" si="1"/>
        <v>2264.1999999999998</v>
      </c>
      <c r="AO9" s="514">
        <f>AO10+AO13+AO14+AO17</f>
        <v>2443.4999999999995</v>
      </c>
    </row>
    <row r="10" spans="1:41" ht="15.75" thickBot="1">
      <c r="A10" s="542" t="s">
        <v>505</v>
      </c>
      <c r="B10" s="543" t="s">
        <v>1157</v>
      </c>
      <c r="C10" s="544" t="s">
        <v>1154</v>
      </c>
      <c r="D10" s="544" t="s">
        <v>1154</v>
      </c>
      <c r="E10" s="544">
        <v>-8.8109999999999999</v>
      </c>
      <c r="F10" s="544">
        <v>-0.82699999999999996</v>
      </c>
      <c r="G10" s="544">
        <v>-0.33600000000000002</v>
      </c>
      <c r="H10" s="544">
        <v>-0.192</v>
      </c>
      <c r="I10" s="544">
        <v>-0.14399999999999999</v>
      </c>
      <c r="J10" s="544">
        <v>-9.5000000000000001E-2</v>
      </c>
      <c r="K10" s="544">
        <v>-1.2999999999999999E-2</v>
      </c>
      <c r="L10" s="544">
        <v>-5.3999999999999999E-2</v>
      </c>
      <c r="M10" s="544">
        <v>-0.19400000000000001</v>
      </c>
      <c r="N10" s="544">
        <v>-0.13800000000000001</v>
      </c>
      <c r="O10" s="544">
        <v>5.0000000000000001E-3</v>
      </c>
      <c r="P10" s="544">
        <v>0.16500000000000001</v>
      </c>
      <c r="Q10" s="544">
        <v>0.24099999999999999</v>
      </c>
      <c r="R10" s="544">
        <v>0.115</v>
      </c>
      <c r="S10" s="544">
        <v>0.192</v>
      </c>
      <c r="T10" s="544">
        <v>0.19500000000000001</v>
      </c>
      <c r="X10" s="515" t="s">
        <v>1067</v>
      </c>
      <c r="AC10" s="516">
        <f t="shared" ref="AC10:AO10" si="2">AC11+AC12</f>
        <v>51.5</v>
      </c>
      <c r="AD10" s="516">
        <f t="shared" si="2"/>
        <v>45.3</v>
      </c>
      <c r="AE10" s="516">
        <f t="shared" si="2"/>
        <v>38.200000000000003</v>
      </c>
      <c r="AF10" s="516">
        <f t="shared" si="2"/>
        <v>42</v>
      </c>
      <c r="AG10" s="516">
        <f t="shared" si="2"/>
        <v>28.5</v>
      </c>
      <c r="AH10" s="516">
        <f t="shared" si="2"/>
        <v>17.8</v>
      </c>
      <c r="AI10" s="516">
        <f t="shared" si="2"/>
        <v>29.1</v>
      </c>
      <c r="AJ10" s="516">
        <f t="shared" si="2"/>
        <v>106.2</v>
      </c>
      <c r="AK10" s="516">
        <f t="shared" si="2"/>
        <v>251.4</v>
      </c>
      <c r="AL10" s="516">
        <f t="shared" si="2"/>
        <v>679.4</v>
      </c>
      <c r="AM10" s="516">
        <f t="shared" si="2"/>
        <v>1016.5999999999999</v>
      </c>
      <c r="AN10" s="516">
        <f t="shared" si="2"/>
        <v>1612.8</v>
      </c>
      <c r="AO10" s="516">
        <f t="shared" si="2"/>
        <v>1695</v>
      </c>
    </row>
    <row r="11" spans="1:41" ht="15.75" thickBot="1">
      <c r="A11" s="542" t="s">
        <v>1158</v>
      </c>
      <c r="B11" s="543" t="s">
        <v>1159</v>
      </c>
      <c r="C11" s="544" t="s">
        <v>1154</v>
      </c>
      <c r="D11" s="544" t="s">
        <v>1154</v>
      </c>
      <c r="E11" s="544">
        <v>-8.6940000000000008</v>
      </c>
      <c r="F11" s="544">
        <v>-0.83799999999999997</v>
      </c>
      <c r="G11" s="544">
        <v>-0.35299999999999998</v>
      </c>
      <c r="H11" s="544">
        <v>-0.216</v>
      </c>
      <c r="I11" s="544">
        <v>-0.17299999999999999</v>
      </c>
      <c r="J11" s="544">
        <v>-0.108</v>
      </c>
      <c r="K11" s="544">
        <v>-2.1000000000000001E-2</v>
      </c>
      <c r="L11" s="544">
        <v>-5.8000000000000003E-2</v>
      </c>
      <c r="M11" s="544">
        <v>-0.20499999999999999</v>
      </c>
      <c r="N11" s="544">
        <v>-0.158</v>
      </c>
      <c r="O11" s="544">
        <v>-3.2000000000000001E-2</v>
      </c>
      <c r="P11" s="544">
        <v>0.14399999999999999</v>
      </c>
      <c r="Q11" s="544">
        <v>0.154</v>
      </c>
      <c r="R11" s="544">
        <v>8.6999999999999994E-2</v>
      </c>
      <c r="S11" s="544">
        <v>0.19400000000000001</v>
      </c>
      <c r="T11" s="544">
        <v>0.224</v>
      </c>
      <c r="X11" s="517" t="s">
        <v>1068</v>
      </c>
      <c r="AC11" s="516">
        <v>51.5</v>
      </c>
      <c r="AD11" s="516">
        <v>45.3</v>
      </c>
      <c r="AE11" s="516">
        <v>38.200000000000003</v>
      </c>
      <c r="AF11" s="516">
        <v>42</v>
      </c>
      <c r="AG11" s="516">
        <v>28.5</v>
      </c>
      <c r="AH11" s="516">
        <v>17.8</v>
      </c>
      <c r="AI11" s="516">
        <v>29.1</v>
      </c>
      <c r="AJ11" s="516">
        <v>106.2</v>
      </c>
      <c r="AK11" s="516">
        <v>251.4</v>
      </c>
      <c r="AL11" s="516">
        <v>679.4</v>
      </c>
      <c r="AM11" s="516">
        <v>119.3</v>
      </c>
      <c r="AN11" s="516">
        <v>473.2</v>
      </c>
      <c r="AO11" s="516">
        <v>288.7</v>
      </c>
    </row>
    <row r="12" spans="1:41" ht="15.75" thickBot="1">
      <c r="A12" s="542" t="s">
        <v>1160</v>
      </c>
      <c r="B12" s="543" t="s">
        <v>1161</v>
      </c>
      <c r="C12" s="544" t="s">
        <v>1154</v>
      </c>
      <c r="D12" s="544" t="s">
        <v>1154</v>
      </c>
      <c r="E12" s="544" t="s">
        <v>1154</v>
      </c>
      <c r="F12" s="544" t="s">
        <v>1154</v>
      </c>
      <c r="G12" s="544" t="s">
        <v>1154</v>
      </c>
      <c r="H12" s="544" t="s">
        <v>1154</v>
      </c>
      <c r="I12" s="544" t="s">
        <v>1154</v>
      </c>
      <c r="J12" s="544" t="s">
        <v>1154</v>
      </c>
      <c r="K12" s="544" t="s">
        <v>1154</v>
      </c>
      <c r="L12" s="544" t="s">
        <v>1154</v>
      </c>
      <c r="M12" s="544" t="s">
        <v>1154</v>
      </c>
      <c r="N12" s="544" t="s">
        <v>1154</v>
      </c>
      <c r="O12" s="544" t="s">
        <v>1154</v>
      </c>
      <c r="P12" s="544">
        <v>-0.78800000000000003</v>
      </c>
      <c r="Q12" s="544">
        <v>-0.122</v>
      </c>
      <c r="R12" s="544">
        <v>-0.20300000000000001</v>
      </c>
      <c r="S12" s="544">
        <v>0.121</v>
      </c>
      <c r="T12" s="544">
        <v>0.14499999999999999</v>
      </c>
      <c r="X12" s="517" t="s">
        <v>1069</v>
      </c>
      <c r="AC12" s="516">
        <v>0</v>
      </c>
      <c r="AD12" s="516">
        <v>0</v>
      </c>
      <c r="AE12" s="516">
        <v>0</v>
      </c>
      <c r="AF12" s="516">
        <v>0</v>
      </c>
      <c r="AG12" s="516">
        <v>0</v>
      </c>
      <c r="AH12" s="516">
        <v>0</v>
      </c>
      <c r="AI12" s="516">
        <v>0</v>
      </c>
      <c r="AJ12" s="516">
        <v>0</v>
      </c>
      <c r="AK12" s="516">
        <v>0</v>
      </c>
      <c r="AL12" s="516">
        <v>0</v>
      </c>
      <c r="AM12" s="516">
        <v>897.3</v>
      </c>
      <c r="AN12" s="516">
        <v>1139.5999999999999</v>
      </c>
      <c r="AO12" s="516">
        <v>1406.3</v>
      </c>
    </row>
    <row r="13" spans="1:41" ht="15.75" thickBot="1">
      <c r="A13" s="542" t="s">
        <v>1162</v>
      </c>
      <c r="B13" s="543" t="s">
        <v>1163</v>
      </c>
      <c r="C13" s="544" t="s">
        <v>1154</v>
      </c>
      <c r="D13" s="544" t="s">
        <v>1154</v>
      </c>
      <c r="E13" s="544">
        <v>-8.6940000000000008</v>
      </c>
      <c r="F13" s="544">
        <v>-0.83799999999999997</v>
      </c>
      <c r="G13" s="544">
        <v>-0.35299999999999998</v>
      </c>
      <c r="H13" s="544">
        <v>-0.216</v>
      </c>
      <c r="I13" s="544">
        <v>-0.17599999999999999</v>
      </c>
      <c r="J13" s="544">
        <v>-0.111</v>
      </c>
      <c r="K13" s="544">
        <v>-2.3E-2</v>
      </c>
      <c r="L13" s="544">
        <v>-6.2E-2</v>
      </c>
      <c r="M13" s="544">
        <v>-0.20899999999999999</v>
      </c>
      <c r="N13" s="544">
        <v>-3.9E-2</v>
      </c>
      <c r="O13" s="544">
        <v>-3.6999999999999998E-2</v>
      </c>
      <c r="P13" s="544">
        <v>0.25800000000000001</v>
      </c>
      <c r="Q13" s="544">
        <v>0.17299999999999999</v>
      </c>
      <c r="R13" s="544">
        <v>0.105</v>
      </c>
      <c r="S13" s="544">
        <v>0.17</v>
      </c>
      <c r="T13" s="544">
        <v>0.192</v>
      </c>
      <c r="X13" s="499" t="s">
        <v>1070</v>
      </c>
      <c r="AC13" s="516">
        <v>17.8</v>
      </c>
      <c r="AD13" s="516">
        <v>27.7</v>
      </c>
      <c r="AE13" s="516">
        <v>32.1</v>
      </c>
      <c r="AF13" s="516">
        <v>45.1</v>
      </c>
      <c r="AG13" s="516">
        <v>46.1</v>
      </c>
      <c r="AH13" s="516">
        <v>61</v>
      </c>
      <c r="AI13" s="516">
        <v>65.3</v>
      </c>
      <c r="AJ13" s="516">
        <v>78.900000000000006</v>
      </c>
      <c r="AK13" s="516">
        <v>145.4</v>
      </c>
      <c r="AL13" s="516">
        <v>182.2</v>
      </c>
      <c r="AM13" s="516">
        <v>333.6</v>
      </c>
      <c r="AN13" s="516">
        <v>473</v>
      </c>
      <c r="AO13" s="516">
        <v>486.2</v>
      </c>
    </row>
    <row r="14" spans="1:41" ht="15.75" thickBot="1">
      <c r="A14" s="540" t="s">
        <v>1164</v>
      </c>
      <c r="B14" s="527"/>
      <c r="C14" s="541"/>
      <c r="D14" s="541"/>
      <c r="E14" s="541"/>
      <c r="F14" s="541"/>
      <c r="G14" s="541"/>
      <c r="H14" s="541"/>
      <c r="I14" s="541"/>
      <c r="J14" s="541"/>
      <c r="K14" s="541"/>
      <c r="L14" s="541"/>
      <c r="M14" s="541"/>
      <c r="N14" s="541"/>
      <c r="O14" s="541"/>
      <c r="P14" s="541"/>
      <c r="Q14" s="541"/>
      <c r="R14" s="541"/>
      <c r="S14" s="541"/>
      <c r="T14" s="541"/>
      <c r="X14" s="515" t="s">
        <v>1071</v>
      </c>
      <c r="AC14" s="516">
        <v>11.2</v>
      </c>
      <c r="AD14" s="516">
        <v>19.8</v>
      </c>
      <c r="AE14" s="516">
        <v>16.600000000000001</v>
      </c>
      <c r="AF14" s="516">
        <v>21.6</v>
      </c>
      <c r="AG14" s="516">
        <v>40.799999999999997</v>
      </c>
      <c r="AH14" s="516">
        <v>32</v>
      </c>
      <c r="AI14" s="516">
        <v>26</v>
      </c>
      <c r="AJ14" s="516">
        <v>16.3</v>
      </c>
      <c r="AK14" s="516">
        <v>32.1</v>
      </c>
      <c r="AL14" s="516">
        <v>41.8</v>
      </c>
      <c r="AM14" s="516">
        <v>74.400000000000006</v>
      </c>
      <c r="AN14" s="516">
        <v>149.69999999999999</v>
      </c>
      <c r="AO14" s="516">
        <v>213.6</v>
      </c>
    </row>
    <row r="15" spans="1:41" ht="15.75" thickBot="1">
      <c r="A15" s="542" t="s">
        <v>1165</v>
      </c>
      <c r="B15" s="543" t="s">
        <v>1166</v>
      </c>
      <c r="C15" s="545" t="s">
        <v>1154</v>
      </c>
      <c r="D15" s="545" t="s">
        <v>1154</v>
      </c>
      <c r="E15" s="545" t="s">
        <v>1154</v>
      </c>
      <c r="F15" s="545" t="s">
        <v>1154</v>
      </c>
      <c r="G15" s="545">
        <v>1.53</v>
      </c>
      <c r="H15" s="545">
        <v>1.8</v>
      </c>
      <c r="I15" s="545">
        <v>1.9</v>
      </c>
      <c r="J15" s="545">
        <v>1.95</v>
      </c>
      <c r="K15" s="545">
        <v>2.56</v>
      </c>
      <c r="L15" s="545">
        <v>2.25</v>
      </c>
      <c r="M15" s="545">
        <v>1.96</v>
      </c>
      <c r="N15" s="545">
        <v>1.72</v>
      </c>
      <c r="O15" s="545">
        <v>1.24</v>
      </c>
      <c r="P15" s="545">
        <v>1.19</v>
      </c>
      <c r="Q15" s="545">
        <v>0.81</v>
      </c>
      <c r="R15" s="545">
        <v>0.84</v>
      </c>
      <c r="S15" s="545">
        <v>0.9</v>
      </c>
      <c r="T15" s="545">
        <v>0.71</v>
      </c>
      <c r="X15" s="517" t="s">
        <v>1072</v>
      </c>
      <c r="AC15" s="516">
        <v>9.4</v>
      </c>
      <c r="AD15" s="516">
        <v>17.600000000000001</v>
      </c>
      <c r="AE15" s="516">
        <v>15.2</v>
      </c>
      <c r="AF15" s="516">
        <v>18.2</v>
      </c>
      <c r="AG15" s="516">
        <v>38.6</v>
      </c>
      <c r="AH15" s="516">
        <v>26.9</v>
      </c>
      <c r="AI15" s="516">
        <v>23.7</v>
      </c>
      <c r="AJ15" s="516">
        <v>15.3</v>
      </c>
      <c r="AK15" s="516">
        <v>27.9</v>
      </c>
      <c r="AL15" s="516">
        <v>31.6</v>
      </c>
      <c r="AM15" s="516">
        <v>49</v>
      </c>
      <c r="AN15" s="516">
        <v>114.7</v>
      </c>
      <c r="AO15" s="516">
        <v>182.7</v>
      </c>
    </row>
    <row r="16" spans="1:41" ht="15.75" thickBot="1">
      <c r="A16" s="542" t="s">
        <v>1167</v>
      </c>
      <c r="B16" s="543" t="s">
        <v>1159</v>
      </c>
      <c r="C16" s="544" t="s">
        <v>1154</v>
      </c>
      <c r="D16" s="544" t="s">
        <v>1154</v>
      </c>
      <c r="E16" s="544">
        <v>-8.6940000000000008</v>
      </c>
      <c r="F16" s="544">
        <v>-0.83799999999999997</v>
      </c>
      <c r="G16" s="544">
        <v>-0.35299999999999998</v>
      </c>
      <c r="H16" s="544">
        <v>-0.216</v>
      </c>
      <c r="I16" s="544">
        <v>-0.17299999999999999</v>
      </c>
      <c r="J16" s="544">
        <v>-0.108</v>
      </c>
      <c r="K16" s="544">
        <v>-2.1000000000000001E-2</v>
      </c>
      <c r="L16" s="544">
        <v>-5.8000000000000003E-2</v>
      </c>
      <c r="M16" s="544">
        <v>-0.20499999999999999</v>
      </c>
      <c r="N16" s="544">
        <v>-0.158</v>
      </c>
      <c r="O16" s="544">
        <v>-3.2000000000000001E-2</v>
      </c>
      <c r="P16" s="544">
        <v>0.14399999999999999</v>
      </c>
      <c r="Q16" s="544">
        <v>0.154</v>
      </c>
      <c r="R16" s="544">
        <v>8.6999999999999994E-2</v>
      </c>
      <c r="S16" s="544">
        <v>0.19400000000000001</v>
      </c>
      <c r="T16" s="544">
        <v>0.224</v>
      </c>
      <c r="X16" s="517" t="s">
        <v>1073</v>
      </c>
      <c r="AC16" s="516">
        <v>1.8</v>
      </c>
      <c r="AD16" s="516">
        <v>2.2000000000000002</v>
      </c>
      <c r="AE16" s="516">
        <v>1.4</v>
      </c>
      <c r="AF16" s="516">
        <v>3.4</v>
      </c>
      <c r="AG16" s="516">
        <v>2.2000000000000002</v>
      </c>
      <c r="AH16" s="516">
        <v>5.0999999999999996</v>
      </c>
      <c r="AI16" s="516">
        <v>2.2999999999999998</v>
      </c>
      <c r="AJ16" s="516">
        <v>1</v>
      </c>
      <c r="AK16" s="516">
        <v>4.2</v>
      </c>
      <c r="AL16" s="516">
        <v>10.1</v>
      </c>
      <c r="AM16" s="516">
        <v>25.4</v>
      </c>
      <c r="AN16" s="516">
        <v>35</v>
      </c>
      <c r="AO16" s="516">
        <v>30.8</v>
      </c>
    </row>
    <row r="17" spans="1:41" ht="15.75" thickBot="1">
      <c r="A17" s="542" t="s">
        <v>1168</v>
      </c>
      <c r="B17" s="543" t="s">
        <v>1169</v>
      </c>
      <c r="C17" s="544" t="s">
        <v>1154</v>
      </c>
      <c r="D17" s="544" t="s">
        <v>1154</v>
      </c>
      <c r="E17" s="544" t="s">
        <v>1154</v>
      </c>
      <c r="F17" s="544" t="s">
        <v>1154</v>
      </c>
      <c r="G17" s="544">
        <v>-0.54100000000000004</v>
      </c>
      <c r="H17" s="544">
        <v>-0.39</v>
      </c>
      <c r="I17" s="544">
        <v>-0.32900000000000001</v>
      </c>
      <c r="J17" s="544">
        <v>-0.21</v>
      </c>
      <c r="K17" s="544">
        <v>-5.3999999999999999E-2</v>
      </c>
      <c r="L17" s="544">
        <v>-0.13</v>
      </c>
      <c r="M17" s="544">
        <v>-0.40100000000000002</v>
      </c>
      <c r="N17" s="544">
        <v>-0.27300000000000002</v>
      </c>
      <c r="O17" s="544">
        <v>-0.04</v>
      </c>
      <c r="P17" s="544">
        <v>0.17100000000000001</v>
      </c>
      <c r="Q17" s="544">
        <v>0.125</v>
      </c>
      <c r="R17" s="544">
        <v>7.3999999999999996E-2</v>
      </c>
      <c r="S17" s="544">
        <v>0.17499999999999999</v>
      </c>
      <c r="T17" s="544">
        <v>0.159</v>
      </c>
      <c r="X17" s="518" t="s">
        <v>1074</v>
      </c>
      <c r="AC17" s="519">
        <v>1.3</v>
      </c>
      <c r="AD17" s="519">
        <v>2.1</v>
      </c>
      <c r="AE17" s="519">
        <v>3.7</v>
      </c>
      <c r="AF17" s="519">
        <v>6.2</v>
      </c>
      <c r="AG17" s="519">
        <v>6.4</v>
      </c>
      <c r="AH17" s="519">
        <v>7.1</v>
      </c>
      <c r="AI17" s="519">
        <v>10</v>
      </c>
      <c r="AJ17" s="519">
        <v>20.9</v>
      </c>
      <c r="AK17" s="519">
        <v>26.1</v>
      </c>
      <c r="AL17" s="519">
        <v>29.8</v>
      </c>
      <c r="AM17" s="519">
        <v>37.799999999999997</v>
      </c>
      <c r="AN17" s="519">
        <v>28.7</v>
      </c>
      <c r="AO17" s="519">
        <v>48.7</v>
      </c>
    </row>
    <row r="18" spans="1:41" ht="15.75" thickBot="1">
      <c r="A18" s="542" t="s">
        <v>1170</v>
      </c>
      <c r="B18" s="543" t="s">
        <v>1171</v>
      </c>
      <c r="C18" s="545" t="s">
        <v>1154</v>
      </c>
      <c r="D18" s="545" t="s">
        <v>1154</v>
      </c>
      <c r="E18" s="545" t="s">
        <v>1154</v>
      </c>
      <c r="F18" s="545" t="s">
        <v>1154</v>
      </c>
      <c r="G18" s="545" t="s">
        <v>1154</v>
      </c>
      <c r="H18" s="545" t="s">
        <v>1154</v>
      </c>
      <c r="I18" s="545">
        <v>2.16</v>
      </c>
      <c r="J18" s="545">
        <v>2.9</v>
      </c>
      <c r="K18" s="545">
        <v>3.24</v>
      </c>
      <c r="L18" s="545">
        <v>3.99</v>
      </c>
      <c r="M18" s="545">
        <v>125.83</v>
      </c>
      <c r="N18" s="545" t="s">
        <v>1154</v>
      </c>
      <c r="O18" s="545">
        <v>43.72</v>
      </c>
      <c r="P18" s="545">
        <v>2.62</v>
      </c>
      <c r="Q18" s="545">
        <v>2.48</v>
      </c>
      <c r="R18" s="545">
        <v>4.83</v>
      </c>
      <c r="S18" s="545">
        <v>3.74</v>
      </c>
      <c r="T18" s="545">
        <v>3.44</v>
      </c>
      <c r="X18" s="499" t="s">
        <v>1075</v>
      </c>
      <c r="AC18" s="520">
        <v>18.411000000000001</v>
      </c>
      <c r="AD18" s="520">
        <v>25.541</v>
      </c>
      <c r="AE18" s="520">
        <v>24.853000000000002</v>
      </c>
      <c r="AF18" s="520">
        <v>30.82</v>
      </c>
      <c r="AG18" s="520">
        <v>32.119999999999997</v>
      </c>
      <c r="AH18" s="520">
        <v>31.44</v>
      </c>
      <c r="AI18" s="520">
        <v>26.48</v>
      </c>
      <c r="AJ18" s="520">
        <v>21</v>
      </c>
      <c r="AK18" s="520">
        <v>39.049999999999997</v>
      </c>
      <c r="AL18" s="520">
        <v>60.67</v>
      </c>
      <c r="AM18" s="520">
        <v>96.59</v>
      </c>
      <c r="AN18" s="520">
        <v>132.75</v>
      </c>
      <c r="AO18" s="520">
        <v>188.13</v>
      </c>
    </row>
    <row r="19" spans="1:41" ht="15.75" thickBot="1">
      <c r="A19" s="542" t="s">
        <v>1172</v>
      </c>
      <c r="B19" s="543" t="s">
        <v>1173</v>
      </c>
      <c r="C19" s="544" t="s">
        <v>1154</v>
      </c>
      <c r="D19" s="544" t="s">
        <v>1154</v>
      </c>
      <c r="E19" s="544" t="s">
        <v>1154</v>
      </c>
      <c r="F19" s="544" t="s">
        <v>1154</v>
      </c>
      <c r="G19" s="544">
        <v>-0.83599999999999997</v>
      </c>
      <c r="H19" s="544">
        <v>-1.2310000000000001</v>
      </c>
      <c r="I19" s="544">
        <v>-1.0640000000000001</v>
      </c>
      <c r="J19" s="544">
        <v>-0.51700000000000002</v>
      </c>
      <c r="K19" s="544">
        <v>-0.16700000000000001</v>
      </c>
      <c r="L19" s="544">
        <v>-0.46800000000000003</v>
      </c>
      <c r="M19" s="544">
        <v>-3.0870000000000002</v>
      </c>
      <c r="N19" s="544" t="s">
        <v>1154</v>
      </c>
      <c r="O19" s="544" t="s">
        <v>1154</v>
      </c>
      <c r="P19" s="544">
        <v>0.64400000000000002</v>
      </c>
      <c r="Q19" s="544">
        <v>0.316</v>
      </c>
      <c r="R19" s="544">
        <v>0.26500000000000001</v>
      </c>
      <c r="S19" s="544">
        <v>0.72</v>
      </c>
      <c r="T19" s="544">
        <v>0.56699999999999995</v>
      </c>
      <c r="X19" s="515" t="s">
        <v>1076</v>
      </c>
      <c r="AC19" s="516">
        <v>0</v>
      </c>
      <c r="AD19" s="516">
        <v>0</v>
      </c>
      <c r="AE19" s="516">
        <v>0</v>
      </c>
      <c r="AF19" s="516">
        <v>3.7</v>
      </c>
      <c r="AG19" s="516">
        <v>3.7</v>
      </c>
      <c r="AH19" s="516">
        <v>3.7</v>
      </c>
      <c r="AI19" s="516">
        <v>3.7</v>
      </c>
      <c r="AJ19" s="516">
        <v>24.8</v>
      </c>
      <c r="AK19" s="516">
        <v>24.8</v>
      </c>
      <c r="AL19" s="516">
        <v>24.8</v>
      </c>
      <c r="AM19" s="516">
        <v>181.3</v>
      </c>
      <c r="AN19" s="516">
        <v>213.6</v>
      </c>
      <c r="AO19" s="516">
        <v>214.6</v>
      </c>
    </row>
    <row r="20" spans="1:41" ht="15.75" thickBot="1">
      <c r="A20" s="542" t="s">
        <v>1174</v>
      </c>
      <c r="B20" s="543" t="s">
        <v>1175</v>
      </c>
      <c r="C20" s="545" t="s">
        <v>1154</v>
      </c>
      <c r="D20" s="545" t="s">
        <v>1154</v>
      </c>
      <c r="E20" s="545" t="s">
        <v>1154</v>
      </c>
      <c r="F20" s="545" t="s">
        <v>1154</v>
      </c>
      <c r="G20" s="545" t="s">
        <v>1154</v>
      </c>
      <c r="H20" s="545" t="s">
        <v>1154</v>
      </c>
      <c r="I20" s="545" t="s">
        <v>1154</v>
      </c>
      <c r="J20" s="545" t="s">
        <v>1154</v>
      </c>
      <c r="K20" s="545" t="s">
        <v>1154</v>
      </c>
      <c r="L20" s="545" t="s">
        <v>1154</v>
      </c>
      <c r="M20" s="545" t="s">
        <v>1154</v>
      </c>
      <c r="N20" s="545" t="s">
        <v>1154</v>
      </c>
      <c r="O20" s="545" t="s">
        <v>1154</v>
      </c>
      <c r="P20" s="545">
        <v>1.79</v>
      </c>
      <c r="Q20" s="545">
        <v>1.1200000000000001</v>
      </c>
      <c r="R20" s="545">
        <v>1.2</v>
      </c>
      <c r="S20" s="545">
        <v>0.88</v>
      </c>
      <c r="T20" s="545">
        <v>0.86</v>
      </c>
      <c r="X20" s="515" t="s">
        <v>1077</v>
      </c>
      <c r="AC20" s="516">
        <v>0</v>
      </c>
      <c r="AD20" s="516">
        <v>0</v>
      </c>
      <c r="AE20" s="516">
        <v>0.3</v>
      </c>
      <c r="AF20" s="516">
        <v>1.8</v>
      </c>
      <c r="AG20" s="516">
        <v>2.2000000000000002</v>
      </c>
      <c r="AH20" s="516">
        <v>0.9</v>
      </c>
      <c r="AI20" s="516">
        <v>0.5</v>
      </c>
      <c r="AJ20" s="516">
        <v>35.299999999999997</v>
      </c>
      <c r="AK20" s="516">
        <v>30.6</v>
      </c>
      <c r="AL20" s="516">
        <v>28.8</v>
      </c>
      <c r="AM20" s="516">
        <v>97.8</v>
      </c>
      <c r="AN20" s="516">
        <v>99.5</v>
      </c>
      <c r="AO20" s="516">
        <v>68.5</v>
      </c>
    </row>
    <row r="21" spans="1:41" ht="15.75" thickBot="1">
      <c r="A21" s="542" t="s">
        <v>455</v>
      </c>
      <c r="B21" s="543" t="s">
        <v>1176</v>
      </c>
      <c r="C21" s="544" t="s">
        <v>1154</v>
      </c>
      <c r="D21" s="544" t="s">
        <v>1154</v>
      </c>
      <c r="E21" s="544" t="s">
        <v>1154</v>
      </c>
      <c r="F21" s="544" t="s">
        <v>1154</v>
      </c>
      <c r="G21" s="544">
        <v>-0.83599999999999997</v>
      </c>
      <c r="H21" s="544">
        <v>-1.2310000000000001</v>
      </c>
      <c r="I21" s="544">
        <v>-1.0820000000000001</v>
      </c>
      <c r="J21" s="544">
        <v>-0.53500000000000003</v>
      </c>
      <c r="K21" s="544">
        <v>-0.185</v>
      </c>
      <c r="L21" s="544">
        <v>-0.5</v>
      </c>
      <c r="M21" s="544">
        <v>-3.1560000000000001</v>
      </c>
      <c r="N21" s="544" t="s">
        <v>1154</v>
      </c>
      <c r="O21" s="544" t="s">
        <v>1154</v>
      </c>
      <c r="P21" s="544">
        <v>1.151</v>
      </c>
      <c r="Q21" s="544">
        <v>0.35399999999999998</v>
      </c>
      <c r="R21" s="544">
        <v>0.318</v>
      </c>
      <c r="S21" s="544">
        <v>0.63300000000000001</v>
      </c>
      <c r="T21" s="544">
        <v>0.48499999999999999</v>
      </c>
      <c r="X21" s="518" t="s">
        <v>1078</v>
      </c>
      <c r="AC21" s="519">
        <v>0</v>
      </c>
      <c r="AD21" s="519">
        <v>0</v>
      </c>
      <c r="AE21" s="519">
        <v>0</v>
      </c>
      <c r="AF21" s="519">
        <v>0</v>
      </c>
      <c r="AG21" s="519">
        <v>0</v>
      </c>
      <c r="AH21" s="519">
        <v>0</v>
      </c>
      <c r="AI21" s="519">
        <v>0</v>
      </c>
      <c r="AJ21" s="519">
        <v>0</v>
      </c>
      <c r="AK21" s="519">
        <v>0</v>
      </c>
      <c r="AL21" s="519">
        <v>0</v>
      </c>
      <c r="AM21" s="519">
        <v>0</v>
      </c>
      <c r="AN21" s="519">
        <v>101</v>
      </c>
      <c r="AO21" s="519">
        <v>124.2</v>
      </c>
    </row>
    <row r="22" spans="1:41" ht="15.75" thickBot="1">
      <c r="A22" s="542" t="s">
        <v>1177</v>
      </c>
      <c r="B22" s="543" t="s">
        <v>1178</v>
      </c>
      <c r="C22" s="545" t="s">
        <v>1154</v>
      </c>
      <c r="D22" s="545" t="s">
        <v>1154</v>
      </c>
      <c r="E22" s="545" t="s">
        <v>1154</v>
      </c>
      <c r="F22" s="545" t="s">
        <v>1154</v>
      </c>
      <c r="G22" s="545" t="s">
        <v>1154</v>
      </c>
      <c r="H22" s="545" t="s">
        <v>1154</v>
      </c>
      <c r="I22" s="545" t="s">
        <v>1154</v>
      </c>
      <c r="J22" s="545" t="s">
        <v>1154</v>
      </c>
      <c r="K22" s="545" t="s">
        <v>1154</v>
      </c>
      <c r="L22" s="545" t="s">
        <v>1154</v>
      </c>
      <c r="M22" s="545" t="s">
        <v>1154</v>
      </c>
      <c r="N22" s="545" t="s">
        <v>1154</v>
      </c>
      <c r="O22" s="545" t="s">
        <v>1154</v>
      </c>
      <c r="P22" s="545">
        <v>1</v>
      </c>
      <c r="Q22" s="545">
        <v>1</v>
      </c>
      <c r="R22" s="545">
        <v>1</v>
      </c>
      <c r="S22" s="545">
        <v>1</v>
      </c>
      <c r="T22" s="545">
        <v>1</v>
      </c>
      <c r="X22" s="515" t="s">
        <v>1079</v>
      </c>
      <c r="AC22" s="516">
        <v>0</v>
      </c>
      <c r="AD22" s="516">
        <v>0</v>
      </c>
      <c r="AE22" s="516">
        <v>0</v>
      </c>
      <c r="AF22" s="516">
        <v>0</v>
      </c>
      <c r="AG22" s="516">
        <v>0</v>
      </c>
      <c r="AH22" s="516">
        <v>0</v>
      </c>
      <c r="AI22" s="516">
        <v>0</v>
      </c>
      <c r="AJ22" s="516">
        <v>0</v>
      </c>
      <c r="AK22" s="516">
        <v>74.5</v>
      </c>
      <c r="AL22" s="516">
        <v>92.9</v>
      </c>
      <c r="AM22" s="516">
        <v>122.5</v>
      </c>
      <c r="AN22" s="516">
        <v>204.9</v>
      </c>
      <c r="AO22" s="516">
        <v>252.4</v>
      </c>
    </row>
    <row r="23" spans="1:41" ht="15.75" thickBot="1">
      <c r="A23" s="542" t="s">
        <v>471</v>
      </c>
      <c r="B23" s="543" t="s">
        <v>1179</v>
      </c>
      <c r="C23" s="544" t="s">
        <v>1154</v>
      </c>
      <c r="D23" s="544" t="s">
        <v>1154</v>
      </c>
      <c r="E23" s="544" t="s">
        <v>1154</v>
      </c>
      <c r="F23" s="544" t="s">
        <v>1154</v>
      </c>
      <c r="G23" s="544" t="s">
        <v>1154</v>
      </c>
      <c r="H23" s="544" t="s">
        <v>1154</v>
      </c>
      <c r="I23" s="544" t="s">
        <v>1154</v>
      </c>
      <c r="J23" s="544">
        <v>-0.53500000000000003</v>
      </c>
      <c r="K23" s="544">
        <v>-0.185</v>
      </c>
      <c r="L23" s="544">
        <v>-0.5</v>
      </c>
      <c r="M23" s="544">
        <v>-3.1560000000000001</v>
      </c>
      <c r="N23" s="544" t="s">
        <v>1154</v>
      </c>
      <c r="O23" s="544" t="s">
        <v>1154</v>
      </c>
      <c r="P23" s="544">
        <v>1.151</v>
      </c>
      <c r="Q23" s="544">
        <v>0.35399999999999998</v>
      </c>
      <c r="R23" s="544">
        <v>0.318</v>
      </c>
      <c r="S23" s="544">
        <v>0.63300000000000001</v>
      </c>
      <c r="T23" s="544">
        <v>0.48499999999999999</v>
      </c>
      <c r="X23" s="515" t="s">
        <v>1080</v>
      </c>
      <c r="AC23" s="516">
        <v>6</v>
      </c>
      <c r="AD23" s="516">
        <v>1.8</v>
      </c>
      <c r="AE23" s="516">
        <v>1</v>
      </c>
      <c r="AF23" s="516">
        <v>0.9</v>
      </c>
      <c r="AG23" s="516">
        <v>5.7</v>
      </c>
      <c r="AH23" s="516">
        <v>9.6999999999999993</v>
      </c>
      <c r="AI23" s="516">
        <v>8</v>
      </c>
      <c r="AJ23" s="516">
        <v>36.5</v>
      </c>
      <c r="AK23" s="516">
        <v>44.6</v>
      </c>
      <c r="AL23" s="516">
        <v>59.9</v>
      </c>
      <c r="AM23" s="516">
        <v>118.7</v>
      </c>
      <c r="AN23" s="516">
        <v>68.3</v>
      </c>
      <c r="AO23" s="516">
        <v>91.7</v>
      </c>
    </row>
    <row r="24" spans="1:41" ht="15.75" thickBot="1">
      <c r="A24" s="540" t="s">
        <v>1180</v>
      </c>
      <c r="B24" s="527"/>
      <c r="C24" s="541"/>
      <c r="D24" s="541"/>
      <c r="E24" s="541"/>
      <c r="F24" s="541"/>
      <c r="G24" s="541"/>
      <c r="H24" s="541"/>
      <c r="I24" s="541"/>
      <c r="J24" s="541"/>
      <c r="K24" s="541"/>
      <c r="L24" s="541"/>
      <c r="M24" s="541"/>
      <c r="N24" s="541"/>
      <c r="O24" s="541"/>
      <c r="P24" s="541"/>
      <c r="Q24" s="541"/>
      <c r="R24" s="541"/>
      <c r="S24" s="541"/>
      <c r="T24" s="541"/>
      <c r="X24" s="513" t="s">
        <v>1081</v>
      </c>
      <c r="AC24" s="514">
        <f>AC9+SUM(AC18:AC23)</f>
        <v>106.211</v>
      </c>
      <c r="AD24" s="514">
        <f t="shared" ref="AD24:AO24" si="3">AD9+SUM(AD18:AD23)</f>
        <v>122.24099999999999</v>
      </c>
      <c r="AE24" s="514">
        <f t="shared" si="3"/>
        <v>116.75300000000001</v>
      </c>
      <c r="AF24" s="514">
        <f t="shared" si="3"/>
        <v>152.12</v>
      </c>
      <c r="AG24" s="514">
        <f t="shared" si="3"/>
        <v>165.52</v>
      </c>
      <c r="AH24" s="514">
        <f t="shared" si="3"/>
        <v>163.63999999999999</v>
      </c>
      <c r="AI24" s="514">
        <f t="shared" si="3"/>
        <v>169.08</v>
      </c>
      <c r="AJ24" s="514">
        <f t="shared" si="3"/>
        <v>339.90000000000003</v>
      </c>
      <c r="AK24" s="514">
        <f t="shared" si="3"/>
        <v>668.55000000000007</v>
      </c>
      <c r="AL24" s="514">
        <f t="shared" si="3"/>
        <v>1200.2699999999998</v>
      </c>
      <c r="AM24" s="514">
        <f t="shared" si="3"/>
        <v>2079.29</v>
      </c>
      <c r="AN24" s="514">
        <f t="shared" si="3"/>
        <v>3084.25</v>
      </c>
      <c r="AO24" s="514">
        <f t="shared" si="3"/>
        <v>3383.0299999999997</v>
      </c>
    </row>
    <row r="25" spans="1:41" ht="15.75" thickBot="1">
      <c r="A25" s="542" t="s">
        <v>1181</v>
      </c>
      <c r="B25" s="543" t="s">
        <v>1182</v>
      </c>
      <c r="C25" s="545" t="s">
        <v>1154</v>
      </c>
      <c r="D25" s="545" t="s">
        <v>1154</v>
      </c>
      <c r="E25" s="545" t="s">
        <v>1154</v>
      </c>
      <c r="F25" s="545">
        <v>2.68</v>
      </c>
      <c r="G25" s="545">
        <v>3.67</v>
      </c>
      <c r="H25" s="545">
        <v>1.35</v>
      </c>
      <c r="I25" s="545">
        <v>2.2200000000000002</v>
      </c>
      <c r="J25" s="545">
        <v>2.2200000000000002</v>
      </c>
      <c r="K25" s="545">
        <v>1.59</v>
      </c>
      <c r="L25" s="545">
        <v>1.1100000000000001</v>
      </c>
      <c r="M25" s="545">
        <v>1.04</v>
      </c>
      <c r="N25" s="545">
        <v>1.1399999999999999</v>
      </c>
      <c r="O25" s="545">
        <v>1.4</v>
      </c>
      <c r="P25" s="545">
        <v>2.35</v>
      </c>
      <c r="Q25" s="545">
        <v>1.67</v>
      </c>
      <c r="R25" s="545">
        <v>3.16</v>
      </c>
      <c r="S25" s="545">
        <v>3.31</v>
      </c>
      <c r="T25" s="545">
        <v>4.1900000000000004</v>
      </c>
      <c r="AC25" s="504"/>
      <c r="AD25" s="504"/>
      <c r="AE25" s="504"/>
      <c r="AF25" s="504"/>
      <c r="AG25" s="504"/>
      <c r="AH25" s="504"/>
      <c r="AI25" s="504"/>
      <c r="AJ25" s="504"/>
      <c r="AK25" s="504"/>
      <c r="AL25" s="504"/>
      <c r="AM25" s="504"/>
      <c r="AN25" s="504"/>
      <c r="AO25" s="504"/>
    </row>
    <row r="26" spans="1:41" ht="15.75" thickBot="1">
      <c r="A26" s="542" t="s">
        <v>1183</v>
      </c>
      <c r="B26" s="543" t="s">
        <v>1184</v>
      </c>
      <c r="C26" s="545" t="s">
        <v>1154</v>
      </c>
      <c r="D26" s="545" t="s">
        <v>1154</v>
      </c>
      <c r="E26" s="545" t="s">
        <v>1154</v>
      </c>
      <c r="F26" s="545">
        <v>2.94</v>
      </c>
      <c r="G26" s="545">
        <v>4.01</v>
      </c>
      <c r="H26" s="545">
        <v>1.56</v>
      </c>
      <c r="I26" s="545">
        <v>2.81</v>
      </c>
      <c r="J26" s="545">
        <v>2.71</v>
      </c>
      <c r="K26" s="545">
        <v>1.96</v>
      </c>
      <c r="L26" s="545">
        <v>1.67</v>
      </c>
      <c r="M26" s="545">
        <v>1.42</v>
      </c>
      <c r="N26" s="545">
        <v>1.42</v>
      </c>
      <c r="O26" s="545">
        <v>1.51</v>
      </c>
      <c r="P26" s="545">
        <v>2.5099999999999998</v>
      </c>
      <c r="Q26" s="545">
        <v>1.75</v>
      </c>
      <c r="R26" s="545">
        <v>3.33</v>
      </c>
      <c r="S26" s="545">
        <v>3.55</v>
      </c>
      <c r="T26" s="545">
        <v>4.59</v>
      </c>
      <c r="X26" s="513" t="s">
        <v>1082</v>
      </c>
      <c r="AC26" s="514">
        <f>SUM(AC27:AC31)</f>
        <v>52.3</v>
      </c>
      <c r="AD26" s="514">
        <f t="shared" ref="AD26:AO26" si="4">SUM(AD27:AD31)</f>
        <v>33.9</v>
      </c>
      <c r="AE26" s="514">
        <f t="shared" si="4"/>
        <v>33.400000000000006</v>
      </c>
      <c r="AF26" s="514">
        <f t="shared" si="4"/>
        <v>58.699999999999996</v>
      </c>
      <c r="AG26" s="514">
        <f t="shared" si="4"/>
        <v>72.900000000000006</v>
      </c>
      <c r="AH26" s="514">
        <f t="shared" si="4"/>
        <v>82.699999999999989</v>
      </c>
      <c r="AI26" s="514">
        <f t="shared" si="4"/>
        <v>91.6</v>
      </c>
      <c r="AJ26" s="514">
        <f t="shared" si="4"/>
        <v>147.19999999999999</v>
      </c>
      <c r="AK26" s="514">
        <f t="shared" si="4"/>
        <v>199.4</v>
      </c>
      <c r="AL26" s="514">
        <f t="shared" si="4"/>
        <v>534</v>
      </c>
      <c r="AM26" s="514">
        <f t="shared" si="4"/>
        <v>439.9</v>
      </c>
      <c r="AN26" s="514">
        <f t="shared" si="4"/>
        <v>638.19999999999993</v>
      </c>
      <c r="AO26" s="514">
        <f t="shared" si="4"/>
        <v>532.5</v>
      </c>
    </row>
    <row r="27" spans="1:41" ht="15.75" thickBot="1">
      <c r="A27" s="542" t="s">
        <v>1185</v>
      </c>
      <c r="B27" s="543" t="s">
        <v>1186</v>
      </c>
      <c r="C27" s="546" t="s">
        <v>1154</v>
      </c>
      <c r="D27" s="546" t="s">
        <v>1154</v>
      </c>
      <c r="E27" s="546">
        <v>-1633</v>
      </c>
      <c r="F27" s="546">
        <v>-46.9</v>
      </c>
      <c r="G27" s="546">
        <v>-22.7</v>
      </c>
      <c r="H27" s="546">
        <v>-9.6</v>
      </c>
      <c r="I27" s="546">
        <v>-4.8</v>
      </c>
      <c r="J27" s="546">
        <v>-10.8</v>
      </c>
      <c r="K27" s="546">
        <v>-2.4</v>
      </c>
      <c r="L27" s="546">
        <v>-38.5</v>
      </c>
      <c r="M27" s="546">
        <v>-21.2</v>
      </c>
      <c r="N27" s="546">
        <v>-2.8</v>
      </c>
      <c r="O27" s="546">
        <v>0.5</v>
      </c>
      <c r="P27" s="546">
        <v>10.9</v>
      </c>
      <c r="Q27" s="546">
        <v>8.9</v>
      </c>
      <c r="R27" s="546">
        <v>4.9000000000000004</v>
      </c>
      <c r="S27" s="546">
        <v>48</v>
      </c>
      <c r="T27" s="546">
        <v>52.2</v>
      </c>
      <c r="X27" s="499" t="s">
        <v>1083</v>
      </c>
      <c r="AC27" s="519">
        <v>12.9</v>
      </c>
      <c r="AD27" s="519">
        <v>11.3</v>
      </c>
      <c r="AE27" s="519">
        <v>7.4</v>
      </c>
      <c r="AF27" s="519">
        <v>22.3</v>
      </c>
      <c r="AG27" s="519">
        <v>25.6</v>
      </c>
      <c r="AH27" s="519">
        <v>31.7</v>
      </c>
      <c r="AI27" s="519">
        <v>28.7</v>
      </c>
      <c r="AJ27" s="519">
        <v>48.8</v>
      </c>
      <c r="AK27" s="519">
        <v>57.5</v>
      </c>
      <c r="AL27" s="519">
        <v>72.599999999999994</v>
      </c>
      <c r="AM27" s="519">
        <v>113.8</v>
      </c>
      <c r="AN27" s="519">
        <v>125.1</v>
      </c>
      <c r="AO27" s="519">
        <v>116.2</v>
      </c>
    </row>
    <row r="28" spans="1:41" ht="15.75" thickBot="1">
      <c r="A28" s="542" t="s">
        <v>1187</v>
      </c>
      <c r="B28" s="543" t="s">
        <v>1188</v>
      </c>
      <c r="C28" s="546" t="s">
        <v>1154</v>
      </c>
      <c r="D28" s="546" t="s">
        <v>1154</v>
      </c>
      <c r="E28" s="546" t="s">
        <v>1154</v>
      </c>
      <c r="F28" s="546" t="s">
        <v>1154</v>
      </c>
      <c r="G28" s="546">
        <v>25.8</v>
      </c>
      <c r="H28" s="546">
        <v>25.9</v>
      </c>
      <c r="I28" s="546">
        <v>46.2</v>
      </c>
      <c r="J28" s="546">
        <v>66.7</v>
      </c>
      <c r="K28" s="546">
        <v>47.8</v>
      </c>
      <c r="L28" s="546">
        <v>57.4</v>
      </c>
      <c r="M28" s="546">
        <v>71.5</v>
      </c>
      <c r="N28" s="546">
        <v>78.8</v>
      </c>
      <c r="O28" s="546">
        <v>54.4</v>
      </c>
      <c r="P28" s="546">
        <v>39.5</v>
      </c>
      <c r="Q28" s="546">
        <v>53.4</v>
      </c>
      <c r="R28" s="546">
        <v>52.8</v>
      </c>
      <c r="S28" s="546">
        <v>61.3</v>
      </c>
      <c r="T28" s="546">
        <v>94.8</v>
      </c>
      <c r="X28" s="499" t="s">
        <v>1084</v>
      </c>
      <c r="AC28" s="516">
        <v>10.1</v>
      </c>
      <c r="AD28" s="516">
        <v>19.3</v>
      </c>
      <c r="AE28" s="516">
        <v>14.8</v>
      </c>
      <c r="AF28" s="516">
        <v>26</v>
      </c>
      <c r="AG28" s="516">
        <v>19.3</v>
      </c>
      <c r="AH28" s="516">
        <v>22.9</v>
      </c>
      <c r="AI28" s="516">
        <v>22.4</v>
      </c>
      <c r="AJ28" s="516">
        <v>29</v>
      </c>
      <c r="AK28" s="516">
        <v>47.1</v>
      </c>
      <c r="AL28" s="516">
        <v>76.5</v>
      </c>
      <c r="AM28" s="516">
        <v>157.9</v>
      </c>
      <c r="AN28" s="516">
        <v>279.8</v>
      </c>
      <c r="AO28" s="516">
        <v>253.4</v>
      </c>
    </row>
    <row r="29" spans="1:41" ht="15.75" thickBot="1">
      <c r="A29" s="540" t="s">
        <v>1189</v>
      </c>
      <c r="B29" s="527"/>
      <c r="C29" s="541"/>
      <c r="D29" s="541"/>
      <c r="E29" s="541"/>
      <c r="F29" s="541"/>
      <c r="G29" s="541"/>
      <c r="H29" s="541"/>
      <c r="I29" s="541"/>
      <c r="J29" s="541"/>
      <c r="K29" s="541"/>
      <c r="L29" s="541"/>
      <c r="M29" s="541"/>
      <c r="N29" s="541"/>
      <c r="O29" s="541"/>
      <c r="P29" s="541"/>
      <c r="Q29" s="541"/>
      <c r="R29" s="541"/>
      <c r="S29" s="541"/>
      <c r="T29" s="541"/>
      <c r="X29" s="518" t="s">
        <v>1085</v>
      </c>
      <c r="AC29" s="516">
        <v>4.5</v>
      </c>
      <c r="AD29" s="516">
        <v>2.4</v>
      </c>
      <c r="AE29" s="516">
        <v>0</v>
      </c>
      <c r="AF29" s="516">
        <v>0</v>
      </c>
      <c r="AG29" s="516">
        <v>17</v>
      </c>
      <c r="AH29" s="516">
        <v>10.1</v>
      </c>
      <c r="AI29" s="516">
        <v>0</v>
      </c>
      <c r="AJ29" s="516">
        <v>0</v>
      </c>
      <c r="AK29" s="516">
        <v>0</v>
      </c>
      <c r="AL29" s="516">
        <v>0</v>
      </c>
      <c r="AM29" s="516">
        <v>0</v>
      </c>
      <c r="AN29" s="516">
        <v>0</v>
      </c>
      <c r="AO29" s="516">
        <v>0</v>
      </c>
    </row>
    <row r="30" spans="1:41" ht="15.75" thickBot="1">
      <c r="A30" s="542" t="s">
        <v>1190</v>
      </c>
      <c r="B30" s="543" t="s">
        <v>1171</v>
      </c>
      <c r="C30" s="545" t="s">
        <v>1154</v>
      </c>
      <c r="D30" s="545" t="s">
        <v>1154</v>
      </c>
      <c r="E30" s="545" t="s">
        <v>1154</v>
      </c>
      <c r="F30" s="545" t="s">
        <v>1154</v>
      </c>
      <c r="G30" s="545" t="s">
        <v>1154</v>
      </c>
      <c r="H30" s="545" t="s">
        <v>1154</v>
      </c>
      <c r="I30" s="545">
        <v>2.16</v>
      </c>
      <c r="J30" s="545">
        <v>2.9</v>
      </c>
      <c r="K30" s="545">
        <v>3.24</v>
      </c>
      <c r="L30" s="545">
        <v>3.99</v>
      </c>
      <c r="M30" s="545">
        <v>125.83</v>
      </c>
      <c r="N30" s="545" t="s">
        <v>1154</v>
      </c>
      <c r="O30" s="545">
        <v>43.72</v>
      </c>
      <c r="P30" s="545">
        <v>2.62</v>
      </c>
      <c r="Q30" s="545">
        <v>2.48</v>
      </c>
      <c r="R30" s="545">
        <v>4.83</v>
      </c>
      <c r="S30" s="545">
        <v>3.74</v>
      </c>
      <c r="T30" s="545">
        <v>3.44</v>
      </c>
      <c r="X30" s="518" t="s">
        <v>1086</v>
      </c>
      <c r="AC30" s="516">
        <v>0</v>
      </c>
      <c r="AD30" s="516">
        <v>0</v>
      </c>
      <c r="AE30" s="516">
        <v>3.5</v>
      </c>
      <c r="AF30" s="516">
        <v>0</v>
      </c>
      <c r="AG30" s="516">
        <v>0</v>
      </c>
      <c r="AH30" s="516">
        <v>3</v>
      </c>
      <c r="AI30" s="516">
        <v>17.399999999999999</v>
      </c>
      <c r="AJ30" s="516">
        <v>28.2</v>
      </c>
      <c r="AK30" s="516">
        <v>2.9</v>
      </c>
      <c r="AL30" s="516">
        <v>326</v>
      </c>
      <c r="AM30" s="516">
        <v>86.1</v>
      </c>
      <c r="AN30" s="516">
        <v>90.9</v>
      </c>
      <c r="AO30" s="516">
        <v>0</v>
      </c>
    </row>
    <row r="31" spans="1:41" ht="15.75" thickBot="1">
      <c r="A31" s="542" t="s">
        <v>1191</v>
      </c>
      <c r="B31" s="543" t="s">
        <v>1192</v>
      </c>
      <c r="C31" s="545" t="s">
        <v>1154</v>
      </c>
      <c r="D31" s="545" t="s">
        <v>1154</v>
      </c>
      <c r="E31" s="545" t="s">
        <v>1154</v>
      </c>
      <c r="F31" s="545" t="s">
        <v>1154</v>
      </c>
      <c r="G31" s="545" t="s">
        <v>1154</v>
      </c>
      <c r="H31" s="545" t="s">
        <v>1154</v>
      </c>
      <c r="I31" s="545">
        <v>0.2</v>
      </c>
      <c r="J31" s="545">
        <v>0.22</v>
      </c>
      <c r="K31" s="545">
        <v>0</v>
      </c>
      <c r="L31" s="545">
        <v>0.41</v>
      </c>
      <c r="M31" s="545">
        <v>26.08</v>
      </c>
      <c r="N31" s="545" t="s">
        <v>1154</v>
      </c>
      <c r="O31" s="545">
        <v>14.12</v>
      </c>
      <c r="P31" s="545">
        <v>0.39</v>
      </c>
      <c r="Q31" s="545">
        <v>0.68</v>
      </c>
      <c r="R31" s="545">
        <v>2.41</v>
      </c>
      <c r="S31" s="545">
        <v>1.56</v>
      </c>
      <c r="T31" s="545">
        <v>1.32</v>
      </c>
      <c r="X31" s="515" t="s">
        <v>1087</v>
      </c>
      <c r="AC31" s="516">
        <v>24.8</v>
      </c>
      <c r="AD31" s="516">
        <v>0.9</v>
      </c>
      <c r="AE31" s="516">
        <v>7.7</v>
      </c>
      <c r="AF31" s="516">
        <v>10.4</v>
      </c>
      <c r="AG31" s="516">
        <v>11</v>
      </c>
      <c r="AH31" s="516">
        <v>15</v>
      </c>
      <c r="AI31" s="516">
        <v>23.1</v>
      </c>
      <c r="AJ31" s="516">
        <v>41.2</v>
      </c>
      <c r="AK31" s="516">
        <v>91.9</v>
      </c>
      <c r="AL31" s="516">
        <v>58.9</v>
      </c>
      <c r="AM31" s="516">
        <v>82.1</v>
      </c>
      <c r="AN31" s="516">
        <v>142.4</v>
      </c>
      <c r="AO31" s="516">
        <v>162.9</v>
      </c>
    </row>
    <row r="32" spans="1:41" ht="15.75" thickBot="1">
      <c r="A32" s="542" t="s">
        <v>1193</v>
      </c>
      <c r="B32" s="543" t="s">
        <v>1194</v>
      </c>
      <c r="C32" s="544" t="s">
        <v>1154</v>
      </c>
      <c r="D32" s="544" t="s">
        <v>1154</v>
      </c>
      <c r="E32" s="544" t="s">
        <v>1154</v>
      </c>
      <c r="F32" s="544">
        <v>1.7000000000000001E-2</v>
      </c>
      <c r="G32" s="544">
        <v>9.6000000000000002E-2</v>
      </c>
      <c r="H32" s="544">
        <v>0.61299999999999999</v>
      </c>
      <c r="I32" s="544">
        <v>0.128</v>
      </c>
      <c r="J32" s="544">
        <v>0.106</v>
      </c>
      <c r="K32" s="544">
        <v>0</v>
      </c>
      <c r="L32" s="544">
        <v>0</v>
      </c>
      <c r="M32" s="544">
        <v>0.59</v>
      </c>
      <c r="N32" s="544">
        <v>0.79600000000000004</v>
      </c>
      <c r="O32" s="544">
        <v>0.69399999999999995</v>
      </c>
      <c r="P32" s="544">
        <v>0.27200000000000002</v>
      </c>
      <c r="Q32" s="544">
        <v>6.0000000000000001E-3</v>
      </c>
      <c r="R32" s="544">
        <v>0.64800000000000002</v>
      </c>
      <c r="S32" s="544">
        <v>0.56699999999999995</v>
      </c>
      <c r="T32" s="544">
        <v>0.56799999999999995</v>
      </c>
      <c r="X32" s="517" t="s">
        <v>1088</v>
      </c>
      <c r="AC32" s="516">
        <v>23.4</v>
      </c>
      <c r="AD32" s="516">
        <v>0.9</v>
      </c>
      <c r="AE32" s="516">
        <v>2.8</v>
      </c>
      <c r="AF32" s="516">
        <v>2.7</v>
      </c>
      <c r="AG32" s="516">
        <v>3.9</v>
      </c>
      <c r="AH32" s="516">
        <v>6.4</v>
      </c>
      <c r="AI32" s="516">
        <v>15.7</v>
      </c>
      <c r="AJ32" s="516">
        <v>33.1</v>
      </c>
      <c r="AK32" s="516">
        <v>81.8</v>
      </c>
      <c r="AL32" s="516">
        <v>47.7</v>
      </c>
      <c r="AM32" s="516">
        <v>62.7</v>
      </c>
      <c r="AN32" s="516">
        <v>90.7</v>
      </c>
      <c r="AO32" s="516">
        <v>118.3</v>
      </c>
    </row>
    <row r="33" spans="1:41" ht="15.75" thickBot="1">
      <c r="A33" s="542" t="s">
        <v>1195</v>
      </c>
      <c r="B33" s="547" t="s">
        <v>1196</v>
      </c>
      <c r="C33" s="545" t="s">
        <v>1154</v>
      </c>
      <c r="D33" s="545" t="s">
        <v>1154</v>
      </c>
      <c r="E33" s="545" t="s">
        <v>1154</v>
      </c>
      <c r="F33" s="545" t="s">
        <v>1154</v>
      </c>
      <c r="G33" s="545" t="s">
        <v>1154</v>
      </c>
      <c r="H33" s="545" t="s">
        <v>1154</v>
      </c>
      <c r="I33" s="545" t="s">
        <v>1154</v>
      </c>
      <c r="J33" s="545" t="s">
        <v>1154</v>
      </c>
      <c r="K33" s="545" t="s">
        <v>1154</v>
      </c>
      <c r="L33" s="545" t="s">
        <v>1154</v>
      </c>
      <c r="M33" s="545" t="s">
        <v>1154</v>
      </c>
      <c r="N33" s="545" t="s">
        <v>1154</v>
      </c>
      <c r="O33" s="545">
        <v>0.78</v>
      </c>
      <c r="P33" s="545" t="s">
        <v>1154</v>
      </c>
      <c r="Q33" s="545" t="s">
        <v>1154</v>
      </c>
      <c r="R33" s="545" t="s">
        <v>1154</v>
      </c>
      <c r="S33" s="545" t="s">
        <v>1154</v>
      </c>
      <c r="T33" s="545" t="s">
        <v>1154</v>
      </c>
      <c r="X33" s="517" t="s">
        <v>1089</v>
      </c>
      <c r="AC33" s="516">
        <v>0</v>
      </c>
      <c r="AD33" s="516">
        <v>0</v>
      </c>
      <c r="AE33" s="516">
        <v>0</v>
      </c>
      <c r="AF33" s="516">
        <v>0</v>
      </c>
      <c r="AG33" s="516">
        <v>0</v>
      </c>
      <c r="AH33" s="516">
        <v>0</v>
      </c>
      <c r="AI33" s="516">
        <v>0</v>
      </c>
      <c r="AJ33" s="516">
        <v>0</v>
      </c>
      <c r="AK33" s="516">
        <v>0</v>
      </c>
      <c r="AL33" s="516">
        <v>0</v>
      </c>
      <c r="AM33" s="516">
        <v>0</v>
      </c>
      <c r="AN33" s="516">
        <v>16.100000000000001</v>
      </c>
      <c r="AO33" s="516">
        <v>8.5</v>
      </c>
    </row>
    <row r="34" spans="1:41" ht="15.75" thickBot="1">
      <c r="A34" s="540" t="s">
        <v>1197</v>
      </c>
      <c r="B34" s="527"/>
      <c r="C34" s="541"/>
      <c r="D34" s="541"/>
      <c r="E34" s="541"/>
      <c r="F34" s="541"/>
      <c r="G34" s="541"/>
      <c r="H34" s="541"/>
      <c r="I34" s="541"/>
      <c r="J34" s="541"/>
      <c r="K34" s="541"/>
      <c r="L34" s="541"/>
      <c r="M34" s="541"/>
      <c r="N34" s="541"/>
      <c r="O34" s="541"/>
      <c r="P34" s="541"/>
      <c r="Q34" s="541"/>
      <c r="R34" s="541"/>
      <c r="S34" s="541"/>
      <c r="T34" s="541"/>
      <c r="X34" s="517" t="s">
        <v>1090</v>
      </c>
      <c r="AC34" s="516">
        <v>1.4</v>
      </c>
      <c r="AD34" s="516">
        <v>0</v>
      </c>
      <c r="AE34" s="516">
        <v>4.9000000000000004</v>
      </c>
      <c r="AF34" s="516">
        <v>7.6</v>
      </c>
      <c r="AG34" s="516">
        <v>7.1</v>
      </c>
      <c r="AH34" s="516">
        <v>8.6</v>
      </c>
      <c r="AI34" s="516">
        <v>7.4</v>
      </c>
      <c r="AJ34" s="516">
        <v>8.1</v>
      </c>
      <c r="AK34" s="516">
        <v>10.1</v>
      </c>
      <c r="AL34" s="516">
        <v>11.3</v>
      </c>
      <c r="AM34" s="516">
        <v>19.399999999999999</v>
      </c>
      <c r="AN34" s="516">
        <v>35.6</v>
      </c>
      <c r="AO34" s="516">
        <v>36.1</v>
      </c>
    </row>
    <row r="35" spans="1:41" ht="15.75" thickBot="1">
      <c r="A35" s="542" t="s">
        <v>1198</v>
      </c>
      <c r="B35" s="543" t="s">
        <v>1199</v>
      </c>
      <c r="C35" s="546" t="s">
        <v>1154</v>
      </c>
      <c r="D35" s="546" t="s">
        <v>1154</v>
      </c>
      <c r="E35" s="546" t="s">
        <v>1154</v>
      </c>
      <c r="F35" s="546" t="s">
        <v>1154</v>
      </c>
      <c r="G35" s="546">
        <v>8.6</v>
      </c>
      <c r="H35" s="546">
        <v>11.6</v>
      </c>
      <c r="I35" s="546">
        <v>9.5</v>
      </c>
      <c r="J35" s="546">
        <v>7.8</v>
      </c>
      <c r="K35" s="546">
        <v>8.9</v>
      </c>
      <c r="L35" s="546">
        <v>7.8</v>
      </c>
      <c r="M35" s="546">
        <v>6</v>
      </c>
      <c r="N35" s="546">
        <v>4.5</v>
      </c>
      <c r="O35" s="546">
        <v>4.4000000000000004</v>
      </c>
      <c r="P35" s="546">
        <v>5.6</v>
      </c>
      <c r="Q35" s="546">
        <v>4.7</v>
      </c>
      <c r="R35" s="546">
        <v>5.4</v>
      </c>
      <c r="S35" s="546">
        <v>5.8</v>
      </c>
      <c r="T35" s="546">
        <v>4.8</v>
      </c>
      <c r="X35" s="521" t="s">
        <v>1091</v>
      </c>
      <c r="AC35" s="514">
        <f>SUM(AC36:AC37)</f>
        <v>39.9</v>
      </c>
      <c r="AD35" s="514">
        <f t="shared" ref="AD35:AO35" si="5">SUM(AD36:AD37)</f>
        <v>31.8</v>
      </c>
      <c r="AE35" s="514">
        <f t="shared" si="5"/>
        <v>43.1</v>
      </c>
      <c r="AF35" s="514">
        <f t="shared" si="5"/>
        <v>46.5</v>
      </c>
      <c r="AG35" s="514">
        <f t="shared" si="5"/>
        <v>51.2</v>
      </c>
      <c r="AH35" s="514">
        <f t="shared" si="5"/>
        <v>79.5</v>
      </c>
      <c r="AI35" s="514">
        <f t="shared" si="5"/>
        <v>86.5</v>
      </c>
      <c r="AJ35" s="514">
        <f t="shared" si="5"/>
        <v>185</v>
      </c>
      <c r="AK35" s="514">
        <f t="shared" si="5"/>
        <v>241.7</v>
      </c>
      <c r="AL35" s="514">
        <f t="shared" si="5"/>
        <v>182.1</v>
      </c>
      <c r="AM35" s="514">
        <f t="shared" si="5"/>
        <v>1209.3</v>
      </c>
      <c r="AN35" s="514">
        <f t="shared" si="5"/>
        <v>1620.5</v>
      </c>
      <c r="AO35" s="514">
        <f t="shared" si="5"/>
        <v>1866.9</v>
      </c>
    </row>
    <row r="36" spans="1:41" ht="15.75" thickBot="1">
      <c r="A36" s="542" t="s">
        <v>1200</v>
      </c>
      <c r="B36" s="543" t="s">
        <v>1201</v>
      </c>
      <c r="C36" s="546" t="s">
        <v>1154</v>
      </c>
      <c r="D36" s="546" t="s">
        <v>1154</v>
      </c>
      <c r="E36" s="546" t="s">
        <v>1154</v>
      </c>
      <c r="F36" s="546" t="s">
        <v>1154</v>
      </c>
      <c r="G36" s="546">
        <v>42.7</v>
      </c>
      <c r="H36" s="546">
        <v>31.6</v>
      </c>
      <c r="I36" s="546">
        <v>38.4</v>
      </c>
      <c r="J36" s="546">
        <v>47</v>
      </c>
      <c r="K36" s="546">
        <v>41.1</v>
      </c>
      <c r="L36" s="546">
        <v>46.7</v>
      </c>
      <c r="M36" s="546">
        <v>60.8</v>
      </c>
      <c r="N36" s="546">
        <v>80.8</v>
      </c>
      <c r="O36" s="546">
        <v>83.5</v>
      </c>
      <c r="P36" s="546">
        <v>65.8</v>
      </c>
      <c r="Q36" s="546">
        <v>77.400000000000006</v>
      </c>
      <c r="R36" s="546">
        <v>68.3</v>
      </c>
      <c r="S36" s="546">
        <v>63.3</v>
      </c>
      <c r="T36" s="546">
        <v>76.599999999999994</v>
      </c>
      <c r="X36" s="522" t="s">
        <v>1092</v>
      </c>
      <c r="AC36" s="516">
        <v>29.4</v>
      </c>
      <c r="AD36" s="516">
        <v>8.6999999999999993</v>
      </c>
      <c r="AE36" s="516">
        <v>5.2</v>
      </c>
      <c r="AF36" s="516">
        <v>0</v>
      </c>
      <c r="AG36" s="516">
        <v>0</v>
      </c>
      <c r="AH36" s="516">
        <v>20.8</v>
      </c>
      <c r="AI36" s="516">
        <v>32.299999999999997</v>
      </c>
      <c r="AJ36" s="516">
        <v>81.599999999999994</v>
      </c>
      <c r="AK36" s="516">
        <v>102.7</v>
      </c>
      <c r="AL36" s="516">
        <v>4.9000000000000004</v>
      </c>
      <c r="AM36" s="516">
        <v>951.6</v>
      </c>
      <c r="AN36" s="516">
        <v>1199.5</v>
      </c>
      <c r="AO36" s="516">
        <v>1293.7</v>
      </c>
    </row>
    <row r="37" spans="1:41" ht="15.75" thickBot="1">
      <c r="A37" s="542" t="s">
        <v>1202</v>
      </c>
      <c r="B37" s="543" t="s">
        <v>1203</v>
      </c>
      <c r="C37" s="546" t="s">
        <v>1154</v>
      </c>
      <c r="D37" s="546" t="s">
        <v>1154</v>
      </c>
      <c r="E37" s="546" t="s">
        <v>1154</v>
      </c>
      <c r="F37" s="546" t="s">
        <v>1154</v>
      </c>
      <c r="G37" s="546">
        <v>18.399999999999999</v>
      </c>
      <c r="H37" s="546">
        <v>15.3</v>
      </c>
      <c r="I37" s="546">
        <v>10.4</v>
      </c>
      <c r="J37" s="546">
        <v>9.1</v>
      </c>
      <c r="K37" s="546">
        <v>12.1</v>
      </c>
      <c r="L37" s="546">
        <v>8</v>
      </c>
      <c r="M37" s="546">
        <v>7.3</v>
      </c>
      <c r="N37" s="546">
        <v>7.9</v>
      </c>
      <c r="O37" s="546">
        <v>10.5</v>
      </c>
      <c r="P37" s="546">
        <v>16.7</v>
      </c>
      <c r="Q37" s="546">
        <v>11.6</v>
      </c>
      <c r="R37" s="546">
        <v>14.2</v>
      </c>
      <c r="S37" s="546">
        <v>12.1</v>
      </c>
      <c r="T37" s="546">
        <v>6.8</v>
      </c>
      <c r="X37" s="515" t="s">
        <v>1093</v>
      </c>
      <c r="AC37" s="516">
        <v>10.5</v>
      </c>
      <c r="AD37" s="516">
        <v>23.1</v>
      </c>
      <c r="AE37" s="516">
        <v>37.9</v>
      </c>
      <c r="AF37" s="516">
        <v>46.5</v>
      </c>
      <c r="AG37" s="516">
        <v>51.2</v>
      </c>
      <c r="AH37" s="516">
        <v>58.7</v>
      </c>
      <c r="AI37" s="516">
        <v>54.2</v>
      </c>
      <c r="AJ37" s="516">
        <v>103.4</v>
      </c>
      <c r="AK37" s="516">
        <v>139</v>
      </c>
      <c r="AL37" s="516">
        <v>177.2</v>
      </c>
      <c r="AM37" s="516">
        <v>257.7</v>
      </c>
      <c r="AN37" s="516">
        <v>421</v>
      </c>
      <c r="AO37" s="516">
        <v>573.20000000000005</v>
      </c>
    </row>
    <row r="38" spans="1:41" ht="15.75" thickBot="1">
      <c r="A38" s="542" t="s">
        <v>1204</v>
      </c>
      <c r="B38" s="543" t="s">
        <v>1205</v>
      </c>
      <c r="C38" s="546" t="s">
        <v>1154</v>
      </c>
      <c r="D38" s="546" t="s">
        <v>1154</v>
      </c>
      <c r="E38" s="546" t="s">
        <v>1154</v>
      </c>
      <c r="F38" s="546" t="s">
        <v>1154</v>
      </c>
      <c r="G38" s="546">
        <v>19.899999999999999</v>
      </c>
      <c r="H38" s="546">
        <v>23.9</v>
      </c>
      <c r="I38" s="546">
        <v>35.200000000000003</v>
      </c>
      <c r="J38" s="546">
        <v>40.299999999999997</v>
      </c>
      <c r="K38" s="546">
        <v>30.3</v>
      </c>
      <c r="L38" s="546">
        <v>45.8</v>
      </c>
      <c r="M38" s="546">
        <v>50.3</v>
      </c>
      <c r="N38" s="546">
        <v>46.1</v>
      </c>
      <c r="O38" s="546">
        <v>34.9</v>
      </c>
      <c r="P38" s="546">
        <v>21.9</v>
      </c>
      <c r="Q38" s="546">
        <v>31.5</v>
      </c>
      <c r="R38" s="546">
        <v>25.7</v>
      </c>
      <c r="S38" s="546">
        <v>30.2</v>
      </c>
      <c r="T38" s="546">
        <v>53.9</v>
      </c>
      <c r="X38" s="513" t="s">
        <v>1094</v>
      </c>
      <c r="AC38" s="514">
        <f>AC35+AC26</f>
        <v>92.199999999999989</v>
      </c>
      <c r="AD38" s="514">
        <f t="shared" ref="AD38:AO38" si="6">AD35+AD26</f>
        <v>65.7</v>
      </c>
      <c r="AE38" s="514">
        <f t="shared" si="6"/>
        <v>76.5</v>
      </c>
      <c r="AF38" s="514">
        <f t="shared" si="6"/>
        <v>105.19999999999999</v>
      </c>
      <c r="AG38" s="514">
        <f t="shared" si="6"/>
        <v>124.10000000000001</v>
      </c>
      <c r="AH38" s="514">
        <f t="shared" si="6"/>
        <v>162.19999999999999</v>
      </c>
      <c r="AI38" s="514">
        <f t="shared" si="6"/>
        <v>178.1</v>
      </c>
      <c r="AJ38" s="514">
        <f t="shared" si="6"/>
        <v>332.2</v>
      </c>
      <c r="AK38" s="514">
        <f t="shared" si="6"/>
        <v>441.1</v>
      </c>
      <c r="AL38" s="514">
        <f t="shared" si="6"/>
        <v>716.1</v>
      </c>
      <c r="AM38" s="514">
        <f t="shared" si="6"/>
        <v>1649.1999999999998</v>
      </c>
      <c r="AN38" s="514">
        <f t="shared" si="6"/>
        <v>2258.6999999999998</v>
      </c>
      <c r="AO38" s="514">
        <f t="shared" si="6"/>
        <v>2399.4</v>
      </c>
    </row>
    <row r="39" spans="1:41" ht="15.75" thickBot="1">
      <c r="A39" s="542" t="s">
        <v>1206</v>
      </c>
      <c r="B39" s="543" t="s">
        <v>1207</v>
      </c>
      <c r="C39" s="546" t="s">
        <v>1154</v>
      </c>
      <c r="D39" s="546" t="s">
        <v>1154</v>
      </c>
      <c r="E39" s="546" t="s">
        <v>1154</v>
      </c>
      <c r="F39" s="546" t="s">
        <v>1154</v>
      </c>
      <c r="G39" s="546">
        <v>36.9</v>
      </c>
      <c r="H39" s="546">
        <v>29.5</v>
      </c>
      <c r="I39" s="546">
        <v>27.4</v>
      </c>
      <c r="J39" s="546">
        <v>20.6</v>
      </c>
      <c r="K39" s="546">
        <v>23.5</v>
      </c>
      <c r="L39" s="546">
        <v>35.200000000000003</v>
      </c>
      <c r="M39" s="546">
        <v>39.6</v>
      </c>
      <c r="N39" s="546">
        <v>48.1</v>
      </c>
      <c r="O39" s="546">
        <v>64</v>
      </c>
      <c r="P39" s="546">
        <v>48.2</v>
      </c>
      <c r="Q39" s="546">
        <v>55.6</v>
      </c>
      <c r="R39" s="546">
        <v>41.2</v>
      </c>
      <c r="S39" s="546">
        <v>32.200000000000003</v>
      </c>
      <c r="T39" s="546">
        <v>35.799999999999997</v>
      </c>
      <c r="AC39" s="504"/>
      <c r="AD39" s="504"/>
      <c r="AE39" s="504"/>
      <c r="AF39" s="504"/>
      <c r="AG39" s="504"/>
      <c r="AH39" s="504"/>
      <c r="AI39" s="504"/>
      <c r="AJ39" s="504"/>
      <c r="AK39" s="504"/>
      <c r="AL39" s="504"/>
      <c r="AM39" s="504"/>
      <c r="AN39" s="504"/>
      <c r="AO39" s="504"/>
    </row>
    <row r="40" spans="1:41" ht="15.75" thickBot="1">
      <c r="A40" s="542" t="s">
        <v>1208</v>
      </c>
      <c r="B40" s="543" t="s">
        <v>1209</v>
      </c>
      <c r="C40" s="545" t="s">
        <v>1154</v>
      </c>
      <c r="D40" s="545" t="s">
        <v>1154</v>
      </c>
      <c r="E40" s="545" t="s">
        <v>1154</v>
      </c>
      <c r="F40" s="545" t="s">
        <v>1154</v>
      </c>
      <c r="G40" s="545">
        <v>12.34</v>
      </c>
      <c r="H40" s="545">
        <v>12.2</v>
      </c>
      <c r="I40" s="545">
        <v>9.86</v>
      </c>
      <c r="J40" s="545">
        <v>9.24</v>
      </c>
      <c r="K40" s="545">
        <v>12.35</v>
      </c>
      <c r="L40" s="545">
        <v>11.35</v>
      </c>
      <c r="M40" s="545">
        <v>10.15</v>
      </c>
      <c r="N40" s="545">
        <v>9.8800000000000008</v>
      </c>
      <c r="O40" s="545">
        <v>13.32</v>
      </c>
      <c r="P40" s="545">
        <v>20.79</v>
      </c>
      <c r="Q40" s="545">
        <v>15.53</v>
      </c>
      <c r="R40" s="545">
        <v>17.579999999999998</v>
      </c>
      <c r="S40" s="545">
        <v>20.329999999999998</v>
      </c>
      <c r="T40" s="545">
        <v>14.28</v>
      </c>
      <c r="X40" s="513" t="s">
        <v>1095</v>
      </c>
      <c r="AC40" s="514">
        <f>SUM(AC41:AC44)</f>
        <v>13.999999999999991</v>
      </c>
      <c r="AD40" s="514">
        <f t="shared" ref="AD40:AO40" si="7">SUM(AD41:AD44)</f>
        <v>56.699999999999996</v>
      </c>
      <c r="AE40" s="514">
        <f t="shared" si="7"/>
        <v>40.200000000000003</v>
      </c>
      <c r="AF40" s="514">
        <f t="shared" si="7"/>
        <v>46.9</v>
      </c>
      <c r="AG40" s="514">
        <f t="shared" si="7"/>
        <v>41.399999999999991</v>
      </c>
      <c r="AH40" s="514">
        <f t="shared" si="7"/>
        <v>1.2999999999999943</v>
      </c>
      <c r="AI40" s="514">
        <f t="shared" si="7"/>
        <v>-9.0999999999999766</v>
      </c>
      <c r="AJ40" s="514">
        <f t="shared" si="7"/>
        <v>7.7</v>
      </c>
      <c r="AK40" s="514">
        <f t="shared" si="7"/>
        <v>272.20000000000005</v>
      </c>
      <c r="AL40" s="514">
        <f t="shared" si="7"/>
        <v>483.90000000000003</v>
      </c>
      <c r="AM40" s="514">
        <f t="shared" si="7"/>
        <v>430.2</v>
      </c>
      <c r="AN40" s="514">
        <f t="shared" si="7"/>
        <v>825.5</v>
      </c>
      <c r="AO40" s="514">
        <f t="shared" si="7"/>
        <v>983.59999999999991</v>
      </c>
    </row>
    <row r="41" spans="1:41" ht="15.75" thickBot="1">
      <c r="A41" s="542" t="s">
        <v>1210</v>
      </c>
      <c r="B41" s="543" t="s">
        <v>1211</v>
      </c>
      <c r="C41" s="544" t="s">
        <v>1154</v>
      </c>
      <c r="D41" s="544" t="s">
        <v>1154</v>
      </c>
      <c r="E41" s="544" t="s">
        <v>1154</v>
      </c>
      <c r="F41" s="544" t="s">
        <v>1154</v>
      </c>
      <c r="G41" s="544" t="s">
        <v>1154</v>
      </c>
      <c r="H41" s="544">
        <v>-0.18</v>
      </c>
      <c r="I41" s="544">
        <v>-2.1999999999999999E-2</v>
      </c>
      <c r="J41" s="544">
        <v>4.4999999999999998E-2</v>
      </c>
      <c r="K41" s="544">
        <v>-8.8999999999999996E-2</v>
      </c>
      <c r="L41" s="544">
        <v>-1.7999999999999999E-2</v>
      </c>
      <c r="M41" s="544">
        <v>-1.7000000000000001E-2</v>
      </c>
      <c r="N41" s="544">
        <v>-1E-3</v>
      </c>
      <c r="O41" s="544">
        <v>5.0999999999999997E-2</v>
      </c>
      <c r="P41" s="544">
        <v>0.121</v>
      </c>
      <c r="Q41" s="544">
        <v>0.151</v>
      </c>
      <c r="R41" s="544">
        <v>6.3E-2</v>
      </c>
      <c r="S41" s="544">
        <v>5.3999999999999999E-2</v>
      </c>
      <c r="T41" s="544">
        <v>0.20399999999999999</v>
      </c>
      <c r="X41" s="515" t="s">
        <v>1096</v>
      </c>
      <c r="AC41" s="516">
        <v>93.6</v>
      </c>
      <c r="AD41" s="516">
        <v>0</v>
      </c>
      <c r="AE41" s="516">
        <v>0</v>
      </c>
      <c r="AF41" s="516">
        <v>0</v>
      </c>
      <c r="AG41" s="516">
        <v>0</v>
      </c>
      <c r="AH41" s="516">
        <v>0</v>
      </c>
      <c r="AI41" s="516">
        <v>0</v>
      </c>
      <c r="AJ41" s="516">
        <v>0</v>
      </c>
      <c r="AK41" s="516">
        <v>0</v>
      </c>
      <c r="AL41" s="516">
        <v>0</v>
      </c>
      <c r="AM41" s="516">
        <v>0</v>
      </c>
      <c r="AN41" s="516">
        <v>0</v>
      </c>
      <c r="AO41" s="516">
        <v>0</v>
      </c>
    </row>
    <row r="42" spans="1:41" ht="15.75" thickBot="1">
      <c r="A42" s="542" t="s">
        <v>1212</v>
      </c>
      <c r="B42" s="543" t="s">
        <v>1213</v>
      </c>
      <c r="C42" s="544" t="s">
        <v>1154</v>
      </c>
      <c r="D42" s="544" t="s">
        <v>1154</v>
      </c>
      <c r="E42" s="544" t="s">
        <v>1154</v>
      </c>
      <c r="F42" s="544">
        <v>8.0000000000000002E-3</v>
      </c>
      <c r="G42" s="544">
        <v>2E-3</v>
      </c>
      <c r="H42" s="544">
        <v>8.0000000000000002E-3</v>
      </c>
      <c r="I42" s="544">
        <v>4.2000000000000003E-2</v>
      </c>
      <c r="J42" s="544">
        <v>6.2E-2</v>
      </c>
      <c r="K42" s="544">
        <v>1.2999999999999999E-2</v>
      </c>
      <c r="L42" s="544">
        <v>3.9E-2</v>
      </c>
      <c r="M42" s="544">
        <v>4.8000000000000001E-2</v>
      </c>
      <c r="N42" s="544">
        <v>3.5999999999999997E-2</v>
      </c>
      <c r="O42" s="544">
        <v>2.7E-2</v>
      </c>
      <c r="P42" s="544">
        <v>4.0000000000000001E-3</v>
      </c>
      <c r="Q42" s="544">
        <v>3.0000000000000001E-3</v>
      </c>
      <c r="R42" s="544">
        <v>5.0000000000000001E-3</v>
      </c>
      <c r="S42" s="544">
        <v>2E-3</v>
      </c>
      <c r="T42" s="544">
        <v>5.0000000000000001E-3</v>
      </c>
      <c r="X42" s="518" t="s">
        <v>1097</v>
      </c>
      <c r="AC42" s="519">
        <v>9.1</v>
      </c>
      <c r="AD42" s="519">
        <v>183.6</v>
      </c>
      <c r="AE42" s="519">
        <v>192.9</v>
      </c>
      <c r="AF42" s="519">
        <v>208</v>
      </c>
      <c r="AG42" s="519">
        <v>224.7</v>
      </c>
      <c r="AH42" s="519">
        <v>252.1</v>
      </c>
      <c r="AI42" s="519">
        <v>287.3</v>
      </c>
      <c r="AJ42" s="519">
        <v>353.3</v>
      </c>
      <c r="AK42" s="519">
        <v>458.3</v>
      </c>
      <c r="AL42" s="519">
        <v>534.70000000000005</v>
      </c>
      <c r="AM42" s="519">
        <v>837.9</v>
      </c>
      <c r="AN42" s="519">
        <v>819.1</v>
      </c>
      <c r="AO42" s="519">
        <v>939.3</v>
      </c>
    </row>
    <row r="43" spans="1:41" ht="15.75" thickBot="1">
      <c r="A43" s="542" t="s">
        <v>854</v>
      </c>
      <c r="B43" s="543" t="s">
        <v>1214</v>
      </c>
      <c r="C43" s="544" t="s">
        <v>1154</v>
      </c>
      <c r="D43" s="544" t="s">
        <v>1154</v>
      </c>
      <c r="E43" s="544" t="s">
        <v>1154</v>
      </c>
      <c r="F43" s="544" t="s">
        <v>1154</v>
      </c>
      <c r="G43" s="544">
        <v>-0.70699999999999996</v>
      </c>
      <c r="H43" s="544">
        <v>-0.64500000000000002</v>
      </c>
      <c r="I43" s="544">
        <v>-0.53700000000000003</v>
      </c>
      <c r="J43" s="544">
        <v>-0.30199999999999999</v>
      </c>
      <c r="K43" s="544">
        <v>-9.0999999999999998E-2</v>
      </c>
      <c r="L43" s="544">
        <v>-0.23699999999999999</v>
      </c>
      <c r="M43" s="544">
        <v>-0.77800000000000002</v>
      </c>
      <c r="N43" s="544">
        <v>-0.14000000000000001</v>
      </c>
      <c r="O43" s="544">
        <v>-8.5999999999999993E-2</v>
      </c>
      <c r="P43" s="544">
        <v>0.45600000000000002</v>
      </c>
      <c r="Q43" s="544">
        <v>0.22700000000000001</v>
      </c>
      <c r="R43" s="544">
        <v>0.126</v>
      </c>
      <c r="S43" s="544">
        <v>0.19500000000000001</v>
      </c>
      <c r="T43" s="544">
        <v>0.16600000000000001</v>
      </c>
      <c r="X43" s="518" t="s">
        <v>1098</v>
      </c>
      <c r="AC43" s="519">
        <v>-88.8</v>
      </c>
      <c r="AD43" s="519">
        <v>-127</v>
      </c>
      <c r="AE43" s="519">
        <v>-152.9</v>
      </c>
      <c r="AF43" s="519">
        <v>-161</v>
      </c>
      <c r="AG43" s="519">
        <v>-183.1</v>
      </c>
      <c r="AH43" s="519">
        <v>-250.5</v>
      </c>
      <c r="AI43" s="519">
        <v>-295.7</v>
      </c>
      <c r="AJ43" s="519">
        <v>-346.3</v>
      </c>
      <c r="AK43" s="519">
        <v>-185.2</v>
      </c>
      <c r="AL43" s="519">
        <v>-51.2</v>
      </c>
      <c r="AM43" s="519">
        <v>-405.7</v>
      </c>
      <c r="AN43" s="519">
        <v>17.3</v>
      </c>
      <c r="AO43" s="519">
        <v>46.3</v>
      </c>
    </row>
    <row r="44" spans="1:41" ht="15.75" thickBot="1">
      <c r="A44" s="542" t="s">
        <v>1215</v>
      </c>
      <c r="B44" s="543" t="s">
        <v>1214</v>
      </c>
      <c r="C44" s="528" t="s">
        <v>1154</v>
      </c>
      <c r="D44" s="528" t="s">
        <v>1154</v>
      </c>
      <c r="E44" s="528" t="s">
        <v>1154</v>
      </c>
      <c r="F44" s="528" t="s">
        <v>1154</v>
      </c>
      <c r="G44" s="528" t="s">
        <v>1154</v>
      </c>
      <c r="H44" s="528" t="s">
        <v>1154</v>
      </c>
      <c r="I44" s="548">
        <v>635419.4</v>
      </c>
      <c r="J44" s="548">
        <v>595514.1</v>
      </c>
      <c r="K44" s="548">
        <v>734053.4</v>
      </c>
      <c r="L44" s="548">
        <v>660349.4</v>
      </c>
      <c r="M44" s="548">
        <v>663085.30000000005</v>
      </c>
      <c r="N44" s="548">
        <v>747169.7</v>
      </c>
      <c r="O44" s="548">
        <v>828726.1</v>
      </c>
      <c r="P44" s="548">
        <v>1243691.2</v>
      </c>
      <c r="Q44" s="548">
        <v>1085388.8999999999</v>
      </c>
      <c r="R44" s="548">
        <v>888777.5</v>
      </c>
      <c r="S44" s="548">
        <v>917478.1</v>
      </c>
      <c r="T44" s="548">
        <v>766405.5</v>
      </c>
      <c r="X44" s="499" t="s">
        <v>1099</v>
      </c>
      <c r="AC44" s="516">
        <v>0.1</v>
      </c>
      <c r="AD44" s="516">
        <v>0.1</v>
      </c>
      <c r="AE44" s="516">
        <v>0.2</v>
      </c>
      <c r="AF44" s="516">
        <v>-0.1</v>
      </c>
      <c r="AG44" s="516">
        <v>-0.2</v>
      </c>
      <c r="AH44" s="516">
        <v>-0.3</v>
      </c>
      <c r="AI44" s="516">
        <v>-0.7</v>
      </c>
      <c r="AJ44" s="516">
        <v>0.7</v>
      </c>
      <c r="AK44" s="516">
        <v>-0.9</v>
      </c>
      <c r="AL44" s="516">
        <v>0.4</v>
      </c>
      <c r="AM44" s="516">
        <v>-2</v>
      </c>
      <c r="AN44" s="516">
        <v>-10.9</v>
      </c>
      <c r="AO44" s="516">
        <v>-2</v>
      </c>
    </row>
    <row r="45" spans="1:41" ht="15.75" thickBot="1">
      <c r="X45" s="523" t="s">
        <v>1100</v>
      </c>
      <c r="AC45" s="524">
        <v>39.299999999999997</v>
      </c>
      <c r="AD45" s="524">
        <v>40.9</v>
      </c>
      <c r="AE45" s="524">
        <v>42.1</v>
      </c>
      <c r="AF45" s="524">
        <v>43.8</v>
      </c>
      <c r="AG45" s="524">
        <v>45.8</v>
      </c>
      <c r="AH45" s="524">
        <v>62.3</v>
      </c>
      <c r="AI45" s="524">
        <v>85.9</v>
      </c>
      <c r="AJ45" s="524">
        <v>107</v>
      </c>
      <c r="AK45" s="524">
        <v>123.1</v>
      </c>
      <c r="AL45" s="524">
        <v>129</v>
      </c>
      <c r="AM45" s="524">
        <v>133.9</v>
      </c>
      <c r="AN45" s="524">
        <v>136.4</v>
      </c>
      <c r="AO45" s="524">
        <v>135.69999999999999</v>
      </c>
    </row>
    <row r="46" spans="1:41">
      <c r="X46" s="523" t="s">
        <v>1101</v>
      </c>
      <c r="AC46" s="525">
        <v>298</v>
      </c>
      <c r="AD46" s="525">
        <v>384</v>
      </c>
      <c r="AE46" s="525">
        <v>398</v>
      </c>
      <c r="AF46" s="525">
        <v>539</v>
      </c>
      <c r="AG46" s="525">
        <v>543</v>
      </c>
      <c r="AH46" s="525">
        <v>430</v>
      </c>
      <c r="AI46" s="525">
        <v>336</v>
      </c>
      <c r="AJ46" s="525">
        <v>427</v>
      </c>
      <c r="AK46" s="525">
        <v>577</v>
      </c>
      <c r="AL46" s="525">
        <v>850</v>
      </c>
      <c r="AM46" s="525">
        <v>2260</v>
      </c>
      <c r="AN46" s="525">
        <v>2821</v>
      </c>
      <c r="AO46" s="525">
        <v>3157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E36" sqref="E36"/>
    </sheetView>
  </sheetViews>
  <sheetFormatPr defaultColWidth="11" defaultRowHeight="15.75"/>
  <cols>
    <col min="1" max="1" width="20.42578125" style="130" customWidth="1"/>
    <col min="2" max="2" width="19.42578125" style="130" customWidth="1"/>
    <col min="3" max="3" width="17.5703125" style="130" customWidth="1"/>
    <col min="4" max="4" width="16.42578125" style="130" customWidth="1"/>
    <col min="5" max="5" width="19.140625" style="130" customWidth="1"/>
    <col min="6" max="6" width="24.5703125" style="132" customWidth="1"/>
    <col min="7" max="7" width="37.42578125" style="130" customWidth="1"/>
    <col min="8" max="8" width="17" customWidth="1"/>
    <col min="13" max="13" width="12.42578125" bestFit="1" customWidth="1"/>
  </cols>
  <sheetData>
    <row r="1" spans="1:11">
      <c r="A1" s="580" t="str">
        <f>'Input sheet'!B4</f>
        <v>Amazon</v>
      </c>
      <c r="B1" s="581"/>
      <c r="C1" s="581"/>
      <c r="D1" s="581"/>
      <c r="E1" s="581"/>
      <c r="F1" s="582"/>
      <c r="G1" s="152">
        <f>'Input sheet'!B3</f>
        <v>43861</v>
      </c>
    </row>
    <row r="2" spans="1:11">
      <c r="A2" s="625" t="s">
        <v>630</v>
      </c>
      <c r="B2" s="625"/>
      <c r="C2" s="625"/>
      <c r="D2" s="625"/>
      <c r="E2" s="625"/>
      <c r="F2" s="625"/>
      <c r="G2" s="625"/>
    </row>
    <row r="3" spans="1:11" ht="16.149999999999999" customHeight="1">
      <c r="A3" s="585" t="s">
        <v>631</v>
      </c>
      <c r="B3" s="586"/>
      <c r="C3" s="586"/>
      <c r="D3" s="586"/>
      <c r="E3" s="586"/>
      <c r="F3" s="586"/>
      <c r="G3" s="587"/>
      <c r="H3" s="594" t="s">
        <v>522</v>
      </c>
      <c r="I3" s="595"/>
      <c r="J3" s="595"/>
      <c r="K3" s="596"/>
    </row>
    <row r="4" spans="1:11" ht="16.149999999999999" customHeight="1">
      <c r="A4" s="588"/>
      <c r="B4" s="589"/>
      <c r="C4" s="589"/>
      <c r="D4" s="589"/>
      <c r="E4" s="589"/>
      <c r="F4" s="589"/>
      <c r="G4" s="590"/>
      <c r="H4" s="597"/>
      <c r="I4" s="598"/>
      <c r="J4" s="598"/>
      <c r="K4" s="599"/>
    </row>
    <row r="5" spans="1:11" ht="12" customHeight="1">
      <c r="A5" s="588"/>
      <c r="B5" s="589"/>
      <c r="C5" s="589"/>
      <c r="D5" s="589"/>
      <c r="E5" s="589"/>
      <c r="F5" s="589"/>
      <c r="G5" s="590"/>
      <c r="H5" s="597"/>
      <c r="I5" s="598"/>
      <c r="J5" s="598"/>
      <c r="K5" s="599"/>
    </row>
    <row r="6" spans="1:11" ht="16.899999999999999" customHeight="1">
      <c r="A6" s="591"/>
      <c r="B6" s="592"/>
      <c r="C6" s="592"/>
      <c r="D6" s="592"/>
      <c r="E6" s="592"/>
      <c r="F6" s="592"/>
      <c r="G6" s="593"/>
      <c r="H6" s="600"/>
      <c r="I6" s="601"/>
      <c r="J6" s="601"/>
      <c r="K6" s="602"/>
    </row>
    <row r="7" spans="1:11">
      <c r="A7" s="626" t="s">
        <v>502</v>
      </c>
      <c r="B7" s="627"/>
      <c r="C7" s="627"/>
      <c r="D7" s="627"/>
      <c r="E7" s="627"/>
      <c r="F7" s="627"/>
      <c r="G7" s="628"/>
    </row>
    <row r="8" spans="1:11">
      <c r="A8" s="115"/>
      <c r="B8" s="112" t="s">
        <v>503</v>
      </c>
      <c r="C8" s="173" t="s">
        <v>621</v>
      </c>
      <c r="D8" s="113" t="s">
        <v>619</v>
      </c>
      <c r="E8" s="112" t="s">
        <v>504</v>
      </c>
      <c r="F8" s="112" t="s">
        <v>36</v>
      </c>
      <c r="G8" s="114" t="s">
        <v>511</v>
      </c>
    </row>
    <row r="9" spans="1:11">
      <c r="A9" s="116" t="s">
        <v>512</v>
      </c>
      <c r="B9" s="165">
        <f>'Valuation output'!B3</f>
        <v>574785</v>
      </c>
      <c r="C9" s="174">
        <f>'Input sheet'!B26</f>
        <v>0.12</v>
      </c>
      <c r="D9" s="155">
        <f>'Input sheet'!B28</f>
        <v>0.12</v>
      </c>
      <c r="E9" s="155" t="s">
        <v>868</v>
      </c>
      <c r="F9" s="117">
        <f>'Valuation output'!M2</f>
        <v>4.0800000000000003E-2</v>
      </c>
      <c r="G9" s="242" t="s">
        <v>632</v>
      </c>
      <c r="H9" s="603" t="s">
        <v>523</v>
      </c>
      <c r="I9" s="604"/>
      <c r="J9" s="604"/>
      <c r="K9" s="605"/>
    </row>
    <row r="10" spans="1:11" ht="47.25">
      <c r="A10" s="116" t="s">
        <v>513</v>
      </c>
      <c r="B10" s="117">
        <f>'Valuation output'!B4</f>
        <v>0.11332759205616014</v>
      </c>
      <c r="C10" s="174">
        <f>'Input sheet'!B27</f>
        <v>0.11332759205616014</v>
      </c>
      <c r="D10" s="156" t="s">
        <v>869</v>
      </c>
      <c r="E10" s="157">
        <f>'Valuation output'!G4</f>
        <v>0.14000000000000001</v>
      </c>
      <c r="F10" s="117">
        <f>'Valuation output'!M4</f>
        <v>0.14000000000000001</v>
      </c>
      <c r="G10" s="243" t="s">
        <v>633</v>
      </c>
      <c r="H10" s="606"/>
      <c r="I10" s="607"/>
      <c r="J10" s="607"/>
      <c r="K10" s="608"/>
    </row>
    <row r="11" spans="1:11">
      <c r="A11" s="116" t="s">
        <v>130</v>
      </c>
      <c r="B11" s="117">
        <f>'Valuation output'!B6</f>
        <v>0.19</v>
      </c>
      <c r="C11" s="175"/>
      <c r="D11" s="155">
        <f>B11</f>
        <v>0.19</v>
      </c>
      <c r="E11" s="155" t="s">
        <v>868</v>
      </c>
      <c r="F11" s="117">
        <f>'Valuation output'!M6</f>
        <v>0.25</v>
      </c>
      <c r="G11" s="244" t="s">
        <v>634</v>
      </c>
      <c r="H11" s="606"/>
      <c r="I11" s="607"/>
      <c r="J11" s="607"/>
      <c r="K11" s="608"/>
    </row>
    <row r="12" spans="1:11">
      <c r="A12" s="116" t="s">
        <v>870</v>
      </c>
      <c r="B12" s="118"/>
      <c r="C12" s="176">
        <f>'Input sheet'!B31</f>
        <v>1.5</v>
      </c>
      <c r="D12" s="154">
        <f>'Input sheet'!B31</f>
        <v>1.5</v>
      </c>
      <c r="E12" s="153">
        <f>'Input sheet'!B32</f>
        <v>1.5</v>
      </c>
      <c r="F12" s="119">
        <f>'Valuation output'!M2/'Valuation output'!M40</f>
        <v>0.49816849816849829</v>
      </c>
      <c r="G12" s="244" t="s">
        <v>835</v>
      </c>
      <c r="H12" s="606"/>
      <c r="I12" s="607"/>
      <c r="J12" s="607"/>
      <c r="K12" s="608"/>
    </row>
    <row r="13" spans="1:11">
      <c r="A13" s="133" t="s">
        <v>525</v>
      </c>
      <c r="B13" s="135">
        <f>'Valuation output'!B40</f>
        <v>0.12276546107305152</v>
      </c>
      <c r="C13" s="117" t="s">
        <v>526</v>
      </c>
      <c r="D13" s="623">
        <f>Diagnostics!C27</f>
        <v>0.17281078177151452</v>
      </c>
      <c r="E13" s="624"/>
      <c r="F13" s="134">
        <f>'Valuation output'!M40</f>
        <v>8.1899999999999987E-2</v>
      </c>
      <c r="G13" s="245" t="s">
        <v>836</v>
      </c>
      <c r="H13" s="606"/>
      <c r="I13" s="607"/>
      <c r="J13" s="607"/>
      <c r="K13" s="608"/>
    </row>
    <row r="14" spans="1:11" ht="16.5" thickBot="1">
      <c r="A14" s="120" t="s">
        <v>514</v>
      </c>
      <c r="B14" s="136"/>
      <c r="C14" s="118"/>
      <c r="D14" s="156">
        <f>'Valuation output'!C12</f>
        <v>8.5999999999999993E-2</v>
      </c>
      <c r="E14" s="157"/>
      <c r="F14" s="121">
        <f>'Valuation output'!M12</f>
        <v>8.1900000000000001E-2</v>
      </c>
      <c r="G14" s="246" t="s">
        <v>635</v>
      </c>
      <c r="H14" s="609"/>
      <c r="I14" s="610"/>
      <c r="J14" s="610"/>
      <c r="K14" s="611"/>
    </row>
    <row r="15" spans="1:11" ht="16.5" thickBot="1">
      <c r="A15" s="629" t="s">
        <v>506</v>
      </c>
      <c r="B15" s="629"/>
      <c r="C15" s="629"/>
      <c r="D15" s="629"/>
      <c r="E15" s="629"/>
      <c r="F15" s="629"/>
      <c r="G15" s="629"/>
    </row>
    <row r="16" spans="1:11">
      <c r="A16" s="111"/>
      <c r="B16" s="162" t="s">
        <v>5</v>
      </c>
      <c r="C16" s="162" t="s">
        <v>505</v>
      </c>
      <c r="D16" s="163" t="s">
        <v>517</v>
      </c>
      <c r="E16" s="163" t="s">
        <v>507</v>
      </c>
      <c r="F16" s="163" t="s">
        <v>515</v>
      </c>
      <c r="G16" s="164" t="s">
        <v>10</v>
      </c>
      <c r="H16" s="612" t="s">
        <v>524</v>
      </c>
      <c r="I16" s="613"/>
      <c r="J16" s="613"/>
      <c r="K16" s="614"/>
    </row>
    <row r="17" spans="1:11">
      <c r="A17" s="122">
        <v>1</v>
      </c>
      <c r="B17" s="165">
        <f>'Valuation output'!C3</f>
        <v>643759.20000000007</v>
      </c>
      <c r="C17" s="123">
        <f>'Valuation output'!C4</f>
        <v>0.11332759205616014</v>
      </c>
      <c r="D17" s="165">
        <f>B17*C17</f>
        <v>72955.680000000008</v>
      </c>
      <c r="E17" s="165">
        <f>'Valuation output'!C7</f>
        <v>59094.100800000007</v>
      </c>
      <c r="F17" s="165">
        <f>'Valuation output'!C8</f>
        <v>51500.736000000034</v>
      </c>
      <c r="G17" s="167">
        <f>E17-F17</f>
        <v>7593.3647999999739</v>
      </c>
      <c r="H17" s="615"/>
      <c r="I17" s="616"/>
      <c r="J17" s="616"/>
      <c r="K17" s="617"/>
    </row>
    <row r="18" spans="1:11">
      <c r="A18" s="122">
        <v>2</v>
      </c>
      <c r="B18" s="165">
        <f>'Valuation output'!D3</f>
        <v>721010.30400000012</v>
      </c>
      <c r="C18" s="123">
        <f>'Valuation output'!D4</f>
        <v>0.12399655523369608</v>
      </c>
      <c r="D18" s="165">
        <f t="shared" ref="D18:D27" si="0">B18*C18</f>
        <v>89402.793984000018</v>
      </c>
      <c r="E18" s="165">
        <f>'Valuation output'!D7</f>
        <v>72416.263127040016</v>
      </c>
      <c r="F18" s="165">
        <f>'Valuation output'!D8</f>
        <v>57680.824320000051</v>
      </c>
      <c r="G18" s="167">
        <f t="shared" ref="G18:G27" si="1">E18-F18</f>
        <v>14735.438807039965</v>
      </c>
      <c r="H18" s="615"/>
      <c r="I18" s="616"/>
      <c r="J18" s="616"/>
      <c r="K18" s="617"/>
    </row>
    <row r="19" spans="1:11">
      <c r="A19" s="122">
        <v>3</v>
      </c>
      <c r="B19" s="165">
        <f>'Valuation output'!E3</f>
        <v>807531.5404800002</v>
      </c>
      <c r="C19" s="123">
        <f>'Valuation output'!E4</f>
        <v>0.12933103682246405</v>
      </c>
      <c r="D19" s="165">
        <f t="shared" si="0"/>
        <v>104438.89139712002</v>
      </c>
      <c r="E19" s="165">
        <f>'Valuation output'!E7</f>
        <v>84595.502031667216</v>
      </c>
      <c r="F19" s="165">
        <f>'Valuation output'!E8</f>
        <v>64602.523238400077</v>
      </c>
      <c r="G19" s="167">
        <f t="shared" si="1"/>
        <v>19992.978793267139</v>
      </c>
      <c r="H19" s="615"/>
      <c r="I19" s="616"/>
      <c r="J19" s="616"/>
      <c r="K19" s="617"/>
    </row>
    <row r="20" spans="1:11">
      <c r="A20" s="122">
        <v>4</v>
      </c>
      <c r="B20" s="165">
        <f>'Valuation output'!F3</f>
        <v>904435.32533760031</v>
      </c>
      <c r="C20" s="123">
        <f>'Valuation output'!F4</f>
        <v>0.13466551841123203</v>
      </c>
      <c r="D20" s="165">
        <f t="shared" si="0"/>
        <v>121796.25195601924</v>
      </c>
      <c r="E20" s="165">
        <f>'Valuation output'!F7</f>
        <v>98654.964084375591</v>
      </c>
      <c r="F20" s="165">
        <f>'Valuation output'!F8</f>
        <v>72354.826027008079</v>
      </c>
      <c r="G20" s="167">
        <f t="shared" si="1"/>
        <v>26300.138057367512</v>
      </c>
      <c r="H20" s="615"/>
      <c r="I20" s="616"/>
      <c r="J20" s="616"/>
      <c r="K20" s="617"/>
    </row>
    <row r="21" spans="1:11">
      <c r="A21" s="122">
        <v>5</v>
      </c>
      <c r="B21" s="165">
        <f>'Valuation output'!G3</f>
        <v>1012967.5643781124</v>
      </c>
      <c r="C21" s="123">
        <f>'Valuation output'!G4</f>
        <v>0.14000000000000001</v>
      </c>
      <c r="D21" s="165">
        <f t="shared" si="0"/>
        <v>141815.45901293575</v>
      </c>
      <c r="E21" s="165">
        <f>'Valuation output'!G7</f>
        <v>114870.52180047796</v>
      </c>
      <c r="F21" s="165">
        <f>'Valuation output'!G8</f>
        <v>70340.467670416067</v>
      </c>
      <c r="G21" s="167">
        <f t="shared" si="1"/>
        <v>44530.054130061893</v>
      </c>
      <c r="H21" s="615"/>
      <c r="I21" s="616"/>
      <c r="J21" s="616"/>
      <c r="K21" s="617"/>
    </row>
    <row r="22" spans="1:11">
      <c r="A22" s="122">
        <v>6</v>
      </c>
      <c r="B22" s="165">
        <f>'Valuation output'!H3</f>
        <v>1118478.2658837365</v>
      </c>
      <c r="C22" s="123">
        <f>'Valuation output'!H4</f>
        <v>0.14000000000000001</v>
      </c>
      <c r="D22" s="165">
        <f t="shared" si="0"/>
        <v>156586.95722372312</v>
      </c>
      <c r="E22" s="165">
        <f>'Valuation output'!H7</f>
        <v>124956.39186453105</v>
      </c>
      <c r="F22" s="165">
        <f>'Valuation output'!H8</f>
        <v>65856.000295234378</v>
      </c>
      <c r="G22" s="167">
        <f t="shared" si="1"/>
        <v>59100.391569296669</v>
      </c>
      <c r="H22" s="615"/>
      <c r="I22" s="616"/>
      <c r="J22" s="616"/>
      <c r="K22" s="617"/>
    </row>
    <row r="23" spans="1:11">
      <c r="A23" s="122">
        <v>7</v>
      </c>
      <c r="B23" s="165">
        <f>'Valuation output'!I3</f>
        <v>1217262.2663265881</v>
      </c>
      <c r="C23" s="123">
        <f>'Valuation output'!I4</f>
        <v>0.14000000000000001</v>
      </c>
      <c r="D23" s="165">
        <f t="shared" si="0"/>
        <v>170416.71728572235</v>
      </c>
      <c r="E23" s="165">
        <f>'Valuation output'!I7</f>
        <v>133947.53978657775</v>
      </c>
      <c r="F23" s="165">
        <f>'Valuation output'!I8</f>
        <v>58818.112708900742</v>
      </c>
      <c r="G23" s="167">
        <f t="shared" si="1"/>
        <v>75129.427077677014</v>
      </c>
      <c r="H23" s="615"/>
      <c r="I23" s="616"/>
      <c r="J23" s="616"/>
      <c r="K23" s="617"/>
    </row>
    <row r="24" spans="1:11">
      <c r="A24" s="122">
        <v>8</v>
      </c>
      <c r="B24" s="165">
        <f>'Valuation output'!J3</f>
        <v>1305489.4353899392</v>
      </c>
      <c r="C24" s="123">
        <f>'Valuation output'!J4</f>
        <v>0.14000000000000001</v>
      </c>
      <c r="D24" s="165">
        <f t="shared" si="0"/>
        <v>182768.52095459151</v>
      </c>
      <c r="E24" s="165">
        <f>'Valuation output'!J7</f>
        <v>141462.83521885384</v>
      </c>
      <c r="F24" s="165">
        <f>'Valuation output'!J8</f>
        <v>49295.281080324203</v>
      </c>
      <c r="G24" s="167">
        <f t="shared" si="1"/>
        <v>92167.554138529638</v>
      </c>
      <c r="H24" s="615"/>
      <c r="I24" s="616"/>
      <c r="J24" s="616"/>
      <c r="K24" s="617"/>
    </row>
    <row r="25" spans="1:11">
      <c r="A25" s="122">
        <v>9</v>
      </c>
      <c r="B25" s="165">
        <f>'Valuation output'!K3</f>
        <v>1379432.3570104255</v>
      </c>
      <c r="C25" s="123">
        <f>'Valuation output'!K4</f>
        <v>0.14000000000000001</v>
      </c>
      <c r="D25" s="165">
        <f t="shared" si="0"/>
        <v>193120.52998145961</v>
      </c>
      <c r="E25" s="165">
        <f>'Valuation output'!K7</f>
        <v>147157.84384587221</v>
      </c>
      <c r="F25" s="165">
        <f>'Valuation output'!K8</f>
        <v>37520.560110683553</v>
      </c>
      <c r="G25" s="167">
        <f t="shared" si="1"/>
        <v>109637.28373518866</v>
      </c>
      <c r="H25" s="615"/>
      <c r="I25" s="616"/>
      <c r="J25" s="616"/>
      <c r="K25" s="617"/>
    </row>
    <row r="26" spans="1:11">
      <c r="A26" s="122">
        <v>10</v>
      </c>
      <c r="B26" s="165">
        <f>'Valuation output'!L3</f>
        <v>1435713.1971764509</v>
      </c>
      <c r="C26" s="123">
        <f>'Valuation output'!L4</f>
        <v>0.14000000000000001</v>
      </c>
      <c r="D26" s="165">
        <f t="shared" si="0"/>
        <v>200999.84760470313</v>
      </c>
      <c r="E26" s="165">
        <f>'Valuation output'!L7</f>
        <v>150749.88570352734</v>
      </c>
      <c r="F26" s="165">
        <f>'Valuation output'!L8</f>
        <v>39051.398963199463</v>
      </c>
      <c r="G26" s="167">
        <f t="shared" si="1"/>
        <v>111698.48674032788</v>
      </c>
      <c r="H26" s="615"/>
      <c r="I26" s="616"/>
      <c r="J26" s="616"/>
      <c r="K26" s="617"/>
    </row>
    <row r="27" spans="1:11" ht="16.5" thickBot="1">
      <c r="A27" s="124" t="s">
        <v>38</v>
      </c>
      <c r="B27" s="166">
        <f>'Valuation output'!M3</f>
        <v>1494290.2956212501</v>
      </c>
      <c r="C27" s="125">
        <f>'Valuation output'!M4</f>
        <v>0.14000000000000001</v>
      </c>
      <c r="D27" s="165">
        <f t="shared" si="0"/>
        <v>209200.64138697504</v>
      </c>
      <c r="E27" s="166">
        <f>'Valuation output'!M7</f>
        <v>156900.48104023127</v>
      </c>
      <c r="F27" s="166">
        <f>'Valuation output'!M8</f>
        <v>78162.877001726956</v>
      </c>
      <c r="G27" s="167">
        <f t="shared" si="1"/>
        <v>78737.604038504316</v>
      </c>
      <c r="H27" s="618"/>
      <c r="I27" s="619"/>
      <c r="J27" s="619"/>
      <c r="K27" s="620"/>
    </row>
    <row r="28" spans="1:11" ht="16.5" thickBot="1">
      <c r="A28" s="629" t="s">
        <v>508</v>
      </c>
      <c r="B28" s="629"/>
      <c r="C28" s="629"/>
      <c r="D28" s="629"/>
      <c r="E28" s="629"/>
      <c r="F28" s="629"/>
      <c r="G28" s="629"/>
    </row>
    <row r="29" spans="1:11">
      <c r="A29" s="583" t="s">
        <v>509</v>
      </c>
      <c r="B29" s="584"/>
      <c r="C29" s="584"/>
      <c r="D29" s="441">
        <f>'Valuation output'!B18</f>
        <v>1915756.7892580128</v>
      </c>
      <c r="E29" s="126"/>
      <c r="F29" s="127"/>
      <c r="G29" s="128"/>
      <c r="H29" s="621" t="s">
        <v>527</v>
      </c>
      <c r="I29" s="607"/>
      <c r="J29" s="607"/>
      <c r="K29" s="607"/>
    </row>
    <row r="30" spans="1:11">
      <c r="A30" s="574" t="s">
        <v>510</v>
      </c>
      <c r="B30" s="575"/>
      <c r="C30" s="575"/>
      <c r="D30" s="441">
        <f>'Valuation output'!B19</f>
        <v>849117.41625439527</v>
      </c>
      <c r="E30" s="129"/>
      <c r="F30" s="130"/>
      <c r="G30" s="131"/>
      <c r="H30" s="621"/>
      <c r="I30" s="607"/>
      <c r="J30" s="607"/>
      <c r="K30" s="607"/>
    </row>
    <row r="31" spans="1:11">
      <c r="A31" s="574" t="s">
        <v>39</v>
      </c>
      <c r="B31" s="575"/>
      <c r="C31" s="575"/>
      <c r="D31" s="441">
        <f>'Valuation output'!B20</f>
        <v>311735.06797951012</v>
      </c>
      <c r="E31" s="129"/>
      <c r="F31" s="130"/>
      <c r="G31" s="131"/>
      <c r="H31" s="621"/>
      <c r="I31" s="607"/>
      <c r="J31" s="607"/>
      <c r="K31" s="607"/>
    </row>
    <row r="32" spans="1:11">
      <c r="A32" s="574" t="s">
        <v>37</v>
      </c>
      <c r="B32" s="575"/>
      <c r="C32" s="575"/>
      <c r="D32" s="441">
        <f>'Valuation output'!B21</f>
        <v>1160852.4842339053</v>
      </c>
      <c r="E32" s="129"/>
      <c r="F32" s="130"/>
      <c r="G32" s="131"/>
      <c r="H32" s="621"/>
      <c r="I32" s="607"/>
      <c r="J32" s="607"/>
      <c r="K32" s="607"/>
    </row>
    <row r="33" spans="1:13">
      <c r="A33" s="574" t="s">
        <v>518</v>
      </c>
      <c r="B33" s="575"/>
      <c r="C33" s="575"/>
      <c r="D33" s="441">
        <f>D32-'Valuation output'!B24</f>
        <v>0</v>
      </c>
      <c r="E33" s="622" t="s">
        <v>100</v>
      </c>
      <c r="F33" s="622"/>
      <c r="G33" s="388">
        <f>'Valuation output'!B22</f>
        <v>0</v>
      </c>
      <c r="H33" s="607"/>
      <c r="I33" s="607"/>
      <c r="J33" s="607"/>
      <c r="K33" s="607"/>
    </row>
    <row r="34" spans="1:13">
      <c r="A34" s="574" t="s">
        <v>606</v>
      </c>
      <c r="B34" s="575"/>
      <c r="C34" s="575"/>
      <c r="D34" s="441">
        <f>'Valuation output'!B25+'Valuation output'!B26</f>
        <v>161574</v>
      </c>
      <c r="E34" s="129"/>
      <c r="F34" s="130"/>
      <c r="G34" s="131"/>
      <c r="H34" s="621"/>
      <c r="I34" s="607"/>
      <c r="J34" s="607"/>
      <c r="K34" s="607"/>
    </row>
    <row r="35" spans="1:13">
      <c r="A35" s="574" t="s">
        <v>519</v>
      </c>
      <c r="B35" s="575"/>
      <c r="C35" s="575"/>
      <c r="D35" s="441">
        <f>'Valuation output'!B27+'Valuation output'!B28</f>
        <v>89734</v>
      </c>
      <c r="E35" s="129"/>
      <c r="F35" s="130"/>
      <c r="G35" s="131"/>
      <c r="H35" s="621"/>
      <c r="I35" s="607"/>
      <c r="J35" s="607"/>
      <c r="K35" s="607"/>
    </row>
    <row r="36" spans="1:13">
      <c r="A36" s="574" t="s">
        <v>45</v>
      </c>
      <c r="B36" s="575"/>
      <c r="C36" s="575"/>
      <c r="D36" s="441">
        <f>D32-D33-D34+D35</f>
        <v>1089012.4842339053</v>
      </c>
      <c r="E36" s="129"/>
      <c r="F36" s="130"/>
      <c r="G36" s="131"/>
      <c r="H36" s="621"/>
      <c r="I36" s="607"/>
      <c r="J36" s="607"/>
      <c r="K36" s="607"/>
    </row>
    <row r="37" spans="1:13">
      <c r="A37" s="574" t="s">
        <v>520</v>
      </c>
      <c r="B37" s="575"/>
      <c r="C37" s="575"/>
      <c r="D37" s="441">
        <f>'Valuation output'!B30</f>
        <v>0</v>
      </c>
      <c r="E37" s="129"/>
      <c r="F37" s="130"/>
      <c r="G37" s="131"/>
      <c r="H37" s="621"/>
      <c r="I37" s="607"/>
      <c r="J37" s="607"/>
      <c r="K37" s="607"/>
    </row>
    <row r="38" spans="1:13" ht="16.5" thickBot="1">
      <c r="A38" s="577" t="s">
        <v>516</v>
      </c>
      <c r="B38" s="578"/>
      <c r="C38" s="579"/>
      <c r="D38" s="442">
        <f>'Valuation output'!B32</f>
        <v>10492</v>
      </c>
      <c r="G38" s="131"/>
      <c r="H38" s="621"/>
      <c r="I38" s="607"/>
      <c r="J38" s="607"/>
      <c r="K38" s="607"/>
    </row>
    <row r="39" spans="1:13" ht="16.5" thickBot="1">
      <c r="A39" s="630" t="s">
        <v>496</v>
      </c>
      <c r="B39" s="631"/>
      <c r="C39" s="632"/>
      <c r="D39" s="441">
        <f>(D36-D37)/D38</f>
        <v>103.79455625561431</v>
      </c>
      <c r="E39" s="576" t="s">
        <v>521</v>
      </c>
      <c r="F39" s="576"/>
      <c r="G39" s="137">
        <f>'Input sheet'!B22</f>
        <v>169</v>
      </c>
      <c r="H39" s="621"/>
      <c r="I39" s="607"/>
      <c r="J39" s="607"/>
      <c r="K39" s="607"/>
      <c r="M39" s="151"/>
    </row>
    <row r="40" spans="1:13">
      <c r="M40" s="144"/>
    </row>
  </sheetData>
  <mergeCells count="24">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 ref="A33:C33"/>
    <mergeCell ref="A32:C32"/>
    <mergeCell ref="E39:F39"/>
    <mergeCell ref="A31:C31"/>
    <mergeCell ref="A34:C34"/>
    <mergeCell ref="A35:C35"/>
    <mergeCell ref="A38:C38"/>
    <mergeCell ref="A36:C36"/>
  </mergeCells>
  <pageMargins left="0.75" right="0.75" top="1" bottom="1" header="0.3" footer="0.3"/>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 defaultRowHeight="12.75"/>
  <cols>
    <col min="1" max="1" width="27.85546875" style="300" customWidth="1"/>
    <col min="2" max="2" width="13" style="300" customWidth="1"/>
    <col min="3" max="3" width="10.85546875" style="300"/>
    <col min="4" max="4" width="16.140625" style="300" customWidth="1"/>
    <col min="5" max="5" width="12.5703125" style="300" bestFit="1" customWidth="1"/>
    <col min="6" max="10" width="11.42578125" style="300" bestFit="1" customWidth="1"/>
    <col min="11" max="13" width="13" style="300" bestFit="1" customWidth="1"/>
    <col min="14" max="14" width="13.5703125" style="300" bestFit="1" customWidth="1"/>
    <col min="15" max="15" width="16" style="300" customWidth="1"/>
    <col min="16" max="16" width="10.85546875" style="300"/>
  </cols>
  <sheetData>
    <row r="1" spans="1:16" s="2" customFormat="1">
      <c r="A1" s="299" t="s">
        <v>855</v>
      </c>
      <c r="B1" s="299"/>
      <c r="C1" s="299"/>
      <c r="D1" s="299"/>
      <c r="E1" s="299"/>
      <c r="F1" s="299"/>
      <c r="G1" s="299"/>
      <c r="H1" s="299"/>
      <c r="I1" s="299"/>
      <c r="J1" s="299"/>
      <c r="K1" s="299"/>
      <c r="L1" s="299"/>
      <c r="M1" s="299"/>
      <c r="N1" s="299"/>
      <c r="O1" s="299"/>
      <c r="P1" s="299"/>
    </row>
    <row r="2" spans="1:16" s="2" customFormat="1" ht="13.5" thickBot="1">
      <c r="A2" s="299"/>
      <c r="B2" s="299"/>
      <c r="C2" s="299"/>
      <c r="D2" s="299"/>
      <c r="E2" s="299"/>
      <c r="F2" s="299"/>
      <c r="G2" s="299"/>
      <c r="H2" s="299"/>
      <c r="I2" s="299"/>
      <c r="J2" s="299"/>
      <c r="K2" s="299"/>
      <c r="L2" s="299"/>
      <c r="M2" s="299"/>
      <c r="N2" s="299"/>
      <c r="O2" s="299"/>
      <c r="P2" s="299"/>
    </row>
    <row r="3" spans="1:16" ht="16.5" thickBot="1">
      <c r="A3" s="649" t="str">
        <f>'Input sheet'!B4</f>
        <v>Amazon</v>
      </c>
      <c r="B3" s="650"/>
      <c r="C3" s="650"/>
      <c r="D3" s="650"/>
      <c r="E3" s="650"/>
      <c r="F3" s="650"/>
      <c r="G3" s="650"/>
      <c r="H3" s="650"/>
      <c r="I3" s="650"/>
      <c r="J3" s="650"/>
      <c r="K3" s="650"/>
      <c r="L3" s="650"/>
      <c r="M3" s="650"/>
      <c r="N3" s="651"/>
      <c r="O3" s="641">
        <f>'Input sheet'!B3</f>
        <v>43861</v>
      </c>
      <c r="P3" s="642"/>
    </row>
    <row r="4" spans="1:16" ht="13.5" thickBot="1">
      <c r="A4" s="444"/>
      <c r="P4" s="445"/>
    </row>
    <row r="5" spans="1:16" ht="13.5" thickBot="1">
      <c r="A5" s="638" t="s">
        <v>853</v>
      </c>
      <c r="B5" s="639"/>
      <c r="C5" s="640"/>
      <c r="E5" s="633" t="s">
        <v>849</v>
      </c>
      <c r="F5" s="634"/>
      <c r="H5" s="633" t="s">
        <v>850</v>
      </c>
      <c r="I5" s="634"/>
      <c r="K5" s="633" t="s">
        <v>851</v>
      </c>
      <c r="L5" s="634"/>
      <c r="P5" s="445"/>
    </row>
    <row r="6" spans="1:16" ht="13.9" customHeight="1">
      <c r="A6" s="444"/>
      <c r="B6" s="374" t="s">
        <v>221</v>
      </c>
      <c r="C6" s="374" t="s">
        <v>852</v>
      </c>
      <c r="E6" s="643" t="str">
        <f>'Stories to Numbers'!G9</f>
        <v>Disruption platform in multiple businesses</v>
      </c>
      <c r="F6" s="644"/>
      <c r="H6" s="643" t="str">
        <f>'Stories to Numbers'!G10</f>
        <v>Margins improve, aided by cloud business &amp; continued economies of scale.</v>
      </c>
      <c r="I6" s="644"/>
      <c r="K6" s="643" t="str">
        <f>'Stories to Numbers'!G12</f>
        <v>Maintained at Amazon's current level</v>
      </c>
      <c r="L6" s="644"/>
      <c r="O6" s="652" t="s">
        <v>535</v>
      </c>
      <c r="P6" s="653"/>
    </row>
    <row r="7" spans="1:16">
      <c r="A7" s="446" t="s">
        <v>844</v>
      </c>
      <c r="B7" s="360">
        <f>'Input sheet'!I25</f>
        <v>0.1182957412988368</v>
      </c>
      <c r="C7" s="360">
        <f>'Input sheet'!K25</f>
        <v>9.6226153846153892E-3</v>
      </c>
      <c r="E7" s="645"/>
      <c r="F7" s="646"/>
      <c r="H7" s="645"/>
      <c r="I7" s="646"/>
      <c r="K7" s="645"/>
      <c r="L7" s="646"/>
      <c r="O7" s="358" t="s">
        <v>848</v>
      </c>
      <c r="P7" s="447">
        <f>O16</f>
        <v>4.0800000000000003E-2</v>
      </c>
    </row>
    <row r="8" spans="1:16">
      <c r="A8" s="446" t="s">
        <v>845</v>
      </c>
      <c r="B8" s="368">
        <f>'Valuation output'!B3</f>
        <v>574785</v>
      </c>
      <c r="E8" s="645"/>
      <c r="F8" s="646"/>
      <c r="H8" s="645"/>
      <c r="I8" s="646"/>
      <c r="K8" s="645"/>
      <c r="L8" s="646"/>
      <c r="O8" s="358" t="s">
        <v>135</v>
      </c>
      <c r="P8" s="447">
        <f>'Valuation output'!M12</f>
        <v>8.1900000000000001E-2</v>
      </c>
    </row>
    <row r="9" spans="1:16">
      <c r="A9" s="446" t="s">
        <v>505</v>
      </c>
      <c r="B9" s="360">
        <f>'Valuation output'!B4</f>
        <v>0.11332759205616014</v>
      </c>
      <c r="C9" s="360">
        <f>'Input sheet'!K26</f>
        <v>4.3542241635271928E-2</v>
      </c>
      <c r="E9" s="645"/>
      <c r="F9" s="646"/>
      <c r="H9" s="645"/>
      <c r="I9" s="646"/>
      <c r="K9" s="645"/>
      <c r="L9" s="646"/>
      <c r="O9" s="358" t="s">
        <v>525</v>
      </c>
      <c r="P9" s="447">
        <f>'Valuation output'!M40</f>
        <v>8.1899999999999987E-2</v>
      </c>
    </row>
    <row r="10" spans="1:16">
      <c r="A10" s="446" t="s">
        <v>846</v>
      </c>
      <c r="B10" s="368">
        <f>'Valuation output'!B5</f>
        <v>65139.000000000007</v>
      </c>
      <c r="E10" s="645"/>
      <c r="F10" s="646"/>
      <c r="H10" s="645"/>
      <c r="I10" s="646"/>
      <c r="K10" s="645"/>
      <c r="L10" s="646"/>
      <c r="O10" s="358" t="s">
        <v>471</v>
      </c>
      <c r="P10" s="447">
        <f>P7/P9</f>
        <v>0.49816849816849829</v>
      </c>
    </row>
    <row r="11" spans="1:16">
      <c r="A11" s="446" t="s">
        <v>507</v>
      </c>
      <c r="B11" s="368">
        <f>'Valuation output'!B7</f>
        <v>52762.590000000011</v>
      </c>
      <c r="E11" s="645"/>
      <c r="F11" s="646"/>
      <c r="H11" s="645"/>
      <c r="I11" s="646"/>
      <c r="K11" s="645"/>
      <c r="L11" s="646"/>
      <c r="P11" s="448"/>
    </row>
    <row r="12" spans="1:16">
      <c r="A12" s="444"/>
      <c r="E12" s="647"/>
      <c r="F12" s="648"/>
      <c r="H12" s="647"/>
      <c r="I12" s="648"/>
      <c r="K12" s="647"/>
      <c r="L12" s="648"/>
      <c r="P12" s="448"/>
    </row>
    <row r="13" spans="1:16">
      <c r="A13" s="444"/>
      <c r="P13" s="448"/>
    </row>
    <row r="14" spans="1:16" ht="13.5" thickBot="1">
      <c r="A14" s="444"/>
      <c r="P14" s="445"/>
    </row>
    <row r="15" spans="1:16">
      <c r="A15" s="449" t="str">
        <f>'Valuation output'!A19</f>
        <v>PV(Terminal value)</v>
      </c>
      <c r="B15" s="369">
        <f>'Valuation output'!B19</f>
        <v>849117.41625439527</v>
      </c>
      <c r="D15" s="358"/>
      <c r="E15" s="361">
        <f>'Valuation output'!C1</f>
        <v>1</v>
      </c>
      <c r="F15" s="361">
        <f>'Valuation output'!D1</f>
        <v>2</v>
      </c>
      <c r="G15" s="361">
        <f>'Valuation output'!E1</f>
        <v>3</v>
      </c>
      <c r="H15" s="361">
        <f>'Valuation output'!F1</f>
        <v>4</v>
      </c>
      <c r="I15" s="361">
        <f>'Valuation output'!G1</f>
        <v>5</v>
      </c>
      <c r="J15" s="361">
        <f>'Valuation output'!H1</f>
        <v>6</v>
      </c>
      <c r="K15" s="361">
        <f>'Valuation output'!I1</f>
        <v>7</v>
      </c>
      <c r="L15" s="361">
        <f>'Valuation output'!J1</f>
        <v>8</v>
      </c>
      <c r="M15" s="361">
        <f>'Valuation output'!K1</f>
        <v>9</v>
      </c>
      <c r="N15" s="361">
        <f>'Valuation output'!L1</f>
        <v>10</v>
      </c>
      <c r="O15" s="362" t="str">
        <f>'Valuation output'!M1</f>
        <v>Terminal year</v>
      </c>
      <c r="P15" s="450"/>
    </row>
    <row r="16" spans="1:16">
      <c r="A16" s="451" t="str">
        <f>'Valuation output'!A20</f>
        <v>PV (CF over next 10 years)</v>
      </c>
      <c r="B16" s="370">
        <f>'Valuation output'!B20</f>
        <v>311735.06797951012</v>
      </c>
      <c r="D16" s="358" t="s">
        <v>844</v>
      </c>
      <c r="E16" s="360">
        <f>'Valuation output'!C2</f>
        <v>0.12</v>
      </c>
      <c r="F16" s="360">
        <f>'Valuation output'!D2</f>
        <v>0.12</v>
      </c>
      <c r="G16" s="360">
        <f>'Valuation output'!E2</f>
        <v>0.12</v>
      </c>
      <c r="H16" s="360">
        <f>'Valuation output'!F2</f>
        <v>0.12</v>
      </c>
      <c r="I16" s="360">
        <f>'Valuation output'!G2</f>
        <v>0.12</v>
      </c>
      <c r="J16" s="360">
        <f>'Valuation output'!H2</f>
        <v>0.10416</v>
      </c>
      <c r="K16" s="360">
        <f>'Valuation output'!I2</f>
        <v>8.8319999999999996E-2</v>
      </c>
      <c r="L16" s="360">
        <f>'Valuation output'!J2</f>
        <v>7.2479999999999989E-2</v>
      </c>
      <c r="M16" s="360">
        <f>'Valuation output'!K2</f>
        <v>5.6639999999999996E-2</v>
      </c>
      <c r="N16" s="360">
        <f>'Valuation output'!L2</f>
        <v>4.0800000000000003E-2</v>
      </c>
      <c r="O16" s="363">
        <f>'Valuation output'!M2</f>
        <v>4.0800000000000003E-2</v>
      </c>
      <c r="P16" s="445"/>
    </row>
    <row r="17" spans="1:16">
      <c r="A17" s="452" t="str">
        <f>'Valuation output'!A22</f>
        <v>Probability of failure =</v>
      </c>
      <c r="B17" s="371">
        <f>'Valuation output'!B22</f>
        <v>0</v>
      </c>
      <c r="D17" s="358" t="s">
        <v>845</v>
      </c>
      <c r="E17" s="364">
        <f>'Valuation output'!C3</f>
        <v>643759.20000000007</v>
      </c>
      <c r="F17" s="364">
        <f>'Valuation output'!D3</f>
        <v>721010.30400000012</v>
      </c>
      <c r="G17" s="364">
        <f>'Valuation output'!E3</f>
        <v>807531.5404800002</v>
      </c>
      <c r="H17" s="364">
        <f>'Valuation output'!F3</f>
        <v>904435.32533760031</v>
      </c>
      <c r="I17" s="364">
        <f>'Valuation output'!G3</f>
        <v>1012967.5643781124</v>
      </c>
      <c r="J17" s="364">
        <f>'Valuation output'!H3</f>
        <v>1118478.2658837365</v>
      </c>
      <c r="K17" s="364">
        <f>'Valuation output'!I3</f>
        <v>1217262.2663265881</v>
      </c>
      <c r="L17" s="364">
        <f>'Valuation output'!J3</f>
        <v>1305489.4353899392</v>
      </c>
      <c r="M17" s="364">
        <f>'Valuation output'!K3</f>
        <v>1379432.3570104255</v>
      </c>
      <c r="N17" s="364">
        <f>'Valuation output'!L3</f>
        <v>1435713.1971764509</v>
      </c>
      <c r="O17" s="365">
        <f>'Valuation output'!M3</f>
        <v>1494290.2956212501</v>
      </c>
      <c r="P17" s="445"/>
    </row>
    <row r="18" spans="1:16">
      <c r="A18" s="451" t="str">
        <f>'Valuation output'!A24</f>
        <v>Value of operating assets =</v>
      </c>
      <c r="B18" s="372">
        <f>'Valuation output'!B24</f>
        <v>1160852.4842339053</v>
      </c>
      <c r="D18" s="358" t="s">
        <v>505</v>
      </c>
      <c r="E18" s="360">
        <f>'Valuation output'!C4</f>
        <v>0.11332759205616014</v>
      </c>
      <c r="F18" s="360">
        <f>'Valuation output'!D4</f>
        <v>0.12399655523369608</v>
      </c>
      <c r="G18" s="360">
        <f>'Valuation output'!E4</f>
        <v>0.12933103682246405</v>
      </c>
      <c r="H18" s="360">
        <f>'Valuation output'!F4</f>
        <v>0.13466551841123203</v>
      </c>
      <c r="I18" s="360">
        <f>'Valuation output'!G4</f>
        <v>0.14000000000000001</v>
      </c>
      <c r="J18" s="360">
        <f>'Valuation output'!H4</f>
        <v>0.14000000000000001</v>
      </c>
      <c r="K18" s="360">
        <f>'Valuation output'!I4</f>
        <v>0.14000000000000001</v>
      </c>
      <c r="L18" s="360">
        <f>'Valuation output'!J4</f>
        <v>0.14000000000000001</v>
      </c>
      <c r="M18" s="360">
        <f>'Valuation output'!K4</f>
        <v>0.14000000000000001</v>
      </c>
      <c r="N18" s="360">
        <f>'Valuation output'!L4</f>
        <v>0.14000000000000001</v>
      </c>
      <c r="O18" s="363">
        <f>'Valuation output'!M4</f>
        <v>0.14000000000000001</v>
      </c>
      <c r="P18" s="445"/>
    </row>
    <row r="19" spans="1:16">
      <c r="A19" s="451" t="str">
        <f>'Valuation output'!A25</f>
        <v xml:space="preserve"> - Debt</v>
      </c>
      <c r="B19" s="372">
        <f>'Valuation output'!B25</f>
        <v>161574</v>
      </c>
      <c r="D19" s="358" t="s">
        <v>846</v>
      </c>
      <c r="E19" s="364">
        <f>'Valuation output'!C5</f>
        <v>72955.680000000008</v>
      </c>
      <c r="F19" s="364">
        <f>'Valuation output'!D5</f>
        <v>89402.793984000018</v>
      </c>
      <c r="G19" s="364">
        <f>'Valuation output'!E5</f>
        <v>104438.89139712002</v>
      </c>
      <c r="H19" s="364">
        <f>'Valuation output'!F5</f>
        <v>121796.25195601924</v>
      </c>
      <c r="I19" s="364">
        <f>'Valuation output'!G5</f>
        <v>141815.45901293575</v>
      </c>
      <c r="J19" s="364">
        <f>'Valuation output'!H5</f>
        <v>156586.95722372312</v>
      </c>
      <c r="K19" s="364">
        <f>'Valuation output'!I5</f>
        <v>170416.71728572235</v>
      </c>
      <c r="L19" s="364">
        <f>'Valuation output'!J5</f>
        <v>182768.52095459151</v>
      </c>
      <c r="M19" s="364">
        <f>'Valuation output'!K5</f>
        <v>193120.52998145961</v>
      </c>
      <c r="N19" s="364">
        <f>'Valuation output'!L5</f>
        <v>200999.84760470313</v>
      </c>
      <c r="O19" s="365">
        <f>'Valuation output'!M5</f>
        <v>209200.64138697504</v>
      </c>
      <c r="P19" s="445"/>
    </row>
    <row r="20" spans="1:16">
      <c r="A20" s="451" t="str">
        <f>'Valuation output'!A26</f>
        <v xml:space="preserve"> - Minority interests</v>
      </c>
      <c r="B20" s="372">
        <f>'Valuation output'!B26</f>
        <v>0</v>
      </c>
      <c r="D20" s="358" t="s">
        <v>507</v>
      </c>
      <c r="E20" s="364">
        <f>'Valuation output'!C7</f>
        <v>59094.100800000007</v>
      </c>
      <c r="F20" s="364">
        <f>'Valuation output'!D7</f>
        <v>72416.263127040016</v>
      </c>
      <c r="G20" s="364">
        <f>'Valuation output'!E7</f>
        <v>84595.502031667216</v>
      </c>
      <c r="H20" s="364">
        <f>'Valuation output'!F7</f>
        <v>98654.964084375591</v>
      </c>
      <c r="I20" s="364">
        <f>'Valuation output'!G7</f>
        <v>114870.52180047796</v>
      </c>
      <c r="J20" s="364">
        <f>'Valuation output'!H7</f>
        <v>124956.39186453105</v>
      </c>
      <c r="K20" s="364">
        <f>'Valuation output'!I7</f>
        <v>133947.53978657775</v>
      </c>
      <c r="L20" s="364">
        <f>'Valuation output'!J7</f>
        <v>141462.83521885384</v>
      </c>
      <c r="M20" s="364">
        <f>'Valuation output'!K7</f>
        <v>147157.84384587221</v>
      </c>
      <c r="N20" s="364">
        <f>'Valuation output'!L7</f>
        <v>150749.88570352734</v>
      </c>
      <c r="O20" s="365">
        <f>'Valuation output'!M7</f>
        <v>156900.48104023127</v>
      </c>
      <c r="P20" s="445"/>
    </row>
    <row r="21" spans="1:16">
      <c r="A21" s="451" t="str">
        <f>'Valuation output'!A27</f>
        <v xml:space="preserve"> +  Cash</v>
      </c>
      <c r="B21" s="372">
        <f>'Valuation output'!B27</f>
        <v>86780</v>
      </c>
      <c r="D21" s="358" t="s">
        <v>533</v>
      </c>
      <c r="E21" s="364">
        <f>'Valuation output'!C8</f>
        <v>51500.736000000034</v>
      </c>
      <c r="F21" s="364">
        <f>'Valuation output'!D8</f>
        <v>57680.824320000051</v>
      </c>
      <c r="G21" s="364">
        <f>'Valuation output'!E8</f>
        <v>64602.523238400077</v>
      </c>
      <c r="H21" s="364">
        <f>'Valuation output'!F8</f>
        <v>72354.826027008079</v>
      </c>
      <c r="I21" s="364">
        <f>'Valuation output'!G8</f>
        <v>70340.467670416067</v>
      </c>
      <c r="J21" s="364">
        <f>'Valuation output'!H8</f>
        <v>65856.000295234378</v>
      </c>
      <c r="K21" s="364">
        <f>'Valuation output'!I8</f>
        <v>58818.112708900742</v>
      </c>
      <c r="L21" s="364">
        <f>'Valuation output'!J8</f>
        <v>49295.281080324203</v>
      </c>
      <c r="M21" s="364">
        <f>'Valuation output'!K8</f>
        <v>37520.560110683553</v>
      </c>
      <c r="N21" s="364">
        <f>'Valuation output'!L8</f>
        <v>39051.398963199463</v>
      </c>
      <c r="O21" s="365">
        <f>'Valuation output'!M8</f>
        <v>78162.877001726956</v>
      </c>
      <c r="P21" s="445"/>
    </row>
    <row r="22" spans="1:16">
      <c r="A22" s="451" t="str">
        <f>'Valuation output'!A28</f>
        <v xml:space="preserve"> + Non-operating assets</v>
      </c>
      <c r="B22" s="372">
        <f>'Valuation output'!B28</f>
        <v>2954</v>
      </c>
      <c r="D22" s="359" t="s">
        <v>10</v>
      </c>
      <c r="E22" s="365">
        <f>'Valuation output'!C9</f>
        <v>7593.3647999999739</v>
      </c>
      <c r="F22" s="365">
        <f>'Valuation output'!D9</f>
        <v>14735.438807039965</v>
      </c>
      <c r="G22" s="365">
        <f>'Valuation output'!E9</f>
        <v>19992.978793267139</v>
      </c>
      <c r="H22" s="365">
        <f>'Valuation output'!F9</f>
        <v>26300.138057367512</v>
      </c>
      <c r="I22" s="365">
        <f>'Valuation output'!G9</f>
        <v>44530.054130061893</v>
      </c>
      <c r="J22" s="365">
        <f>'Valuation output'!H9</f>
        <v>59100.391569296669</v>
      </c>
      <c r="K22" s="365">
        <f>'Valuation output'!I9</f>
        <v>75129.427077677014</v>
      </c>
      <c r="L22" s="365">
        <f>'Valuation output'!J9</f>
        <v>92167.554138529638</v>
      </c>
      <c r="M22" s="365">
        <f>'Valuation output'!K9</f>
        <v>109637.28373518866</v>
      </c>
      <c r="N22" s="365">
        <f>'Valuation output'!L9</f>
        <v>111698.48674032788</v>
      </c>
      <c r="O22" s="365">
        <f>'Valuation output'!M9</f>
        <v>78737.604038504316</v>
      </c>
      <c r="P22" s="445"/>
    </row>
    <row r="23" spans="1:16">
      <c r="A23" s="451" t="str">
        <f>'Valuation output'!A29</f>
        <v>Value of equity</v>
      </c>
      <c r="B23" s="372">
        <f>'Valuation output'!B29</f>
        <v>1089012.4842339053</v>
      </c>
      <c r="N23" s="367">
        <f>'Valuation output'!B18</f>
        <v>1915756.7892580128</v>
      </c>
      <c r="P23" s="445"/>
    </row>
    <row r="24" spans="1:16">
      <c r="A24" s="451" t="str">
        <f>'Valuation output'!A30</f>
        <v xml:space="preserve"> - Value of options</v>
      </c>
      <c r="B24" s="372">
        <f>'Valuation output'!B30</f>
        <v>0</v>
      </c>
      <c r="P24" s="445"/>
    </row>
    <row r="25" spans="1:16">
      <c r="A25" s="451" t="str">
        <f>'Valuation output'!A31</f>
        <v>Value of equity in common stock</v>
      </c>
      <c r="B25" s="372">
        <f>'Valuation output'!B31</f>
        <v>1089012.4842339053</v>
      </c>
      <c r="D25" s="359" t="s">
        <v>534</v>
      </c>
      <c r="E25" s="363">
        <f>'Valuation output'!C12</f>
        <v>8.5999999999999993E-2</v>
      </c>
      <c r="F25" s="363">
        <f>'Valuation output'!D12</f>
        <v>8.5999999999999993E-2</v>
      </c>
      <c r="G25" s="363">
        <f>'Valuation output'!E12</f>
        <v>8.5999999999999993E-2</v>
      </c>
      <c r="H25" s="363">
        <f>'Valuation output'!F12</f>
        <v>8.5999999999999993E-2</v>
      </c>
      <c r="I25" s="363">
        <f>'Valuation output'!G12</f>
        <v>8.5999999999999993E-2</v>
      </c>
      <c r="J25" s="363">
        <f>'Valuation output'!H12</f>
        <v>8.5179999999999992E-2</v>
      </c>
      <c r="K25" s="363">
        <f>'Valuation output'!I12</f>
        <v>8.4359999999999991E-2</v>
      </c>
      <c r="L25" s="363">
        <f>'Valuation output'!J12</f>
        <v>8.3539999999999989E-2</v>
      </c>
      <c r="M25" s="363">
        <f>'Valuation output'!K12</f>
        <v>8.2719999999999988E-2</v>
      </c>
      <c r="N25" s="363">
        <f>'Valuation output'!L12</f>
        <v>8.1899999999999987E-2</v>
      </c>
      <c r="O25" s="443"/>
      <c r="P25" s="445"/>
    </row>
    <row r="26" spans="1:16">
      <c r="A26" s="453" t="str">
        <f>'Valuation output'!A32</f>
        <v>Number of shares</v>
      </c>
      <c r="B26" s="373">
        <f>'Valuation output'!B32</f>
        <v>10492</v>
      </c>
      <c r="D26" s="358" t="s">
        <v>847</v>
      </c>
      <c r="E26" s="366">
        <f>'Valuation output'!C13</f>
        <v>0.92081031307550643</v>
      </c>
      <c r="F26" s="366">
        <f>'Valuation output'!D13</f>
        <v>0.84789163266621215</v>
      </c>
      <c r="G26" s="366">
        <f>'Valuation output'!E13</f>
        <v>0.78074735972947706</v>
      </c>
      <c r="H26" s="366">
        <f>'Valuation output'!F13</f>
        <v>0.71892022074537476</v>
      </c>
      <c r="I26" s="366">
        <f>'Valuation output'!G13</f>
        <v>0.66198915354086074</v>
      </c>
      <c r="J26" s="366">
        <f>'Valuation output'!H13</f>
        <v>0.61002704946724107</v>
      </c>
      <c r="K26" s="366">
        <f>'Valuation output'!I13</f>
        <v>0.56256874973923887</v>
      </c>
      <c r="L26" s="366">
        <f>'Valuation output'!J13</f>
        <v>0.51919518406264553</v>
      </c>
      <c r="M26" s="366">
        <f>'Valuation output'!K13</f>
        <v>0.47952857993077208</v>
      </c>
      <c r="N26" s="366">
        <f>'Valuation output'!L13</f>
        <v>0.44322819108122014</v>
      </c>
      <c r="P26" s="445"/>
    </row>
    <row r="27" spans="1:16">
      <c r="A27" s="454" t="str">
        <f>'Valuation output'!A33</f>
        <v>Estimated value /share</v>
      </c>
      <c r="B27" s="376">
        <f>'Valuation output'!B33</f>
        <v>103.79455625561431</v>
      </c>
      <c r="P27" s="445"/>
    </row>
    <row r="28" spans="1:16">
      <c r="A28" s="455"/>
      <c r="B28" s="379"/>
      <c r="D28" s="359" t="s">
        <v>532</v>
      </c>
      <c r="E28" s="375">
        <f>'Valuation output'!C38</f>
        <v>1.5</v>
      </c>
      <c r="F28" s="375">
        <f>'Valuation output'!D38</f>
        <v>1.5</v>
      </c>
      <c r="G28" s="375">
        <f>'Valuation output'!E38</f>
        <v>1.5</v>
      </c>
      <c r="H28" s="375">
        <f>'Valuation output'!F38</f>
        <v>1.5</v>
      </c>
      <c r="I28" s="375">
        <f>'Valuation output'!G38</f>
        <v>1.5</v>
      </c>
      <c r="J28" s="375">
        <f>'Valuation output'!H38</f>
        <v>1.5</v>
      </c>
      <c r="K28" s="375">
        <f>'Valuation output'!I38</f>
        <v>1.5</v>
      </c>
      <c r="L28" s="375">
        <f>'Valuation output'!J38</f>
        <v>1.5</v>
      </c>
      <c r="M28" s="375">
        <f>'Valuation output'!K38</f>
        <v>1.5</v>
      </c>
      <c r="N28" s="375">
        <f>'Valuation output'!L38</f>
        <v>1.5</v>
      </c>
      <c r="P28" s="445"/>
    </row>
    <row r="29" spans="1:16">
      <c r="A29" s="451" t="s">
        <v>856</v>
      </c>
      <c r="B29" s="377">
        <f>'Stories to Numbers'!G39</f>
        <v>169</v>
      </c>
      <c r="D29" s="358" t="s">
        <v>854</v>
      </c>
      <c r="E29" s="360">
        <f>'Valuation output'!C40</f>
        <v>0.1374973164018177</v>
      </c>
      <c r="F29" s="360">
        <f>'Valuation output'!D40</f>
        <v>0.1504645958310743</v>
      </c>
      <c r="G29" s="360">
        <f>'Valuation output'!E40</f>
        <v>0.15695910941163557</v>
      </c>
      <c r="H29" s="360">
        <f>'Valuation output'!F40</f>
        <v>0.16345300763267712</v>
      </c>
      <c r="I29" s="360">
        <f>'Valuation output'!G40</f>
        <v>0.16994627171269208</v>
      </c>
      <c r="J29" s="360">
        <f>'Valuation output'!H40</f>
        <v>0.16744282446004302</v>
      </c>
      <c r="K29" s="360">
        <f>'Valuation output'!I40</f>
        <v>0.16493584375379705</v>
      </c>
      <c r="L29" s="360">
        <f>'Valuation output'!J40</f>
        <v>0.16242599605929051</v>
      </c>
      <c r="M29" s="360">
        <f>'Valuation output'!K40</f>
        <v>0.15991377587665603</v>
      </c>
      <c r="N29" s="360">
        <f>'Valuation output'!L40</f>
        <v>0.15739954455878594</v>
      </c>
      <c r="O29" s="360">
        <f>'Valuation output'!M40</f>
        <v>8.1899999999999987E-2</v>
      </c>
      <c r="P29" s="445"/>
    </row>
    <row r="30" spans="1:16">
      <c r="A30" s="451" t="s">
        <v>857</v>
      </c>
      <c r="B30" s="378">
        <f>B29/B27-1</f>
        <v>0.62821641227315039</v>
      </c>
      <c r="P30" s="445"/>
    </row>
    <row r="31" spans="1:16" ht="13.5" thickBot="1">
      <c r="A31" s="444"/>
      <c r="P31" s="445"/>
    </row>
    <row r="32" spans="1:16">
      <c r="A32" s="444"/>
      <c r="D32" s="633" t="s">
        <v>858</v>
      </c>
      <c r="E32" s="634"/>
      <c r="G32" s="633" t="s">
        <v>859</v>
      </c>
      <c r="H32" s="635"/>
      <c r="I32" s="634"/>
      <c r="P32" s="445"/>
    </row>
    <row r="33" spans="1:16" ht="13.9" customHeight="1">
      <c r="A33" s="444"/>
      <c r="D33" s="636" t="str">
        <f>'Stories to Numbers'!G14</f>
        <v>Cost of capital close to median company</v>
      </c>
      <c r="E33" s="636"/>
      <c r="G33" s="636" t="str">
        <f>'Stories to Numbers'!G13</f>
        <v>Strong competitive edges</v>
      </c>
      <c r="H33" s="636"/>
      <c r="I33" s="636"/>
      <c r="P33" s="445"/>
    </row>
    <row r="34" spans="1:16">
      <c r="A34" s="444"/>
      <c r="D34" s="636"/>
      <c r="E34" s="636"/>
      <c r="G34" s="636"/>
      <c r="H34" s="636"/>
      <c r="I34" s="636"/>
      <c r="P34" s="445"/>
    </row>
    <row r="35" spans="1:16">
      <c r="A35" s="444"/>
      <c r="D35" s="636"/>
      <c r="E35" s="636"/>
      <c r="G35" s="636"/>
      <c r="H35" s="636"/>
      <c r="I35" s="636"/>
      <c r="P35" s="445"/>
    </row>
    <row r="36" spans="1:16">
      <c r="A36" s="444"/>
      <c r="D36" s="636"/>
      <c r="E36" s="636"/>
      <c r="G36" s="636"/>
      <c r="H36" s="636"/>
      <c r="I36" s="636"/>
      <c r="P36" s="445"/>
    </row>
    <row r="37" spans="1:16">
      <c r="A37" s="444"/>
      <c r="D37" s="636"/>
      <c r="E37" s="636"/>
      <c r="G37" s="636"/>
      <c r="H37" s="636"/>
      <c r="I37" s="636"/>
      <c r="P37" s="445"/>
    </row>
    <row r="38" spans="1:16" ht="13.5" thickBot="1">
      <c r="A38" s="456"/>
      <c r="B38" s="457"/>
      <c r="C38" s="457"/>
      <c r="D38" s="637"/>
      <c r="E38" s="637"/>
      <c r="F38" s="457"/>
      <c r="G38" s="637"/>
      <c r="H38" s="637"/>
      <c r="I38" s="637"/>
      <c r="J38" s="457"/>
      <c r="K38" s="457"/>
      <c r="L38" s="457"/>
      <c r="M38" s="457"/>
      <c r="N38" s="457"/>
      <c r="O38" s="457"/>
      <c r="P38" s="458"/>
    </row>
  </sheetData>
  <mergeCells count="14">
    <mergeCell ref="O3:P3"/>
    <mergeCell ref="E6:F12"/>
    <mergeCell ref="H6:I12"/>
    <mergeCell ref="K6:L12"/>
    <mergeCell ref="A3:N3"/>
    <mergeCell ref="O6:P6"/>
    <mergeCell ref="E5:F5"/>
    <mergeCell ref="H5:I5"/>
    <mergeCell ref="K5:L5"/>
    <mergeCell ref="D32:E32"/>
    <mergeCell ref="G32:I32"/>
    <mergeCell ref="D33:E38"/>
    <mergeCell ref="G33:I38"/>
    <mergeCell ref="A5:C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85546875" defaultRowHeight="15"/>
  <cols>
    <col min="1" max="1" width="61.5703125" style="4" customWidth="1"/>
    <col min="2" max="2" width="17.5703125" style="247" customWidth="1"/>
    <col min="3" max="3" width="21" style="247" customWidth="1"/>
    <col min="4" max="4" width="20.42578125" style="247" customWidth="1"/>
    <col min="5" max="5" width="17.5703125" style="247" customWidth="1"/>
    <col min="6" max="6" width="11.140625" style="4" customWidth="1"/>
    <col min="7" max="7" width="72" style="4" customWidth="1"/>
    <col min="8" max="16384" width="10.85546875" style="4"/>
  </cols>
  <sheetData>
    <row r="1" spans="1:7" ht="15.75">
      <c r="A1" s="251" t="s">
        <v>777</v>
      </c>
      <c r="B1" s="252"/>
      <c r="C1" s="253"/>
      <c r="D1" s="656" t="s">
        <v>775</v>
      </c>
      <c r="E1" s="657"/>
      <c r="G1" s="248" t="s">
        <v>781</v>
      </c>
    </row>
    <row r="2" spans="1:7" ht="30">
      <c r="A2" s="254"/>
      <c r="B2" s="255" t="s">
        <v>742</v>
      </c>
      <c r="C2" s="255" t="s">
        <v>773</v>
      </c>
      <c r="D2" s="255" t="s">
        <v>621</v>
      </c>
      <c r="E2" s="256" t="s">
        <v>619</v>
      </c>
      <c r="G2" s="263" t="s">
        <v>779</v>
      </c>
    </row>
    <row r="3" spans="1:7" ht="30">
      <c r="A3" s="459" t="s">
        <v>774</v>
      </c>
      <c r="B3" s="461">
        <f>'Input sheet'!J25</f>
        <v>0.18063052631578944</v>
      </c>
      <c r="C3" s="461">
        <f>'Input sheet'!I25</f>
        <v>0.1182957412988368</v>
      </c>
      <c r="D3" s="461">
        <f>'Valuation output'!C2</f>
        <v>0.12</v>
      </c>
      <c r="E3" s="461">
        <f>'Valuation output'!D2</f>
        <v>0.12</v>
      </c>
      <c r="G3" s="263" t="s">
        <v>780</v>
      </c>
    </row>
    <row r="4" spans="1:7" ht="15.75" thickBot="1"/>
    <row r="5" spans="1:7" ht="15.75">
      <c r="A5" s="251" t="s">
        <v>778</v>
      </c>
      <c r="B5" s="253"/>
      <c r="C5" s="253"/>
      <c r="D5" s="253"/>
      <c r="E5" s="257"/>
    </row>
    <row r="6" spans="1:7">
      <c r="A6" s="254"/>
      <c r="B6" s="247" t="s">
        <v>773</v>
      </c>
      <c r="C6" s="247" t="s">
        <v>621</v>
      </c>
      <c r="D6" s="247" t="s">
        <v>379</v>
      </c>
      <c r="E6" s="258" t="s">
        <v>776</v>
      </c>
      <c r="G6" s="249" t="s">
        <v>782</v>
      </c>
    </row>
    <row r="7" spans="1:7">
      <c r="A7" s="459" t="s">
        <v>5</v>
      </c>
      <c r="B7" s="460">
        <f>'Valuation output'!B3</f>
        <v>574785</v>
      </c>
      <c r="C7" s="460">
        <f>'Valuation output'!C3</f>
        <v>643759.20000000007</v>
      </c>
      <c r="D7" s="460">
        <f>'Valuation output'!G3</f>
        <v>1012967.5643781124</v>
      </c>
      <c r="E7" s="460">
        <f>'Valuation output'!L3</f>
        <v>1435713.1971764509</v>
      </c>
      <c r="G7" s="249" t="s">
        <v>783</v>
      </c>
    </row>
    <row r="8" spans="1:7">
      <c r="G8" s="249" t="s">
        <v>784</v>
      </c>
    </row>
    <row r="9" spans="1:7">
      <c r="G9" s="249" t="s">
        <v>785</v>
      </c>
    </row>
    <row r="10" spans="1:7" ht="15.75" thickBot="1"/>
    <row r="11" spans="1:7" ht="15.75">
      <c r="A11" s="259" t="s">
        <v>789</v>
      </c>
      <c r="B11" s="260" t="s">
        <v>773</v>
      </c>
      <c r="C11" s="260" t="s">
        <v>621</v>
      </c>
      <c r="D11" s="260" t="s">
        <v>379</v>
      </c>
      <c r="E11" s="261" t="s">
        <v>776</v>
      </c>
      <c r="G11" s="249" t="s">
        <v>786</v>
      </c>
    </row>
    <row r="12" spans="1:7" ht="30">
      <c r="A12" s="459" t="s">
        <v>505</v>
      </c>
      <c r="B12" s="461">
        <f>'Valuation output'!B4</f>
        <v>0.11332759205616014</v>
      </c>
      <c r="C12" s="461">
        <f>'Valuation output'!C4</f>
        <v>0.11332759205616014</v>
      </c>
      <c r="D12" s="461">
        <f>'Valuation output'!G4</f>
        <v>0.14000000000000001</v>
      </c>
      <c r="E12" s="461">
        <f>'Valuation output'!M4</f>
        <v>0.14000000000000001</v>
      </c>
      <c r="G12" s="263" t="s">
        <v>787</v>
      </c>
    </row>
    <row r="13" spans="1:7">
      <c r="G13" s="249" t="s">
        <v>788</v>
      </c>
    </row>
    <row r="14" spans="1:7" ht="15.75" thickBot="1"/>
    <row r="15" spans="1:7" ht="15.75">
      <c r="A15" s="259" t="s">
        <v>806</v>
      </c>
      <c r="B15" s="253"/>
      <c r="C15" s="253"/>
      <c r="D15" s="253"/>
      <c r="E15" s="257"/>
    </row>
    <row r="16" spans="1:7">
      <c r="A16" s="254"/>
      <c r="B16" s="255" t="s">
        <v>773</v>
      </c>
      <c r="C16" s="255" t="s">
        <v>621</v>
      </c>
      <c r="D16" s="255" t="s">
        <v>379</v>
      </c>
      <c r="E16" s="256" t="s">
        <v>776</v>
      </c>
      <c r="G16" s="249" t="s">
        <v>790</v>
      </c>
    </row>
    <row r="17" spans="1:7">
      <c r="A17" s="459" t="s">
        <v>532</v>
      </c>
      <c r="B17" s="462">
        <f>'Input sheet'!I27</f>
        <v>1.3373821403171053</v>
      </c>
      <c r="C17" s="462">
        <f>'Valuation output'!C38</f>
        <v>1.5</v>
      </c>
      <c r="D17" s="462">
        <f>'Valuation output'!G38</f>
        <v>1.5</v>
      </c>
      <c r="E17" s="462">
        <f>'Valuation output'!L38</f>
        <v>1.5</v>
      </c>
      <c r="G17" s="249" t="s">
        <v>791</v>
      </c>
    </row>
    <row r="18" spans="1:7">
      <c r="A18" s="254"/>
      <c r="E18" s="258"/>
      <c r="G18" s="249" t="s">
        <v>792</v>
      </c>
    </row>
    <row r="19" spans="1:7">
      <c r="A19" s="262" t="s">
        <v>798</v>
      </c>
      <c r="E19" s="258"/>
    </row>
    <row r="20" spans="1:7">
      <c r="A20" s="254"/>
      <c r="B20" s="250" t="s">
        <v>793</v>
      </c>
      <c r="C20" s="250" t="s">
        <v>794</v>
      </c>
      <c r="E20" s="258"/>
    </row>
    <row r="21" spans="1:7">
      <c r="A21" s="254" t="s">
        <v>795</v>
      </c>
      <c r="B21" s="463">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691242.69677002227</v>
      </c>
      <c r="C21" s="464">
        <f>B21/B21</f>
        <v>1</v>
      </c>
      <c r="E21" s="258"/>
      <c r="G21" s="249" t="s">
        <v>799</v>
      </c>
    </row>
    <row r="22" spans="1:7">
      <c r="A22" s="459" t="s">
        <v>796</v>
      </c>
      <c r="B22" s="467">
        <f>B21-B23</f>
        <v>379507.62879051216</v>
      </c>
      <c r="C22" s="468">
        <f>B22/B21</f>
        <v>0.54902226173794222</v>
      </c>
      <c r="E22" s="258"/>
      <c r="G22" s="249" t="s">
        <v>805</v>
      </c>
    </row>
    <row r="23" spans="1:7">
      <c r="A23" s="254" t="s">
        <v>797</v>
      </c>
      <c r="B23" s="465">
        <f>'Valuation output'!B20</f>
        <v>311735.06797951012</v>
      </c>
      <c r="C23" s="466">
        <f>C21-C22</f>
        <v>0.45097773826205778</v>
      </c>
      <c r="E23" s="258"/>
    </row>
    <row r="24" spans="1:7">
      <c r="A24" s="254"/>
      <c r="E24" s="258"/>
    </row>
    <row r="25" spans="1:7">
      <c r="A25" s="262" t="s">
        <v>800</v>
      </c>
      <c r="E25" s="258"/>
    </row>
    <row r="26" spans="1:7">
      <c r="A26" s="254"/>
      <c r="B26" s="255" t="s">
        <v>801</v>
      </c>
      <c r="C26" s="255" t="s">
        <v>802</v>
      </c>
      <c r="D26" s="255" t="s">
        <v>803</v>
      </c>
      <c r="E26" s="256" t="s">
        <v>804</v>
      </c>
    </row>
    <row r="27" spans="1:7">
      <c r="A27" s="459" t="s">
        <v>525</v>
      </c>
      <c r="B27" s="461">
        <f>'Valuation output'!B40</f>
        <v>0.12276546107305152</v>
      </c>
      <c r="C27" s="468">
        <f>('Valuation output'!L7-'Valuation output'!B7)/('Valuation output'!L39-'Valuation output'!B39)</f>
        <v>0.17281078177151452</v>
      </c>
      <c r="D27" s="461">
        <f>'Valuation output'!L40</f>
        <v>0.15739954455878594</v>
      </c>
      <c r="E27" s="461">
        <f>'Valuation output'!M40</f>
        <v>8.1899999999999987E-2</v>
      </c>
    </row>
    <row r="28" spans="1:7" ht="15.75" thickBot="1"/>
    <row r="29" spans="1:7" ht="15.75">
      <c r="A29" s="259" t="s">
        <v>807</v>
      </c>
      <c r="B29" s="253"/>
      <c r="C29" s="253"/>
      <c r="D29" s="253"/>
      <c r="E29" s="257"/>
    </row>
    <row r="30" spans="1:7">
      <c r="A30" s="254"/>
      <c r="B30" s="255" t="s">
        <v>742</v>
      </c>
      <c r="C30" s="255" t="s">
        <v>810</v>
      </c>
      <c r="D30" s="255" t="s">
        <v>811</v>
      </c>
      <c r="E30" s="256" t="s">
        <v>808</v>
      </c>
      <c r="G30" s="249" t="s">
        <v>817</v>
      </c>
    </row>
    <row r="31" spans="1:7">
      <c r="A31" s="459" t="s">
        <v>135</v>
      </c>
      <c r="B31" s="468">
        <f>'Input sheet'!J31</f>
        <v>8.9282000671898204E-2</v>
      </c>
      <c r="C31" s="468">
        <f>(1/'Valuation output'!L13)^(1/10)-1</f>
        <v>8.4768992031466039E-2</v>
      </c>
      <c r="D31" s="468">
        <f>'Valuation output'!C12</f>
        <v>8.5999999999999993E-2</v>
      </c>
      <c r="E31" s="468">
        <f>'Valuation output'!M12</f>
        <v>8.1900000000000001E-2</v>
      </c>
      <c r="G31" s="249" t="s">
        <v>818</v>
      </c>
    </row>
    <row r="32" spans="1:7">
      <c r="A32" s="254"/>
      <c r="E32" s="258"/>
      <c r="G32" s="249" t="s">
        <v>819</v>
      </c>
    </row>
    <row r="33" spans="1:6" ht="15.75" thickBot="1">
      <c r="A33" s="459" t="s">
        <v>809</v>
      </c>
      <c r="B33" s="461">
        <f>'Valuation output'!B22</f>
        <v>0</v>
      </c>
      <c r="C33" s="264"/>
      <c r="D33" s="264"/>
      <c r="E33" s="265"/>
    </row>
    <row r="34" spans="1:6" ht="15.75" thickBot="1"/>
    <row r="35" spans="1:6" ht="15.75">
      <c r="A35" s="259" t="s">
        <v>812</v>
      </c>
      <c r="B35" s="253"/>
      <c r="C35" s="253"/>
      <c r="D35" s="253"/>
      <c r="E35" s="257"/>
    </row>
    <row r="36" spans="1:6" s="76" customFormat="1" ht="13.5" thickBot="1">
      <c r="A36" s="270" t="s">
        <v>22</v>
      </c>
      <c r="B36" s="266">
        <f>'Valuation output'!B33/'Valuation output'!B34</f>
        <v>0.61416897192671194</v>
      </c>
      <c r="C36" s="271"/>
      <c r="D36" s="271"/>
      <c r="E36" s="272"/>
    </row>
    <row r="37" spans="1:6" s="76" customFormat="1" ht="15.75" thickBot="1">
      <c r="A37" s="78"/>
      <c r="B37" s="654" t="str">
        <f>IF(B36="NA","Value is negative. See below",IF(B36&gt;2,"Value seems high. See below",IF(B36&lt;0.5,"Value seems low. See below"," ")))</f>
        <v xml:space="preserve"> </v>
      </c>
      <c r="C37" s="655"/>
      <c r="D37" s="271"/>
      <c r="E37" s="272"/>
      <c r="F37" s="6"/>
    </row>
    <row r="38" spans="1:6" s="6" customFormat="1" ht="38.25">
      <c r="A38" s="277" t="s">
        <v>4</v>
      </c>
      <c r="B38" s="469" t="s">
        <v>0</v>
      </c>
      <c r="C38" s="470" t="s">
        <v>1</v>
      </c>
      <c r="D38" s="273"/>
      <c r="E38" s="274"/>
    </row>
    <row r="39" spans="1:6" s="6" customFormat="1" ht="34.9" customHeight="1">
      <c r="A39" s="267" t="s">
        <v>813</v>
      </c>
      <c r="B39" s="471" t="s">
        <v>2</v>
      </c>
      <c r="C39" s="471" t="s">
        <v>3</v>
      </c>
      <c r="D39" s="273"/>
      <c r="E39" s="274"/>
    </row>
    <row r="40" spans="1:6" s="6" customFormat="1" ht="38.25">
      <c r="A40" s="267" t="s">
        <v>814</v>
      </c>
      <c r="B40" s="472" t="s">
        <v>139</v>
      </c>
      <c r="C40" s="471" t="s">
        <v>140</v>
      </c>
      <c r="D40" s="273" t="s">
        <v>143</v>
      </c>
      <c r="E40" s="274"/>
    </row>
    <row r="41" spans="1:6" s="6" customFormat="1" ht="34.15" customHeight="1">
      <c r="A41" s="268" t="s">
        <v>815</v>
      </c>
      <c r="B41" s="471" t="s">
        <v>138</v>
      </c>
      <c r="C41" s="471" t="s">
        <v>137</v>
      </c>
      <c r="D41" s="273" t="s">
        <v>143</v>
      </c>
      <c r="E41" s="274"/>
    </row>
    <row r="42" spans="1:6" s="6" customFormat="1" ht="48" customHeight="1" thickBot="1">
      <c r="A42" s="269" t="s">
        <v>816</v>
      </c>
      <c r="B42" s="473" t="s">
        <v>141</v>
      </c>
      <c r="C42" s="471" t="s">
        <v>142</v>
      </c>
      <c r="D42" s="275" t="s">
        <v>144</v>
      </c>
      <c r="E42" s="276"/>
      <c r="F42" s="4"/>
    </row>
  </sheetData>
  <mergeCells count="2">
    <mergeCell ref="B37:C37"/>
    <mergeCell ref="D1:E1"/>
  </mergeCells>
  <phoneticPr fontId="8"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workbookViewId="0">
      <selection activeCell="D33" sqref="D33"/>
    </sheetView>
  </sheetViews>
  <sheetFormatPr defaultColWidth="11" defaultRowHeight="15.75"/>
  <cols>
    <col min="1" max="1" width="44.42578125" style="191" customWidth="1"/>
    <col min="2" max="2" width="28.140625" style="191" customWidth="1"/>
    <col min="3" max="3" width="30.5703125" style="191" customWidth="1"/>
    <col min="4" max="4" width="24.85546875" style="191" customWidth="1"/>
    <col min="5" max="7" width="44.42578125" style="130" customWidth="1"/>
  </cols>
  <sheetData>
    <row r="1" spans="1:7" ht="19.149999999999999" customHeight="1">
      <c r="A1" s="658" t="s">
        <v>820</v>
      </c>
      <c r="B1" s="659"/>
      <c r="C1" s="659"/>
      <c r="D1" s="659"/>
    </row>
    <row r="2" spans="1:7" ht="37.9" customHeight="1">
      <c r="A2" s="658"/>
      <c r="B2" s="659"/>
      <c r="C2" s="659"/>
      <c r="D2" s="659"/>
    </row>
    <row r="3" spans="1:7" s="297" customFormat="1" ht="18">
      <c r="A3" s="239" t="s">
        <v>52</v>
      </c>
      <c r="B3" s="239"/>
      <c r="C3" s="239"/>
      <c r="D3" s="239"/>
      <c r="E3" s="239"/>
      <c r="F3" s="239"/>
      <c r="G3" s="239"/>
    </row>
    <row r="4" spans="1:7" s="298" customFormat="1" ht="15">
      <c r="A4" s="191" t="s">
        <v>53</v>
      </c>
      <c r="B4" s="278">
        <f>'Input sheet'!B22</f>
        <v>169</v>
      </c>
      <c r="C4" s="191"/>
      <c r="D4" s="191"/>
      <c r="E4" s="191"/>
    </row>
    <row r="5" spans="1:7" s="298" customFormat="1" ht="15">
      <c r="A5" s="191" t="s">
        <v>54</v>
      </c>
      <c r="B5" s="279">
        <f>'Input sheet'!B39</f>
        <v>1.29</v>
      </c>
      <c r="C5" s="191"/>
      <c r="D5" s="191"/>
      <c r="E5" s="191"/>
    </row>
    <row r="6" spans="1:7" s="298" customFormat="1" ht="15">
      <c r="A6" s="191" t="s">
        <v>55</v>
      </c>
      <c r="B6" s="280">
        <f>'Input sheet'!B40</f>
        <v>7</v>
      </c>
      <c r="C6" s="191"/>
      <c r="D6" s="191"/>
      <c r="E6" s="191"/>
    </row>
    <row r="7" spans="1:7" s="298" customFormat="1" ht="15">
      <c r="A7" s="191" t="s">
        <v>56</v>
      </c>
      <c r="B7" s="281">
        <f>'Input sheet'!B41</f>
        <v>0.45</v>
      </c>
      <c r="C7" s="191" t="s">
        <v>57</v>
      </c>
      <c r="D7" s="191"/>
      <c r="E7" s="191"/>
    </row>
    <row r="8" spans="1:7" s="298" customFormat="1" ht="15">
      <c r="A8" s="191" t="s">
        <v>58</v>
      </c>
      <c r="B8" s="282">
        <v>0</v>
      </c>
      <c r="C8" s="191"/>
      <c r="D8" s="191"/>
      <c r="E8" s="191"/>
    </row>
    <row r="9" spans="1:7" s="298" customFormat="1" ht="15">
      <c r="A9" s="191" t="s">
        <v>59</v>
      </c>
      <c r="B9" s="282">
        <f>'Input sheet'!B34</f>
        <v>4.0800000000000003E-2</v>
      </c>
      <c r="C9" s="191"/>
      <c r="D9" s="191"/>
      <c r="E9" s="191"/>
    </row>
    <row r="10" spans="1:7" s="298" customFormat="1" ht="15">
      <c r="A10" s="191" t="s">
        <v>60</v>
      </c>
      <c r="B10" s="280">
        <f>'Input sheet'!B38</f>
        <v>7.72</v>
      </c>
      <c r="C10" s="191"/>
      <c r="D10" s="191"/>
      <c r="E10" s="191"/>
    </row>
    <row r="11" spans="1:7" s="298" customFormat="1" ht="15">
      <c r="A11" s="191" t="s">
        <v>61</v>
      </c>
      <c r="B11" s="283">
        <f>'Input sheet'!B21</f>
        <v>10492</v>
      </c>
      <c r="C11" s="191"/>
      <c r="D11" s="191"/>
      <c r="E11" s="191"/>
    </row>
    <row r="12" spans="1:7" s="298" customFormat="1" ht="15">
      <c r="A12" s="191"/>
      <c r="B12" s="191"/>
      <c r="C12" s="191"/>
      <c r="D12" s="191"/>
      <c r="E12" s="191"/>
      <c r="F12" s="191"/>
      <c r="G12" s="191"/>
    </row>
    <row r="13" spans="1:7" s="299" customFormat="1" ht="15">
      <c r="A13" s="284" t="s">
        <v>62</v>
      </c>
      <c r="B13" s="285"/>
      <c r="C13" s="285"/>
      <c r="D13" s="285"/>
      <c r="E13" s="285"/>
      <c r="F13" s="285"/>
      <c r="G13" s="285"/>
    </row>
    <row r="14" spans="1:7" s="300" customFormat="1">
      <c r="A14" s="239" t="s">
        <v>745</v>
      </c>
      <c r="B14" s="191"/>
      <c r="C14" s="191"/>
      <c r="D14" s="191"/>
      <c r="E14" s="191"/>
      <c r="F14" s="191"/>
      <c r="G14" s="191"/>
    </row>
    <row r="15" spans="1:7" s="300" customFormat="1">
      <c r="A15" s="286" t="s">
        <v>63</v>
      </c>
      <c r="B15" s="303">
        <f>B4</f>
        <v>169</v>
      </c>
      <c r="C15" s="286" t="s">
        <v>64</v>
      </c>
      <c r="D15" s="289">
        <f>B10</f>
        <v>7.72</v>
      </c>
      <c r="E15" s="301"/>
    </row>
    <row r="16" spans="1:7" s="300" customFormat="1">
      <c r="A16" s="286" t="s">
        <v>65</v>
      </c>
      <c r="B16" s="296">
        <f>B5</f>
        <v>1.29</v>
      </c>
      <c r="C16" s="286" t="s">
        <v>66</v>
      </c>
      <c r="D16" s="290">
        <f>B11</f>
        <v>10492</v>
      </c>
      <c r="E16" s="301"/>
    </row>
    <row r="17" spans="1:7" s="300" customFormat="1">
      <c r="A17" s="286" t="s">
        <v>67</v>
      </c>
      <c r="B17" s="303">
        <f ca="1">(B15*D16+B28*D15)/(D16+D15)</f>
        <v>168.99928664567821</v>
      </c>
      <c r="C17" s="286" t="s">
        <v>68</v>
      </c>
      <c r="D17" s="291">
        <f>B9</f>
        <v>4.0800000000000003E-2</v>
      </c>
      <c r="E17" s="191"/>
    </row>
    <row r="18" spans="1:7" s="300" customFormat="1">
      <c r="A18" s="286" t="s">
        <v>69</v>
      </c>
      <c r="B18" s="296">
        <f>B16</f>
        <v>1.29</v>
      </c>
      <c r="C18" s="286" t="s">
        <v>70</v>
      </c>
      <c r="D18" s="292">
        <f>B7^2</f>
        <v>0.20250000000000001</v>
      </c>
      <c r="E18" s="191"/>
    </row>
    <row r="19" spans="1:7" s="300" customFormat="1">
      <c r="A19" s="286" t="s">
        <v>71</v>
      </c>
      <c r="B19" s="296">
        <f>B6</f>
        <v>7</v>
      </c>
      <c r="C19" s="286" t="s">
        <v>72</v>
      </c>
      <c r="D19" s="291">
        <f>B8</f>
        <v>0</v>
      </c>
      <c r="E19" s="191"/>
    </row>
    <row r="20" spans="1:7" s="300" customFormat="1" ht="15">
      <c r="A20" s="191"/>
      <c r="B20" s="191"/>
      <c r="C20" s="286" t="s">
        <v>73</v>
      </c>
      <c r="D20" s="293">
        <f>D17-D19</f>
        <v>4.0800000000000003E-2</v>
      </c>
      <c r="E20" s="191"/>
    </row>
    <row r="21" spans="1:7" s="300" customFormat="1" ht="15">
      <c r="A21" s="191"/>
      <c r="B21" s="191"/>
      <c r="C21" s="191"/>
      <c r="D21" s="191"/>
      <c r="E21" s="191"/>
      <c r="F21" s="191"/>
      <c r="G21" s="191"/>
    </row>
    <row r="22" spans="1:7" s="300" customFormat="1" ht="15">
      <c r="A22" s="191" t="s">
        <v>74</v>
      </c>
      <c r="B22" s="295">
        <f ca="1">(LN(B17/B18)+(D20+(D18/2))*B19)/(((D18)^(0.5))*(B19^0.5))</f>
        <v>4.9300025129701233</v>
      </c>
      <c r="C22" s="191"/>
      <c r="D22" s="191"/>
      <c r="E22" s="191"/>
      <c r="F22" s="191"/>
      <c r="G22" s="191"/>
    </row>
    <row r="23" spans="1:7" s="300" customFormat="1" ht="15">
      <c r="A23" s="191" t="s">
        <v>75</v>
      </c>
      <c r="B23" s="295">
        <f ca="1">NORMSDIST(B22)</f>
        <v>0.99999958885720486</v>
      </c>
      <c r="C23" s="191"/>
      <c r="D23" s="191"/>
      <c r="E23" s="191"/>
      <c r="F23" s="191"/>
      <c r="G23" s="191"/>
    </row>
    <row r="24" spans="1:7" s="300" customFormat="1" ht="15">
      <c r="A24" s="191"/>
      <c r="B24" s="294"/>
      <c r="C24" s="191"/>
      <c r="D24" s="191"/>
      <c r="E24" s="191"/>
      <c r="F24" s="191"/>
      <c r="G24" s="191"/>
    </row>
    <row r="25" spans="1:7" s="300" customFormat="1" ht="15.75" customHeight="1">
      <c r="A25" s="191" t="s">
        <v>76</v>
      </c>
      <c r="B25" s="295">
        <f ca="1">B22-((D18^0.5)*(B19^(0.5)))</f>
        <v>3.7394144229910573</v>
      </c>
      <c r="C25" s="191"/>
      <c r="D25" s="191"/>
      <c r="E25" s="191"/>
      <c r="F25" s="191"/>
      <c r="G25" s="191"/>
    </row>
    <row r="26" spans="1:7" s="300" customFormat="1" ht="15">
      <c r="A26" s="191" t="s">
        <v>77</v>
      </c>
      <c r="B26" s="295">
        <f ca="1">NORMSDIST(B25)</f>
        <v>0.99990777528673447</v>
      </c>
      <c r="C26" s="191"/>
      <c r="D26" s="191"/>
      <c r="E26" s="191"/>
      <c r="F26" s="191"/>
      <c r="G26" s="191"/>
    </row>
    <row r="27" spans="1:7" s="298" customFormat="1" thickBot="1">
      <c r="A27" s="191"/>
      <c r="B27" s="191"/>
      <c r="C27" s="191"/>
      <c r="D27" s="191"/>
      <c r="E27" s="191"/>
      <c r="F27" s="191"/>
      <c r="G27" s="191"/>
    </row>
    <row r="28" spans="1:7" s="300" customFormat="1" thickBot="1">
      <c r="A28" s="191" t="s">
        <v>78</v>
      </c>
      <c r="B28" s="287">
        <f ca="1">((EXP((0-D19)*B19))*B17*B23-B18*(EXP((0-D17)*B19))*B26)</f>
        <v>168.02979007259873</v>
      </c>
      <c r="C28" s="191"/>
      <c r="D28" s="191"/>
      <c r="E28" s="191"/>
      <c r="F28" s="302"/>
    </row>
    <row r="29" spans="1:7" s="300" customFormat="1" thickBot="1">
      <c r="A29" s="191" t="s">
        <v>79</v>
      </c>
      <c r="B29" s="288">
        <f ca="1">B28*B10</f>
        <v>1297.1899793604621</v>
      </c>
      <c r="C29" s="191"/>
      <c r="D29" s="191"/>
      <c r="E29" s="191"/>
    </row>
  </sheetData>
  <mergeCells count="1">
    <mergeCell ref="A1:D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Input sheet</vt:lpstr>
      <vt:lpstr>Valuation output</vt:lpstr>
      <vt:lpstr>main</vt:lpstr>
      <vt:lpstr>Sheet2</vt:lpstr>
      <vt:lpstr>ratios yearly </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Serban B Valentin-Daniel</cp:lastModifiedBy>
  <cp:lastPrinted>2011-01-17T15:04:26Z</cp:lastPrinted>
  <dcterms:created xsi:type="dcterms:W3CDTF">2000-02-22T13:53:50Z</dcterms:created>
  <dcterms:modified xsi:type="dcterms:W3CDTF">2024-10-23T18:56:11Z</dcterms:modified>
</cp:coreProperties>
</file>