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802E57EC-B3BA-4791-9899-2B569C8233C6}" xr6:coauthVersionLast="47" xr6:coauthVersionMax="47" xr10:uidLastSave="{00000000-0000-0000-0000-000000000000}"/>
  <bookViews>
    <workbookView xWindow="-108" yWindow="-108" windowWidth="23256" windowHeight="12456" activeTab="1" xr2:uid="{9D3A19D8-55D8-46DD-A2B2-6A867578918F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P14" i="2"/>
  <c r="P11" i="2"/>
  <c r="D25" i="2"/>
  <c r="E25" i="2"/>
  <c r="F25" i="2"/>
  <c r="G25" i="2"/>
  <c r="H25" i="2"/>
  <c r="I25" i="2"/>
  <c r="J25" i="2"/>
  <c r="K25" i="2"/>
  <c r="L25" i="2"/>
  <c r="M25" i="2"/>
  <c r="N25" i="2"/>
  <c r="O25" i="2"/>
  <c r="C25" i="2"/>
  <c r="O18" i="2"/>
  <c r="P18" i="2"/>
  <c r="O19" i="2"/>
  <c r="P19" i="2"/>
  <c r="O21" i="2"/>
  <c r="P21" i="2"/>
  <c r="O22" i="2"/>
  <c r="P22" i="2"/>
  <c r="D24" i="2"/>
  <c r="E24" i="2"/>
  <c r="F24" i="2"/>
  <c r="G24" i="2"/>
  <c r="H24" i="2"/>
  <c r="I24" i="2"/>
  <c r="J24" i="2"/>
  <c r="K24" i="2"/>
  <c r="L24" i="2"/>
  <c r="M24" i="2"/>
  <c r="N24" i="2"/>
  <c r="O24" i="2"/>
  <c r="C24" i="2"/>
  <c r="P5" i="2"/>
  <c r="P25" i="2" s="1"/>
  <c r="E22" i="2"/>
  <c r="F22" i="2"/>
  <c r="G22" i="2"/>
  <c r="H22" i="2"/>
  <c r="I22" i="2"/>
  <c r="J22" i="2"/>
  <c r="K22" i="2"/>
  <c r="L22" i="2"/>
  <c r="M22" i="2"/>
  <c r="N22" i="2"/>
  <c r="E21" i="2"/>
  <c r="F21" i="2"/>
  <c r="G21" i="2"/>
  <c r="H21" i="2"/>
  <c r="I21" i="2"/>
  <c r="J21" i="2"/>
  <c r="K21" i="2"/>
  <c r="L21" i="2"/>
  <c r="M21" i="2"/>
  <c r="N21" i="2"/>
  <c r="D22" i="2"/>
  <c r="D21" i="2"/>
  <c r="G19" i="2"/>
  <c r="H19" i="2"/>
  <c r="I19" i="2"/>
  <c r="J19" i="2"/>
  <c r="K19" i="2"/>
  <c r="L19" i="2"/>
  <c r="M19" i="2"/>
  <c r="N19" i="2"/>
  <c r="G18" i="2"/>
  <c r="H18" i="2"/>
  <c r="I18" i="2"/>
  <c r="J18" i="2"/>
  <c r="K18" i="2"/>
  <c r="L18" i="2"/>
  <c r="M18" i="2"/>
  <c r="N18" i="2"/>
  <c r="C16" i="2"/>
  <c r="C14" i="2"/>
  <c r="C12" i="2"/>
  <c r="C11" i="2"/>
  <c r="C10" i="2"/>
  <c r="C5" i="2"/>
  <c r="D16" i="2"/>
  <c r="D14" i="2"/>
  <c r="D12" i="2"/>
  <c r="D11" i="2"/>
  <c r="D10" i="2"/>
  <c r="D5" i="2"/>
  <c r="E12" i="2"/>
  <c r="E14" i="2" s="1"/>
  <c r="E16" i="2" s="1"/>
  <c r="E11" i="2"/>
  <c r="E10" i="2"/>
  <c r="E5" i="2"/>
  <c r="F16" i="2"/>
  <c r="F14" i="2"/>
  <c r="F12" i="2"/>
  <c r="F11" i="2"/>
  <c r="F10" i="2"/>
  <c r="F5" i="2"/>
  <c r="L16" i="2"/>
  <c r="L14" i="2"/>
  <c r="L11" i="2"/>
  <c r="L12" i="2" s="1"/>
  <c r="L10" i="2"/>
  <c r="L5" i="2"/>
  <c r="J11" i="2"/>
  <c r="I11" i="2"/>
  <c r="I5" i="2"/>
  <c r="I10" i="2" s="1"/>
  <c r="I12" i="2" s="1"/>
  <c r="I14" i="2" s="1"/>
  <c r="I16" i="2" s="1"/>
  <c r="H11" i="2"/>
  <c r="H5" i="2"/>
  <c r="H10" i="2" s="1"/>
  <c r="H12" i="2" s="1"/>
  <c r="H14" i="2" s="1"/>
  <c r="H16" i="2" s="1"/>
  <c r="N11" i="2"/>
  <c r="M11" i="2"/>
  <c r="M10" i="2"/>
  <c r="M12" i="2" s="1"/>
  <c r="M14" i="2" s="1"/>
  <c r="M16" i="2" s="1"/>
  <c r="M5" i="2"/>
  <c r="G11" i="2"/>
  <c r="G5" i="2"/>
  <c r="G10" i="2" s="1"/>
  <c r="G12" i="2" s="1"/>
  <c r="G14" i="2" s="1"/>
  <c r="G16" i="2" s="1"/>
  <c r="J5" i="2"/>
  <c r="J10" i="2" s="1"/>
  <c r="N5" i="2"/>
  <c r="N10" i="2" s="1"/>
  <c r="N12" i="2" s="1"/>
  <c r="N14" i="2" s="1"/>
  <c r="N16" i="2" s="1"/>
  <c r="O16" i="2"/>
  <c r="O14" i="2"/>
  <c r="O12" i="2"/>
  <c r="K11" i="2"/>
  <c r="O11" i="2"/>
  <c r="P10" i="2" l="1"/>
  <c r="P12" i="2" s="1"/>
  <c r="P16" i="2" s="1"/>
  <c r="J12" i="2"/>
  <c r="J14" i="2" s="1"/>
  <c r="J16" i="2" s="1"/>
  <c r="K10" i="2"/>
  <c r="K12" i="2" s="1"/>
  <c r="K14" i="2" s="1"/>
  <c r="K16" i="2" s="1"/>
  <c r="K5" i="2"/>
  <c r="O10" i="2"/>
  <c r="O5" i="2"/>
  <c r="U7" i="1"/>
  <c r="U6" i="1"/>
  <c r="U5" i="1"/>
  <c r="U4" i="1"/>
</calcChain>
</file>

<file path=xl/sharedStrings.xml><?xml version="1.0" encoding="utf-8"?>
<sst xmlns="http://schemas.openxmlformats.org/spreadsheetml/2006/main" count="42" uniqueCount="40">
  <si>
    <t>Shares</t>
  </si>
  <si>
    <t>Market Cap</t>
  </si>
  <si>
    <t>Cash</t>
  </si>
  <si>
    <t>Debt</t>
  </si>
  <si>
    <t>EV</t>
  </si>
  <si>
    <t>Price</t>
  </si>
  <si>
    <t>Q123</t>
  </si>
  <si>
    <t>main</t>
  </si>
  <si>
    <t>Q120</t>
  </si>
  <si>
    <t>Q121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</si>
  <si>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</si>
  <si>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</si>
  <si>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</si>
  <si>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</si>
  <si>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</si>
  <si>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</si>
  <si>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</si>
  <si>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</si>
  <si>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</si>
  <si>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</si>
  <si>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</si>
  <si>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</si>
  <si>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Margin</t>
  </si>
  <si>
    <t>R&amp;D</t>
  </si>
  <si>
    <t>S&amp;M</t>
  </si>
  <si>
    <t>G&amp;A</t>
  </si>
  <si>
    <t xml:space="preserve">Restructuring </t>
  </si>
  <si>
    <t>Operating Income</t>
  </si>
  <si>
    <t>Interest Income</t>
  </si>
  <si>
    <t>Pretax Income</t>
  </si>
  <si>
    <t>Tax</t>
  </si>
  <si>
    <t>NI</t>
  </si>
  <si>
    <t>EPS</t>
  </si>
  <si>
    <t>cogs q/q</t>
  </si>
  <si>
    <t>revenue q/q</t>
  </si>
  <si>
    <t>revenue y/y</t>
  </si>
  <si>
    <t>cogs y/y</t>
  </si>
  <si>
    <t>Q223</t>
  </si>
  <si>
    <t>TAX RATE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</si>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</sst>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/>
    <xf numFmtId="0" fontId="0" fillId="0" borderId="1" xfId="0" applyBorder="1"/>
    <xf numFmtId="10" fontId="0" fillId="0" borderId="0" xfId="0" applyNumberFormat="1"/>
    <xf numFmtId="1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2BC0-095C-4BC8-B1B5-A4B81FD8BCF8}">
  <dimension ref="T2:V7"/>
  <sheetViews>
    <sheetView workbookViewId="0">
      <selection activeCell="V2" sqref="V2"/>
    </sheetView>
  </sheetViews>
  <sheetFormatPr defaultRowHeight="14.4" x14ac:dyDescent="0.3"/>
  <cols>
    <col min="20" max="20" width="10.44140625" bestFit="1" customWidth="1"/>
  </cols>
  <sheetData>
    <row r="2" spans="20:22" x14ac:dyDescent="0.3">
      <c r="T2" t="s">
        <v>5</v>
      </c>
      <c r="U2">
        <v>166.04</v>
      </c>
    </row>
    <row r="3" spans="20:22" x14ac:dyDescent="0.3">
      <c r="T3" t="s">
        <v>0</v>
      </c>
      <c r="U3" s="1">
        <v>137.04372599999999</v>
      </c>
      <c r="V3" t="s">
        <v>6</v>
      </c>
    </row>
    <row r="4" spans="20:22" x14ac:dyDescent="0.3">
      <c r="T4" t="s">
        <v>1</v>
      </c>
      <c r="U4" s="1">
        <f>U3*U2</f>
        <v>22754.740265039996</v>
      </c>
    </row>
    <row r="5" spans="20:22" x14ac:dyDescent="0.3">
      <c r="T5" t="s">
        <v>2</v>
      </c>
      <c r="U5" s="1">
        <f>286.045+1492.352</f>
        <v>1778.3970000000002</v>
      </c>
    </row>
    <row r="6" spans="20:22" x14ac:dyDescent="0.3">
      <c r="T6" t="s">
        <v>3</v>
      </c>
      <c r="U6" s="1">
        <f>92115+1200.276</f>
        <v>93315.275999999998</v>
      </c>
    </row>
    <row r="7" spans="20:22" x14ac:dyDescent="0.3">
      <c r="T7" t="s">
        <v>4</v>
      </c>
      <c r="U7" s="1">
        <f>U4+U6-U5</f>
        <v>114291.61926504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A9C-280B-48F5-96D3-D249F6D12B9C}">
  <dimension ref="A1:Q1048576"/>
  <sheetViews>
    <sheetView tabSelected="1" topLeftCell="A46" zoomScaleNormal="100" workbookViewId="0">
      <pane xSplit="1" topLeftCell="I1" activePane="topRight" state="frozen"/>
      <selection pane="topRight" activeCell="P24" sqref="P24"/>
    </sheetView>
  </sheetViews>
  <sheetFormatPr defaultRowHeight="14.4" x14ac:dyDescent="0.3"/>
  <cols>
    <col min="1" max="1" width="15.6640625" bestFit="1" customWidth="1"/>
    <col min="15" max="15" width="8.88671875" style="3"/>
  </cols>
  <sheetData>
    <row r="1" spans="1:17" x14ac:dyDescent="0.3">
      <c r="A1" s="2" t="s">
        <v>7</v>
      </c>
      <c r="C1" t="s">
        <v>8</v>
      </c>
      <c r="D1" t="s">
        <v>10</v>
      </c>
      <c r="E1" t="s">
        <v>11</v>
      </c>
      <c r="F1" t="s">
        <v>12</v>
      </c>
      <c r="G1" t="s">
        <v>9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6</v>
      </c>
      <c r="P1" t="s">
        <v>37</v>
      </c>
    </row>
    <row r="2" spans="1:17" x14ac:dyDescent="0.3">
      <c r="O2"/>
    </row>
    <row r="3" spans="1:17" x14ac:dyDescent="0.3">
      <c r="A3" t="s">
        <v>20</v>
      </c>
      <c r="C3">
        <v>205.54499999999999</v>
      </c>
      <c r="D3">
        <v>125.538</v>
      </c>
      <c r="E3">
        <v>178.50299999999999</v>
      </c>
      <c r="F3">
        <v>264.839</v>
      </c>
      <c r="G3">
        <v>301.75400000000002</v>
      </c>
      <c r="H3">
        <v>316.05700000000002</v>
      </c>
      <c r="I3">
        <v>351.51900000000001</v>
      </c>
      <c r="J3">
        <v>412.71899999999999</v>
      </c>
      <c r="K3">
        <v>441.29199999999997</v>
      </c>
      <c r="L3">
        <v>530.19600000000003</v>
      </c>
      <c r="M3">
        <v>634.71299999999997</v>
      </c>
      <c r="N3">
        <v>724.65200000000004</v>
      </c>
      <c r="O3" s="3">
        <v>726.01599999999996</v>
      </c>
      <c r="P3">
        <v>711.11800000000005</v>
      </c>
      <c r="Q3">
        <v>768.12</v>
      </c>
    </row>
    <row r="4" spans="1:17" x14ac:dyDescent="0.3">
      <c r="A4" t="s">
        <v>21</v>
      </c>
      <c r="C4">
        <v>124.87</v>
      </c>
      <c r="D4">
        <v>77.150999999999996</v>
      </c>
      <c r="E4">
        <v>83.522000000000006</v>
      </c>
      <c r="F4">
        <v>142.90100000000001</v>
      </c>
      <c r="G4">
        <v>178.80500000000001</v>
      </c>
      <c r="H4">
        <v>188.256</v>
      </c>
      <c r="I4">
        <v>211.161</v>
      </c>
      <c r="J4">
        <v>249.405</v>
      </c>
      <c r="K4">
        <v>264.31900000000002</v>
      </c>
      <c r="L4">
        <v>311.19099999999997</v>
      </c>
      <c r="M4">
        <v>366.79700000000003</v>
      </c>
      <c r="N4">
        <v>413.95100000000002</v>
      </c>
      <c r="O4" s="3">
        <v>399.64499999999998</v>
      </c>
      <c r="P4">
        <v>387.77600000000001</v>
      </c>
    </row>
    <row r="5" spans="1:17" x14ac:dyDescent="0.3">
      <c r="A5" t="s">
        <v>22</v>
      </c>
      <c r="C5">
        <f t="shared" ref="C5:P5" si="0">C3-C4</f>
        <v>80.674999999999983</v>
      </c>
      <c r="D5">
        <f t="shared" si="0"/>
        <v>48.387</v>
      </c>
      <c r="E5">
        <f t="shared" si="0"/>
        <v>94.98099999999998</v>
      </c>
      <c r="F5">
        <f t="shared" si="0"/>
        <v>121.93799999999999</v>
      </c>
      <c r="G5">
        <f t="shared" si="0"/>
        <v>122.94900000000001</v>
      </c>
      <c r="H5">
        <f t="shared" si="0"/>
        <v>127.80100000000002</v>
      </c>
      <c r="I5">
        <f t="shared" si="0"/>
        <v>140.358</v>
      </c>
      <c r="J5">
        <f t="shared" si="0"/>
        <v>163.31399999999999</v>
      </c>
      <c r="K5">
        <f t="shared" si="0"/>
        <v>176.97299999999996</v>
      </c>
      <c r="L5">
        <f t="shared" si="0"/>
        <v>219.00500000000005</v>
      </c>
      <c r="M5">
        <f t="shared" si="0"/>
        <v>267.91599999999994</v>
      </c>
      <c r="N5">
        <f t="shared" si="0"/>
        <v>310.70100000000002</v>
      </c>
      <c r="O5" s="3">
        <f t="shared" si="0"/>
        <v>326.37099999999998</v>
      </c>
      <c r="P5" s="3">
        <f t="shared" si="0"/>
        <v>323.34200000000004</v>
      </c>
    </row>
    <row r="6" spans="1:17" x14ac:dyDescent="0.3">
      <c r="A6" t="s">
        <v>23</v>
      </c>
      <c r="C6">
        <v>11.875999999999999</v>
      </c>
      <c r="D6">
        <v>13.192</v>
      </c>
      <c r="E6">
        <v>15.052</v>
      </c>
      <c r="F6">
        <v>15.801</v>
      </c>
      <c r="G6">
        <v>21.818000000000001</v>
      </c>
      <c r="H6">
        <v>22.707999999999998</v>
      </c>
      <c r="I6">
        <v>29.411000000000001</v>
      </c>
      <c r="J6">
        <v>31.588999999999999</v>
      </c>
      <c r="K6">
        <v>35.719000000000001</v>
      </c>
      <c r="L6">
        <v>39.256</v>
      </c>
      <c r="M6">
        <v>44.188000000000002</v>
      </c>
      <c r="N6">
        <v>49.683</v>
      </c>
      <c r="O6" s="3">
        <v>57.128999999999998</v>
      </c>
      <c r="P6">
        <v>60.042999999999999</v>
      </c>
    </row>
    <row r="7" spans="1:17" x14ac:dyDescent="0.3">
      <c r="A7" t="s">
        <v>24</v>
      </c>
      <c r="C7">
        <v>11.772</v>
      </c>
      <c r="D7">
        <v>12.371</v>
      </c>
      <c r="E7">
        <v>14.645</v>
      </c>
      <c r="F7">
        <v>14.138999999999999</v>
      </c>
      <c r="G7">
        <v>19.622</v>
      </c>
      <c r="H7">
        <v>25.585999999999999</v>
      </c>
      <c r="I7">
        <v>39.295999999999999</v>
      </c>
      <c r="J7">
        <v>44.47</v>
      </c>
      <c r="K7">
        <v>41.344000000000001</v>
      </c>
      <c r="L7">
        <v>53.588000000000001</v>
      </c>
      <c r="M7">
        <v>55.256999999999998</v>
      </c>
      <c r="N7">
        <v>64.912999999999997</v>
      </c>
      <c r="O7" s="3">
        <v>64.620999999999995</v>
      </c>
      <c r="P7" s="3">
        <v>58.405000000000001</v>
      </c>
    </row>
    <row r="8" spans="1:17" x14ac:dyDescent="0.3">
      <c r="A8" t="s">
        <v>25</v>
      </c>
      <c r="C8">
        <v>12.315</v>
      </c>
      <c r="D8">
        <v>11.97</v>
      </c>
      <c r="E8">
        <v>13.525</v>
      </c>
      <c r="F8">
        <v>12.884</v>
      </c>
      <c r="G8">
        <v>20.123000000000001</v>
      </c>
      <c r="H8">
        <v>20.106999999999999</v>
      </c>
      <c r="I8">
        <v>34.299999999999997</v>
      </c>
      <c r="J8">
        <v>29.56</v>
      </c>
      <c r="K8">
        <v>38.085999999999999</v>
      </c>
      <c r="L8">
        <v>32.125</v>
      </c>
      <c r="M8">
        <v>32.436</v>
      </c>
      <c r="N8">
        <v>37.354999999999997</v>
      </c>
      <c r="O8" s="3">
        <v>36.265000000000001</v>
      </c>
      <c r="P8" s="3">
        <v>34.396999999999998</v>
      </c>
    </row>
    <row r="9" spans="1:17" x14ac:dyDescent="0.3">
      <c r="A9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0.59399999999999997</v>
      </c>
      <c r="N9">
        <v>1.79</v>
      </c>
      <c r="O9" s="3">
        <v>0.69299999999999995</v>
      </c>
      <c r="P9">
        <v>0.17699999999999999</v>
      </c>
    </row>
    <row r="10" spans="1:17" x14ac:dyDescent="0.3">
      <c r="A10" t="s">
        <v>27</v>
      </c>
      <c r="C10">
        <f t="shared" ref="C10:P10" si="1">C5-SUM(C6:C9)</f>
        <v>44.711999999999982</v>
      </c>
      <c r="D10">
        <f t="shared" si="1"/>
        <v>10.853999999999999</v>
      </c>
      <c r="E10">
        <f t="shared" si="1"/>
        <v>51.758999999999979</v>
      </c>
      <c r="F10">
        <f t="shared" si="1"/>
        <v>79.11399999999999</v>
      </c>
      <c r="G10">
        <f t="shared" si="1"/>
        <v>61.38600000000001</v>
      </c>
      <c r="H10">
        <f t="shared" si="1"/>
        <v>59.40000000000002</v>
      </c>
      <c r="I10">
        <f t="shared" si="1"/>
        <v>37.351000000000013</v>
      </c>
      <c r="J10">
        <f t="shared" si="1"/>
        <v>57.694999999999993</v>
      </c>
      <c r="K10">
        <f t="shared" si="1"/>
        <v>61.823999999999955</v>
      </c>
      <c r="L10">
        <f t="shared" si="1"/>
        <v>94.036000000000058</v>
      </c>
      <c r="M10">
        <f t="shared" si="1"/>
        <v>135.44099999999995</v>
      </c>
      <c r="N10">
        <f t="shared" si="1"/>
        <v>156.96000000000004</v>
      </c>
      <c r="O10" s="3">
        <f t="shared" si="1"/>
        <v>167.66299999999998</v>
      </c>
      <c r="P10" s="3">
        <f t="shared" si="1"/>
        <v>170.32000000000005</v>
      </c>
    </row>
    <row r="11" spans="1:17" x14ac:dyDescent="0.3">
      <c r="A11" t="s">
        <v>28</v>
      </c>
      <c r="C11">
        <f>1.091-3.155-0.924</f>
        <v>-2.988</v>
      </c>
      <c r="D11">
        <f>0.282-5.952+0.653</f>
        <v>-5.0169999999999995</v>
      </c>
      <c r="E11">
        <f>0.11-5.993-1.031</f>
        <v>-6.9139999999999997</v>
      </c>
      <c r="F11">
        <f>0.673-5.901-2.534</f>
        <v>-7.7619999999999996</v>
      </c>
      <c r="G11">
        <f>0.073-7.329+0.573-56.369</f>
        <v>-63.052</v>
      </c>
      <c r="H11">
        <f>0.098-12.506-0.633-0.013</f>
        <v>-13.054</v>
      </c>
      <c r="I11">
        <f>0.11-12.628+0.874</f>
        <v>-11.644</v>
      </c>
      <c r="J11">
        <f>0.414-12.689+5.236-0.115</f>
        <v>-7.1540000000000008</v>
      </c>
      <c r="K11">
        <f>0.46-2.736-2.141</f>
        <v>-4.4169999999999998</v>
      </c>
      <c r="L11">
        <f>0.796-2.168-0.456</f>
        <v>-1.8280000000000001</v>
      </c>
      <c r="M11">
        <f>3.68-2.255-2.611</f>
        <v>-1.1859999999999999</v>
      </c>
      <c r="N11">
        <f>8.72-2.279+4.777</f>
        <v>11.218</v>
      </c>
      <c r="O11" s="3">
        <f>13.04-2.156+0.426</f>
        <v>11.309999999999999</v>
      </c>
      <c r="P11">
        <f>16.526-2.219-0.033</f>
        <v>14.274000000000001</v>
      </c>
    </row>
    <row r="12" spans="1:17" x14ac:dyDescent="0.3">
      <c r="A12" t="s">
        <v>29</v>
      </c>
      <c r="C12">
        <f t="shared" ref="C12:P12" si="2">C10+C11</f>
        <v>41.723999999999982</v>
      </c>
      <c r="D12">
        <f t="shared" si="2"/>
        <v>5.8369999999999997</v>
      </c>
      <c r="E12">
        <f t="shared" si="2"/>
        <v>44.844999999999978</v>
      </c>
      <c r="F12">
        <f t="shared" si="2"/>
        <v>71.35199999999999</v>
      </c>
      <c r="G12">
        <f t="shared" si="2"/>
        <v>-1.6659999999999897</v>
      </c>
      <c r="H12">
        <f t="shared" si="2"/>
        <v>46.346000000000018</v>
      </c>
      <c r="I12">
        <f t="shared" si="2"/>
        <v>25.707000000000015</v>
      </c>
      <c r="J12">
        <f t="shared" si="2"/>
        <v>50.54099999999999</v>
      </c>
      <c r="K12">
        <f t="shared" si="2"/>
        <v>57.406999999999954</v>
      </c>
      <c r="L12">
        <f t="shared" si="2"/>
        <v>92.208000000000055</v>
      </c>
      <c r="M12">
        <f t="shared" si="2"/>
        <v>134.25499999999994</v>
      </c>
      <c r="N12">
        <f t="shared" si="2"/>
        <v>168.17800000000003</v>
      </c>
      <c r="O12" s="3">
        <f t="shared" si="2"/>
        <v>178.97299999999998</v>
      </c>
      <c r="P12" s="3">
        <f t="shared" si="2"/>
        <v>184.59400000000005</v>
      </c>
    </row>
    <row r="13" spans="1:17" x14ac:dyDescent="0.3">
      <c r="A13" t="s">
        <v>30</v>
      </c>
      <c r="C13">
        <v>11.868</v>
      </c>
      <c r="D13">
        <v>6.5609999999999999</v>
      </c>
      <c r="E13">
        <v>-5.4829999999999997</v>
      </c>
      <c r="F13">
        <v>1.639</v>
      </c>
      <c r="G13">
        <v>33.363999999999997</v>
      </c>
      <c r="H13">
        <v>-6.9950000000000001</v>
      </c>
      <c r="I13">
        <v>-3.8980000000000001</v>
      </c>
      <c r="J13">
        <v>2.0499999999999998</v>
      </c>
      <c r="K13">
        <v>-5.5860000000000003</v>
      </c>
      <c r="L13">
        <v>-15.231999999999999</v>
      </c>
      <c r="M13">
        <v>-19.443000000000001</v>
      </c>
      <c r="N13">
        <v>-14.425000000000001</v>
      </c>
      <c r="O13" s="3">
        <v>-32.1</v>
      </c>
      <c r="P13">
        <v>27.402999999999999</v>
      </c>
    </row>
    <row r="14" spans="1:17" x14ac:dyDescent="0.3">
      <c r="A14" t="s">
        <v>31</v>
      </c>
      <c r="C14">
        <f t="shared" ref="C14:P14" si="3">C12+C13</f>
        <v>53.591999999999985</v>
      </c>
      <c r="D14">
        <f t="shared" si="3"/>
        <v>12.398</v>
      </c>
      <c r="E14">
        <f t="shared" si="3"/>
        <v>39.361999999999981</v>
      </c>
      <c r="F14">
        <f t="shared" si="3"/>
        <v>72.990999999999985</v>
      </c>
      <c r="G14">
        <f t="shared" si="3"/>
        <v>31.698000000000008</v>
      </c>
      <c r="H14">
        <f t="shared" si="3"/>
        <v>39.35100000000002</v>
      </c>
      <c r="I14">
        <f t="shared" si="3"/>
        <v>21.809000000000015</v>
      </c>
      <c r="J14">
        <f t="shared" si="3"/>
        <v>52.590999999999987</v>
      </c>
      <c r="K14">
        <f t="shared" si="3"/>
        <v>51.820999999999955</v>
      </c>
      <c r="L14">
        <f t="shared" si="3"/>
        <v>76.976000000000056</v>
      </c>
      <c r="M14">
        <f t="shared" si="3"/>
        <v>114.81199999999994</v>
      </c>
      <c r="N14">
        <f t="shared" si="3"/>
        <v>153.75300000000001</v>
      </c>
      <c r="O14" s="3">
        <f t="shared" si="3"/>
        <v>146.87299999999999</v>
      </c>
      <c r="P14" s="3">
        <f>P12-P13</f>
        <v>157.19100000000006</v>
      </c>
    </row>
    <row r="15" spans="1:17" x14ac:dyDescent="0.3">
      <c r="A15" t="s">
        <v>0</v>
      </c>
      <c r="C15">
        <v>138.10400000000001</v>
      </c>
      <c r="D15">
        <v>125.60299999999999</v>
      </c>
      <c r="E15">
        <v>141.82</v>
      </c>
      <c r="F15">
        <v>145.99</v>
      </c>
      <c r="G15">
        <v>146.44200000000001</v>
      </c>
      <c r="H15">
        <v>141.53299999999999</v>
      </c>
      <c r="I15">
        <v>141.22</v>
      </c>
      <c r="J15">
        <v>141.47999999999999</v>
      </c>
      <c r="K15">
        <v>144.61699999999999</v>
      </c>
      <c r="L15">
        <v>143.72499999999999</v>
      </c>
      <c r="M15">
        <v>145.96199999999999</v>
      </c>
      <c r="N15">
        <v>146.31100000000001</v>
      </c>
      <c r="O15" s="3">
        <v>145.98599999999999</v>
      </c>
      <c r="P15" s="3">
        <v>145.09800000000001</v>
      </c>
    </row>
    <row r="16" spans="1:17" x14ac:dyDescent="0.3">
      <c r="A16" t="s">
        <v>32</v>
      </c>
      <c r="C16">
        <f t="shared" ref="C16:P16" si="4">C14/C15</f>
        <v>0.38805537855529154</v>
      </c>
      <c r="D16">
        <f t="shared" si="4"/>
        <v>9.8707833411622342E-2</v>
      </c>
      <c r="E16">
        <f t="shared" si="4"/>
        <v>0.27754900578197705</v>
      </c>
      <c r="F16">
        <f t="shared" si="4"/>
        <v>0.49997260086307266</v>
      </c>
      <c r="G16">
        <f t="shared" si="4"/>
        <v>0.21645429589871762</v>
      </c>
      <c r="H16">
        <f t="shared" si="4"/>
        <v>0.27803409805487078</v>
      </c>
      <c r="I16">
        <f t="shared" si="4"/>
        <v>0.15443279988670172</v>
      </c>
      <c r="J16">
        <f t="shared" si="4"/>
        <v>0.37172038450664396</v>
      </c>
      <c r="K16">
        <f t="shared" si="4"/>
        <v>0.35833269947516516</v>
      </c>
      <c r="L16">
        <f t="shared" si="4"/>
        <v>0.53557836145416637</v>
      </c>
      <c r="M16">
        <f t="shared" si="4"/>
        <v>0.7865882901029031</v>
      </c>
      <c r="N16">
        <f t="shared" si="4"/>
        <v>1.0508642549090637</v>
      </c>
      <c r="O16" s="3">
        <f t="shared" si="4"/>
        <v>1.0060759250887072</v>
      </c>
      <c r="P16" s="3">
        <f t="shared" si="4"/>
        <v>1.0833436711739655</v>
      </c>
    </row>
    <row r="18" spans="1:16" x14ac:dyDescent="0.3">
      <c r="A18" t="s">
        <v>35</v>
      </c>
      <c r="D18" s="4"/>
      <c r="E18" s="4"/>
      <c r="F18" s="4"/>
      <c r="G18" s="5">
        <f t="shared" ref="G18:N19" si="5">G3/C3-1</f>
        <v>0.46806781969884947</v>
      </c>
      <c r="H18" s="5">
        <f t="shared" si="5"/>
        <v>1.5176201628192261</v>
      </c>
      <c r="I18" s="5">
        <f t="shared" si="5"/>
        <v>0.96926102082317955</v>
      </c>
      <c r="J18" s="5">
        <f t="shared" si="5"/>
        <v>0.55837697620063498</v>
      </c>
      <c r="K18" s="5">
        <f t="shared" si="5"/>
        <v>0.46242303333178669</v>
      </c>
      <c r="L18" s="5">
        <f t="shared" si="5"/>
        <v>0.67753285008716779</v>
      </c>
      <c r="M18" s="5">
        <f t="shared" si="5"/>
        <v>0.80562928319664073</v>
      </c>
      <c r="N18" s="5">
        <f t="shared" si="5"/>
        <v>0.75579995105628783</v>
      </c>
      <c r="O18" s="5">
        <f t="shared" ref="O18:P18" si="6">O3/K3-1</f>
        <v>0.64520544220153542</v>
      </c>
      <c r="P18" s="5">
        <f t="shared" si="6"/>
        <v>0.34123607118876786</v>
      </c>
    </row>
    <row r="19" spans="1:16" x14ac:dyDescent="0.3">
      <c r="A19" t="s">
        <v>36</v>
      </c>
      <c r="D19" s="4"/>
      <c r="E19" s="4"/>
      <c r="F19" s="4"/>
      <c r="G19" s="5">
        <f t="shared" si="5"/>
        <v>0.43192920637462962</v>
      </c>
      <c r="H19" s="5">
        <f t="shared" si="5"/>
        <v>1.4400979896566475</v>
      </c>
      <c r="I19" s="5">
        <f t="shared" si="5"/>
        <v>1.5282081367783338</v>
      </c>
      <c r="J19" s="5">
        <f t="shared" si="5"/>
        <v>0.74529919314770354</v>
      </c>
      <c r="K19" s="5">
        <f t="shared" si="5"/>
        <v>0.47825284527837586</v>
      </c>
      <c r="L19" s="5">
        <f t="shared" si="5"/>
        <v>0.65302035526092106</v>
      </c>
      <c r="M19" s="5">
        <f t="shared" si="5"/>
        <v>0.73704898158277343</v>
      </c>
      <c r="N19" s="5">
        <f t="shared" si="5"/>
        <v>0.65975421503177567</v>
      </c>
      <c r="O19" s="5">
        <f t="shared" ref="O19:P19" si="7">O4/K4-1</f>
        <v>0.51197984253875028</v>
      </c>
      <c r="P19" s="5">
        <f t="shared" si="7"/>
        <v>0.24610287572584055</v>
      </c>
    </row>
    <row r="20" spans="1:16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t="s">
        <v>34</v>
      </c>
      <c r="D21" s="4">
        <f>D3/C3-1</f>
        <v>-0.38924323140918049</v>
      </c>
      <c r="E21" s="4">
        <f t="shared" ref="E21:N21" si="8">E3/D3-1</f>
        <v>0.42190412464751703</v>
      </c>
      <c r="F21" s="4">
        <f t="shared" si="8"/>
        <v>0.48366694117185727</v>
      </c>
      <c r="G21" s="4">
        <f t="shared" si="8"/>
        <v>0.13938657070899696</v>
      </c>
      <c r="H21" s="4">
        <f t="shared" si="8"/>
        <v>4.7399537371501266E-2</v>
      </c>
      <c r="I21" s="4">
        <f t="shared" si="8"/>
        <v>0.1122012801488339</v>
      </c>
      <c r="J21" s="4">
        <f t="shared" si="8"/>
        <v>0.1741015421641503</v>
      </c>
      <c r="K21" s="4">
        <f t="shared" si="8"/>
        <v>6.923112335511572E-2</v>
      </c>
      <c r="L21" s="4">
        <f t="shared" si="8"/>
        <v>0.20146297689511727</v>
      </c>
      <c r="M21" s="4">
        <f t="shared" si="8"/>
        <v>0.19712898626168429</v>
      </c>
      <c r="N21" s="4">
        <f t="shared" si="8"/>
        <v>0.14170026452900775</v>
      </c>
      <c r="O21" s="4">
        <f t="shared" ref="O21:P21" si="9">O3/N3-1</f>
        <v>1.8822828060915953E-3</v>
      </c>
      <c r="P21" s="4">
        <f t="shared" si="9"/>
        <v>-2.0520208921015359E-2</v>
      </c>
    </row>
    <row r="22" spans="1:16" x14ac:dyDescent="0.3">
      <c r="A22" t="s">
        <v>33</v>
      </c>
      <c r="D22" s="4">
        <f>D4/C4-1</f>
        <v>-0.38214943541282942</v>
      </c>
      <c r="E22" s="4">
        <f t="shared" ref="E22:N22" si="10">E4/D4-1</f>
        <v>8.2578320436546671E-2</v>
      </c>
      <c r="F22" s="4">
        <f t="shared" si="10"/>
        <v>0.71093843538229451</v>
      </c>
      <c r="G22" s="4">
        <f t="shared" si="10"/>
        <v>0.25125086598414281</v>
      </c>
      <c r="H22" s="4">
        <f t="shared" si="10"/>
        <v>5.2856463745420967E-2</v>
      </c>
      <c r="I22" s="4">
        <f t="shared" si="10"/>
        <v>0.12166942886282506</v>
      </c>
      <c r="J22" s="4">
        <f t="shared" si="10"/>
        <v>0.18111298961455957</v>
      </c>
      <c r="K22" s="4">
        <f t="shared" si="10"/>
        <v>5.97983200016039E-2</v>
      </c>
      <c r="L22" s="4">
        <f t="shared" si="10"/>
        <v>0.17733117937038179</v>
      </c>
      <c r="M22" s="4">
        <f t="shared" si="10"/>
        <v>0.17868768698323545</v>
      </c>
      <c r="N22" s="4">
        <f t="shared" si="10"/>
        <v>0.1285561223237921</v>
      </c>
      <c r="O22" s="4">
        <f t="shared" ref="O22:P22" si="11">O4/N4-1</f>
        <v>-3.4559645948433637E-2</v>
      </c>
      <c r="P22" s="4">
        <f t="shared" si="11"/>
        <v>-2.9698857736240813E-2</v>
      </c>
    </row>
    <row r="24" spans="1:16" x14ac:dyDescent="0.3">
      <c r="A24" t="s">
        <v>38</v>
      </c>
      <c r="C24" s="4">
        <f>-C13/C14</f>
        <v>-0.22145096283027324</v>
      </c>
      <c r="D24" s="4">
        <f t="shared" ref="D24:P24" si="12">-D13/D14</f>
        <v>-0.52919825778351348</v>
      </c>
      <c r="E24" s="4">
        <f t="shared" si="12"/>
        <v>0.1392967837000153</v>
      </c>
      <c r="F24" s="4">
        <f t="shared" si="12"/>
        <v>-2.2454823197380503E-2</v>
      </c>
      <c r="G24" s="4">
        <f t="shared" si="12"/>
        <v>-1.0525585210423367</v>
      </c>
      <c r="H24" s="4">
        <f t="shared" si="12"/>
        <v>0.17775914208025201</v>
      </c>
      <c r="I24" s="4">
        <f t="shared" si="12"/>
        <v>0.17873355036911354</v>
      </c>
      <c r="J24" s="4">
        <f t="shared" si="12"/>
        <v>-3.8980053621342062E-2</v>
      </c>
      <c r="K24" s="4">
        <f t="shared" si="12"/>
        <v>0.10779413751181963</v>
      </c>
      <c r="L24" s="4">
        <f t="shared" si="12"/>
        <v>0.19787985865724367</v>
      </c>
      <c r="M24" s="4">
        <f t="shared" si="12"/>
        <v>0.16934640978294963</v>
      </c>
      <c r="N24" s="4">
        <f t="shared" si="12"/>
        <v>9.3819307590746193E-2</v>
      </c>
      <c r="O24" s="4">
        <f t="shared" si="12"/>
        <v>0.2185561675733457</v>
      </c>
      <c r="P24" s="4">
        <f t="shared" si="12"/>
        <v>-0.17432931910860028</v>
      </c>
    </row>
    <row r="25" spans="1:16" x14ac:dyDescent="0.3">
      <c r="A25" t="s">
        <v>39</v>
      </c>
      <c r="C25">
        <f>C5/C3</f>
        <v>0.39249312802549313</v>
      </c>
      <c r="D25">
        <f t="shared" ref="D25:P25" si="13">D5/D3</f>
        <v>0.38543707881278977</v>
      </c>
      <c r="E25">
        <f t="shared" si="13"/>
        <v>0.53209749976190868</v>
      </c>
      <c r="F25">
        <f t="shared" si="13"/>
        <v>0.46042312499292021</v>
      </c>
      <c r="G25">
        <f t="shared" si="13"/>
        <v>0.40744778859600866</v>
      </c>
      <c r="H25">
        <f t="shared" si="13"/>
        <v>0.40436060584008582</v>
      </c>
      <c r="I25">
        <f t="shared" si="13"/>
        <v>0.39928993880842856</v>
      </c>
      <c r="J25">
        <f t="shared" si="13"/>
        <v>0.39570264514112508</v>
      </c>
      <c r="K25">
        <f t="shared" si="13"/>
        <v>0.40103378262012446</v>
      </c>
      <c r="L25">
        <f t="shared" si="13"/>
        <v>0.41306422530535886</v>
      </c>
      <c r="M25">
        <f t="shared" si="13"/>
        <v>0.42210573912933869</v>
      </c>
      <c r="N25">
        <f t="shared" si="13"/>
        <v>0.4287589077239834</v>
      </c>
      <c r="O25">
        <f t="shared" si="13"/>
        <v>0.44953692480606489</v>
      </c>
      <c r="P25">
        <f t="shared" si="13"/>
        <v>0.45469528263944947</v>
      </c>
    </row>
    <row r="1048576" spans="16:16" x14ac:dyDescent="0.3">
      <c r="P1048576" s="3"/>
    </row>
  </sheetData>
  <hyperlinks>
    <hyperlink ref="A1" location="main!A1" display="main" xr:uid="{58067496-F078-4446-A634-CE0CEC29859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 oho</dc:creator>
  <cp:lastModifiedBy>Tina Viatamea</cp:lastModifiedBy>
  <dcterms:created xsi:type="dcterms:W3CDTF">2023-07-05T13:53:29Z</dcterms:created>
  <dcterms:modified xsi:type="dcterms:W3CDTF">2023-07-27T20:59:57Z</dcterms:modified>
</cp:coreProperties>
</file>