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s\"/>
    </mc:Choice>
  </mc:AlternateContent>
  <xr:revisionPtr revIDLastSave="0" documentId="13_ncr:1_{C39F9EB5-6795-4E0D-8C60-A1A4D29C2231}" xr6:coauthVersionLast="47" xr6:coauthVersionMax="47" xr10:uidLastSave="{00000000-0000-0000-0000-000000000000}"/>
  <bookViews>
    <workbookView xWindow="11424" yWindow="0" windowWidth="11712" windowHeight="12336" activeTab="1" xr2:uid="{23CF1411-07DB-402F-89C0-D8F72739C0DF}"/>
  </bookViews>
  <sheets>
    <sheet name="main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0" i="2" l="1"/>
  <c r="AJ20" i="2"/>
  <c r="AI20" i="2"/>
  <c r="AH26" i="2"/>
  <c r="AH25" i="2"/>
  <c r="AH24" i="2"/>
  <c r="AH23" i="2"/>
  <c r="AH22" i="2"/>
  <c r="AH21" i="2"/>
  <c r="AH20" i="2"/>
  <c r="AH19" i="2"/>
  <c r="AH18" i="2"/>
  <c r="AH17" i="2"/>
  <c r="AH16" i="2"/>
  <c r="AH27" i="2"/>
  <c r="Q24" i="2"/>
  <c r="R24" i="2"/>
  <c r="P24" i="2"/>
  <c r="R13" i="2"/>
  <c r="Q13" i="2"/>
  <c r="P20" i="2"/>
  <c r="P16" i="2"/>
  <c r="P13" i="2"/>
  <c r="O22" i="2"/>
  <c r="O20" i="2"/>
  <c r="O16" i="2"/>
  <c r="O8" i="2"/>
  <c r="W3" i="1"/>
  <c r="W4" i="1"/>
  <c r="AO83" i="2"/>
  <c r="AO69" i="2"/>
  <c r="AO80" i="2"/>
  <c r="AO72" i="2"/>
  <c r="AO74" i="2" s="1"/>
  <c r="AO63" i="2"/>
  <c r="AG64" i="2"/>
  <c r="AG60" i="2"/>
  <c r="AG57" i="2"/>
  <c r="AG51" i="2"/>
  <c r="AG46" i="2"/>
  <c r="AJ26" i="2"/>
  <c r="AI26" i="2"/>
  <c r="W6" i="1" l="1"/>
  <c r="AG63" i="2"/>
  <c r="AG56" i="2"/>
  <c r="AK25" i="2"/>
  <c r="AG27" i="2"/>
  <c r="AF27" i="2"/>
  <c r="R20" i="2"/>
  <c r="Q20" i="2"/>
  <c r="Z30" i="2"/>
  <c r="AA30" i="2"/>
  <c r="AB30" i="2"/>
  <c r="AC30" i="2"/>
  <c r="AD30" i="2"/>
  <c r="Z31" i="2"/>
  <c r="AA31" i="2"/>
  <c r="AB31" i="2"/>
  <c r="AC31" i="2"/>
  <c r="AD31" i="2"/>
  <c r="Z32" i="2"/>
  <c r="AA32" i="2"/>
  <c r="AB32" i="2"/>
  <c r="AC32" i="2"/>
  <c r="AD32" i="2"/>
  <c r="Z33" i="2"/>
  <c r="AA33" i="2"/>
  <c r="AB33" i="2"/>
  <c r="AC33" i="2"/>
  <c r="AD33" i="2"/>
  <c r="Z34" i="2"/>
  <c r="AA34" i="2"/>
  <c r="AB34" i="2"/>
  <c r="AC34" i="2"/>
  <c r="AD34" i="2"/>
  <c r="Z35" i="2"/>
  <c r="AA35" i="2"/>
  <c r="AB35" i="2"/>
  <c r="AC35" i="2"/>
  <c r="AD35" i="2"/>
  <c r="Z36" i="2"/>
  <c r="AA36" i="2"/>
  <c r="AB36" i="2"/>
  <c r="AC36" i="2"/>
  <c r="AD36" i="2"/>
  <c r="Z37" i="2"/>
  <c r="AA37" i="2"/>
  <c r="AB37" i="2"/>
  <c r="AC37" i="2"/>
  <c r="AD37" i="2"/>
  <c r="Z38" i="2"/>
  <c r="AA38" i="2"/>
  <c r="AB38" i="2"/>
  <c r="AC38" i="2"/>
  <c r="AD38" i="2"/>
  <c r="Z40" i="2"/>
  <c r="AA40" i="2"/>
  <c r="AB40" i="2"/>
  <c r="AC40" i="2"/>
  <c r="AD40" i="2"/>
  <c r="AA29" i="2"/>
  <c r="AB29" i="2"/>
  <c r="AC29" i="2"/>
  <c r="AD29" i="2"/>
  <c r="Z29" i="2"/>
  <c r="AB22" i="2"/>
  <c r="AB20" i="2"/>
  <c r="AB13" i="2"/>
  <c r="AB16" i="2" s="1"/>
  <c r="AB41" i="2" s="1"/>
  <c r="AA22" i="2"/>
  <c r="AA20" i="2"/>
  <c r="Z22" i="2"/>
  <c r="Z20" i="2"/>
  <c r="Z13" i="2"/>
  <c r="Y13" i="2"/>
  <c r="Y16" i="2" s="1"/>
  <c r="Y22" i="2"/>
  <c r="Y20" i="2"/>
  <c r="AA13" i="2"/>
  <c r="AA16" i="2" s="1"/>
  <c r="AA41" i="2" s="1"/>
  <c r="AC22" i="2"/>
  <c r="AC20" i="2"/>
  <c r="AD22" i="2"/>
  <c r="AD20" i="2"/>
  <c r="AC13" i="2"/>
  <c r="AC16" i="2" s="1"/>
  <c r="AC41" i="2" s="1"/>
  <c r="AD13" i="2"/>
  <c r="AD16" i="2" s="1"/>
  <c r="AD41" i="2" s="1"/>
  <c r="AG4" i="2"/>
  <c r="AG5" i="2"/>
  <c r="AG6" i="2"/>
  <c r="AG7" i="2"/>
  <c r="AG8" i="2"/>
  <c r="AG9" i="2"/>
  <c r="AG10" i="2"/>
  <c r="AG11" i="2"/>
  <c r="AG12" i="2"/>
  <c r="AG14" i="2"/>
  <c r="AG15" i="2"/>
  <c r="AG17" i="2"/>
  <c r="AG18" i="2"/>
  <c r="AG19" i="2"/>
  <c r="AG24" i="2"/>
  <c r="AG3" i="2"/>
  <c r="AF14" i="2"/>
  <c r="AF15" i="2"/>
  <c r="AF17" i="2"/>
  <c r="AF18" i="2"/>
  <c r="AF19" i="2"/>
  <c r="AF24" i="2"/>
  <c r="AF4" i="2"/>
  <c r="AF5" i="2"/>
  <c r="AF6" i="2"/>
  <c r="AF7" i="2"/>
  <c r="AF8" i="2"/>
  <c r="AF9" i="2"/>
  <c r="AF10" i="2"/>
  <c r="AF11" i="2"/>
  <c r="AF12" i="2"/>
  <c r="AF3" i="2"/>
  <c r="AE27" i="2"/>
  <c r="AE24" i="2"/>
  <c r="AE15" i="2"/>
  <c r="AE18" i="2"/>
  <c r="AE19" i="2"/>
  <c r="AE17" i="2"/>
  <c r="AE14" i="2"/>
  <c r="AE40" i="2" s="1"/>
  <c r="AE4" i="2"/>
  <c r="AE30" i="2" s="1"/>
  <c r="AE5" i="2"/>
  <c r="AE31" i="2" s="1"/>
  <c r="AE6" i="2"/>
  <c r="AE32" i="2" s="1"/>
  <c r="AE7" i="2"/>
  <c r="AE33" i="2" s="1"/>
  <c r="AE8" i="2"/>
  <c r="AE34" i="2" s="1"/>
  <c r="AE9" i="2"/>
  <c r="AE35" i="2" s="1"/>
  <c r="AE10" i="2"/>
  <c r="AE36" i="2" s="1"/>
  <c r="AE11" i="2"/>
  <c r="AE37" i="2" s="1"/>
  <c r="AE12" i="2"/>
  <c r="AE38" i="2" s="1"/>
  <c r="AE3" i="2"/>
  <c r="AE29" i="2" s="1"/>
  <c r="AE2" i="2"/>
  <c r="AF2" i="2" s="1"/>
  <c r="AG2" i="2" s="1"/>
  <c r="AH2" i="2" s="1"/>
  <c r="AI2" i="2" s="1"/>
  <c r="AJ2" i="2" s="1"/>
  <c r="AK2" i="2" s="1"/>
  <c r="AL2" i="2" s="1"/>
  <c r="AM2" i="2" s="1"/>
  <c r="AN2" i="2" s="1"/>
  <c r="H38" i="2"/>
  <c r="I38" i="2"/>
  <c r="J38" i="2"/>
  <c r="K38" i="2"/>
  <c r="L38" i="2"/>
  <c r="M38" i="2"/>
  <c r="N38" i="2"/>
  <c r="H37" i="2"/>
  <c r="I37" i="2"/>
  <c r="J37" i="2"/>
  <c r="K37" i="2"/>
  <c r="L37" i="2"/>
  <c r="M37" i="2"/>
  <c r="N37" i="2"/>
  <c r="G37" i="2"/>
  <c r="H36" i="2"/>
  <c r="I36" i="2"/>
  <c r="J36" i="2"/>
  <c r="K36" i="2"/>
  <c r="L36" i="2"/>
  <c r="M36" i="2"/>
  <c r="N36" i="2"/>
  <c r="H35" i="2"/>
  <c r="I35" i="2"/>
  <c r="J35" i="2"/>
  <c r="K35" i="2"/>
  <c r="L35" i="2"/>
  <c r="M35" i="2"/>
  <c r="N35" i="2"/>
  <c r="H34" i="2"/>
  <c r="I34" i="2"/>
  <c r="J34" i="2"/>
  <c r="K34" i="2"/>
  <c r="L34" i="2"/>
  <c r="M34" i="2"/>
  <c r="N34" i="2"/>
  <c r="H33" i="2"/>
  <c r="I33" i="2"/>
  <c r="J33" i="2"/>
  <c r="K33" i="2"/>
  <c r="L33" i="2"/>
  <c r="M33" i="2"/>
  <c r="N33" i="2"/>
  <c r="H32" i="2"/>
  <c r="I32" i="2"/>
  <c r="J32" i="2"/>
  <c r="K32" i="2"/>
  <c r="L32" i="2"/>
  <c r="M32" i="2"/>
  <c r="N32" i="2"/>
  <c r="H31" i="2"/>
  <c r="I31" i="2"/>
  <c r="J31" i="2"/>
  <c r="K31" i="2"/>
  <c r="L31" i="2"/>
  <c r="M31" i="2"/>
  <c r="N31" i="2"/>
  <c r="H30" i="2"/>
  <c r="I30" i="2"/>
  <c r="J30" i="2"/>
  <c r="K30" i="2"/>
  <c r="L30" i="2"/>
  <c r="M30" i="2"/>
  <c r="N30" i="2"/>
  <c r="H29" i="2"/>
  <c r="I29" i="2"/>
  <c r="J29" i="2"/>
  <c r="K29" i="2"/>
  <c r="L29" i="2"/>
  <c r="M29" i="2"/>
  <c r="N29" i="2"/>
  <c r="G30" i="2"/>
  <c r="G31" i="2"/>
  <c r="G32" i="2"/>
  <c r="G33" i="2"/>
  <c r="G34" i="2"/>
  <c r="G35" i="2"/>
  <c r="G36" i="2"/>
  <c r="G38" i="2"/>
  <c r="G29" i="2"/>
  <c r="D22" i="2"/>
  <c r="D20" i="2"/>
  <c r="E22" i="2"/>
  <c r="E20" i="2"/>
  <c r="C22" i="2"/>
  <c r="C20" i="2"/>
  <c r="C13" i="2"/>
  <c r="C16" i="2" s="1"/>
  <c r="D13" i="2"/>
  <c r="D16" i="2" s="1"/>
  <c r="E13" i="2"/>
  <c r="E16" i="2" s="1"/>
  <c r="F22" i="2"/>
  <c r="F20" i="2"/>
  <c r="F13" i="2"/>
  <c r="F16" i="2" s="1"/>
  <c r="G22" i="2"/>
  <c r="G20" i="2"/>
  <c r="K22" i="2"/>
  <c r="K20" i="2"/>
  <c r="G13" i="2"/>
  <c r="G16" i="2" s="1"/>
  <c r="G41" i="2" s="1"/>
  <c r="L22" i="2"/>
  <c r="L20" i="2"/>
  <c r="H22" i="2"/>
  <c r="H20" i="2"/>
  <c r="H13" i="2"/>
  <c r="H16" i="2" s="1"/>
  <c r="H41" i="2" s="1"/>
  <c r="I22" i="2"/>
  <c r="I20" i="2"/>
  <c r="M22" i="2"/>
  <c r="M20" i="2"/>
  <c r="I13" i="2"/>
  <c r="I16" i="2" s="1"/>
  <c r="I41" i="2" s="1"/>
  <c r="N22" i="2"/>
  <c r="J22" i="2"/>
  <c r="N20" i="2"/>
  <c r="J20" i="2"/>
  <c r="Z39" i="2" l="1"/>
  <c r="AF34" i="2"/>
  <c r="AG32" i="2"/>
  <c r="AG40" i="2"/>
  <c r="AF29" i="2"/>
  <c r="AF38" i="2"/>
  <c r="AF30" i="2"/>
  <c r="AF37" i="2"/>
  <c r="AG35" i="2"/>
  <c r="AB21" i="2"/>
  <c r="AB42" i="2" s="1"/>
  <c r="AF36" i="2"/>
  <c r="AG34" i="2"/>
  <c r="Z16" i="2"/>
  <c r="Z41" i="2" s="1"/>
  <c r="AF35" i="2"/>
  <c r="AG33" i="2"/>
  <c r="AF33" i="2"/>
  <c r="AG31" i="2"/>
  <c r="AA21" i="2"/>
  <c r="AA42" i="2" s="1"/>
  <c r="O13" i="2"/>
  <c r="O21" i="2" s="1"/>
  <c r="O23" i="2" s="1"/>
  <c r="AF32" i="2"/>
  <c r="AF40" i="2"/>
  <c r="AG38" i="2"/>
  <c r="AG30" i="2"/>
  <c r="AF31" i="2"/>
  <c r="AG29" i="2"/>
  <c r="AG37" i="2"/>
  <c r="AB39" i="2"/>
  <c r="AG36" i="2"/>
  <c r="AD39" i="2"/>
  <c r="AL25" i="2"/>
  <c r="AK26" i="2"/>
  <c r="AC39" i="2"/>
  <c r="AA39" i="2"/>
  <c r="AD21" i="2"/>
  <c r="Y21" i="2"/>
  <c r="Y41" i="2"/>
  <c r="AG20" i="2"/>
  <c r="AE20" i="2"/>
  <c r="AC21" i="2"/>
  <c r="AF20" i="2"/>
  <c r="AF22" i="2"/>
  <c r="AE22" i="2"/>
  <c r="AG22" i="2"/>
  <c r="AE13" i="2"/>
  <c r="H40" i="2"/>
  <c r="G40" i="2"/>
  <c r="F21" i="2"/>
  <c r="F23" i="2" s="1"/>
  <c r="F25" i="2" s="1"/>
  <c r="F26" i="2" s="1"/>
  <c r="I40" i="2"/>
  <c r="H21" i="2"/>
  <c r="H42" i="2" s="1"/>
  <c r="D21" i="2"/>
  <c r="D23" i="2" s="1"/>
  <c r="D25" i="2" s="1"/>
  <c r="D26" i="2" s="1"/>
  <c r="C21" i="2"/>
  <c r="C23" i="2" s="1"/>
  <c r="E21" i="2"/>
  <c r="E23" i="2" s="1"/>
  <c r="E25" i="2" s="1"/>
  <c r="E26" i="2" s="1"/>
  <c r="I21" i="2"/>
  <c r="G21" i="2"/>
  <c r="Z21" i="2" l="1"/>
  <c r="Z23" i="2" s="1"/>
  <c r="Z25" i="2" s="1"/>
  <c r="AB23" i="2"/>
  <c r="AB25" i="2" s="1"/>
  <c r="AB26" i="2" s="1"/>
  <c r="AA23" i="2"/>
  <c r="AA25" i="2" s="1"/>
  <c r="AA43" i="2" s="1"/>
  <c r="AM25" i="2"/>
  <c r="AL26" i="2"/>
  <c r="AC23" i="2"/>
  <c r="AC25" i="2" s="1"/>
  <c r="AC42" i="2"/>
  <c r="AD23" i="2"/>
  <c r="AD25" i="2" s="1"/>
  <c r="AD42" i="2"/>
  <c r="O25" i="2"/>
  <c r="O26" i="2" s="1"/>
  <c r="Y23" i="2"/>
  <c r="Y25" i="2" s="1"/>
  <c r="Y42" i="2"/>
  <c r="AE16" i="2"/>
  <c r="AE41" i="2" s="1"/>
  <c r="AE39" i="2"/>
  <c r="AB43" i="2"/>
  <c r="C25" i="2"/>
  <c r="AE23" i="2"/>
  <c r="G23" i="2"/>
  <c r="G42" i="2"/>
  <c r="H23" i="2"/>
  <c r="I23" i="2"/>
  <c r="I42" i="2"/>
  <c r="AA26" i="2" l="1"/>
  <c r="Z42" i="2"/>
  <c r="P21" i="2"/>
  <c r="P23" i="2" s="1"/>
  <c r="P25" i="2" s="1"/>
  <c r="P26" i="2" s="1"/>
  <c r="AM26" i="2"/>
  <c r="AN25" i="2"/>
  <c r="AD26" i="2"/>
  <c r="AD43" i="2"/>
  <c r="Q16" i="2"/>
  <c r="Q21" i="2" s="1"/>
  <c r="Q23" i="2" s="1"/>
  <c r="R16" i="2"/>
  <c r="R21" i="2" s="1"/>
  <c r="R23" i="2" s="1"/>
  <c r="Y43" i="2"/>
  <c r="Y26" i="2"/>
  <c r="AE21" i="2"/>
  <c r="AE42" i="2" s="1"/>
  <c r="AC26" i="2"/>
  <c r="AC43" i="2"/>
  <c r="Z43" i="2"/>
  <c r="Z26" i="2"/>
  <c r="C26" i="2"/>
  <c r="AE26" i="2" s="1"/>
  <c r="AE25" i="2"/>
  <c r="AE43" i="2" s="1"/>
  <c r="G25" i="2"/>
  <c r="G43" i="2"/>
  <c r="I25" i="2"/>
  <c r="I26" i="2" s="1"/>
  <c r="I43" i="2"/>
  <c r="H25" i="2"/>
  <c r="H26" i="2" s="1"/>
  <c r="H43" i="2"/>
  <c r="AO25" i="2" l="1"/>
  <c r="AN26" i="2"/>
  <c r="AH13" i="2"/>
  <c r="Q25" i="2"/>
  <c r="R25" i="2"/>
  <c r="R26" i="2" s="1"/>
  <c r="G26" i="2"/>
  <c r="K13" i="2"/>
  <c r="L13" i="2"/>
  <c r="M13" i="2"/>
  <c r="N13" i="2"/>
  <c r="J13" i="2"/>
  <c r="AF13" i="2" s="1"/>
  <c r="AF39" i="2" s="1"/>
  <c r="AP25" i="2" l="1"/>
  <c r="AO26" i="2"/>
  <c r="Q26" i="2"/>
  <c r="AN30" i="2"/>
  <c r="AG13" i="2"/>
  <c r="AG39" i="2" s="1"/>
  <c r="N40" i="2"/>
  <c r="M16" i="2"/>
  <c r="M40" i="2"/>
  <c r="L16" i="2"/>
  <c r="L40" i="2"/>
  <c r="J16" i="2"/>
  <c r="J40" i="2"/>
  <c r="K16" i="2"/>
  <c r="K40" i="2"/>
  <c r="N16" i="2"/>
  <c r="N41" i="2" s="1"/>
  <c r="AQ25" i="2" l="1"/>
  <c r="AP26" i="2"/>
  <c r="J41" i="2"/>
  <c r="AF16" i="2"/>
  <c r="AF41" i="2" s="1"/>
  <c r="AG16" i="2"/>
  <c r="AG41" i="2" s="1"/>
  <c r="L21" i="2"/>
  <c r="L41" i="2"/>
  <c r="J21" i="2"/>
  <c r="K21" i="2"/>
  <c r="K41" i="2"/>
  <c r="M21" i="2"/>
  <c r="M41" i="2"/>
  <c r="N21" i="2"/>
  <c r="N42" i="2" s="1"/>
  <c r="AR25" i="2" l="1"/>
  <c r="AQ26" i="2"/>
  <c r="AG21" i="2"/>
  <c r="AG42" i="2" s="1"/>
  <c r="J42" i="2"/>
  <c r="AF21" i="2"/>
  <c r="AF42" i="2" s="1"/>
  <c r="J23" i="2"/>
  <c r="J25" i="2" s="1"/>
  <c r="M42" i="2"/>
  <c r="M23" i="2"/>
  <c r="K42" i="2"/>
  <c r="K23" i="2"/>
  <c r="L42" i="2"/>
  <c r="L23" i="2"/>
  <c r="N23" i="2"/>
  <c r="N43" i="2" s="1"/>
  <c r="AS25" i="2" l="1"/>
  <c r="AR26" i="2"/>
  <c r="AG23" i="2"/>
  <c r="J26" i="2"/>
  <c r="AF26" i="2" s="1"/>
  <c r="AF25" i="2"/>
  <c r="AF43" i="2" s="1"/>
  <c r="J43" i="2"/>
  <c r="AF23" i="2"/>
  <c r="L43" i="2"/>
  <c r="L25" i="2"/>
  <c r="K43" i="2"/>
  <c r="K25" i="2"/>
  <c r="M43" i="2"/>
  <c r="M25" i="2"/>
  <c r="M26" i="2" s="1"/>
  <c r="N25" i="2"/>
  <c r="N26" i="2" s="1"/>
  <c r="AT25" i="2" l="1"/>
  <c r="AS26" i="2"/>
  <c r="L26" i="2"/>
  <c r="K26" i="2"/>
  <c r="AG26" i="2" s="1"/>
  <c r="AG25" i="2"/>
  <c r="AG43" i="2" s="1"/>
  <c r="AU25" i="2" l="1"/>
  <c r="AT26" i="2"/>
  <c r="AV25" i="2" l="1"/>
  <c r="AU26" i="2"/>
  <c r="AW25" i="2" l="1"/>
  <c r="AV26" i="2"/>
  <c r="AX25" i="2" l="1"/>
  <c r="AW26" i="2"/>
  <c r="AY25" i="2" l="1"/>
  <c r="AX26" i="2"/>
  <c r="AZ25" i="2" l="1"/>
  <c r="AY26" i="2"/>
  <c r="BA25" i="2" l="1"/>
  <c r="AZ26" i="2"/>
  <c r="BB25" i="2" l="1"/>
  <c r="BA26" i="2"/>
  <c r="BC25" i="2" l="1"/>
  <c r="BB26" i="2"/>
  <c r="BD25" i="2" l="1"/>
  <c r="BC26" i="2"/>
  <c r="BE25" i="2" l="1"/>
  <c r="BD26" i="2"/>
  <c r="BF25" i="2" l="1"/>
  <c r="BE26" i="2"/>
  <c r="BG25" i="2" l="1"/>
  <c r="BF26" i="2"/>
  <c r="BH25" i="2" l="1"/>
  <c r="BG26" i="2"/>
  <c r="BI25" i="2" l="1"/>
  <c r="BH26" i="2"/>
  <c r="BJ25" i="2" l="1"/>
  <c r="BI26" i="2"/>
  <c r="BK25" i="2" l="1"/>
  <c r="BJ26" i="2"/>
  <c r="BL25" i="2" l="1"/>
  <c r="BK26" i="2"/>
  <c r="BM25" i="2" l="1"/>
  <c r="BL26" i="2"/>
  <c r="BN25" i="2" l="1"/>
  <c r="BM26" i="2"/>
  <c r="BO25" i="2" l="1"/>
  <c r="BN26" i="2"/>
  <c r="BP25" i="2" l="1"/>
  <c r="BO26" i="2"/>
  <c r="BQ25" i="2" l="1"/>
  <c r="BP26" i="2"/>
  <c r="BR25" i="2" l="1"/>
  <c r="BQ26" i="2"/>
  <c r="BS25" i="2" l="1"/>
  <c r="BR26" i="2"/>
  <c r="BT25" i="2" l="1"/>
  <c r="BS26" i="2"/>
  <c r="BU25" i="2" l="1"/>
  <c r="BT26" i="2"/>
  <c r="BV25" i="2" l="1"/>
  <c r="BU26" i="2"/>
  <c r="BW25" i="2" l="1"/>
  <c r="BV26" i="2"/>
  <c r="BX25" i="2" l="1"/>
  <c r="BW26" i="2"/>
  <c r="BY25" i="2" l="1"/>
  <c r="BX26" i="2"/>
  <c r="BZ25" i="2" l="1"/>
  <c r="BY26" i="2"/>
  <c r="CA25" i="2" l="1"/>
  <c r="BZ26" i="2"/>
  <c r="CB25" i="2" l="1"/>
  <c r="CA26" i="2"/>
  <c r="CC25" i="2" l="1"/>
  <c r="CB26" i="2"/>
  <c r="CD25" i="2" l="1"/>
  <c r="CC26" i="2"/>
  <c r="CE25" i="2" l="1"/>
  <c r="CD26" i="2"/>
  <c r="CF25" i="2" l="1"/>
  <c r="CE26" i="2"/>
  <c r="CG25" i="2" l="1"/>
  <c r="CF26" i="2"/>
  <c r="CH25" i="2" l="1"/>
  <c r="CG26" i="2"/>
  <c r="CI25" i="2" l="1"/>
  <c r="CH26" i="2"/>
  <c r="CJ25" i="2" l="1"/>
  <c r="CI26" i="2"/>
  <c r="CK25" i="2" l="1"/>
  <c r="CJ26" i="2"/>
  <c r="CL25" i="2" l="1"/>
  <c r="CK26" i="2"/>
  <c r="CM25" i="2" l="1"/>
  <c r="CL26" i="2"/>
  <c r="CN25" i="2" l="1"/>
  <c r="CM26" i="2"/>
  <c r="CO25" i="2" l="1"/>
  <c r="AN33" i="2" s="1"/>
  <c r="AN34" i="2" s="1"/>
  <c r="CN26" i="2"/>
  <c r="CO2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tc={2335040D-99D6-45E0-9677-CA0DB6C51384}</author>
  </authors>
  <commentList>
    <comment ref="AH25" authorId="0" shapeId="0" xr:uid="{2335040D-99D6-45E0-9677-CA0DB6C51384}">
      <text>
        <t>[Threaded comment]
Your version of Excel allows you to read this threaded comment; however, any edits to it will get removed if the file is opened in a newer version of Excel. Learn more: https://go.microsoft.com/fwlink/?linkid=870924
Comment:
    527</t>
      </text>
    </comment>
  </commentList>
</comments>
</file>

<file path=xl/sharedStrings.xml><?xml version="1.0" encoding="utf-8"?>
<sst xmlns="http://schemas.openxmlformats.org/spreadsheetml/2006/main" count="123" uniqueCount="123">
  <si>
    <t xml:space="preserve">Price </t>
  </si>
  <si>
    <t>Shares</t>
  </si>
  <si>
    <t>Market Cap</t>
  </si>
  <si>
    <t>Cash</t>
  </si>
  <si>
    <t>Debt</t>
  </si>
  <si>
    <t>EV</t>
  </si>
  <si>
    <t>main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</si>
  <si>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</si>
  <si>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</si>
  <si>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</si>
  <si>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</si>
  <si>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</si>
  <si>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</si>
  <si>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</si>
  <si>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</si>
  <si>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</si>
  <si>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</si>
  <si>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Pointing Devices</t>
  </si>
  <si>
    <t>Keyboards and Combos</t>
  </si>
  <si>
    <t>PC Webcams</t>
  </si>
  <si>
    <t>Tablet &amp; Accessories</t>
  </si>
  <si>
    <t>Gaming</t>
  </si>
  <si>
    <t>Video Collaboration</t>
  </si>
  <si>
    <t>Mobile Speakers</t>
  </si>
  <si>
    <t>Audio &amp; Wearables</t>
  </si>
  <si>
    <t>Other</t>
  </si>
  <si>
    <t>Revenue</t>
  </si>
  <si>
    <t>COGS</t>
  </si>
  <si>
    <t>DA</t>
  </si>
  <si>
    <t>Gross Margin</t>
  </si>
  <si>
    <t>S&amp;M</t>
  </si>
  <si>
    <t>R&amp;D</t>
  </si>
  <si>
    <t>G&amp;A</t>
  </si>
  <si>
    <t>Operating Expenses</t>
  </si>
  <si>
    <t>Interest Income</t>
  </si>
  <si>
    <t>Pretax Income</t>
  </si>
  <si>
    <t xml:space="preserve">Tax </t>
  </si>
  <si>
    <t xml:space="preserve">Net Income </t>
  </si>
  <si>
    <t>Q221</t>
  </si>
  <si>
    <t>Q121</t>
  </si>
  <si>
    <t>EPS</t>
  </si>
  <si>
    <t>Pointing Y/Y</t>
  </si>
  <si>
    <t>Keyboard Y/Y</t>
  </si>
  <si>
    <t>Webcams Y/Y</t>
  </si>
  <si>
    <t>Tablet Y/Y</t>
  </si>
  <si>
    <t>Gaming Y/Y</t>
  </si>
  <si>
    <t>Video Y/Y</t>
  </si>
  <si>
    <t>Mobile Speakers Y/Y</t>
  </si>
  <si>
    <t>Audio Y/Y</t>
  </si>
  <si>
    <t>Other Y/Y</t>
  </si>
  <si>
    <t xml:space="preserve">Gross Margin </t>
  </si>
  <si>
    <t>Operating Margin</t>
  </si>
  <si>
    <t xml:space="preserve">Tax Rate </t>
  </si>
  <si>
    <t>Revenue Y/Y</t>
  </si>
  <si>
    <t>Operating Income</t>
  </si>
  <si>
    <t>Shares outstanding</t>
  </si>
  <si>
    <t>Smart Home</t>
  </si>
  <si>
    <t>25/10/2022</t>
  </si>
  <si>
    <t>25/10/2021</t>
  </si>
  <si>
    <t>26/07/2022</t>
  </si>
  <si>
    <t>26/07/2021</t>
  </si>
  <si>
    <t>23/01/2023</t>
  </si>
  <si>
    <t>23/01/2022</t>
  </si>
  <si>
    <t>25/01/2021</t>
  </si>
  <si>
    <t>Smart Home Y/Y</t>
  </si>
  <si>
    <t>Q124</t>
  </si>
  <si>
    <t>Q224</t>
  </si>
  <si>
    <t>Q324</t>
  </si>
  <si>
    <t>Q424</t>
  </si>
  <si>
    <t>Q125</t>
  </si>
  <si>
    <t>Q225</t>
  </si>
  <si>
    <t>Q325</t>
  </si>
  <si>
    <t>Q425</t>
  </si>
  <si>
    <t>Share</t>
  </si>
  <si>
    <t>Upside</t>
  </si>
  <si>
    <t>NPV</t>
  </si>
  <si>
    <t>Discount Rate</t>
  </si>
  <si>
    <t xml:space="preserve">Terminal </t>
  </si>
  <si>
    <t>Current Assets</t>
  </si>
  <si>
    <t>Cash and cash equivalents</t>
  </si>
  <si>
    <t>AR</t>
  </si>
  <si>
    <t>Inventories</t>
  </si>
  <si>
    <t>Other current assets</t>
  </si>
  <si>
    <t>Non-current assets</t>
  </si>
  <si>
    <t>PP&amp;E</t>
  </si>
  <si>
    <t>Goodwill</t>
  </si>
  <si>
    <t>Other intangible assets</t>
  </si>
  <si>
    <t>Other assets</t>
  </si>
  <si>
    <t>Total Assets</t>
  </si>
  <si>
    <t>Current Liabilities</t>
  </si>
  <si>
    <t>AP</t>
  </si>
  <si>
    <t>Accrued and other current</t>
  </si>
  <si>
    <t>Non-current liabilities</t>
  </si>
  <si>
    <t>Income taxes payable</t>
  </si>
  <si>
    <t>Other non-current liabilities</t>
  </si>
  <si>
    <t>Total Liabilities</t>
  </si>
  <si>
    <t>Total Equity</t>
  </si>
  <si>
    <t>Additional paid in capital</t>
  </si>
  <si>
    <t xml:space="preserve">Shares in treasury </t>
  </si>
  <si>
    <t>Retained Earnings</t>
  </si>
  <si>
    <t>Other comprehensive loss</t>
  </si>
  <si>
    <t>Registered shares</t>
  </si>
  <si>
    <t xml:space="preserve">cost of debt </t>
  </si>
  <si>
    <t>tax rate</t>
  </si>
  <si>
    <t>debt &amp; equiv</t>
  </si>
  <si>
    <t xml:space="preserve">debt as total of cap </t>
  </si>
  <si>
    <t>After tax cost of debt</t>
  </si>
  <si>
    <t>risk free rate</t>
  </si>
  <si>
    <t>beta</t>
  </si>
  <si>
    <t xml:space="preserve">erp </t>
  </si>
  <si>
    <t>equity as of capital</t>
  </si>
  <si>
    <t xml:space="preserve">cost of equity </t>
  </si>
  <si>
    <t>debt</t>
  </si>
  <si>
    <t>cash equiv</t>
  </si>
  <si>
    <t xml:space="preserve">Long term debt </t>
  </si>
  <si>
    <t>Net debt</t>
  </si>
  <si>
    <t>shares outstanding</t>
  </si>
  <si>
    <t>net dilluted shares outstanding</t>
  </si>
  <si>
    <t>current share price</t>
  </si>
  <si>
    <t>equity value</t>
  </si>
  <si>
    <t>wacc</t>
  </si>
  <si>
    <t>Interim CEO</t>
  </si>
  <si>
    <t>Guy Gecht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</si>
</sst>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0.00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36">
    <xf numFmtId="0" fontId="0" fillId="0" borderId="0" xfId="0"/>
    <xf numFmtId="3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0" fontId="0" fillId="0" borderId="0" xfId="0" applyNumberForma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1" fontId="1" fillId="0" borderId="0" xfId="0" applyNumberFormat="1" applyFont="1"/>
    <xf numFmtId="0" fontId="1" fillId="0" borderId="0" xfId="0" applyFont="1"/>
    <xf numFmtId="9" fontId="0" fillId="0" borderId="0" xfId="2" applyFont="1"/>
    <xf numFmtId="2" fontId="0" fillId="0" borderId="0" xfId="0" applyNumberFormat="1"/>
    <xf numFmtId="8" fontId="0" fillId="0" borderId="0" xfId="0" applyNumberFormat="1"/>
    <xf numFmtId="9" fontId="0" fillId="0" borderId="0" xfId="0" applyNumberFormat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0" fillId="0" borderId="0" xfId="0"/>
    <xf numFmtId="0" fontId="1" fillId="0" borderId="0" xfId="0" applyFont="1"/>
    <xf numFmtId="0" fontId="2" fillId="0" borderId="0" xfId="1"/>
    <xf numFmtId="1" fontId="0" fillId="0" borderId="0" xfId="0" applyNumberFormat="1" applyBorder="1" applyAlignment="1">
      <alignment horizontal="right"/>
    </xf>
    <xf numFmtId="14" fontId="0" fillId="0" borderId="0" xfId="0" applyNumberFormat="1" applyBorder="1" applyAlignment="1">
      <alignment horizontal="center"/>
    </xf>
    <xf numFmtId="43" fontId="0" fillId="0" borderId="0" xfId="0" applyNumberFormat="1" applyBorder="1" applyAlignment="1">
      <alignment horizontal="right"/>
    </xf>
    <xf numFmtId="41" fontId="0" fillId="0" borderId="0" xfId="0" applyNumberFormat="1" applyBorder="1"/>
    <xf numFmtId="43" fontId="0" fillId="0" borderId="0" xfId="0" applyNumberFormat="1" applyBorder="1"/>
    <xf numFmtId="10" fontId="0" fillId="0" borderId="0" xfId="0" applyNumberFormat="1" applyBorder="1"/>
    <xf numFmtId="0" fontId="0" fillId="0" borderId="1" xfId="0" applyBorder="1" applyAlignment="1">
      <alignment horizontal="right"/>
    </xf>
    <xf numFmtId="1" fontId="0" fillId="0" borderId="1" xfId="0" applyNumberFormat="1" applyBorder="1"/>
    <xf numFmtId="1" fontId="0" fillId="0" borderId="1" xfId="0" applyNumberForma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/>
    <xf numFmtId="9" fontId="0" fillId="0" borderId="0" xfId="0" applyNumberFormat="1" applyBorder="1"/>
    <xf numFmtId="10" fontId="0" fillId="0" borderId="0" xfId="0" applyNumberFormat="1" applyFill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erban B Valentin-Daniel" id="{B59F918B-AF99-4F56-BC6B-5354B45ED621}" userId="S::serbanvalentin22@stud.ase.ro::1cf3b1b8-7294-41c6-9467-ebca3619391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25" dT="2023-06-26T15:47:33.45" personId="{B59F918B-AF99-4F56-BC6B-5354B45ED621}" id="{2335040D-99D6-45E0-9677-CA0DB6C51384}">
    <text>527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5298-8DA2-49AC-BF45-1FBDD294B446}">
  <dimension ref="L1:W8"/>
  <sheetViews>
    <sheetView workbookViewId="0">
      <selection activeCell="S13" sqref="S13"/>
    </sheetView>
  </sheetViews>
  <sheetFormatPr defaultRowHeight="14.4" x14ac:dyDescent="0.3"/>
  <cols>
    <col min="2" max="2" width="8.88671875" customWidth="1"/>
    <col min="22" max="22" width="10.77734375" bestFit="1" customWidth="1"/>
  </cols>
  <sheetData>
    <row r="1" spans="12:23" x14ac:dyDescent="0.3">
      <c r="V1" t="s">
        <v>0</v>
      </c>
      <c r="W1">
        <v>55.6</v>
      </c>
    </row>
    <row r="2" spans="12:23" x14ac:dyDescent="0.3">
      <c r="L2" s="3"/>
      <c r="V2" t="s">
        <v>1</v>
      </c>
      <c r="W2" s="3">
        <v>158.73770999999999</v>
      </c>
    </row>
    <row r="3" spans="12:23" x14ac:dyDescent="0.3">
      <c r="L3" s="1"/>
      <c r="V3" t="s">
        <v>2</v>
      </c>
      <c r="W3" s="1">
        <f>W2*W1</f>
        <v>8825.8166760000004</v>
      </c>
    </row>
    <row r="4" spans="12:23" x14ac:dyDescent="0.3">
      <c r="L4" s="1"/>
      <c r="V4" t="s">
        <v>3</v>
      </c>
      <c r="W4" s="1">
        <f>1149.023</f>
        <v>1149.0229999999999</v>
      </c>
    </row>
    <row r="5" spans="12:23" x14ac:dyDescent="0.3">
      <c r="L5" s="1"/>
      <c r="V5" t="s">
        <v>4</v>
      </c>
      <c r="W5" s="1">
        <v>0</v>
      </c>
    </row>
    <row r="6" spans="12:23" x14ac:dyDescent="0.3">
      <c r="L6" s="1"/>
      <c r="V6" t="s">
        <v>5</v>
      </c>
      <c r="W6" s="1">
        <f>W3+W5-W4</f>
        <v>7676.7936760000002</v>
      </c>
    </row>
    <row r="8" spans="12:23" x14ac:dyDescent="0.3">
      <c r="V8" t="s">
        <v>121</v>
      </c>
      <c r="W8" t="s">
        <v>122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9B315-55EE-414C-AFCB-13589820A187}">
  <dimension ref="A1:CO83"/>
  <sheetViews>
    <sheetView tabSelected="1" zoomScale="64" zoomScaleNormal="64" workbookViewId="0">
      <pane xSplit="1" topLeftCell="M1" activePane="topRight" state="frozen"/>
      <selection activeCell="A34" sqref="A34"/>
      <selection pane="topRight" activeCell="S18" sqref="S18"/>
    </sheetView>
  </sheetViews>
  <sheetFormatPr defaultRowHeight="14.4" x14ac:dyDescent="0.3"/>
  <cols>
    <col min="1" max="1" width="23.21875" customWidth="1"/>
    <col min="2" max="2" width="20.21875" bestFit="1" customWidth="1"/>
    <col min="3" max="9" width="20.21875" customWidth="1"/>
    <col min="10" max="10" width="9.33203125" bestFit="1" customWidth="1"/>
    <col min="11" max="13" width="11.21875" bestFit="1" customWidth="1"/>
    <col min="14" max="14" width="10.6640625" style="27" bestFit="1" customWidth="1"/>
    <col min="35" max="35" width="10.5546875" bestFit="1" customWidth="1"/>
    <col min="39" max="39" width="11.6640625" bestFit="1" customWidth="1"/>
    <col min="40" max="40" width="26.88671875" bestFit="1" customWidth="1"/>
  </cols>
  <sheetData>
    <row r="1" spans="1:57" x14ac:dyDescent="0.3">
      <c r="A1" s="22" t="s">
        <v>6</v>
      </c>
      <c r="B1" s="22"/>
      <c r="E1" s="6" t="s">
        <v>63</v>
      </c>
      <c r="F1" s="9">
        <v>44232</v>
      </c>
      <c r="G1" s="6" t="s">
        <v>60</v>
      </c>
      <c r="H1" s="6" t="s">
        <v>58</v>
      </c>
      <c r="I1" s="6" t="s">
        <v>62</v>
      </c>
      <c r="J1" s="9">
        <v>44597</v>
      </c>
      <c r="K1" s="6" t="s">
        <v>59</v>
      </c>
      <c r="L1" s="6" t="s">
        <v>57</v>
      </c>
      <c r="M1" s="6" t="s">
        <v>61</v>
      </c>
      <c r="N1" s="24">
        <v>44962</v>
      </c>
    </row>
    <row r="2" spans="1:57" x14ac:dyDescent="0.3">
      <c r="A2" s="22"/>
      <c r="B2" s="22"/>
      <c r="C2" s="4" t="s">
        <v>39</v>
      </c>
      <c r="D2" s="4" t="s">
        <v>38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25" t="s">
        <v>16</v>
      </c>
      <c r="O2" s="29" t="s">
        <v>65</v>
      </c>
      <c r="P2" s="4" t="s">
        <v>66</v>
      </c>
      <c r="Q2" s="4" t="s">
        <v>67</v>
      </c>
      <c r="R2" s="4" t="s">
        <v>68</v>
      </c>
      <c r="S2" s="4" t="s">
        <v>69</v>
      </c>
      <c r="T2" s="4" t="s">
        <v>70</v>
      </c>
      <c r="U2" s="4" t="s">
        <v>71</v>
      </c>
      <c r="V2" s="4" t="s">
        <v>72</v>
      </c>
      <c r="W2" s="4"/>
      <c r="X2" s="4">
        <v>2014</v>
      </c>
      <c r="Y2" s="4">
        <v>2015</v>
      </c>
      <c r="Z2" s="4">
        <v>2016</v>
      </c>
      <c r="AA2" s="4">
        <v>2017</v>
      </c>
      <c r="AB2">
        <v>2018</v>
      </c>
      <c r="AC2">
        <v>2019</v>
      </c>
      <c r="AD2">
        <v>2020</v>
      </c>
      <c r="AE2">
        <f>2021</f>
        <v>2021</v>
      </c>
      <c r="AF2">
        <f>AE2+1</f>
        <v>2022</v>
      </c>
      <c r="AG2">
        <f t="shared" ref="AG2:AN2" si="0">AF2+1</f>
        <v>2023</v>
      </c>
      <c r="AH2">
        <f t="shared" si="0"/>
        <v>2024</v>
      </c>
      <c r="AI2">
        <f t="shared" si="0"/>
        <v>2025</v>
      </c>
      <c r="AJ2">
        <f t="shared" si="0"/>
        <v>2026</v>
      </c>
      <c r="AK2">
        <f t="shared" si="0"/>
        <v>2027</v>
      </c>
      <c r="AL2">
        <f t="shared" si="0"/>
        <v>2028</v>
      </c>
      <c r="AM2">
        <f t="shared" si="0"/>
        <v>2029</v>
      </c>
      <c r="AN2">
        <f t="shared" si="0"/>
        <v>2030</v>
      </c>
    </row>
    <row r="3" spans="1:57" x14ac:dyDescent="0.3">
      <c r="A3" s="20" t="s">
        <v>17</v>
      </c>
      <c r="B3" s="20"/>
      <c r="C3" s="2">
        <v>120.46899999999999</v>
      </c>
      <c r="D3" s="2">
        <v>169.12100000000001</v>
      </c>
      <c r="E3" s="2">
        <v>213.63800000000001</v>
      </c>
      <c r="F3" s="2">
        <v>177.679</v>
      </c>
      <c r="G3" s="10">
        <v>182.87799999999999</v>
      </c>
      <c r="H3" s="2">
        <v>189.01400000000001</v>
      </c>
      <c r="I3" s="2">
        <v>231.09</v>
      </c>
      <c r="J3" s="10">
        <v>178.126</v>
      </c>
      <c r="K3" s="2">
        <v>183.28299999999999</v>
      </c>
      <c r="L3" s="10">
        <v>185.2</v>
      </c>
      <c r="M3" s="10">
        <v>199.10599999999999</v>
      </c>
      <c r="N3" s="23">
        <v>160.768</v>
      </c>
      <c r="O3" s="30">
        <v>174.45400000000001</v>
      </c>
      <c r="P3" s="2"/>
      <c r="Q3" s="2"/>
      <c r="R3" s="2"/>
      <c r="S3" s="2"/>
      <c r="T3" s="2"/>
      <c r="U3" s="2"/>
      <c r="V3" s="2"/>
      <c r="W3" s="2"/>
      <c r="X3" s="2"/>
      <c r="Y3" s="2">
        <v>178.03800000000001</v>
      </c>
      <c r="Z3" s="2">
        <v>229.71799999999999</v>
      </c>
      <c r="AA3" s="2">
        <v>301.02100000000002</v>
      </c>
      <c r="AB3" s="2">
        <v>516.63699999999994</v>
      </c>
      <c r="AC3" s="2">
        <v>536.89</v>
      </c>
      <c r="AD3" s="2">
        <v>544.51900000000001</v>
      </c>
      <c r="AE3" s="2">
        <f>SUM(C3:F3)</f>
        <v>680.90700000000004</v>
      </c>
      <c r="AF3" s="2">
        <f>SUM(G3:J3)</f>
        <v>781.10799999999995</v>
      </c>
      <c r="AG3" s="2">
        <f>SUM(K3:N3)</f>
        <v>728.35699999999997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3">
      <c r="A4" s="20" t="s">
        <v>18</v>
      </c>
      <c r="B4" s="20"/>
      <c r="C4" s="2">
        <v>145.36000000000001</v>
      </c>
      <c r="D4" s="2">
        <v>201.61699999999999</v>
      </c>
      <c r="E4" s="2">
        <v>218.26900000000001</v>
      </c>
      <c r="F4" s="2">
        <v>219.24199999999999</v>
      </c>
      <c r="G4" s="10">
        <v>218.357</v>
      </c>
      <c r="H4" s="2">
        <v>236.27199999999999</v>
      </c>
      <c r="I4" s="2">
        <v>281.608</v>
      </c>
      <c r="J4" s="10">
        <v>231.06399999999999</v>
      </c>
      <c r="K4" s="2">
        <v>227.72</v>
      </c>
      <c r="L4" s="10">
        <v>200.85300000000001</v>
      </c>
      <c r="M4" s="10">
        <v>220.059</v>
      </c>
      <c r="N4" s="23">
        <v>187.8</v>
      </c>
      <c r="O4" s="30">
        <v>180.85499999999999</v>
      </c>
      <c r="P4" s="2"/>
      <c r="Q4" s="2"/>
      <c r="R4" s="2"/>
      <c r="S4" s="2"/>
      <c r="T4" s="2"/>
      <c r="U4" s="2"/>
      <c r="V4" s="2"/>
      <c r="W4" s="2"/>
      <c r="X4" s="2"/>
      <c r="Y4" s="2">
        <v>213.49600000000001</v>
      </c>
      <c r="Z4" s="2">
        <v>196.01300000000001</v>
      </c>
      <c r="AA4" s="2">
        <v>246.39</v>
      </c>
      <c r="AB4" s="2">
        <v>498.47199999999998</v>
      </c>
      <c r="AC4" s="2">
        <v>536.61900000000003</v>
      </c>
      <c r="AD4" s="2">
        <v>571.72</v>
      </c>
      <c r="AE4" s="2">
        <f t="shared" ref="AE4:AE26" si="1">SUM(C4:F4)</f>
        <v>784.48799999999994</v>
      </c>
      <c r="AF4" s="2">
        <f t="shared" ref="AF4:AF26" si="2">SUM(G4:J4)</f>
        <v>967.30100000000004</v>
      </c>
      <c r="AG4" s="2">
        <f t="shared" ref="AG4:AH26" si="3">SUM(K4:N4)</f>
        <v>836.43200000000002</v>
      </c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x14ac:dyDescent="0.3">
      <c r="A5" s="20" t="s">
        <v>19</v>
      </c>
      <c r="B5" s="20"/>
      <c r="C5" s="2">
        <v>60.850999999999999</v>
      </c>
      <c r="D5" s="2">
        <v>102.46899999999999</v>
      </c>
      <c r="E5" s="2">
        <v>131.69999999999999</v>
      </c>
      <c r="F5" s="2">
        <v>144.845</v>
      </c>
      <c r="G5" s="10">
        <v>109.91800000000001</v>
      </c>
      <c r="H5" s="2">
        <v>94.471000000000004</v>
      </c>
      <c r="I5" s="2">
        <v>115.11499999999999</v>
      </c>
      <c r="J5" s="10">
        <v>84.147000000000006</v>
      </c>
      <c r="K5" s="2">
        <v>59.386000000000003</v>
      </c>
      <c r="L5" s="10">
        <v>60.165999999999997</v>
      </c>
      <c r="M5" s="10">
        <v>58.481000000000002</v>
      </c>
      <c r="N5" s="23">
        <v>49.658999999999999</v>
      </c>
      <c r="O5" s="30">
        <v>75.2</v>
      </c>
      <c r="P5" s="2"/>
      <c r="Q5" s="2"/>
      <c r="R5" s="2"/>
      <c r="S5" s="2"/>
      <c r="T5" s="2"/>
      <c r="U5" s="2"/>
      <c r="V5" s="2"/>
      <c r="W5" s="2"/>
      <c r="X5" s="2"/>
      <c r="Y5" s="2">
        <v>211.911</v>
      </c>
      <c r="Z5" s="2">
        <v>245.101</v>
      </c>
      <c r="AA5" s="2">
        <v>314.36200000000002</v>
      </c>
      <c r="AB5" s="2">
        <v>112.14700000000001</v>
      </c>
      <c r="AC5" s="2">
        <v>121.282</v>
      </c>
      <c r="AD5" s="2">
        <v>129.19300000000001</v>
      </c>
      <c r="AE5" s="2">
        <f t="shared" si="1"/>
        <v>439.86500000000001</v>
      </c>
      <c r="AF5" s="2">
        <f t="shared" si="2"/>
        <v>403.65100000000001</v>
      </c>
      <c r="AG5" s="2">
        <f t="shared" si="3"/>
        <v>227.69199999999998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x14ac:dyDescent="0.3">
      <c r="A6" s="20" t="s">
        <v>20</v>
      </c>
      <c r="B6" s="20"/>
      <c r="C6" s="2">
        <v>46.048000000000002</v>
      </c>
      <c r="D6" s="2">
        <v>83.085999999999999</v>
      </c>
      <c r="E6" s="2">
        <v>138.05199999999999</v>
      </c>
      <c r="F6" s="2">
        <v>117.11499999999999</v>
      </c>
      <c r="G6" s="10">
        <v>79.272000000000006</v>
      </c>
      <c r="H6" s="2">
        <v>80.801000000000002</v>
      </c>
      <c r="I6" s="2">
        <v>82.858999999999995</v>
      </c>
      <c r="J6" s="10">
        <v>67.191000000000003</v>
      </c>
      <c r="K6" s="2">
        <v>66.584999999999994</v>
      </c>
      <c r="L6" s="10">
        <v>54.203000000000003</v>
      </c>
      <c r="M6" s="10">
        <v>65.156999999999996</v>
      </c>
      <c r="N6" s="23">
        <v>68.429000000000002</v>
      </c>
      <c r="O6" s="30">
        <v>70.335999999999999</v>
      </c>
      <c r="P6" s="2"/>
      <c r="Q6" s="2"/>
      <c r="R6" s="2"/>
      <c r="S6" s="2"/>
      <c r="T6" s="2"/>
      <c r="U6" s="2"/>
      <c r="V6" s="2"/>
      <c r="W6" s="2"/>
      <c r="X6" s="2"/>
      <c r="Y6" s="2">
        <v>62.215000000000003</v>
      </c>
      <c r="Z6" s="2">
        <v>89.322000000000003</v>
      </c>
      <c r="AA6" s="2">
        <v>127.009</v>
      </c>
      <c r="AB6" s="2">
        <v>107.94199999999999</v>
      </c>
      <c r="AC6" s="2">
        <v>128.315</v>
      </c>
      <c r="AD6" s="2">
        <v>135.309</v>
      </c>
      <c r="AE6" s="2">
        <f t="shared" si="1"/>
        <v>384.30100000000004</v>
      </c>
      <c r="AF6" s="2">
        <f t="shared" si="2"/>
        <v>310.12300000000005</v>
      </c>
      <c r="AG6" s="2">
        <f t="shared" si="3"/>
        <v>254.374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3">
      <c r="A7" s="20" t="s">
        <v>21</v>
      </c>
      <c r="B7" s="20"/>
      <c r="C7" s="2">
        <v>181.90299999999999</v>
      </c>
      <c r="D7" s="2">
        <v>297.71100000000001</v>
      </c>
      <c r="E7" s="2">
        <v>436.42599999999999</v>
      </c>
      <c r="F7" s="2">
        <v>322.96499999999997</v>
      </c>
      <c r="G7" s="10">
        <v>335.39699999999999</v>
      </c>
      <c r="H7" s="2">
        <v>330.77699999999999</v>
      </c>
      <c r="I7" s="2">
        <v>469.28199999999998</v>
      </c>
      <c r="J7" s="10">
        <v>316.42700000000002</v>
      </c>
      <c r="K7" s="2">
        <v>282.80599999999998</v>
      </c>
      <c r="L7" s="10">
        <v>297.67599999999999</v>
      </c>
      <c r="M7" s="10">
        <v>391.97500000000002</v>
      </c>
      <c r="N7" s="23">
        <v>239.02799999999999</v>
      </c>
      <c r="O7" s="30">
        <v>266.42899999999997</v>
      </c>
      <c r="P7" s="2"/>
      <c r="Q7" s="2"/>
      <c r="R7" s="2"/>
      <c r="S7" s="2"/>
      <c r="T7" s="2"/>
      <c r="U7" s="2"/>
      <c r="V7" s="2"/>
      <c r="W7" s="2"/>
      <c r="X7" s="2"/>
      <c r="Y7" s="2">
        <v>68.06</v>
      </c>
      <c r="Z7" s="2">
        <v>59.075000000000003</v>
      </c>
      <c r="AA7" s="2">
        <v>65.510000000000005</v>
      </c>
      <c r="AB7" s="2">
        <v>182.71700000000001</v>
      </c>
      <c r="AC7" s="2">
        <v>648.13</v>
      </c>
      <c r="AD7" s="2">
        <v>690.17399999999998</v>
      </c>
      <c r="AE7" s="2">
        <f t="shared" si="1"/>
        <v>1239.0049999999999</v>
      </c>
      <c r="AF7" s="2">
        <f t="shared" si="2"/>
        <v>1451.8829999999998</v>
      </c>
      <c r="AG7" s="2">
        <f t="shared" si="3"/>
        <v>1211.4849999999999</v>
      </c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x14ac:dyDescent="0.3">
      <c r="A8" s="20" t="s">
        <v>22</v>
      </c>
      <c r="B8" s="20"/>
      <c r="C8" s="2">
        <v>130.07400000000001</v>
      </c>
      <c r="D8" s="2">
        <v>236.70400000000001</v>
      </c>
      <c r="E8" s="2">
        <v>292.5</v>
      </c>
      <c r="F8" s="2">
        <v>385.65699999999998</v>
      </c>
      <c r="G8" s="10">
        <v>234.88499999999999</v>
      </c>
      <c r="H8" s="2">
        <v>231.65299999999999</v>
      </c>
      <c r="I8" s="2">
        <v>287.18700000000001</v>
      </c>
      <c r="J8" s="10">
        <v>243.43899999999999</v>
      </c>
      <c r="K8" s="2">
        <v>246.24199999999999</v>
      </c>
      <c r="L8" s="10">
        <v>236.18</v>
      </c>
      <c r="M8" s="10">
        <v>226.374</v>
      </c>
      <c r="N8" s="23">
        <v>178.721</v>
      </c>
      <c r="O8" s="30">
        <f>139.346</f>
        <v>139.346</v>
      </c>
      <c r="P8" s="2"/>
      <c r="Q8" s="2"/>
      <c r="R8" s="2"/>
      <c r="S8" s="2"/>
      <c r="T8" s="2"/>
      <c r="U8" s="2"/>
      <c r="V8" s="2"/>
      <c r="W8" s="2"/>
      <c r="X8" s="2"/>
      <c r="Y8" s="2">
        <v>487.21</v>
      </c>
      <c r="Z8" s="2">
        <v>492.54300000000001</v>
      </c>
      <c r="AA8" s="2">
        <v>501.56200000000001</v>
      </c>
      <c r="AB8" s="2">
        <v>314.81700000000001</v>
      </c>
      <c r="AC8" s="2">
        <v>259.52100000000002</v>
      </c>
      <c r="AD8" s="2">
        <v>365.61599999999999</v>
      </c>
      <c r="AE8" s="2">
        <f t="shared" si="1"/>
        <v>1044.9349999999999</v>
      </c>
      <c r="AF8" s="2">
        <f t="shared" si="2"/>
        <v>997.16399999999999</v>
      </c>
      <c r="AG8" s="2">
        <f t="shared" si="3"/>
        <v>887.51700000000005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x14ac:dyDescent="0.3">
      <c r="A9" s="20" t="s">
        <v>23</v>
      </c>
      <c r="B9" s="20"/>
      <c r="C9" s="2">
        <v>29.009</v>
      </c>
      <c r="D9" s="2">
        <v>43.581000000000003</v>
      </c>
      <c r="E9" s="2">
        <v>72.566000000000003</v>
      </c>
      <c r="F9" s="2">
        <v>29.739000000000001</v>
      </c>
      <c r="G9" s="10">
        <v>28.484000000000002</v>
      </c>
      <c r="H9" s="2">
        <v>39.491999999999997</v>
      </c>
      <c r="I9" s="2">
        <v>56.747999999999998</v>
      </c>
      <c r="J9" s="10">
        <v>25.058</v>
      </c>
      <c r="K9" s="2">
        <v>22.31</v>
      </c>
      <c r="L9" s="10">
        <v>39.195</v>
      </c>
      <c r="M9" s="10">
        <v>38.320999999999998</v>
      </c>
      <c r="N9" s="23">
        <v>11.823</v>
      </c>
      <c r="O9" s="30">
        <v>31.029</v>
      </c>
      <c r="P9" s="2"/>
      <c r="Q9" s="2"/>
      <c r="R9" s="2"/>
      <c r="S9" s="2"/>
      <c r="T9" s="2"/>
      <c r="U9" s="2"/>
      <c r="V9" s="2"/>
      <c r="W9" s="2"/>
      <c r="X9" s="2"/>
      <c r="Y9" s="2">
        <v>426.11700000000002</v>
      </c>
      <c r="Z9" s="2">
        <v>430.19</v>
      </c>
      <c r="AA9" s="2">
        <v>480.31200000000001</v>
      </c>
      <c r="AB9" s="2">
        <v>252.33</v>
      </c>
      <c r="AC9" s="2">
        <v>230.37799999999999</v>
      </c>
      <c r="AD9" s="2">
        <v>221.791</v>
      </c>
      <c r="AE9" s="2">
        <f t="shared" si="1"/>
        <v>174.89500000000001</v>
      </c>
      <c r="AF9" s="2">
        <f t="shared" si="2"/>
        <v>149.78199999999998</v>
      </c>
      <c r="AG9" s="2">
        <f t="shared" si="3"/>
        <v>111.649</v>
      </c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3">
      <c r="A10" s="20" t="s">
        <v>24</v>
      </c>
      <c r="B10" s="20"/>
      <c r="C10" s="2">
        <v>71.364999999999995</v>
      </c>
      <c r="D10" s="2">
        <v>114.27500000000001</v>
      </c>
      <c r="E10" s="2">
        <v>152.952</v>
      </c>
      <c r="F10" s="2">
        <v>130.184</v>
      </c>
      <c r="G10" s="10">
        <v>116.607</v>
      </c>
      <c r="H10" s="2">
        <v>98.078000000000003</v>
      </c>
      <c r="I10" s="2">
        <v>104.28</v>
      </c>
      <c r="J10" s="10">
        <v>82.459000000000003</v>
      </c>
      <c r="K10" s="2">
        <v>69.445999999999998</v>
      </c>
      <c r="L10" s="10">
        <v>73.271000000000001</v>
      </c>
      <c r="M10" s="10">
        <v>69.103999999999999</v>
      </c>
      <c r="N10" s="23">
        <v>62.41</v>
      </c>
      <c r="O10" s="30">
        <v>36.85</v>
      </c>
      <c r="P10" s="2"/>
      <c r="Q10" s="2"/>
      <c r="R10" s="2"/>
      <c r="S10" s="2"/>
      <c r="T10" s="2"/>
      <c r="U10" s="2"/>
      <c r="V10" s="2"/>
      <c r="W10" s="2"/>
      <c r="X10" s="2"/>
      <c r="Y10" s="2">
        <v>140.994</v>
      </c>
      <c r="Z10" s="2">
        <v>103.886</v>
      </c>
      <c r="AA10" s="2">
        <v>76.879000000000005</v>
      </c>
      <c r="AB10" s="2">
        <v>491.995</v>
      </c>
      <c r="AC10" s="2">
        <v>277.42899999999997</v>
      </c>
      <c r="AD10" s="2">
        <v>273.75200000000001</v>
      </c>
      <c r="AE10" s="2">
        <f t="shared" si="1"/>
        <v>468.77599999999995</v>
      </c>
      <c r="AF10" s="2">
        <f t="shared" si="2"/>
        <v>401.42400000000004</v>
      </c>
      <c r="AG10" s="2">
        <f t="shared" si="3"/>
        <v>274.23099999999999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x14ac:dyDescent="0.3">
      <c r="A11" t="s">
        <v>56</v>
      </c>
      <c r="C11" s="2">
        <v>6.81</v>
      </c>
      <c r="D11" s="2">
        <v>8.5730000000000004</v>
      </c>
      <c r="E11" s="2">
        <v>10.593</v>
      </c>
      <c r="F11" s="2">
        <v>8.4179999999999993</v>
      </c>
      <c r="G11" s="10"/>
      <c r="H11" s="2"/>
      <c r="I11" s="2"/>
      <c r="J11" s="10"/>
      <c r="K11" s="2"/>
      <c r="L11" s="10"/>
      <c r="M11" s="10"/>
      <c r="N11" s="23"/>
      <c r="O11" s="30"/>
      <c r="P11" s="2"/>
      <c r="Q11" s="2"/>
      <c r="R11" s="2"/>
      <c r="S11" s="2"/>
      <c r="T11" s="2"/>
      <c r="U11" s="2"/>
      <c r="V11" s="2"/>
      <c r="W11" s="2"/>
      <c r="X11" s="2"/>
      <c r="Y11" s="2">
        <v>96.68</v>
      </c>
      <c r="Z11" s="2">
        <v>98.641000000000005</v>
      </c>
      <c r="AA11" s="2">
        <v>107.087</v>
      </c>
      <c r="AB11" s="2">
        <v>89.373000000000005</v>
      </c>
      <c r="AC11" s="2">
        <v>49.344000000000001</v>
      </c>
      <c r="AD11" s="2">
        <v>43.404000000000003</v>
      </c>
      <c r="AE11" s="2">
        <f t="shared" si="1"/>
        <v>34.393999999999998</v>
      </c>
      <c r="AF11" s="2">
        <f t="shared" si="2"/>
        <v>0</v>
      </c>
      <c r="AG11" s="2">
        <f t="shared" si="3"/>
        <v>0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3">
      <c r="A12" s="20" t="s">
        <v>25</v>
      </c>
      <c r="B12" s="20"/>
      <c r="C12" s="2">
        <v>5.0000000000000001E-3</v>
      </c>
      <c r="D12" s="2">
        <v>2.0999999999999999E-3</v>
      </c>
      <c r="E12" s="2">
        <v>0.60599999999999998</v>
      </c>
      <c r="F12" s="2">
        <v>8.1000000000000003E-2</v>
      </c>
      <c r="G12" s="10">
        <v>6.26</v>
      </c>
      <c r="H12" s="2">
        <v>5.7089999999999996</v>
      </c>
      <c r="I12" s="2">
        <v>4.6130000000000004</v>
      </c>
      <c r="J12" s="10">
        <v>2.0830000000000002</v>
      </c>
      <c r="K12" s="2">
        <v>2.0870000000000002</v>
      </c>
      <c r="L12" s="10">
        <v>2.2069999999999999</v>
      </c>
      <c r="M12" s="10">
        <v>1.3480000000000001</v>
      </c>
      <c r="N12" s="23">
        <v>1.4390000000000001</v>
      </c>
      <c r="O12" s="30"/>
      <c r="P12" s="2"/>
      <c r="Q12" s="2"/>
      <c r="R12" s="2"/>
      <c r="S12" s="2"/>
      <c r="T12" s="2"/>
      <c r="U12" s="2"/>
      <c r="V12" s="2"/>
      <c r="W12" s="2"/>
      <c r="X12" s="2"/>
      <c r="Y12" s="2">
        <v>2.7250000000000001</v>
      </c>
      <c r="Z12" s="2">
        <v>2.57</v>
      </c>
      <c r="AA12" s="2">
        <v>1.2949999999999999</v>
      </c>
      <c r="AB12" s="2">
        <v>0.433</v>
      </c>
      <c r="AC12" s="2">
        <v>0.41399999999999998</v>
      </c>
      <c r="AD12" s="2">
        <v>0.373</v>
      </c>
      <c r="AE12" s="2">
        <f t="shared" si="1"/>
        <v>0.69409999999999994</v>
      </c>
      <c r="AF12" s="2">
        <f t="shared" si="2"/>
        <v>18.664999999999999</v>
      </c>
      <c r="AG12" s="2">
        <f t="shared" si="3"/>
        <v>7.0810000000000004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x14ac:dyDescent="0.3">
      <c r="A13" s="21" t="s">
        <v>26</v>
      </c>
      <c r="B13" s="21"/>
      <c r="C13" s="11">
        <f t="shared" ref="C13:J13" si="4">SUM(C3:C12)</f>
        <v>791.89399999999989</v>
      </c>
      <c r="D13" s="11">
        <f t="shared" si="4"/>
        <v>1257.1391000000001</v>
      </c>
      <c r="E13" s="11">
        <f t="shared" si="4"/>
        <v>1667.3020000000001</v>
      </c>
      <c r="F13" s="11">
        <f t="shared" si="4"/>
        <v>1535.9249999999997</v>
      </c>
      <c r="G13" s="11">
        <f t="shared" si="4"/>
        <v>1312.058</v>
      </c>
      <c r="H13" s="2">
        <f t="shared" si="4"/>
        <v>1306.2670000000001</v>
      </c>
      <c r="I13" s="2">
        <f t="shared" si="4"/>
        <v>1632.7820000000002</v>
      </c>
      <c r="J13" s="10">
        <f t="shared" si="4"/>
        <v>1229.9940000000001</v>
      </c>
      <c r="K13" s="10">
        <f t="shared" ref="K13:O13" si="5">SUM(K3:K12)</f>
        <v>1159.8649999999998</v>
      </c>
      <c r="L13" s="10">
        <f t="shared" si="5"/>
        <v>1148.951</v>
      </c>
      <c r="M13" s="10">
        <f t="shared" si="5"/>
        <v>1269.925</v>
      </c>
      <c r="N13" s="23">
        <f t="shared" si="5"/>
        <v>960.07699999999988</v>
      </c>
      <c r="O13" s="31">
        <f t="shared" si="5"/>
        <v>974.49899999999991</v>
      </c>
      <c r="P13" s="2">
        <f>1935-O13</f>
        <v>960.50100000000009</v>
      </c>
      <c r="Q13" s="2">
        <f>0.57*2050</f>
        <v>1168.5</v>
      </c>
      <c r="R13" s="2">
        <f>0.43*2050</f>
        <v>881.5</v>
      </c>
      <c r="S13" s="2"/>
      <c r="T13" s="2"/>
      <c r="U13" s="2"/>
      <c r="V13" s="2"/>
      <c r="W13" s="2"/>
      <c r="X13" s="2"/>
      <c r="Y13" s="2">
        <f>SUM(Y3:Y12)+117.462</f>
        <v>2004.9079999999999</v>
      </c>
      <c r="Z13" s="2">
        <f>SUM(Z3:Z12)+71.041</f>
        <v>2018.1</v>
      </c>
      <c r="AA13" s="2">
        <f>SUM(AA3:AA12)</f>
        <v>2221.4270000000001</v>
      </c>
      <c r="AB13" s="2">
        <f>SUM(AB3:AB12)</f>
        <v>2566.8629999999998</v>
      </c>
      <c r="AC13" s="2">
        <f>SUM(AC3:AC12)</f>
        <v>2788.3220000000006</v>
      </c>
      <c r="AD13" s="2">
        <f>SUM(AD3:AD12)</f>
        <v>2975.8510000000001</v>
      </c>
      <c r="AE13" s="2">
        <f t="shared" si="1"/>
        <v>5252.2600999999995</v>
      </c>
      <c r="AF13" s="2">
        <f t="shared" si="2"/>
        <v>5481.1010000000006</v>
      </c>
      <c r="AG13" s="2">
        <f t="shared" si="3"/>
        <v>4538.8180000000002</v>
      </c>
      <c r="AH13" s="2">
        <f>SUM(O13:R13)</f>
        <v>3985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x14ac:dyDescent="0.3">
      <c r="A14" s="20" t="s">
        <v>27</v>
      </c>
      <c r="B14" s="20"/>
      <c r="C14" s="2">
        <v>482.63799999999998</v>
      </c>
      <c r="D14" s="2">
        <v>684.59900000000005</v>
      </c>
      <c r="E14" s="2">
        <v>914.851</v>
      </c>
      <c r="F14" s="2">
        <v>821.12699999999995</v>
      </c>
      <c r="G14" s="10">
        <v>739.06600000000003</v>
      </c>
      <c r="H14" s="2">
        <v>760.26800000000003</v>
      </c>
      <c r="I14" s="2">
        <v>971.64599999999996</v>
      </c>
      <c r="J14" s="10">
        <v>733.09199999999998</v>
      </c>
      <c r="K14" s="10">
        <v>697.22</v>
      </c>
      <c r="L14" s="10">
        <v>707.02599999999995</v>
      </c>
      <c r="M14" s="10">
        <v>789.48900000000003</v>
      </c>
      <c r="N14" s="23">
        <v>612.70299999999997</v>
      </c>
      <c r="O14" s="30">
        <v>595.71199999999999</v>
      </c>
      <c r="P14" s="2"/>
      <c r="Q14" s="2"/>
      <c r="R14" s="2"/>
      <c r="S14" s="2"/>
      <c r="T14" s="2"/>
      <c r="U14" s="2"/>
      <c r="V14" s="2"/>
      <c r="W14" s="2"/>
      <c r="X14" s="2"/>
      <c r="Y14" s="2">
        <v>1299.451</v>
      </c>
      <c r="Z14" s="2">
        <v>1337.0530000000001</v>
      </c>
      <c r="AA14" s="2">
        <v>1395.211</v>
      </c>
      <c r="AB14" s="2">
        <v>1648.7439999999999</v>
      </c>
      <c r="AC14" s="2">
        <v>1737.9690000000001</v>
      </c>
      <c r="AD14" s="2">
        <v>1838.6849999999999</v>
      </c>
      <c r="AE14" s="2">
        <f t="shared" si="1"/>
        <v>2903.2150000000001</v>
      </c>
      <c r="AF14" s="2">
        <f t="shared" si="2"/>
        <v>3204.0720000000001</v>
      </c>
      <c r="AG14" s="2">
        <f t="shared" si="3"/>
        <v>2806.4380000000001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3">
      <c r="A15" s="20" t="s">
        <v>28</v>
      </c>
      <c r="B15" s="20"/>
      <c r="C15" s="2">
        <v>3.5230000000000001</v>
      </c>
      <c r="D15" s="2">
        <v>2.8359999999999999</v>
      </c>
      <c r="E15" s="2">
        <v>3.4409999999999998</v>
      </c>
      <c r="F15" s="2">
        <v>3.5289999999999999</v>
      </c>
      <c r="G15" s="10">
        <v>4.0659999999999998</v>
      </c>
      <c r="H15" s="2">
        <v>3.8359999999999999</v>
      </c>
      <c r="I15" s="2">
        <v>3.1259999999999999</v>
      </c>
      <c r="J15" s="10">
        <v>2.9950000000000001</v>
      </c>
      <c r="K15" s="10">
        <v>3.0419999999999998</v>
      </c>
      <c r="L15" s="10">
        <v>3.145</v>
      </c>
      <c r="M15" s="10">
        <v>3.1680000000000001</v>
      </c>
      <c r="N15" s="23">
        <v>3.51</v>
      </c>
      <c r="O15" s="30">
        <v>3.145</v>
      </c>
      <c r="P15" s="2"/>
      <c r="Q15" s="2"/>
      <c r="R15" s="2"/>
      <c r="S15" s="2"/>
      <c r="T15" s="2"/>
      <c r="U15" s="2"/>
      <c r="V15" s="2"/>
      <c r="W15" s="2"/>
      <c r="X15" s="2"/>
      <c r="Y15" s="2">
        <v>0</v>
      </c>
      <c r="Z15" s="2">
        <v>0</v>
      </c>
      <c r="AA15" s="2">
        <v>6.1749999999999998</v>
      </c>
      <c r="AB15" s="2">
        <v>8.8780000000000001</v>
      </c>
      <c r="AC15" s="2">
        <v>13.342000000000001</v>
      </c>
      <c r="AD15" s="2">
        <v>14.785</v>
      </c>
      <c r="AE15" s="2">
        <f t="shared" si="1"/>
        <v>13.329000000000001</v>
      </c>
      <c r="AF15" s="2">
        <f t="shared" si="2"/>
        <v>14.023</v>
      </c>
      <c r="AG15" s="2">
        <f t="shared" si="3"/>
        <v>12.865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x14ac:dyDescent="0.3">
      <c r="A16" s="20" t="s">
        <v>29</v>
      </c>
      <c r="B16" s="20"/>
      <c r="C16" s="10">
        <f t="shared" ref="C16:N16" si="6">C13-C14-C15</f>
        <v>305.73299999999989</v>
      </c>
      <c r="D16" s="10">
        <f t="shared" si="6"/>
        <v>569.70410000000004</v>
      </c>
      <c r="E16" s="10">
        <f t="shared" si="6"/>
        <v>749.0100000000001</v>
      </c>
      <c r="F16" s="10">
        <f t="shared" si="6"/>
        <v>711.26899999999978</v>
      </c>
      <c r="G16" s="10">
        <f t="shared" si="6"/>
        <v>568.92599999999993</v>
      </c>
      <c r="H16" s="10">
        <f t="shared" si="6"/>
        <v>542.16300000000001</v>
      </c>
      <c r="I16" s="10">
        <f t="shared" si="6"/>
        <v>658.01000000000022</v>
      </c>
      <c r="J16" s="10">
        <f>J13-J14-J15</f>
        <v>493.90700000000015</v>
      </c>
      <c r="K16" s="10">
        <f t="shared" si="6"/>
        <v>459.60299999999978</v>
      </c>
      <c r="L16" s="10">
        <f t="shared" si="6"/>
        <v>438.78000000000009</v>
      </c>
      <c r="M16" s="10">
        <f t="shared" si="6"/>
        <v>477.26799999999992</v>
      </c>
      <c r="N16" s="23">
        <f t="shared" si="6"/>
        <v>343.86399999999992</v>
      </c>
      <c r="O16" s="30">
        <f>O13-O14-O15</f>
        <v>375.64199999999994</v>
      </c>
      <c r="P16" s="2">
        <f>P13*0.382</f>
        <v>366.91138200000006</v>
      </c>
      <c r="Q16" s="2">
        <f>Q13*0.398</f>
        <v>465.06300000000005</v>
      </c>
      <c r="R16" s="2">
        <f>R13*0.365</f>
        <v>321.7475</v>
      </c>
      <c r="S16" s="2"/>
      <c r="T16" s="2"/>
      <c r="U16" s="2"/>
      <c r="V16" s="2"/>
      <c r="W16" s="2"/>
      <c r="X16" s="2"/>
      <c r="Y16" s="2">
        <f>Y13-Y14</f>
        <v>705.45699999999988</v>
      </c>
      <c r="Z16" s="2">
        <f>Z13-Z14</f>
        <v>681.0469999999998</v>
      </c>
      <c r="AA16" s="2">
        <f>AA13-AA14-AA15</f>
        <v>820.04100000000017</v>
      </c>
      <c r="AB16" s="2">
        <f>AB13-AB14-AB15</f>
        <v>909.24099999999987</v>
      </c>
      <c r="AC16" s="2">
        <f>AC13-AC14-AC15</f>
        <v>1037.0110000000004</v>
      </c>
      <c r="AD16" s="2">
        <f>AD13-AD14-AD15</f>
        <v>1122.3810000000001</v>
      </c>
      <c r="AE16" s="2">
        <f>AE13-AE14-AE15</f>
        <v>2335.7160999999992</v>
      </c>
      <c r="AF16" s="2">
        <f t="shared" si="2"/>
        <v>2263.0060000000003</v>
      </c>
      <c r="AG16" s="2">
        <f t="shared" si="3"/>
        <v>1719.5149999999999</v>
      </c>
      <c r="AH16" s="2">
        <f>SUM(O16:R16)</f>
        <v>1529.3638820000001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93" x14ac:dyDescent="0.3">
      <c r="A17" s="20" t="s">
        <v>30</v>
      </c>
      <c r="B17" s="20"/>
      <c r="C17" s="2">
        <v>133.238</v>
      </c>
      <c r="D17" s="2">
        <v>158.797</v>
      </c>
      <c r="E17" s="2">
        <v>204.48500000000001</v>
      </c>
      <c r="F17" s="2">
        <v>273.76400000000001</v>
      </c>
      <c r="G17" s="10">
        <v>252.31399999999999</v>
      </c>
      <c r="H17" s="2">
        <v>256.62700000000001</v>
      </c>
      <c r="I17" s="2">
        <v>269.94099999999997</v>
      </c>
      <c r="J17" s="10">
        <v>247.017</v>
      </c>
      <c r="K17" s="10">
        <v>229.37799999999999</v>
      </c>
      <c r="L17" s="10">
        <v>202.09100000000001</v>
      </c>
      <c r="M17" s="10">
        <v>196.65299999999999</v>
      </c>
      <c r="N17" s="23">
        <v>181.06</v>
      </c>
      <c r="O17" s="30">
        <v>179.185</v>
      </c>
      <c r="P17" s="2">
        <v>177</v>
      </c>
      <c r="Q17" s="2">
        <v>184</v>
      </c>
      <c r="R17" s="2">
        <v>177</v>
      </c>
      <c r="S17" s="2"/>
      <c r="T17" s="2"/>
      <c r="U17" s="2"/>
      <c r="V17" s="2"/>
      <c r="W17" s="2"/>
      <c r="X17" s="2"/>
      <c r="Y17" s="2">
        <v>321.74900000000002</v>
      </c>
      <c r="Z17" s="2">
        <v>319.01499999999999</v>
      </c>
      <c r="AA17" s="2">
        <v>379.64100000000002</v>
      </c>
      <c r="AB17" s="2">
        <v>435.48899999999998</v>
      </c>
      <c r="AC17" s="2">
        <v>488.26299999999998</v>
      </c>
      <c r="AD17" s="2">
        <v>533.32399999999996</v>
      </c>
      <c r="AE17" s="2">
        <f t="shared" si="1"/>
        <v>770.28399999999999</v>
      </c>
      <c r="AF17" s="2">
        <f t="shared" si="2"/>
        <v>1025.8990000000001</v>
      </c>
      <c r="AG17" s="2">
        <f t="shared" si="3"/>
        <v>809.18200000000002</v>
      </c>
      <c r="AH17" s="2">
        <f>SUM(O17:R17)</f>
        <v>717.18499999999995</v>
      </c>
      <c r="AI17" s="16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93" x14ac:dyDescent="0.3">
      <c r="A18" s="20" t="s">
        <v>31</v>
      </c>
      <c r="B18" s="20"/>
      <c r="C18" s="2">
        <v>49.725000000000001</v>
      </c>
      <c r="D18" s="2">
        <v>53.378999999999998</v>
      </c>
      <c r="E18" s="2">
        <v>53.91</v>
      </c>
      <c r="F18" s="2">
        <v>69.009</v>
      </c>
      <c r="G18" s="10">
        <v>69.245999999999995</v>
      </c>
      <c r="H18" s="2">
        <v>68.661000000000001</v>
      </c>
      <c r="I18" s="2">
        <v>75.528999999999996</v>
      </c>
      <c r="J18" s="10">
        <v>78.408000000000001</v>
      </c>
      <c r="K18" s="10">
        <v>75.516999999999996</v>
      </c>
      <c r="L18" s="10">
        <v>69.009</v>
      </c>
      <c r="M18" s="10">
        <v>65.64</v>
      </c>
      <c r="N18" s="23">
        <v>70.63</v>
      </c>
      <c r="O18" s="30">
        <v>70.558999999999997</v>
      </c>
      <c r="P18" s="2">
        <v>68</v>
      </c>
      <c r="Q18" s="2">
        <v>71</v>
      </c>
      <c r="R18" s="2">
        <v>68</v>
      </c>
      <c r="S18" s="2"/>
      <c r="T18" s="2"/>
      <c r="U18" s="2"/>
      <c r="V18" s="2"/>
      <c r="W18" s="2"/>
      <c r="X18" s="2"/>
      <c r="Y18" s="2">
        <v>107.54300000000001</v>
      </c>
      <c r="Z18" s="2">
        <v>113.176</v>
      </c>
      <c r="AA18" s="2">
        <v>130.52500000000001</v>
      </c>
      <c r="AB18" s="2">
        <v>143.76</v>
      </c>
      <c r="AC18" s="2">
        <v>161.22999999999999</v>
      </c>
      <c r="AD18" s="2">
        <v>177.59299999999999</v>
      </c>
      <c r="AE18" s="2">
        <f t="shared" si="1"/>
        <v>226.02300000000002</v>
      </c>
      <c r="AF18" s="2">
        <f t="shared" si="2"/>
        <v>291.84399999999999</v>
      </c>
      <c r="AG18" s="2">
        <f t="shared" si="3"/>
        <v>280.79599999999999</v>
      </c>
      <c r="AH18" s="2">
        <f>SUM(O18:R18)</f>
        <v>277.55899999999997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93" x14ac:dyDescent="0.3">
      <c r="A19" s="20" t="s">
        <v>32</v>
      </c>
      <c r="B19" s="20"/>
      <c r="C19" s="2">
        <v>29.071000000000002</v>
      </c>
      <c r="D19" s="2">
        <v>31.664000000000001</v>
      </c>
      <c r="E19" s="2">
        <v>37.606000000000002</v>
      </c>
      <c r="F19" s="2">
        <v>68.236000000000004</v>
      </c>
      <c r="G19" s="10">
        <v>40.542000000000002</v>
      </c>
      <c r="H19" s="2">
        <v>33.271000000000001</v>
      </c>
      <c r="I19" s="2">
        <v>38.478000000000002</v>
      </c>
      <c r="J19" s="10">
        <v>36.356999999999999</v>
      </c>
      <c r="K19" s="10">
        <v>35.86</v>
      </c>
      <c r="L19" s="10">
        <v>26.588999999999999</v>
      </c>
      <c r="M19" s="10">
        <v>29.765999999999998</v>
      </c>
      <c r="N19" s="23">
        <v>32.436999999999998</v>
      </c>
      <c r="O19" s="30">
        <v>41.296999999999997</v>
      </c>
      <c r="P19" s="2">
        <v>31</v>
      </c>
      <c r="Q19" s="2">
        <v>33</v>
      </c>
      <c r="R19" s="2">
        <v>32</v>
      </c>
      <c r="S19" s="2"/>
      <c r="T19" s="2"/>
      <c r="U19" s="2"/>
      <c r="V19" s="2"/>
      <c r="W19" s="2"/>
      <c r="X19" s="2"/>
      <c r="Y19" s="2">
        <v>125.995</v>
      </c>
      <c r="Z19" s="2">
        <v>101.012</v>
      </c>
      <c r="AA19" s="2">
        <v>100.27</v>
      </c>
      <c r="AB19" s="2">
        <v>96.352999999999994</v>
      </c>
      <c r="AC19" s="2">
        <v>98.731999999999999</v>
      </c>
      <c r="AD19" s="2">
        <v>94.015000000000001</v>
      </c>
      <c r="AE19" s="2">
        <f t="shared" si="1"/>
        <v>166.577</v>
      </c>
      <c r="AF19" s="2">
        <f t="shared" si="2"/>
        <v>148.648</v>
      </c>
      <c r="AG19" s="2">
        <f t="shared" si="3"/>
        <v>124.652</v>
      </c>
      <c r="AH19" s="2">
        <f>SUM(O19:R19)</f>
        <v>137.297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93" x14ac:dyDescent="0.3">
      <c r="A20" s="21" t="s">
        <v>33</v>
      </c>
      <c r="B20" s="21"/>
      <c r="C20" s="11">
        <f>SUM(C17:C19)+4.609-0.053</f>
        <v>216.59</v>
      </c>
      <c r="D20" s="11">
        <f>SUM(D17:D19)+4.331-0.0001</f>
        <v>248.17089999999996</v>
      </c>
      <c r="E20" s="11">
        <f>SUM(E17:E19)+4.946</f>
        <v>300.947</v>
      </c>
      <c r="F20" s="10">
        <f>SUM(F17:F19)+5.178</f>
        <v>416.18700000000001</v>
      </c>
      <c r="G20" s="10">
        <f>SUM(G17:G19)+5.217</f>
        <v>367.31899999999996</v>
      </c>
      <c r="H20" s="10">
        <f>SUM(H17:H19)+0.011-0.925+5.107</f>
        <v>362.75200000000007</v>
      </c>
      <c r="I20" s="10">
        <f>SUM(I17:I19)+7+1.759-1.11+3.662</f>
        <v>395.25899999999996</v>
      </c>
      <c r="J20" s="10">
        <f>SUM(J17:J19)+0.395+2.961</f>
        <v>365.13800000000003</v>
      </c>
      <c r="K20" s="10">
        <f>SUM(K17:K19)+3.369</f>
        <v>344.12400000000002</v>
      </c>
      <c r="L20" s="10">
        <f>SUM(L17:L19)+2.873+10.817</f>
        <v>311.37900000000002</v>
      </c>
      <c r="M20" s="10">
        <f>SUM(M17:M19)+2.81+5.654</f>
        <v>300.52300000000002</v>
      </c>
      <c r="N20" s="23">
        <f>SUM(N17:N19)+18.102+2.791</f>
        <v>305.02</v>
      </c>
      <c r="O20" s="30">
        <f>SUM(O17:O19)+2.685+3.511</f>
        <v>297.23700000000002</v>
      </c>
      <c r="P20" s="2">
        <f>SUM(P17:P19)+7</f>
        <v>283</v>
      </c>
      <c r="Q20" s="2">
        <f>SUM(Q17:Q19)+12</f>
        <v>300</v>
      </c>
      <c r="R20" s="2">
        <f>SUM(R17:R19)+10</f>
        <v>287</v>
      </c>
      <c r="S20" s="16"/>
      <c r="T20" s="2"/>
      <c r="U20" s="2"/>
      <c r="V20" s="2"/>
      <c r="W20" s="2"/>
      <c r="X20" s="2"/>
      <c r="Y20" s="2">
        <f>SUM(Y17:Y19)+0.763-4.777</f>
        <v>551.27300000000002</v>
      </c>
      <c r="Z20" s="2">
        <f>SUM(Z17:Z19)+0.984+17.802</f>
        <v>551.98900000000003</v>
      </c>
      <c r="AA20" s="2">
        <f>SUM(AA17:AA19)+5.814+0.023</f>
        <v>616.27300000000002</v>
      </c>
      <c r="AB20" s="2">
        <f>SUM(AB17:AB19)+8.93-0.116</f>
        <v>684.41599999999994</v>
      </c>
      <c r="AC20" s="2">
        <f>SUM(AC17:AC19)+14.29+11.302</f>
        <v>773.81699999999989</v>
      </c>
      <c r="AD20" s="2">
        <f>SUM(AD17:AD19)+0.144+17.563</f>
        <v>822.6389999999999</v>
      </c>
      <c r="AE20" s="2">
        <f t="shared" si="1"/>
        <v>1181.8949</v>
      </c>
      <c r="AF20" s="2">
        <f t="shared" si="2"/>
        <v>1490.4679999999998</v>
      </c>
      <c r="AG20" s="2">
        <f t="shared" si="3"/>
        <v>1261.046</v>
      </c>
      <c r="AH20" s="2">
        <f>SUM(O20:R20)</f>
        <v>1167.2370000000001</v>
      </c>
      <c r="AI20" s="16">
        <f>AH21/AH13</f>
        <v>9.0872492346298628E-2</v>
      </c>
      <c r="AJ20" s="16">
        <f>AF21/AF13</f>
        <v>0.14094576983711854</v>
      </c>
      <c r="AK20" s="16">
        <f>AE21/AE13</f>
        <v>0.21968089508743088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93" x14ac:dyDescent="0.3">
      <c r="A21" s="21" t="s">
        <v>54</v>
      </c>
      <c r="B21" s="21"/>
      <c r="C21" s="11">
        <f t="shared" ref="C21:J21" si="7">C16-C20</f>
        <v>89.142999999999887</v>
      </c>
      <c r="D21" s="11">
        <f t="shared" si="7"/>
        <v>321.53320000000008</v>
      </c>
      <c r="E21" s="11">
        <f t="shared" si="7"/>
        <v>448.0630000000001</v>
      </c>
      <c r="F21" s="10">
        <f t="shared" si="7"/>
        <v>295.08199999999977</v>
      </c>
      <c r="G21" s="10">
        <f t="shared" si="7"/>
        <v>201.60699999999997</v>
      </c>
      <c r="H21" s="10">
        <f t="shared" si="7"/>
        <v>179.41099999999994</v>
      </c>
      <c r="I21" s="10">
        <f t="shared" si="7"/>
        <v>262.75100000000026</v>
      </c>
      <c r="J21" s="10">
        <f t="shared" si="7"/>
        <v>128.76900000000012</v>
      </c>
      <c r="K21" s="10">
        <f t="shared" ref="K21:R21" si="8">K16-K20</f>
        <v>115.47899999999976</v>
      </c>
      <c r="L21" s="10">
        <f t="shared" si="8"/>
        <v>127.40100000000007</v>
      </c>
      <c r="M21" s="10">
        <f>M16-M20</f>
        <v>176.74499999999989</v>
      </c>
      <c r="N21" s="23">
        <f t="shared" si="8"/>
        <v>38.843999999999937</v>
      </c>
      <c r="O21" s="31">
        <f t="shared" si="8"/>
        <v>78.404999999999916</v>
      </c>
      <c r="P21" s="10">
        <f t="shared" si="8"/>
        <v>83.91138200000006</v>
      </c>
      <c r="Q21" s="10">
        <f t="shared" si="8"/>
        <v>165.06300000000005</v>
      </c>
      <c r="R21" s="10">
        <f t="shared" si="8"/>
        <v>34.747500000000002</v>
      </c>
      <c r="S21" s="2"/>
      <c r="T21" s="13"/>
      <c r="U21" s="13"/>
      <c r="V21" s="2"/>
      <c r="W21" s="2"/>
      <c r="X21" s="2"/>
      <c r="Y21" s="2">
        <f>Y16-Y20</f>
        <v>154.18399999999986</v>
      </c>
      <c r="Z21" s="2">
        <f>Z16-Z20</f>
        <v>129.05799999999977</v>
      </c>
      <c r="AA21" s="2">
        <f>+AA16-AA20</f>
        <v>203.76800000000014</v>
      </c>
      <c r="AB21" s="2">
        <f>AB16-AB20</f>
        <v>224.82499999999993</v>
      </c>
      <c r="AC21" s="2">
        <f>AC16-AC20</f>
        <v>263.19400000000053</v>
      </c>
      <c r="AD21" s="2">
        <f>AD16-AD20</f>
        <v>299.74200000000019</v>
      </c>
      <c r="AE21" s="2">
        <f>AE16-AE20</f>
        <v>1153.8211999999992</v>
      </c>
      <c r="AF21" s="2">
        <f t="shared" si="2"/>
        <v>772.53800000000035</v>
      </c>
      <c r="AG21" s="2">
        <f t="shared" si="3"/>
        <v>458.46899999999965</v>
      </c>
      <c r="AH21" s="2">
        <f>SUM(O21:R21)</f>
        <v>362.12688200000002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93" x14ac:dyDescent="0.3">
      <c r="A22" s="20" t="s">
        <v>34</v>
      </c>
      <c r="B22" s="20"/>
      <c r="C22" s="2">
        <f>0.62+2.029</f>
        <v>2.649</v>
      </c>
      <c r="D22" s="2">
        <f>0.513+1.149</f>
        <v>1.6619999999999999</v>
      </c>
      <c r="E22" s="2">
        <f>0.311+6.483</f>
        <v>6.7939999999999996</v>
      </c>
      <c r="F22" s="2">
        <f>0.34-11.45</f>
        <v>-11.11</v>
      </c>
      <c r="G22" s="2">
        <f>0.316+8.435</f>
        <v>8.7510000000000012</v>
      </c>
      <c r="H22" s="2">
        <f>0.201-6.703</f>
        <v>-6.5020000000000007</v>
      </c>
      <c r="I22" s="2">
        <f>0.278-3.673</f>
        <v>-3.395</v>
      </c>
      <c r="J22" s="10">
        <f>0.451+2.501</f>
        <v>2.952</v>
      </c>
      <c r="K22" s="10">
        <f>1.449+5.624</f>
        <v>7.0729999999999995</v>
      </c>
      <c r="L22" s="10">
        <f>3.459-25.397</f>
        <v>-21.937999999999999</v>
      </c>
      <c r="M22" s="10">
        <f>4.665+1.406</f>
        <v>6.0709999999999997</v>
      </c>
      <c r="N22" s="23">
        <f>8.758+5.089</f>
        <v>13.847</v>
      </c>
      <c r="O22" s="30">
        <f>9.826-12.972</f>
        <v>-3.145999999999999</v>
      </c>
      <c r="P22" s="2">
        <v>6</v>
      </c>
      <c r="Q22" s="2">
        <v>12</v>
      </c>
      <c r="R22" s="2">
        <v>11</v>
      </c>
      <c r="S22" s="2"/>
      <c r="T22" s="2"/>
      <c r="U22" s="2"/>
      <c r="V22" s="2"/>
      <c r="W22" s="2"/>
      <c r="X22" s="2"/>
      <c r="Y22" s="2">
        <f>1.197-2.298</f>
        <v>-1.101</v>
      </c>
      <c r="Z22" s="2">
        <f>0.79+1.624</f>
        <v>2.4140000000000001</v>
      </c>
      <c r="AA22" s="2">
        <f>1.452+1.677</f>
        <v>3.129</v>
      </c>
      <c r="AB22" s="2">
        <f>4.969-2.437</f>
        <v>2.5320000000000005</v>
      </c>
      <c r="AC22" s="2">
        <f>8.375-0.436</f>
        <v>7.9390000000000001</v>
      </c>
      <c r="AD22" s="2">
        <f>9.619+38.212</f>
        <v>47.831000000000003</v>
      </c>
      <c r="AE22" s="2">
        <f t="shared" si="1"/>
        <v>-4.9999999999990052E-3</v>
      </c>
      <c r="AF22" s="2">
        <f t="shared" si="2"/>
        <v>1.8060000000000005</v>
      </c>
      <c r="AG22" s="2">
        <f t="shared" si="3"/>
        <v>5.0530000000000008</v>
      </c>
      <c r="AH22" s="2">
        <f>SUM(O22:R22)</f>
        <v>25.853999999999999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93" x14ac:dyDescent="0.3">
      <c r="A23" s="21" t="s">
        <v>35</v>
      </c>
      <c r="B23" s="21"/>
      <c r="C23" s="11">
        <f t="shared" ref="C23:J23" si="9">C21+C22</f>
        <v>91.791999999999888</v>
      </c>
      <c r="D23" s="11">
        <f t="shared" si="9"/>
        <v>323.19520000000006</v>
      </c>
      <c r="E23" s="10">
        <f t="shared" si="9"/>
        <v>454.85700000000008</v>
      </c>
      <c r="F23" s="10">
        <f t="shared" si="9"/>
        <v>283.97199999999975</v>
      </c>
      <c r="G23" s="10">
        <f t="shared" si="9"/>
        <v>210.35799999999998</v>
      </c>
      <c r="H23" s="10">
        <f t="shared" si="9"/>
        <v>172.90899999999993</v>
      </c>
      <c r="I23" s="10">
        <f t="shared" si="9"/>
        <v>259.35600000000028</v>
      </c>
      <c r="J23" s="10">
        <f t="shared" si="9"/>
        <v>131.72100000000012</v>
      </c>
      <c r="K23" s="10">
        <f t="shared" ref="K23:P23" si="10">K21+K22</f>
        <v>122.55199999999975</v>
      </c>
      <c r="L23" s="10">
        <f t="shared" si="10"/>
        <v>105.46300000000006</v>
      </c>
      <c r="M23" s="10">
        <f t="shared" si="10"/>
        <v>182.81599999999989</v>
      </c>
      <c r="N23" s="23">
        <f t="shared" si="10"/>
        <v>52.690999999999939</v>
      </c>
      <c r="O23" s="31">
        <f t="shared" si="10"/>
        <v>75.258999999999915</v>
      </c>
      <c r="P23" s="10">
        <f t="shared" si="10"/>
        <v>89.91138200000006</v>
      </c>
      <c r="Q23" s="2">
        <f>Q21+Q22</f>
        <v>177.06300000000005</v>
      </c>
      <c r="R23" s="2">
        <f>R21+R22</f>
        <v>45.747500000000002</v>
      </c>
      <c r="S23" s="2"/>
      <c r="T23" s="2"/>
      <c r="U23" s="2"/>
      <c r="V23" s="2"/>
      <c r="W23" s="2"/>
      <c r="X23" s="2"/>
      <c r="Y23" s="2">
        <f>Y21+Y22</f>
        <v>153.08299999999986</v>
      </c>
      <c r="Z23" s="2">
        <f>+Z21+Z22</f>
        <v>131.47199999999975</v>
      </c>
      <c r="AA23" s="2">
        <f>AA21+AA22</f>
        <v>206.89700000000013</v>
      </c>
      <c r="AB23" s="2">
        <f>AB21+AB22</f>
        <v>227.35699999999994</v>
      </c>
      <c r="AC23" s="2">
        <f>AC22+AC21</f>
        <v>271.13300000000055</v>
      </c>
      <c r="AD23" s="2">
        <f>AD21+AD22</f>
        <v>347.57300000000021</v>
      </c>
      <c r="AE23" s="2">
        <f t="shared" si="1"/>
        <v>1153.8161999999998</v>
      </c>
      <c r="AF23" s="2">
        <f t="shared" si="2"/>
        <v>774.34400000000039</v>
      </c>
      <c r="AG23" s="2">
        <f t="shared" si="3"/>
        <v>463.52199999999959</v>
      </c>
      <c r="AH23" s="2">
        <f>SUM(O23:R23)</f>
        <v>387.98088200000001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93" x14ac:dyDescent="0.3">
      <c r="A24" s="20" t="s">
        <v>36</v>
      </c>
      <c r="B24" s="20"/>
      <c r="C24" s="2">
        <v>14.003</v>
      </c>
      <c r="D24" s="2">
        <v>56.301000000000002</v>
      </c>
      <c r="E24" s="2">
        <v>72.334000000000003</v>
      </c>
      <c r="F24" s="2">
        <v>58.225000000000001</v>
      </c>
      <c r="G24" s="2">
        <v>24.991</v>
      </c>
      <c r="H24" s="2">
        <v>33.453000000000003</v>
      </c>
      <c r="I24" s="2">
        <v>49.344999999999999</v>
      </c>
      <c r="J24" s="10">
        <v>23.515999999999998</v>
      </c>
      <c r="K24" s="10">
        <v>21.175999999999998</v>
      </c>
      <c r="L24" s="10">
        <v>23.372</v>
      </c>
      <c r="M24" s="10">
        <v>42.662999999999997</v>
      </c>
      <c r="N24" s="23">
        <v>11.196</v>
      </c>
      <c r="O24" s="30">
        <v>12.532</v>
      </c>
      <c r="P24" s="2">
        <f>0.175*P23</f>
        <v>15.73449185000001</v>
      </c>
      <c r="Q24" s="2">
        <f t="shared" ref="Q24:R24" si="11">0.175*Q23</f>
        <v>30.986025000000005</v>
      </c>
      <c r="R24" s="2">
        <f t="shared" si="11"/>
        <v>8.0058124999999993</v>
      </c>
      <c r="S24" s="2"/>
      <c r="T24" s="2"/>
      <c r="U24" s="2"/>
      <c r="V24" s="2"/>
      <c r="W24" s="2"/>
      <c r="X24" s="2"/>
      <c r="Y24" s="2">
        <v>4.6539999999999999</v>
      </c>
      <c r="Z24" s="2">
        <v>3.11</v>
      </c>
      <c r="AA24" s="2">
        <v>9.1129999999999995</v>
      </c>
      <c r="AB24" s="2">
        <v>23.722999999999999</v>
      </c>
      <c r="AC24" s="2">
        <v>13.56</v>
      </c>
      <c r="AD24" s="2">
        <v>-125.39700000000001</v>
      </c>
      <c r="AE24" s="2">
        <f t="shared" si="1"/>
        <v>200.863</v>
      </c>
      <c r="AF24" s="2">
        <f t="shared" si="2"/>
        <v>131.30500000000001</v>
      </c>
      <c r="AG24" s="2">
        <f t="shared" si="3"/>
        <v>98.406999999999996</v>
      </c>
      <c r="AH24" s="2">
        <f>SUM(O24:R24)</f>
        <v>67.258329350000011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93" x14ac:dyDescent="0.3">
      <c r="A25" s="21" t="s">
        <v>37</v>
      </c>
      <c r="B25" s="21"/>
      <c r="C25" s="11">
        <f t="shared" ref="C25:J25" si="12">C23-C24</f>
        <v>77.788999999999888</v>
      </c>
      <c r="D25" s="11">
        <f t="shared" si="12"/>
        <v>266.89420000000007</v>
      </c>
      <c r="E25" s="2">
        <f t="shared" si="12"/>
        <v>382.52300000000008</v>
      </c>
      <c r="F25" s="2">
        <f t="shared" si="12"/>
        <v>225.74699999999976</v>
      </c>
      <c r="G25" s="2">
        <f t="shared" si="12"/>
        <v>185.36699999999996</v>
      </c>
      <c r="H25" s="10">
        <f t="shared" si="12"/>
        <v>139.45599999999993</v>
      </c>
      <c r="I25" s="10">
        <f t="shared" si="12"/>
        <v>210.01100000000028</v>
      </c>
      <c r="J25" s="10">
        <f t="shared" si="12"/>
        <v>108.20500000000013</v>
      </c>
      <c r="K25" s="10">
        <f t="shared" ref="K25:N25" si="13">K23-K24</f>
        <v>101.37599999999975</v>
      </c>
      <c r="L25" s="10">
        <f t="shared" si="13"/>
        <v>82.091000000000065</v>
      </c>
      <c r="M25" s="10">
        <f t="shared" si="13"/>
        <v>140.15299999999991</v>
      </c>
      <c r="N25" s="23">
        <f t="shared" si="13"/>
        <v>41.494999999999941</v>
      </c>
      <c r="O25" s="30">
        <f>O23-O24</f>
        <v>62.726999999999919</v>
      </c>
      <c r="P25" s="2">
        <f>P23-P24</f>
        <v>74.176890150000048</v>
      </c>
      <c r="Q25" s="2">
        <f>Q23-Q24</f>
        <v>146.07697500000003</v>
      </c>
      <c r="R25" s="2">
        <f>R23-R24</f>
        <v>37.741687500000005</v>
      </c>
      <c r="S25" s="2"/>
      <c r="T25" s="2"/>
      <c r="U25" s="2"/>
      <c r="V25" s="2"/>
      <c r="W25" s="2"/>
      <c r="X25" s="2"/>
      <c r="Y25" s="2">
        <f t="shared" ref="Y25:AD25" si="14">Y23-Y24</f>
        <v>148.42899999999986</v>
      </c>
      <c r="Z25" s="2">
        <f t="shared" si="14"/>
        <v>128.36199999999974</v>
      </c>
      <c r="AA25" s="2">
        <f t="shared" si="14"/>
        <v>197.78400000000013</v>
      </c>
      <c r="AB25" s="2">
        <f t="shared" si="14"/>
        <v>203.63399999999996</v>
      </c>
      <c r="AC25" s="2">
        <f t="shared" si="14"/>
        <v>257.57300000000055</v>
      </c>
      <c r="AD25" s="2">
        <f t="shared" si="14"/>
        <v>472.9700000000002</v>
      </c>
      <c r="AE25" s="2">
        <f t="shared" si="1"/>
        <v>952.95319999999981</v>
      </c>
      <c r="AF25" s="2">
        <f t="shared" si="2"/>
        <v>643.03900000000033</v>
      </c>
      <c r="AG25" s="2">
        <f t="shared" si="3"/>
        <v>365.11499999999967</v>
      </c>
      <c r="AH25" s="2">
        <f>SUM(O25:R25)</f>
        <v>320.72255265000001</v>
      </c>
      <c r="AI25" s="2">
        <v>550</v>
      </c>
      <c r="AJ25" s="2">
        <v>650</v>
      </c>
      <c r="AK25" s="2">
        <f>AJ25*1.1</f>
        <v>715.00000000000011</v>
      </c>
      <c r="AL25" s="2">
        <f>AK25*1.18</f>
        <v>843.7</v>
      </c>
      <c r="AM25" s="2">
        <f>AL25*1.1</f>
        <v>928.07000000000016</v>
      </c>
      <c r="AN25" s="2">
        <f>AM25*1.1</f>
        <v>1020.8770000000003</v>
      </c>
      <c r="AO25" s="2">
        <f>AN25*0.98</f>
        <v>1000.4594600000003</v>
      </c>
      <c r="AP25" s="2">
        <f t="shared" ref="AP25:CO25" si="15">AO25*0.98</f>
        <v>980.45027080000023</v>
      </c>
      <c r="AQ25" s="2">
        <f t="shared" si="15"/>
        <v>960.84126538400017</v>
      </c>
      <c r="AR25" s="2">
        <f t="shared" si="15"/>
        <v>941.62444007632018</v>
      </c>
      <c r="AS25" s="2">
        <f t="shared" si="15"/>
        <v>922.79195127479375</v>
      </c>
      <c r="AT25" s="2">
        <f t="shared" si="15"/>
        <v>904.3361122492978</v>
      </c>
      <c r="AU25" s="2">
        <f t="shared" si="15"/>
        <v>886.24939000431186</v>
      </c>
      <c r="AV25" s="2">
        <f t="shared" si="15"/>
        <v>868.52440220422557</v>
      </c>
      <c r="AW25" s="2">
        <f t="shared" si="15"/>
        <v>851.15391416014108</v>
      </c>
      <c r="AX25" s="2">
        <f t="shared" si="15"/>
        <v>834.13083587693825</v>
      </c>
      <c r="AY25" s="2">
        <f t="shared" si="15"/>
        <v>817.44821915939951</v>
      </c>
      <c r="AZ25" s="2">
        <f t="shared" si="15"/>
        <v>801.09925477621152</v>
      </c>
      <c r="BA25" s="2">
        <f t="shared" si="15"/>
        <v>785.07726968068732</v>
      </c>
      <c r="BB25" s="2">
        <f>BA25*0.98</f>
        <v>769.37572428707358</v>
      </c>
      <c r="BC25" s="2">
        <f>BB25*0.98</f>
        <v>753.98820980133212</v>
      </c>
      <c r="BD25" s="2">
        <f t="shared" si="15"/>
        <v>738.90844560530547</v>
      </c>
      <c r="BE25" s="2">
        <f t="shared" si="15"/>
        <v>724.13027669319933</v>
      </c>
      <c r="BF25" s="2">
        <f t="shared" si="15"/>
        <v>709.64767115933535</v>
      </c>
      <c r="BG25" s="2">
        <f t="shared" si="15"/>
        <v>695.45471773614861</v>
      </c>
      <c r="BH25" s="2">
        <f t="shared" si="15"/>
        <v>681.54562338142557</v>
      </c>
      <c r="BI25" s="2">
        <f t="shared" si="15"/>
        <v>667.91471091379708</v>
      </c>
      <c r="BJ25" s="2">
        <f t="shared" si="15"/>
        <v>654.55641669552108</v>
      </c>
      <c r="BK25" s="2">
        <f t="shared" si="15"/>
        <v>641.46528836161065</v>
      </c>
      <c r="BL25" s="2">
        <f t="shared" si="15"/>
        <v>628.63598259437845</v>
      </c>
      <c r="BM25" s="2">
        <f t="shared" si="15"/>
        <v>616.06326294249084</v>
      </c>
      <c r="BN25" s="2">
        <f t="shared" si="15"/>
        <v>603.74199768364099</v>
      </c>
      <c r="BO25" s="2">
        <f t="shared" si="15"/>
        <v>591.66715772996815</v>
      </c>
      <c r="BP25" s="2">
        <f t="shared" si="15"/>
        <v>579.83381457536882</v>
      </c>
      <c r="BQ25" s="2">
        <f t="shared" si="15"/>
        <v>568.23713828386144</v>
      </c>
      <c r="BR25" s="2">
        <f t="shared" si="15"/>
        <v>556.87239551818425</v>
      </c>
      <c r="BS25" s="2">
        <f t="shared" si="15"/>
        <v>545.73494760782057</v>
      </c>
      <c r="BT25" s="2">
        <f t="shared" si="15"/>
        <v>534.82024865566416</v>
      </c>
      <c r="BU25" s="2">
        <f t="shared" si="15"/>
        <v>524.12384368255084</v>
      </c>
      <c r="BV25" s="2">
        <f t="shared" si="15"/>
        <v>513.64136680889976</v>
      </c>
      <c r="BW25" s="2">
        <f t="shared" si="15"/>
        <v>503.36853947272175</v>
      </c>
      <c r="BX25" s="2">
        <f t="shared" si="15"/>
        <v>493.30116868326729</v>
      </c>
      <c r="BY25" s="2">
        <f t="shared" si="15"/>
        <v>483.43514530960192</v>
      </c>
      <c r="BZ25" s="2">
        <f t="shared" si="15"/>
        <v>473.76644240340988</v>
      </c>
      <c r="CA25" s="2">
        <f t="shared" si="15"/>
        <v>464.29111355534167</v>
      </c>
      <c r="CB25" s="2">
        <f t="shared" si="15"/>
        <v>455.00529128423483</v>
      </c>
      <c r="CC25" s="2">
        <f t="shared" si="15"/>
        <v>445.90518545855014</v>
      </c>
      <c r="CD25" s="2">
        <f t="shared" si="15"/>
        <v>436.98708174937912</v>
      </c>
      <c r="CE25" s="2">
        <f t="shared" si="15"/>
        <v>428.24734011439153</v>
      </c>
      <c r="CF25" s="2">
        <f t="shared" si="15"/>
        <v>419.68239331210367</v>
      </c>
      <c r="CG25" s="2">
        <f t="shared" si="15"/>
        <v>411.28874544586159</v>
      </c>
      <c r="CH25" s="2">
        <f t="shared" si="15"/>
        <v>403.06297053694436</v>
      </c>
      <c r="CI25" s="2">
        <f t="shared" si="15"/>
        <v>395.00171112620546</v>
      </c>
      <c r="CJ25" s="2">
        <f t="shared" si="15"/>
        <v>387.10167690368132</v>
      </c>
      <c r="CK25" s="2">
        <f t="shared" si="15"/>
        <v>379.35964336560767</v>
      </c>
      <c r="CL25" s="2">
        <f t="shared" si="15"/>
        <v>371.77245049829548</v>
      </c>
      <c r="CM25" s="2">
        <f t="shared" si="15"/>
        <v>364.33700148832958</v>
      </c>
      <c r="CN25" s="2">
        <f t="shared" si="15"/>
        <v>357.050261458563</v>
      </c>
      <c r="CO25" s="2">
        <f t="shared" si="15"/>
        <v>349.90925622939176</v>
      </c>
    </row>
    <row r="26" spans="1:93" x14ac:dyDescent="0.3">
      <c r="A26" s="20" t="s">
        <v>40</v>
      </c>
      <c r="B26" s="20"/>
      <c r="C26" s="3">
        <f t="shared" ref="C26:J26" si="16">C25/C27</f>
        <v>0.45724076719156798</v>
      </c>
      <c r="D26" s="3">
        <f t="shared" si="16"/>
        <v>1.5573059014365573</v>
      </c>
      <c r="E26" s="3">
        <f t="shared" si="16"/>
        <v>2.216406797731</v>
      </c>
      <c r="F26" s="3">
        <f t="shared" si="16"/>
        <v>1.3052430125929424</v>
      </c>
      <c r="G26" s="3">
        <f t="shared" si="16"/>
        <v>1.0775898151377743</v>
      </c>
      <c r="H26" s="3">
        <f t="shared" si="16"/>
        <v>0.81389960488610535</v>
      </c>
      <c r="I26" s="3">
        <f t="shared" si="16"/>
        <v>1.2374916768312461</v>
      </c>
      <c r="J26" s="8">
        <f t="shared" si="16"/>
        <v>0.64310506733866735</v>
      </c>
      <c r="K26" s="8">
        <f t="shared" ref="K26:L26" si="17">K25/K27</f>
        <v>0.60920880256721355</v>
      </c>
      <c r="L26" s="8">
        <f t="shared" si="17"/>
        <v>0.4995557665157494</v>
      </c>
      <c r="M26" s="8">
        <f t="shared" ref="M26:R26" si="18">M25/M27</f>
        <v>0.86232610795611808</v>
      </c>
      <c r="N26" s="25">
        <f t="shared" si="18"/>
        <v>0.25689680790470731</v>
      </c>
      <c r="O26" s="32">
        <f t="shared" si="18"/>
        <v>0.39166432518497657</v>
      </c>
      <c r="P26" s="8">
        <f t="shared" si="18"/>
        <v>0.46315688020979706</v>
      </c>
      <c r="Q26" s="8">
        <f t="shared" si="18"/>
        <v>0.91209749929755568</v>
      </c>
      <c r="R26" s="8">
        <f t="shared" si="18"/>
        <v>0.23565725391027445</v>
      </c>
      <c r="Y26" s="14">
        <f t="shared" ref="Y26:AD26" si="19">Y25/Y27</f>
        <v>0.89321434159375024</v>
      </c>
      <c r="Z26" s="14">
        <f t="shared" si="19"/>
        <v>0.77423518625747767</v>
      </c>
      <c r="AA26" s="14">
        <f t="shared" si="19"/>
        <v>1.1947807176513239</v>
      </c>
      <c r="AB26" s="14">
        <f t="shared" si="19"/>
        <v>1.2051417107077542</v>
      </c>
      <c r="AC26" s="14">
        <f t="shared" si="19"/>
        <v>1.5154472979731153</v>
      </c>
      <c r="AD26" s="14">
        <f t="shared" si="19"/>
        <v>2.7923438874490065</v>
      </c>
      <c r="AE26" s="3">
        <f t="shared" si="1"/>
        <v>5.5361964789520677</v>
      </c>
      <c r="AF26" s="3">
        <f t="shared" si="2"/>
        <v>3.7720861641937931</v>
      </c>
      <c r="AG26" s="3">
        <f t="shared" si="3"/>
        <v>2.2279874849437884</v>
      </c>
      <c r="AH26" s="2">
        <f>SUM(O26:R26)</f>
        <v>2.0025759586026037</v>
      </c>
      <c r="AI26">
        <f>AI25/AI27</f>
        <v>3.4161490683229814</v>
      </c>
      <c r="AJ26">
        <f t="shared" ref="AJ26:CO26" si="20">AJ25/AJ27</f>
        <v>4.0372670807453419</v>
      </c>
      <c r="AK26">
        <f t="shared" si="20"/>
        <v>4.4409937888198767</v>
      </c>
      <c r="AL26">
        <f t="shared" si="20"/>
        <v>5.2403726708074538</v>
      </c>
      <c r="AM26">
        <f t="shared" si="20"/>
        <v>5.7644099378881997</v>
      </c>
      <c r="AN26">
        <f t="shared" si="20"/>
        <v>6.3408509316770205</v>
      </c>
      <c r="AO26">
        <f t="shared" si="20"/>
        <v>6.2140339130434796</v>
      </c>
      <c r="AP26">
        <f t="shared" si="20"/>
        <v>6.0897532347826102</v>
      </c>
      <c r="AQ26">
        <f t="shared" si="20"/>
        <v>5.9679581700869573</v>
      </c>
      <c r="AR26">
        <f t="shared" si="20"/>
        <v>5.8485990066852187</v>
      </c>
      <c r="AS26">
        <f t="shared" si="20"/>
        <v>5.7316270265515143</v>
      </c>
      <c r="AT26">
        <f t="shared" si="20"/>
        <v>5.6169944860204835</v>
      </c>
      <c r="AU26">
        <f t="shared" si="20"/>
        <v>5.5046545963000737</v>
      </c>
      <c r="AV26">
        <f t="shared" si="20"/>
        <v>5.3945615043740718</v>
      </c>
      <c r="AW26">
        <f t="shared" si="20"/>
        <v>5.2866702742865908</v>
      </c>
      <c r="AX26">
        <f t="shared" si="20"/>
        <v>5.1809368688008588</v>
      </c>
      <c r="AY26">
        <f t="shared" si="20"/>
        <v>5.0773181314248417</v>
      </c>
      <c r="AZ26">
        <f t="shared" si="20"/>
        <v>4.9757717687963448</v>
      </c>
      <c r="BA26">
        <f t="shared" si="20"/>
        <v>4.8762563334204181</v>
      </c>
      <c r="BB26">
        <f t="shared" si="20"/>
        <v>4.7787312067520098</v>
      </c>
      <c r="BC26">
        <f t="shared" si="20"/>
        <v>4.6831565826169701</v>
      </c>
      <c r="BD26">
        <f t="shared" si="20"/>
        <v>4.5894934509646301</v>
      </c>
      <c r="BE26">
        <f t="shared" si="20"/>
        <v>4.4977035819453377</v>
      </c>
      <c r="BF26">
        <f t="shared" si="20"/>
        <v>4.4077495103064308</v>
      </c>
      <c r="BG26">
        <f t="shared" si="20"/>
        <v>4.3195945201003019</v>
      </c>
      <c r="BH26">
        <f t="shared" si="20"/>
        <v>4.2332026296982956</v>
      </c>
      <c r="BI26">
        <f t="shared" si="20"/>
        <v>4.1485385771043299</v>
      </c>
      <c r="BJ26">
        <f t="shared" si="20"/>
        <v>4.0655678055622424</v>
      </c>
      <c r="BK26">
        <f t="shared" si="20"/>
        <v>3.984256449450998</v>
      </c>
      <c r="BL26">
        <f t="shared" si="20"/>
        <v>3.9045713204619781</v>
      </c>
      <c r="BM26">
        <f t="shared" si="20"/>
        <v>3.826479894052738</v>
      </c>
      <c r="BN26">
        <f t="shared" si="20"/>
        <v>3.7499502961716833</v>
      </c>
      <c r="BO26">
        <f t="shared" si="20"/>
        <v>3.6749512902482495</v>
      </c>
      <c r="BP26">
        <f t="shared" si="20"/>
        <v>3.6014522644432847</v>
      </c>
      <c r="BQ26">
        <f t="shared" si="20"/>
        <v>3.529423219154419</v>
      </c>
      <c r="BR26">
        <f t="shared" si="20"/>
        <v>3.4588347547713307</v>
      </c>
      <c r="BS26">
        <f t="shared" si="20"/>
        <v>3.3896580596759041</v>
      </c>
      <c r="BT26">
        <f t="shared" si="20"/>
        <v>3.321864898482386</v>
      </c>
      <c r="BU26">
        <f t="shared" si="20"/>
        <v>3.2554276005127383</v>
      </c>
      <c r="BV26">
        <f t="shared" si="20"/>
        <v>3.190319048502483</v>
      </c>
      <c r="BW26">
        <f t="shared" si="20"/>
        <v>3.1265126675324333</v>
      </c>
      <c r="BX26">
        <f t="shared" si="20"/>
        <v>3.0639824141817846</v>
      </c>
      <c r="BY26">
        <f t="shared" si="20"/>
        <v>3.0027027658981487</v>
      </c>
      <c r="BZ26">
        <f t="shared" si="20"/>
        <v>2.9426487105801855</v>
      </c>
      <c r="CA26">
        <f t="shared" si="20"/>
        <v>2.8837957363685818</v>
      </c>
      <c r="CB26">
        <f t="shared" si="20"/>
        <v>2.82611982164121</v>
      </c>
      <c r="CC26">
        <f t="shared" si="20"/>
        <v>2.7695974252083859</v>
      </c>
      <c r="CD26">
        <f t="shared" si="20"/>
        <v>2.7142054767042181</v>
      </c>
      <c r="CE26">
        <f t="shared" si="20"/>
        <v>2.6599213671701336</v>
      </c>
      <c r="CF26">
        <f t="shared" si="20"/>
        <v>2.6067229398267311</v>
      </c>
      <c r="CG26">
        <f t="shared" si="20"/>
        <v>2.5545884810301964</v>
      </c>
      <c r="CH26">
        <f t="shared" si="20"/>
        <v>2.5034967114095923</v>
      </c>
      <c r="CI26">
        <f t="shared" si="20"/>
        <v>2.4534267771814005</v>
      </c>
      <c r="CJ26">
        <f t="shared" si="20"/>
        <v>2.4043582416377722</v>
      </c>
      <c r="CK26">
        <f t="shared" si="20"/>
        <v>2.3562710768050166</v>
      </c>
      <c r="CL26">
        <f t="shared" si="20"/>
        <v>2.309145655268916</v>
      </c>
      <c r="CM26">
        <f t="shared" si="20"/>
        <v>2.2629627421635377</v>
      </c>
      <c r="CN26">
        <f t="shared" si="20"/>
        <v>2.217703487320267</v>
      </c>
      <c r="CO26">
        <f t="shared" si="20"/>
        <v>2.1733494175738617</v>
      </c>
    </row>
    <row r="27" spans="1:93" x14ac:dyDescent="0.3">
      <c r="A27" s="20" t="s">
        <v>55</v>
      </c>
      <c r="B27" s="20"/>
      <c r="C27" s="1">
        <v>170.12700000000001</v>
      </c>
      <c r="D27" s="1">
        <v>171.38200000000001</v>
      </c>
      <c r="E27" s="1">
        <v>172.58699999999999</v>
      </c>
      <c r="F27" s="1">
        <v>172.95400000000001</v>
      </c>
      <c r="G27" s="1">
        <v>172.02</v>
      </c>
      <c r="H27" s="1">
        <v>171.34299999999999</v>
      </c>
      <c r="I27" s="1">
        <v>169.70699999999999</v>
      </c>
      <c r="J27" s="1">
        <v>168.25399999999999</v>
      </c>
      <c r="K27" s="1">
        <v>166.40600000000001</v>
      </c>
      <c r="L27" s="5">
        <v>164.328</v>
      </c>
      <c r="M27" s="5">
        <v>162.529</v>
      </c>
      <c r="N27" s="26">
        <v>161.524</v>
      </c>
      <c r="O27" s="33">
        <v>160.155</v>
      </c>
      <c r="P27" s="33">
        <v>160.155</v>
      </c>
      <c r="Q27" s="33">
        <v>160.155</v>
      </c>
      <c r="R27" s="33">
        <v>160.155</v>
      </c>
      <c r="Y27" s="2">
        <v>166.17400000000001</v>
      </c>
      <c r="Z27" s="2">
        <v>165.792</v>
      </c>
      <c r="AA27" s="2">
        <v>165.54</v>
      </c>
      <c r="AB27" s="2">
        <v>168.971</v>
      </c>
      <c r="AC27" s="2">
        <v>169.965</v>
      </c>
      <c r="AD27" s="2">
        <v>169.381</v>
      </c>
      <c r="AE27" s="1">
        <f>AVERAGE(C27:F27)</f>
        <v>171.76249999999999</v>
      </c>
      <c r="AF27" s="1">
        <f>AVERAGE(G27:J27)</f>
        <v>170.33099999999999</v>
      </c>
      <c r="AG27" s="1">
        <f>AVERAGE(K27:N27)</f>
        <v>163.69675000000001</v>
      </c>
      <c r="AH27" s="1">
        <f>AVERAGE(L27:O27)</f>
        <v>162.13399999999999</v>
      </c>
      <c r="AI27">
        <v>161</v>
      </c>
      <c r="AJ27">
        <v>161</v>
      </c>
      <c r="AK27">
        <v>161</v>
      </c>
      <c r="AL27">
        <v>161</v>
      </c>
      <c r="AM27">
        <v>161</v>
      </c>
      <c r="AN27">
        <v>161</v>
      </c>
      <c r="AO27">
        <v>161</v>
      </c>
      <c r="AP27">
        <v>161</v>
      </c>
      <c r="AQ27">
        <v>161</v>
      </c>
      <c r="AR27">
        <v>161</v>
      </c>
      <c r="AS27">
        <v>161</v>
      </c>
      <c r="AT27">
        <v>161</v>
      </c>
      <c r="AU27">
        <v>161</v>
      </c>
      <c r="AV27">
        <v>161</v>
      </c>
      <c r="AW27">
        <v>161</v>
      </c>
      <c r="AX27">
        <v>161</v>
      </c>
      <c r="AY27">
        <v>161</v>
      </c>
      <c r="AZ27">
        <v>161</v>
      </c>
      <c r="BA27">
        <v>161</v>
      </c>
      <c r="BB27">
        <v>161</v>
      </c>
      <c r="BC27">
        <v>161</v>
      </c>
      <c r="BD27">
        <v>161</v>
      </c>
      <c r="BE27">
        <v>161</v>
      </c>
      <c r="BF27">
        <v>161</v>
      </c>
      <c r="BG27">
        <v>161</v>
      </c>
      <c r="BH27">
        <v>161</v>
      </c>
      <c r="BI27">
        <v>161</v>
      </c>
      <c r="BJ27">
        <v>161</v>
      </c>
      <c r="BK27">
        <v>161</v>
      </c>
      <c r="BL27">
        <v>161</v>
      </c>
      <c r="BM27">
        <v>161</v>
      </c>
      <c r="BN27">
        <v>161</v>
      </c>
      <c r="BO27">
        <v>161</v>
      </c>
      <c r="BP27">
        <v>161</v>
      </c>
      <c r="BQ27">
        <v>161</v>
      </c>
      <c r="BR27">
        <v>161</v>
      </c>
      <c r="BS27">
        <v>161</v>
      </c>
      <c r="BT27">
        <v>161</v>
      </c>
      <c r="BU27">
        <v>161</v>
      </c>
      <c r="BV27">
        <v>161</v>
      </c>
      <c r="BW27">
        <v>161</v>
      </c>
      <c r="BX27">
        <v>161</v>
      </c>
      <c r="BY27">
        <v>161</v>
      </c>
      <c r="BZ27">
        <v>161</v>
      </c>
      <c r="CA27">
        <v>161</v>
      </c>
      <c r="CB27">
        <v>161</v>
      </c>
      <c r="CC27">
        <v>161</v>
      </c>
      <c r="CD27">
        <v>161</v>
      </c>
      <c r="CE27">
        <v>161</v>
      </c>
      <c r="CF27">
        <v>161</v>
      </c>
      <c r="CG27">
        <v>161</v>
      </c>
      <c r="CH27">
        <v>161</v>
      </c>
      <c r="CI27">
        <v>161</v>
      </c>
      <c r="CJ27">
        <v>161</v>
      </c>
      <c r="CK27">
        <v>161</v>
      </c>
      <c r="CL27">
        <v>161</v>
      </c>
      <c r="CM27">
        <v>161</v>
      </c>
      <c r="CN27">
        <v>161</v>
      </c>
      <c r="CO27">
        <v>161</v>
      </c>
    </row>
    <row r="29" spans="1:93" x14ac:dyDescent="0.3">
      <c r="A29" t="s">
        <v>41</v>
      </c>
      <c r="G29" s="7">
        <f>G3/C3-1</f>
        <v>0.51805028679577325</v>
      </c>
      <c r="H29" s="7">
        <f t="shared" ref="H29:N38" si="21">H3/D3-1</f>
        <v>0.11762584185287461</v>
      </c>
      <c r="I29" s="7">
        <f t="shared" si="21"/>
        <v>8.1689587058482171E-2</v>
      </c>
      <c r="J29" s="7">
        <f t="shared" si="21"/>
        <v>2.5157728262765744E-3</v>
      </c>
      <c r="K29" s="7">
        <f t="shared" si="21"/>
        <v>2.2145911481972202E-3</v>
      </c>
      <c r="L29" s="7">
        <f t="shared" si="21"/>
        <v>-2.01783994836362E-2</v>
      </c>
      <c r="M29" s="7">
        <f t="shared" si="21"/>
        <v>-0.1384049504522048</v>
      </c>
      <c r="N29" s="28">
        <f t="shared" si="21"/>
        <v>-9.7447873976847843E-2</v>
      </c>
      <c r="O29" s="35"/>
      <c r="Z29" s="13">
        <f>Z3/Y3-1</f>
        <v>0.29027510980801829</v>
      </c>
      <c r="AA29" s="13">
        <f t="shared" ref="AA29:AG29" si="22">AA3/Z3-1</f>
        <v>0.31039361303859536</v>
      </c>
      <c r="AB29" s="13">
        <f t="shared" si="22"/>
        <v>0.71628225273319779</v>
      </c>
      <c r="AC29" s="13">
        <f t="shared" si="22"/>
        <v>3.9201605769621617E-2</v>
      </c>
      <c r="AD29" s="13">
        <f t="shared" si="22"/>
        <v>1.4209614632419987E-2</v>
      </c>
      <c r="AE29" s="13">
        <f t="shared" si="22"/>
        <v>0.25047427178849602</v>
      </c>
      <c r="AF29" s="13">
        <f t="shared" si="22"/>
        <v>0.14715812878998147</v>
      </c>
      <c r="AG29" s="13">
        <f t="shared" si="22"/>
        <v>-6.7533554898938419E-2</v>
      </c>
      <c r="AI29" s="15"/>
    </row>
    <row r="30" spans="1:93" x14ac:dyDescent="0.3">
      <c r="A30" t="s">
        <v>42</v>
      </c>
      <c r="G30" s="7">
        <f t="shared" ref="G30:G38" si="23">G4/C4-1</f>
        <v>0.5021807925151347</v>
      </c>
      <c r="H30" s="7">
        <f t="shared" si="21"/>
        <v>0.17188530729055596</v>
      </c>
      <c r="I30" s="7">
        <f t="shared" si="21"/>
        <v>0.29018779579326437</v>
      </c>
      <c r="J30" s="7">
        <f t="shared" si="21"/>
        <v>5.3922149953020027E-2</v>
      </c>
      <c r="K30" s="7">
        <f t="shared" si="21"/>
        <v>4.2879321478129784E-2</v>
      </c>
      <c r="L30" s="7">
        <f t="shared" si="21"/>
        <v>-0.14990773345974129</v>
      </c>
      <c r="M30" s="7">
        <f t="shared" si="21"/>
        <v>-0.21856268287832736</v>
      </c>
      <c r="N30" s="28">
        <f t="shared" si="21"/>
        <v>-0.18723816778035518</v>
      </c>
      <c r="Q30" s="2"/>
      <c r="R30" s="2"/>
      <c r="Z30" s="13">
        <f t="shared" ref="Z30:AG30" si="24">Z4/Y4-1</f>
        <v>-8.1889122044441098E-2</v>
      </c>
      <c r="AA30" s="13">
        <f t="shared" si="24"/>
        <v>0.2570084637243446</v>
      </c>
      <c r="AB30" s="13">
        <f t="shared" si="24"/>
        <v>1.0231015869150535</v>
      </c>
      <c r="AC30" s="13">
        <f t="shared" si="24"/>
        <v>7.6527869168178109E-2</v>
      </c>
      <c r="AD30" s="13">
        <f t="shared" si="24"/>
        <v>6.5411399894524713E-2</v>
      </c>
      <c r="AE30" s="13">
        <f t="shared" si="24"/>
        <v>0.37215420135730759</v>
      </c>
      <c r="AF30" s="13">
        <f t="shared" si="24"/>
        <v>0.23303479466862487</v>
      </c>
      <c r="AG30" s="13">
        <f t="shared" si="24"/>
        <v>-0.13529294397503988</v>
      </c>
      <c r="AI30" s="15"/>
      <c r="AM30" t="s">
        <v>75</v>
      </c>
      <c r="AN30" s="15">
        <f>NPV(AN31,AH25:CO25)</f>
        <v>10372.518562258436</v>
      </c>
    </row>
    <row r="31" spans="1:93" x14ac:dyDescent="0.3">
      <c r="A31" t="s">
        <v>43</v>
      </c>
      <c r="G31" s="7">
        <f t="shared" si="23"/>
        <v>0.80634665001396866</v>
      </c>
      <c r="H31" s="7">
        <f t="shared" si="21"/>
        <v>-7.805287452790588E-2</v>
      </c>
      <c r="I31" s="7">
        <f t="shared" si="21"/>
        <v>-0.12593014426727411</v>
      </c>
      <c r="J31" s="7">
        <f t="shared" si="21"/>
        <v>-0.41905485173806478</v>
      </c>
      <c r="K31" s="7">
        <f t="shared" si="21"/>
        <v>-0.45972452191633761</v>
      </c>
      <c r="L31" s="7">
        <f t="shared" si="21"/>
        <v>-0.36312730890961253</v>
      </c>
      <c r="M31" s="7">
        <f t="shared" si="21"/>
        <v>-0.49197758762976151</v>
      </c>
      <c r="N31" s="28">
        <f t="shared" si="21"/>
        <v>-0.40985418374986637</v>
      </c>
      <c r="Q31" s="34"/>
      <c r="Z31" s="13">
        <f t="shared" ref="Z31:AG31" si="25">Z5/Y5-1</f>
        <v>0.1566223556115538</v>
      </c>
      <c r="AA31" s="13">
        <f t="shared" si="25"/>
        <v>0.28258146641588588</v>
      </c>
      <c r="AB31" s="13">
        <f t="shared" si="25"/>
        <v>-0.64325522804919166</v>
      </c>
      <c r="AC31" s="13">
        <f t="shared" si="25"/>
        <v>8.1455589538730333E-2</v>
      </c>
      <c r="AD31" s="13">
        <f t="shared" si="25"/>
        <v>6.5228145973846186E-2</v>
      </c>
      <c r="AE31" s="13">
        <f t="shared" si="25"/>
        <v>2.4047123296153812</v>
      </c>
      <c r="AF31" s="13">
        <f t="shared" si="25"/>
        <v>-8.2329805735850803E-2</v>
      </c>
      <c r="AG31" s="13">
        <f t="shared" si="25"/>
        <v>-0.43591865249931261</v>
      </c>
      <c r="AM31" t="s">
        <v>76</v>
      </c>
      <c r="AN31" s="16">
        <v>7.1499999999999994E-2</v>
      </c>
    </row>
    <row r="32" spans="1:93" x14ac:dyDescent="0.3">
      <c r="A32" t="s">
        <v>44</v>
      </c>
      <c r="G32" s="7">
        <f t="shared" si="23"/>
        <v>0.72150799166087576</v>
      </c>
      <c r="H32" s="7">
        <f t="shared" si="21"/>
        <v>-2.7501624822473092E-2</v>
      </c>
      <c r="I32" s="7">
        <f t="shared" si="21"/>
        <v>-0.39979862660446785</v>
      </c>
      <c r="J32" s="7">
        <f t="shared" si="21"/>
        <v>-0.42628185971054089</v>
      </c>
      <c r="K32" s="7">
        <f t="shared" si="21"/>
        <v>-0.1600438994853165</v>
      </c>
      <c r="L32" s="7">
        <f t="shared" si="21"/>
        <v>-0.32917909431813963</v>
      </c>
      <c r="M32" s="7">
        <f t="shared" si="21"/>
        <v>-0.21364003910257179</v>
      </c>
      <c r="N32" s="28">
        <f t="shared" si="21"/>
        <v>1.8425086693158343E-2</v>
      </c>
      <c r="T32" s="2"/>
      <c r="Z32" s="13">
        <f t="shared" ref="Z32:AG32" si="26">Z6/Y6-1</f>
        <v>0.43569878646628624</v>
      </c>
      <c r="AA32" s="13">
        <f t="shared" si="26"/>
        <v>0.42192293052103613</v>
      </c>
      <c r="AB32" s="13">
        <f t="shared" si="26"/>
        <v>-0.15012321961435815</v>
      </c>
      <c r="AC32" s="13">
        <f t="shared" si="26"/>
        <v>0.18874024939319267</v>
      </c>
      <c r="AD32" s="13">
        <f t="shared" si="26"/>
        <v>5.4506487939835591E-2</v>
      </c>
      <c r="AE32" s="13">
        <f t="shared" si="26"/>
        <v>1.8401732331182705</v>
      </c>
      <c r="AF32" s="13">
        <f t="shared" si="26"/>
        <v>-0.19302057501801972</v>
      </c>
      <c r="AG32" s="13">
        <f t="shared" si="26"/>
        <v>-0.17976415809211199</v>
      </c>
      <c r="AM32" t="s">
        <v>77</v>
      </c>
      <c r="AN32" s="16">
        <v>-0.02</v>
      </c>
    </row>
    <row r="33" spans="1:40" x14ac:dyDescent="0.3">
      <c r="A33" t="s">
        <v>45</v>
      </c>
      <c r="G33" s="7">
        <f t="shared" si="23"/>
        <v>0.84382335640423745</v>
      </c>
      <c r="H33" s="7">
        <f t="shared" si="21"/>
        <v>0.11106744460231566</v>
      </c>
      <c r="I33" s="7">
        <f t="shared" si="21"/>
        <v>7.5284240627276899E-2</v>
      </c>
      <c r="J33" s="7">
        <f t="shared" si="21"/>
        <v>-2.0243679655690072E-2</v>
      </c>
      <c r="K33" s="7">
        <f t="shared" si="21"/>
        <v>-0.15680223734857501</v>
      </c>
      <c r="L33" s="7">
        <f t="shared" si="21"/>
        <v>-0.10007044020593936</v>
      </c>
      <c r="M33" s="7">
        <f t="shared" si="21"/>
        <v>-0.16473463716912207</v>
      </c>
      <c r="N33" s="28">
        <f t="shared" si="21"/>
        <v>-0.24460302060190831</v>
      </c>
      <c r="Z33" s="13">
        <f t="shared" ref="Z33:AG33" si="27">Z7/Y7-1</f>
        <v>-0.13201586835145462</v>
      </c>
      <c r="AA33" s="13">
        <f t="shared" si="27"/>
        <v>0.10892932712653414</v>
      </c>
      <c r="AB33" s="13">
        <f t="shared" si="27"/>
        <v>1.789146695161044</v>
      </c>
      <c r="AC33" s="13">
        <f t="shared" si="27"/>
        <v>2.547179518052507</v>
      </c>
      <c r="AD33" s="13">
        <f t="shared" si="27"/>
        <v>6.4869702065943446E-2</v>
      </c>
      <c r="AE33" s="13">
        <f t="shared" si="27"/>
        <v>0.79520671598756243</v>
      </c>
      <c r="AF33" s="13">
        <f t="shared" si="27"/>
        <v>0.17181367306830886</v>
      </c>
      <c r="AG33" s="13">
        <f t="shared" si="27"/>
        <v>-0.16557670280594228</v>
      </c>
      <c r="AM33" t="s">
        <v>73</v>
      </c>
      <c r="AN33" s="15">
        <f>AN30/main!W2</f>
        <v>65.343758343612464</v>
      </c>
    </row>
    <row r="34" spans="1:40" x14ac:dyDescent="0.3">
      <c r="A34" t="s">
        <v>46</v>
      </c>
      <c r="G34" s="7">
        <f t="shared" si="23"/>
        <v>0.80577978689053897</v>
      </c>
      <c r="H34" s="7">
        <f t="shared" si="21"/>
        <v>-2.1338887386778471E-2</v>
      </c>
      <c r="I34" s="7">
        <f t="shared" si="21"/>
        <v>-1.8164102564102502E-2</v>
      </c>
      <c r="J34" s="7">
        <f t="shared" si="21"/>
        <v>-0.36876810222555279</v>
      </c>
      <c r="K34" s="7">
        <f t="shared" si="21"/>
        <v>4.8351320859143732E-2</v>
      </c>
      <c r="L34" s="7">
        <f t="shared" si="21"/>
        <v>1.9542160041096102E-2</v>
      </c>
      <c r="M34" s="7">
        <f t="shared" si="21"/>
        <v>-0.21175401393517124</v>
      </c>
      <c r="N34" s="28">
        <f t="shared" si="21"/>
        <v>-0.26584893957007705</v>
      </c>
      <c r="Z34" s="13">
        <f t="shared" ref="Z34:AG34" si="28">Z8/Y8-1</f>
        <v>1.0945998645347954E-2</v>
      </c>
      <c r="AA34" s="13">
        <f t="shared" si="28"/>
        <v>1.8311091620426989E-2</v>
      </c>
      <c r="AB34" s="13">
        <f t="shared" si="28"/>
        <v>-0.37232685091773299</v>
      </c>
      <c r="AC34" s="13">
        <f t="shared" si="28"/>
        <v>-0.17564489846482234</v>
      </c>
      <c r="AD34" s="13">
        <f t="shared" si="28"/>
        <v>0.40881084767706644</v>
      </c>
      <c r="AE34" s="13">
        <f t="shared" si="28"/>
        <v>1.8580122314121921</v>
      </c>
      <c r="AF34" s="13">
        <f t="shared" si="28"/>
        <v>-4.5716719221769786E-2</v>
      </c>
      <c r="AG34" s="13">
        <f t="shared" si="28"/>
        <v>-0.10995884327954075</v>
      </c>
      <c r="AM34" t="s">
        <v>74</v>
      </c>
      <c r="AN34" s="13">
        <f>AN33/main!W1-1</f>
        <v>0.17524745222324567</v>
      </c>
    </row>
    <row r="35" spans="1:40" x14ac:dyDescent="0.3">
      <c r="A35" t="s">
        <v>47</v>
      </c>
      <c r="G35" s="7">
        <f t="shared" si="23"/>
        <v>-1.8097831707401091E-2</v>
      </c>
      <c r="H35" s="7">
        <f t="shared" si="21"/>
        <v>-9.3825290837750486E-2</v>
      </c>
      <c r="I35" s="7">
        <f t="shared" si="21"/>
        <v>-0.21798087258495724</v>
      </c>
      <c r="J35" s="7">
        <f t="shared" si="21"/>
        <v>-0.15740273714650799</v>
      </c>
      <c r="K35" s="7">
        <f t="shared" si="21"/>
        <v>-0.21675326499087211</v>
      </c>
      <c r="L35" s="7">
        <f t="shared" si="21"/>
        <v>-7.5205104831357339E-3</v>
      </c>
      <c r="M35" s="7">
        <f t="shared" si="21"/>
        <v>-0.32471628956086562</v>
      </c>
      <c r="N35" s="28">
        <f t="shared" si="21"/>
        <v>-0.52817463484715454</v>
      </c>
      <c r="Z35" s="13">
        <f t="shared" ref="Z35:AG35" si="29">Z9/Y9-1</f>
        <v>9.5584076673775886E-3</v>
      </c>
      <c r="AA35" s="13">
        <f t="shared" si="29"/>
        <v>0.11651130895650752</v>
      </c>
      <c r="AB35" s="13">
        <f t="shared" si="29"/>
        <v>-0.47465397491630434</v>
      </c>
      <c r="AC35" s="13">
        <f t="shared" si="29"/>
        <v>-8.6997186224388789E-2</v>
      </c>
      <c r="AD35" s="13">
        <f t="shared" si="29"/>
        <v>-3.727352438166831E-2</v>
      </c>
      <c r="AE35" s="13">
        <f t="shared" si="29"/>
        <v>-0.21144230379050544</v>
      </c>
      <c r="AF35" s="13">
        <f t="shared" si="29"/>
        <v>-0.14358901054918682</v>
      </c>
      <c r="AG35" s="13">
        <f t="shared" si="29"/>
        <v>-0.25459000413934907</v>
      </c>
    </row>
    <row r="36" spans="1:40" x14ac:dyDescent="0.3">
      <c r="A36" t="s">
        <v>48</v>
      </c>
      <c r="G36" s="7">
        <f t="shared" si="23"/>
        <v>0.63395221747355146</v>
      </c>
      <c r="H36" s="7">
        <f t="shared" si="21"/>
        <v>-0.14173703784729819</v>
      </c>
      <c r="I36" s="7">
        <f t="shared" si="21"/>
        <v>-0.31821747999372352</v>
      </c>
      <c r="J36" s="7">
        <f t="shared" si="21"/>
        <v>-0.36659650955570577</v>
      </c>
      <c r="K36" s="7">
        <f t="shared" si="21"/>
        <v>-0.40444398706767182</v>
      </c>
      <c r="L36" s="7">
        <f t="shared" si="21"/>
        <v>-0.25293134036175291</v>
      </c>
      <c r="M36" s="7">
        <f t="shared" si="21"/>
        <v>-0.33732259301879552</v>
      </c>
      <c r="N36" s="28">
        <f t="shared" si="21"/>
        <v>-0.24313901454055964</v>
      </c>
      <c r="Z36" s="13">
        <f t="shared" ref="Z36:AG36" si="30">Z10/Y10-1</f>
        <v>-0.26318850447536779</v>
      </c>
      <c r="AA36" s="13">
        <f t="shared" si="30"/>
        <v>-0.25996765685462908</v>
      </c>
      <c r="AB36" s="13">
        <f t="shared" si="30"/>
        <v>5.3996019719299158</v>
      </c>
      <c r="AC36" s="13">
        <f t="shared" si="30"/>
        <v>-0.43611418815231873</v>
      </c>
      <c r="AD36" s="13">
        <f t="shared" si="30"/>
        <v>-1.3253841523416687E-2</v>
      </c>
      <c r="AE36" s="13">
        <f t="shared" si="30"/>
        <v>0.71241123352523439</v>
      </c>
      <c r="AF36" s="13">
        <f t="shared" si="30"/>
        <v>-0.14367629742136956</v>
      </c>
      <c r="AG36" s="13">
        <f t="shared" si="30"/>
        <v>-0.31685449798716581</v>
      </c>
    </row>
    <row r="37" spans="1:40" hidden="1" x14ac:dyDescent="0.3">
      <c r="A37" t="s">
        <v>64</v>
      </c>
      <c r="G37" s="7">
        <f t="shared" si="23"/>
        <v>-1</v>
      </c>
      <c r="H37" s="7">
        <f t="shared" si="21"/>
        <v>-1</v>
      </c>
      <c r="I37" s="7">
        <f t="shared" si="21"/>
        <v>-1</v>
      </c>
      <c r="J37" s="7">
        <f t="shared" si="21"/>
        <v>-1</v>
      </c>
      <c r="K37" s="7" t="e">
        <f t="shared" si="21"/>
        <v>#DIV/0!</v>
      </c>
      <c r="L37" s="7" t="e">
        <f t="shared" si="21"/>
        <v>#DIV/0!</v>
      </c>
      <c r="M37" s="7" t="e">
        <f t="shared" si="21"/>
        <v>#DIV/0!</v>
      </c>
      <c r="N37" s="28" t="e">
        <f t="shared" si="21"/>
        <v>#DIV/0!</v>
      </c>
      <c r="Z37" s="13">
        <f t="shared" ref="Z37:AG37" si="31">Z11/Y11-1</f>
        <v>2.0283409184939982E-2</v>
      </c>
      <c r="AA37" s="13">
        <f t="shared" si="31"/>
        <v>8.5623625064628284E-2</v>
      </c>
      <c r="AB37" s="13">
        <f t="shared" si="31"/>
        <v>-0.16541690401262521</v>
      </c>
      <c r="AC37" s="13">
        <f t="shared" si="31"/>
        <v>-0.44788694572186227</v>
      </c>
      <c r="AD37" s="13">
        <f t="shared" si="31"/>
        <v>-0.12037937743190652</v>
      </c>
      <c r="AE37" s="13">
        <f t="shared" si="31"/>
        <v>-0.20758455441894763</v>
      </c>
      <c r="AF37" s="13">
        <f t="shared" si="31"/>
        <v>-1</v>
      </c>
      <c r="AG37" s="13" t="e">
        <f t="shared" si="31"/>
        <v>#DIV/0!</v>
      </c>
    </row>
    <row r="38" spans="1:40" x14ac:dyDescent="0.3">
      <c r="A38" t="s">
        <v>49</v>
      </c>
      <c r="G38" s="7">
        <f t="shared" si="23"/>
        <v>1251</v>
      </c>
      <c r="H38" s="7">
        <f t="shared" si="21"/>
        <v>2717.5714285714284</v>
      </c>
      <c r="I38" s="7">
        <f t="shared" si="21"/>
        <v>6.6122112211221129</v>
      </c>
      <c r="J38" s="7">
        <f t="shared" si="21"/>
        <v>24.716049382716051</v>
      </c>
      <c r="K38" s="7">
        <f t="shared" si="21"/>
        <v>-0.66661341853035139</v>
      </c>
      <c r="L38" s="7">
        <f t="shared" si="21"/>
        <v>-0.61341741110527237</v>
      </c>
      <c r="M38" s="7">
        <f t="shared" si="21"/>
        <v>-0.70778235421634506</v>
      </c>
      <c r="N38" s="28">
        <f t="shared" si="21"/>
        <v>-0.30916946711473836</v>
      </c>
      <c r="Z38" s="13">
        <f t="shared" ref="Z38:AG38" si="32">Z12/Y12-1</f>
        <v>-5.6880733944954187E-2</v>
      </c>
      <c r="AA38" s="13">
        <f t="shared" si="32"/>
        <v>-0.49610894941634243</v>
      </c>
      <c r="AB38" s="13">
        <f t="shared" si="32"/>
        <v>-0.66563706563706559</v>
      </c>
      <c r="AC38" s="13">
        <f t="shared" si="32"/>
        <v>-4.3879907621247161E-2</v>
      </c>
      <c r="AD38" s="13">
        <f t="shared" si="32"/>
        <v>-9.9033816425120769E-2</v>
      </c>
      <c r="AE38" s="13">
        <f t="shared" si="32"/>
        <v>0.86085790884718483</v>
      </c>
      <c r="AF38" s="13">
        <f t="shared" si="32"/>
        <v>25.890937905200982</v>
      </c>
      <c r="AG38" s="13">
        <f t="shared" si="32"/>
        <v>-0.6206268416822931</v>
      </c>
    </row>
    <row r="39" spans="1:40" x14ac:dyDescent="0.3">
      <c r="G39" s="7"/>
      <c r="H39" s="7"/>
      <c r="I39" s="7"/>
      <c r="J39" s="7"/>
      <c r="K39" s="7"/>
      <c r="L39" s="7"/>
      <c r="M39" s="7"/>
      <c r="N39" s="28"/>
      <c r="Z39" s="13">
        <f t="shared" ref="Z39:AG39" si="33">Z13/Y13-1</f>
        <v>6.5798530406382394E-3</v>
      </c>
      <c r="AA39" s="13">
        <f t="shared" si="33"/>
        <v>0.10075169714087528</v>
      </c>
      <c r="AB39" s="13">
        <f t="shared" si="33"/>
        <v>0.15550184633571118</v>
      </c>
      <c r="AC39" s="13">
        <f t="shared" si="33"/>
        <v>8.6276127709192352E-2</v>
      </c>
      <c r="AD39" s="13">
        <f t="shared" si="33"/>
        <v>6.7255144850558723E-2</v>
      </c>
      <c r="AE39" s="13">
        <f t="shared" si="33"/>
        <v>0.76496071207866234</v>
      </c>
      <c r="AF39" s="13">
        <f t="shared" si="33"/>
        <v>4.356998618556629E-2</v>
      </c>
      <c r="AG39" s="13">
        <f t="shared" si="33"/>
        <v>-0.17191491271552928</v>
      </c>
    </row>
    <row r="40" spans="1:40" x14ac:dyDescent="0.3">
      <c r="A40" t="s">
        <v>53</v>
      </c>
      <c r="G40" s="7">
        <f t="shared" ref="G40:N40" si="34">G13/C13-1</f>
        <v>0.65686064043925096</v>
      </c>
      <c r="H40" s="7">
        <f t="shared" si="34"/>
        <v>3.9079128156939813E-2</v>
      </c>
      <c r="I40" s="7">
        <f t="shared" si="34"/>
        <v>-2.0704107594185062E-2</v>
      </c>
      <c r="J40" s="7">
        <f t="shared" si="34"/>
        <v>-0.19918355388446674</v>
      </c>
      <c r="K40" s="7">
        <f t="shared" si="34"/>
        <v>-0.1159956343393358</v>
      </c>
      <c r="L40" s="7">
        <f t="shared" si="34"/>
        <v>-0.12043173409417829</v>
      </c>
      <c r="M40" s="7">
        <f t="shared" si="34"/>
        <v>-0.22223236169923488</v>
      </c>
      <c r="N40" s="28">
        <f t="shared" si="34"/>
        <v>-0.219445785914403</v>
      </c>
      <c r="Z40" s="13">
        <f t="shared" ref="Z40:AG40" si="35">Z14/Y14-1</f>
        <v>2.8936835632894287E-2</v>
      </c>
      <c r="AA40" s="13">
        <f t="shared" si="35"/>
        <v>4.3497153815144074E-2</v>
      </c>
      <c r="AB40" s="13">
        <f t="shared" si="35"/>
        <v>0.18171660057152628</v>
      </c>
      <c r="AC40" s="13">
        <f t="shared" si="35"/>
        <v>5.41169520556255E-2</v>
      </c>
      <c r="AD40" s="13">
        <f t="shared" si="35"/>
        <v>5.7950400726364926E-2</v>
      </c>
      <c r="AE40" s="13">
        <f t="shared" si="35"/>
        <v>0.57896268256933636</v>
      </c>
      <c r="AF40" s="13">
        <f t="shared" si="35"/>
        <v>0.10362890795204627</v>
      </c>
      <c r="AG40" s="13">
        <f t="shared" si="35"/>
        <v>-0.12410270430876713</v>
      </c>
    </row>
    <row r="41" spans="1:40" x14ac:dyDescent="0.3">
      <c r="A41" t="s">
        <v>50</v>
      </c>
      <c r="G41" s="7">
        <f>G16/G13</f>
        <v>0.43361345306381266</v>
      </c>
      <c r="H41" s="7">
        <f t="shared" ref="H41:N41" si="36">H16/H13</f>
        <v>0.41504761277747965</v>
      </c>
      <c r="I41" s="7">
        <f t="shared" si="36"/>
        <v>0.40299929813043023</v>
      </c>
      <c r="J41" s="7">
        <f t="shared" si="36"/>
        <v>0.40155236529609095</v>
      </c>
      <c r="K41" s="7">
        <f t="shared" si="36"/>
        <v>0.39625559871191895</v>
      </c>
      <c r="L41" s="7">
        <f t="shared" si="36"/>
        <v>0.38189618182150509</v>
      </c>
      <c r="M41" s="7">
        <f t="shared" si="36"/>
        <v>0.37582376912022358</v>
      </c>
      <c r="N41" s="28">
        <f t="shared" si="36"/>
        <v>0.35816293901426655</v>
      </c>
      <c r="Y41" s="13">
        <f>Y16/Y13</f>
        <v>0.35186502323298618</v>
      </c>
      <c r="Z41" s="13">
        <f>Z16/Z13</f>
        <v>0.33746940191269009</v>
      </c>
      <c r="AA41" s="13">
        <f t="shared" ref="AA41:AG41" si="37">AA16/AA13</f>
        <v>0.36915055052450524</v>
      </c>
      <c r="AB41" s="13">
        <f t="shared" si="37"/>
        <v>0.3542226445275809</v>
      </c>
      <c r="AC41" s="13">
        <f t="shared" si="37"/>
        <v>0.37191221100002086</v>
      </c>
      <c r="AD41" s="13">
        <f t="shared" si="37"/>
        <v>0.37716303672462098</v>
      </c>
      <c r="AE41" s="13">
        <f t="shared" si="37"/>
        <v>0.44470686057607839</v>
      </c>
      <c r="AF41" s="13">
        <f t="shared" si="37"/>
        <v>0.41287434769036369</v>
      </c>
      <c r="AG41" s="13">
        <f t="shared" si="37"/>
        <v>0.378846430943034</v>
      </c>
    </row>
    <row r="42" spans="1:40" x14ac:dyDescent="0.3">
      <c r="A42" t="s">
        <v>51</v>
      </c>
      <c r="G42" s="7">
        <f t="shared" ref="G42:I42" si="38">G21/G13</f>
        <v>0.15365707918399946</v>
      </c>
      <c r="H42" s="7">
        <f t="shared" si="38"/>
        <v>0.1373463464973087</v>
      </c>
      <c r="I42" s="7">
        <f t="shared" si="38"/>
        <v>0.16092227866304273</v>
      </c>
      <c r="J42" s="7">
        <f>J21/J13</f>
        <v>0.10469075458904686</v>
      </c>
      <c r="K42" s="7">
        <f t="shared" ref="K42:N42" si="39">K21/K13</f>
        <v>9.9562449078125281E-2</v>
      </c>
      <c r="L42" s="7">
        <f t="shared" si="39"/>
        <v>0.11088462432253426</v>
      </c>
      <c r="M42" s="7">
        <f t="shared" si="39"/>
        <v>0.13917751048290244</v>
      </c>
      <c r="N42" s="28">
        <f t="shared" si="39"/>
        <v>4.0459254830602066E-2</v>
      </c>
      <c r="O42" s="7"/>
      <c r="Y42" s="13">
        <f>Y21/Y13</f>
        <v>7.6903279352468976E-2</v>
      </c>
      <c r="Z42" s="13">
        <f t="shared" ref="Z42:AG42" si="40">Z21/Z13</f>
        <v>6.3950250235369793E-2</v>
      </c>
      <c r="AA42" s="13">
        <f t="shared" si="40"/>
        <v>9.1728425016892351E-2</v>
      </c>
      <c r="AB42" s="13">
        <f t="shared" si="40"/>
        <v>8.758745597252364E-2</v>
      </c>
      <c r="AC42" s="13">
        <f t="shared" si="40"/>
        <v>9.4391537275824125E-2</v>
      </c>
      <c r="AD42" s="13">
        <f t="shared" si="40"/>
        <v>0.10072480107370974</v>
      </c>
      <c r="AE42" s="13">
        <f t="shared" si="40"/>
        <v>0.21968089508743088</v>
      </c>
      <c r="AF42" s="13">
        <f t="shared" si="40"/>
        <v>0.14094576983711854</v>
      </c>
      <c r="AG42" s="13">
        <f t="shared" si="40"/>
        <v>0.10101065960344734</v>
      </c>
    </row>
    <row r="43" spans="1:40" x14ac:dyDescent="0.3">
      <c r="A43" t="s">
        <v>52</v>
      </c>
      <c r="G43" s="7">
        <f>G24/G23</f>
        <v>0.11880223238479165</v>
      </c>
      <c r="H43" s="7">
        <f t="shared" ref="H43:N43" si="41">H24/H23</f>
        <v>0.1934717105529499</v>
      </c>
      <c r="I43" s="7">
        <f t="shared" si="41"/>
        <v>0.1902597202301082</v>
      </c>
      <c r="J43" s="7">
        <f t="shared" si="41"/>
        <v>0.17852886024248205</v>
      </c>
      <c r="K43" s="7">
        <f t="shared" si="41"/>
        <v>0.17279195769958908</v>
      </c>
      <c r="L43" s="7">
        <f t="shared" si="41"/>
        <v>0.22161326721219751</v>
      </c>
      <c r="M43" s="7">
        <f t="shared" si="41"/>
        <v>0.23336578855242443</v>
      </c>
      <c r="N43" s="28">
        <f t="shared" si="41"/>
        <v>0.21248410544495289</v>
      </c>
      <c r="Y43" s="13">
        <f>Y24/Y25</f>
        <v>3.1355058647568899E-2</v>
      </c>
      <c r="Z43" s="13">
        <f t="shared" ref="Z43:AG43" si="42">Z24/Z25</f>
        <v>2.4228354185818281E-2</v>
      </c>
      <c r="AA43" s="13">
        <f t="shared" si="42"/>
        <v>4.607551672531647E-2</v>
      </c>
      <c r="AB43" s="13">
        <f t="shared" si="42"/>
        <v>0.11649822721156587</v>
      </c>
      <c r="AC43" s="13">
        <f t="shared" si="42"/>
        <v>5.2645269496414501E-2</v>
      </c>
      <c r="AD43" s="13">
        <f t="shared" si="42"/>
        <v>-0.26512675222529958</v>
      </c>
      <c r="AE43" s="13">
        <f t="shared" si="42"/>
        <v>0.21077950102901175</v>
      </c>
      <c r="AF43" s="13">
        <f t="shared" si="42"/>
        <v>0.20419445787891549</v>
      </c>
      <c r="AG43" s="13">
        <f t="shared" si="42"/>
        <v>0.26952330087780585</v>
      </c>
      <c r="AJ43">
        <v>400</v>
      </c>
      <c r="AK43">
        <v>600</v>
      </c>
      <c r="AL43">
        <v>609</v>
      </c>
    </row>
    <row r="46" spans="1:40" x14ac:dyDescent="0.3">
      <c r="A46" s="12" t="s">
        <v>78</v>
      </c>
      <c r="AG46" s="2">
        <f>SUM(AG47:AG50)</f>
        <v>2605.174</v>
      </c>
    </row>
    <row r="47" spans="1:40" x14ac:dyDescent="0.3">
      <c r="A47" t="s">
        <v>79</v>
      </c>
      <c r="AG47" s="2">
        <v>1149.0229999999999</v>
      </c>
    </row>
    <row r="48" spans="1:40" x14ac:dyDescent="0.3">
      <c r="A48" t="s">
        <v>80</v>
      </c>
      <c r="AG48" s="2">
        <v>630.38199999999995</v>
      </c>
    </row>
    <row r="49" spans="1:41" x14ac:dyDescent="0.3">
      <c r="A49" t="s">
        <v>81</v>
      </c>
      <c r="AG49" s="2">
        <v>682.89300000000003</v>
      </c>
    </row>
    <row r="50" spans="1:41" x14ac:dyDescent="0.3">
      <c r="A50" t="s">
        <v>82</v>
      </c>
      <c r="AG50" s="2">
        <v>142.876</v>
      </c>
    </row>
    <row r="51" spans="1:41" x14ac:dyDescent="0.3">
      <c r="A51" s="12" t="s">
        <v>83</v>
      </c>
      <c r="AG51" s="2">
        <f>SUM(AG52:AG55)</f>
        <v>955.57900000000006</v>
      </c>
    </row>
    <row r="52" spans="1:41" x14ac:dyDescent="0.3">
      <c r="A52" t="s">
        <v>84</v>
      </c>
      <c r="AG52" s="2">
        <v>121.503</v>
      </c>
    </row>
    <row r="53" spans="1:41" x14ac:dyDescent="0.3">
      <c r="A53" t="s">
        <v>85</v>
      </c>
      <c r="AG53" s="2">
        <v>454.61</v>
      </c>
    </row>
    <row r="54" spans="1:41" x14ac:dyDescent="0.3">
      <c r="A54" t="s">
        <v>86</v>
      </c>
      <c r="AG54" s="2">
        <v>63.173000000000002</v>
      </c>
    </row>
    <row r="55" spans="1:41" x14ac:dyDescent="0.3">
      <c r="A55" t="s">
        <v>87</v>
      </c>
      <c r="AG55" s="2">
        <v>316.29300000000001</v>
      </c>
    </row>
    <row r="56" spans="1:41" x14ac:dyDescent="0.3">
      <c r="A56" s="17" t="s">
        <v>88</v>
      </c>
      <c r="AG56" s="2">
        <f>AG51+AG46</f>
        <v>3560.7530000000002</v>
      </c>
    </row>
    <row r="57" spans="1:41" x14ac:dyDescent="0.3">
      <c r="A57" s="12" t="s">
        <v>89</v>
      </c>
      <c r="AG57" s="2">
        <f>AG58+AG59</f>
        <v>1050.107</v>
      </c>
    </row>
    <row r="58" spans="1:41" x14ac:dyDescent="0.3">
      <c r="A58" t="s">
        <v>90</v>
      </c>
      <c r="AG58" s="2">
        <v>406.96800000000002</v>
      </c>
    </row>
    <row r="59" spans="1:41" x14ac:dyDescent="0.3">
      <c r="A59" t="s">
        <v>91</v>
      </c>
      <c r="AG59" s="2">
        <v>643.13900000000001</v>
      </c>
      <c r="AN59" t="s">
        <v>102</v>
      </c>
      <c r="AO59" s="16">
        <v>0</v>
      </c>
    </row>
    <row r="60" spans="1:41" x14ac:dyDescent="0.3">
      <c r="A60" s="12" t="s">
        <v>92</v>
      </c>
      <c r="AG60" s="2">
        <f>SUM(AG61:AG62)</f>
        <v>253.08600000000001</v>
      </c>
      <c r="AN60" t="s">
        <v>103</v>
      </c>
      <c r="AO60" s="13">
        <v>0.27</v>
      </c>
    </row>
    <row r="61" spans="1:41" x14ac:dyDescent="0.3">
      <c r="A61" t="s">
        <v>93</v>
      </c>
      <c r="AG61" s="2">
        <v>106.39100000000001</v>
      </c>
      <c r="AN61" t="s">
        <v>104</v>
      </c>
      <c r="AO61">
        <v>0</v>
      </c>
    </row>
    <row r="62" spans="1:41" x14ac:dyDescent="0.3">
      <c r="A62" t="s">
        <v>94</v>
      </c>
      <c r="AG62" s="2">
        <v>146.69499999999999</v>
      </c>
      <c r="AN62" t="s">
        <v>105</v>
      </c>
      <c r="AO62" s="16">
        <v>0</v>
      </c>
    </row>
    <row r="63" spans="1:41" x14ac:dyDescent="0.3">
      <c r="A63" s="17" t="s">
        <v>95</v>
      </c>
      <c r="AG63" s="2">
        <f>AG60+AG57</f>
        <v>1303.193</v>
      </c>
      <c r="AN63" t="s">
        <v>106</v>
      </c>
      <c r="AO63" s="16">
        <f>(1-AO60)*AO59</f>
        <v>0</v>
      </c>
    </row>
    <row r="64" spans="1:41" x14ac:dyDescent="0.3">
      <c r="A64" s="17" t="s">
        <v>96</v>
      </c>
      <c r="AG64" s="2">
        <f>SUM(AG65:AG69)</f>
        <v>2257.56</v>
      </c>
    </row>
    <row r="65" spans="1:41" x14ac:dyDescent="0.3">
      <c r="A65" s="18" t="s">
        <v>101</v>
      </c>
      <c r="AG65" s="2">
        <v>30.148</v>
      </c>
      <c r="AN65" t="s">
        <v>107</v>
      </c>
      <c r="AO65" s="7">
        <v>3.712E-2</v>
      </c>
    </row>
    <row r="66" spans="1:41" x14ac:dyDescent="0.3">
      <c r="A66" t="s">
        <v>97</v>
      </c>
      <c r="AG66" s="2">
        <v>127.38</v>
      </c>
      <c r="AN66" t="s">
        <v>108</v>
      </c>
      <c r="AO66">
        <v>0.86</v>
      </c>
    </row>
    <row r="67" spans="1:41" x14ac:dyDescent="0.3">
      <c r="A67" t="s">
        <v>98</v>
      </c>
      <c r="AG67" s="2">
        <v>-977.26599999999996</v>
      </c>
      <c r="AN67" t="s">
        <v>109</v>
      </c>
      <c r="AO67" s="16">
        <v>0.04</v>
      </c>
    </row>
    <row r="68" spans="1:41" x14ac:dyDescent="0.3">
      <c r="A68" t="s">
        <v>99</v>
      </c>
      <c r="AG68" s="2">
        <v>3177.5749999999998</v>
      </c>
      <c r="AN68" t="s">
        <v>110</v>
      </c>
      <c r="AO68" s="16">
        <v>1</v>
      </c>
    </row>
    <row r="69" spans="1:41" x14ac:dyDescent="0.3">
      <c r="A69" t="s">
        <v>100</v>
      </c>
      <c r="AG69" s="2">
        <v>-100.277</v>
      </c>
      <c r="AN69" t="s">
        <v>111</v>
      </c>
      <c r="AO69" s="19">
        <f>AO65+(AO66*AO67)</f>
        <v>7.152E-2</v>
      </c>
    </row>
    <row r="71" spans="1:41" x14ac:dyDescent="0.3">
      <c r="AN71" t="s">
        <v>112</v>
      </c>
    </row>
    <row r="72" spans="1:41" x14ac:dyDescent="0.3">
      <c r="AN72" t="s">
        <v>113</v>
      </c>
      <c r="AO72">
        <f>AG47</f>
        <v>1149.0229999999999</v>
      </c>
    </row>
    <row r="73" spans="1:41" x14ac:dyDescent="0.3">
      <c r="AN73" t="s">
        <v>114</v>
      </c>
      <c r="AO73">
        <v>0</v>
      </c>
    </row>
    <row r="74" spans="1:41" x14ac:dyDescent="0.3">
      <c r="AN74" t="s">
        <v>115</v>
      </c>
      <c r="AO74">
        <f>AO73-AO72</f>
        <v>-1149.0229999999999</v>
      </c>
    </row>
    <row r="76" spans="1:41" x14ac:dyDescent="0.3">
      <c r="AN76" t="s">
        <v>116</v>
      </c>
    </row>
    <row r="78" spans="1:41" x14ac:dyDescent="0.3">
      <c r="AN78" t="s">
        <v>117</v>
      </c>
      <c r="AO78">
        <v>158.73770999999999</v>
      </c>
    </row>
    <row r="79" spans="1:41" x14ac:dyDescent="0.3">
      <c r="AN79" t="s">
        <v>118</v>
      </c>
      <c r="AO79">
        <v>55.4</v>
      </c>
    </row>
    <row r="80" spans="1:41" x14ac:dyDescent="0.3">
      <c r="AN80" t="s">
        <v>119</v>
      </c>
      <c r="AO80">
        <f>AO79*AO78</f>
        <v>8794.0691339999994</v>
      </c>
    </row>
    <row r="83" spans="39:41" x14ac:dyDescent="0.3">
      <c r="AM83" t="s">
        <v>120</v>
      </c>
      <c r="AO83" s="19">
        <f>AO69*AO68</f>
        <v>7.152E-2</v>
      </c>
    </row>
  </sheetData>
  <mergeCells count="26">
    <mergeCell ref="A6:B6"/>
    <mergeCell ref="A1:B1"/>
    <mergeCell ref="A2:B2"/>
    <mergeCell ref="A3:B3"/>
    <mergeCell ref="A4:B4"/>
    <mergeCell ref="A5:B5"/>
    <mergeCell ref="A19:B19"/>
    <mergeCell ref="A7:B7"/>
    <mergeCell ref="A8:B8"/>
    <mergeCell ref="A9:B9"/>
    <mergeCell ref="A10:B10"/>
    <mergeCell ref="A12:B12"/>
    <mergeCell ref="A13:B13"/>
    <mergeCell ref="A14:B14"/>
    <mergeCell ref="A15:B15"/>
    <mergeCell ref="A16:B16"/>
    <mergeCell ref="A17:B17"/>
    <mergeCell ref="A18:B18"/>
    <mergeCell ref="A26:B26"/>
    <mergeCell ref="A27:B27"/>
    <mergeCell ref="A20:B20"/>
    <mergeCell ref="A21:B21"/>
    <mergeCell ref="A22:B22"/>
    <mergeCell ref="A23:B23"/>
    <mergeCell ref="A24:B24"/>
    <mergeCell ref="A25:B25"/>
  </mergeCells>
  <hyperlinks>
    <hyperlink ref="A1" location="main!A1" display="main" xr:uid="{777E4474-5CD0-4662-A372-73D52ED5DD51}"/>
  </hyperlink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Voli oho</dc:creator>
  <cp:lastModifiedBy>Tina Viatamea</cp:lastModifiedBy>
  <dcterms:created xsi:type="dcterms:W3CDTF">2023-06-23T14:26:20Z</dcterms:created>
  <dcterms:modified xsi:type="dcterms:W3CDTF">2023-07-25T12:08:52Z</dcterms:modified>
</cp:coreProperties>
</file>