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ana\Ornek_dosyalar\Formuller\"/>
    </mc:Choice>
  </mc:AlternateContent>
  <bookViews>
    <workbookView xWindow="0" yWindow="0" windowWidth="20490" windowHeight="7005" tabRatio="692" xr2:uid="{A9AA1240-CB26-4DA3-A810-C9597CCFE491}"/>
  </bookViews>
  <sheets>
    <sheet name="dizi giriş" sheetId="1" r:id="rId1"/>
    <sheet name="true false ve veya" sheetId="9" r:id="rId2"/>
    <sheet name="true&amp;false sayısala" sheetId="5" r:id="rId3"/>
    <sheet name="ifli örnekler" sheetId="2" r:id="rId4"/>
    <sheet name="MINIF SMALL-dizi" sheetId="6" r:id="rId5"/>
    <sheet name="sumproduct klasik" sheetId="10" r:id="rId6"/>
    <sheet name="veritabanı fonksiyonları" sheetId="14" r:id="rId7"/>
    <sheet name="1 boyutlu tablolar" sheetId="12" r:id="rId8"/>
    <sheet name="2 boyutlu tablolar" sheetId="11" r:id="rId9"/>
    <sheet name="Örnek1,2,3,4" sheetId="15" r:id="rId10"/>
    <sheet name="Örnek5" sheetId="7" r:id="rId11"/>
    <sheet name="Örnek6" sheetId="16" r:id="rId12"/>
    <sheet name="Örnek7" sheetId="13" r:id="rId13"/>
    <sheet name="Örnek8" sheetId="3" r:id="rId14"/>
    <sheet name="Örnek9" sheetId="18" r:id="rId15"/>
    <sheet name="Örnek10" sheetId="19" r:id="rId16"/>
  </sheets>
  <definedNames>
    <definedName name="alanfordsum">'1 boyutlu tablolar'!$B$32:$D$44</definedName>
    <definedName name="ayno">'2 boyutlu tablolar'!#REF!</definedName>
    <definedName name="bölge">Örnek7!$A$2:$A$12</definedName>
    <definedName name="bölgeler">'true false ve veya'!$A$2:$A$31</definedName>
    <definedName name="bölgeler2">'1 boyutlu tablolar'!$B$33:$B$44</definedName>
    <definedName name="bölgeler3">'2 boyutlu tablolar'!$B$7:$B$24</definedName>
    <definedName name="bölgeler4">'2 boyutlu tablolar'!$B$34:$B$51</definedName>
    <definedName name="cert1">'2 boyutlu tablolar'!$C$77:$C$94</definedName>
    <definedName name="cert2">'2 boyutlu tablolar'!$D$77:$D$94</definedName>
    <definedName name="certsatış">'2 boyutlu tablolar'!$E$77:$G$94</definedName>
    <definedName name="dönemler">'1 boyutlu tablolar'!$C$33:$C$44</definedName>
    <definedName name="Mağazalar">'2 boyutlu tablolar'!$C$7:$C$24</definedName>
    <definedName name="miyler">'2 boyutlu tablolar'!$B$77:$B$94</definedName>
    <definedName name="miytip">'2 boyutlu tablolar'!$C$56:$C$73</definedName>
    <definedName name="perstip">'2 boyutlu tablolar'!$B$56:$B$73</definedName>
    <definedName name="rakam">Örnek7!$C$2:$C$12</definedName>
    <definedName name="satış">'2 boyutlu tablolar'!$D$56:$G$73</definedName>
    <definedName name="satışlar">'true false ve veya'!$D$2:$D$31</definedName>
    <definedName name="segment">'2 boyutlu tablolar'!$D$34:$D$51</definedName>
    <definedName name="siciller">'2 boyutlu tablolar'!#REF!</definedName>
    <definedName name="Tutarlar">'1 boyutlu tablolar'!$D$33:$D$44</definedName>
    <definedName name="Tutarlar3">'2 boyutlu tablolar'!$D$7:$G$24</definedName>
    <definedName name="tutarlar4">'2 boyutlu tablolar'!$E$34:$G$51</definedName>
    <definedName name="ürünler">'true false ve veya'!$C$2:$C$31</definedName>
    <definedName name="Ürünler3">'2 boyutlu tablolar'!$D$6:$G$6</definedName>
    <definedName name="ürünler4">'2 boyutlu tablolar'!$E$33:$G$33</definedName>
    <definedName name="yıllar4">'2 boyutlu tablolar'!$C$34:$C$51</definedName>
  </definedNames>
  <calcPr calcId="171027"/>
  <pivotCaches>
    <pivotCache cacheId="2" r:id="rId17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6" l="1" a="1"/>
  <c r="E13" i="6" s="1"/>
  <c r="E16" i="6" a="1"/>
  <c r="E16" i="6" s="1"/>
  <c r="E10" i="6" a="1"/>
  <c r="E10" i="6" s="1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G5" i="19" a="1"/>
  <c r="G5" i="19" s="1"/>
  <c r="D5" i="19"/>
  <c r="D4" i="19"/>
  <c r="G3" i="19" a="1"/>
  <c r="G3" i="19" s="1"/>
  <c r="D3" i="19"/>
  <c r="D2" i="19"/>
  <c r="G1" i="19"/>
  <c r="D2" i="18" a="1"/>
  <c r="D2" i="18" s="1"/>
  <c r="G4" i="19" l="1"/>
  <c r="G2" i="19"/>
  <c r="E3" i="13" l="1"/>
  <c r="E4" i="13"/>
  <c r="E5" i="13"/>
  <c r="E6" i="13"/>
  <c r="E7" i="13"/>
  <c r="E8" i="13"/>
  <c r="E9" i="13"/>
  <c r="E10" i="13"/>
  <c r="E11" i="13"/>
  <c r="E12" i="13"/>
  <c r="E2" i="13"/>
  <c r="C2" i="16" a="1"/>
  <c r="C2" i="16" s="1"/>
  <c r="D5" i="15" a="1"/>
  <c r="D5" i="15" s="1"/>
  <c r="I2" i="7" a="1"/>
  <c r="I2" i="7" s="1"/>
  <c r="G16" i="7"/>
  <c r="E16" i="7"/>
  <c r="A18" i="15" a="1"/>
  <c r="A18" i="15"/>
  <c r="J2" i="7" a="1"/>
  <c r="J2" i="7" s="1"/>
  <c r="H16" i="3" a="1"/>
  <c r="G14" i="3" a="1"/>
  <c r="G15" i="3" a="1"/>
  <c r="H8" i="3" a="1"/>
  <c r="H14" i="3" a="1"/>
  <c r="G12" i="3" a="1"/>
  <c r="H15" i="3" a="1"/>
  <c r="H13" i="3" a="1"/>
  <c r="H12" i="3" a="1"/>
  <c r="G16" i="3" a="1"/>
  <c r="G13" i="3" a="1"/>
  <c r="H15" i="3" l="1"/>
  <c r="H14" i="3"/>
  <c r="H16" i="3"/>
  <c r="H13" i="3"/>
  <c r="H12" i="3"/>
  <c r="G15" i="3"/>
  <c r="G16" i="3"/>
  <c r="G13" i="3"/>
  <c r="G12" i="3"/>
  <c r="G14" i="3"/>
  <c r="H8" i="3"/>
  <c r="A6" i="15" l="1"/>
  <c r="A5" i="15" a="1"/>
  <c r="A5" i="15" s="1"/>
  <c r="J56" i="12" a="1"/>
  <c r="J56" i="12"/>
  <c r="T44" i="11" a="1"/>
  <c r="T44" i="11" s="1"/>
  <c r="T38" i="11" a="1"/>
  <c r="T38" i="11" s="1"/>
  <c r="H7" i="3" a="1"/>
  <c r="H7" i="3" s="1"/>
  <c r="K8" i="1" a="1"/>
  <c r="K8" i="1"/>
  <c r="K9" i="1"/>
  <c r="K10" i="1"/>
  <c r="L82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J79" i="11"/>
  <c r="J78" i="11"/>
  <c r="K57" i="11"/>
  <c r="S50" i="11" a="1"/>
  <c r="S50" i="11" s="1"/>
  <c r="S49" i="11"/>
  <c r="L51" i="11"/>
  <c r="K30" i="11"/>
  <c r="J70" i="12" a="1"/>
  <c r="J70" i="12" s="1"/>
  <c r="J53" i="12" a="1"/>
  <c r="J53" i="12"/>
  <c r="J52" i="12" a="1"/>
  <c r="J52" i="12"/>
  <c r="T45" i="11"/>
  <c r="T39" i="11"/>
  <c r="L49" i="11"/>
  <c r="M45" i="11" a="1"/>
  <c r="M45" i="11" s="1"/>
  <c r="M44" i="11"/>
  <c r="L24" i="11"/>
  <c r="L22" i="11"/>
  <c r="L23" i="11" a="1"/>
  <c r="L23" i="11" s="1"/>
  <c r="L9" i="11"/>
  <c r="J67" i="12" a="1"/>
  <c r="J67" i="12" s="1"/>
  <c r="L19" i="11"/>
  <c r="L14" i="11"/>
  <c r="D10" i="15" a="1"/>
  <c r="D11" i="15" a="1"/>
  <c r="A10" i="15" a="1"/>
  <c r="L8" i="1" a="1"/>
  <c r="A9" i="15" a="1"/>
  <c r="H2" i="3" a="1"/>
  <c r="D11" i="15" l="1"/>
  <c r="A10" i="15"/>
  <c r="B10" i="15"/>
  <c r="C10" i="15"/>
  <c r="D10" i="15"/>
  <c r="A9" i="15"/>
  <c r="B9" i="15"/>
  <c r="C9" i="15"/>
  <c r="H2" i="3"/>
  <c r="L8" i="1"/>
  <c r="L10" i="1"/>
  <c r="L9" i="1"/>
  <c r="M2" i="14"/>
  <c r="J2" i="5" a="1"/>
  <c r="J2" i="5"/>
  <c r="K71" i="12"/>
  <c r="J71" i="12"/>
  <c r="D12" i="13"/>
  <c r="D11" i="13"/>
  <c r="D10" i="13"/>
  <c r="D9" i="13"/>
  <c r="D8" i="13"/>
  <c r="D7" i="13"/>
  <c r="D6" i="13"/>
  <c r="D5" i="13"/>
  <c r="D4" i="13"/>
  <c r="D3" i="13"/>
  <c r="D2" i="13"/>
  <c r="M39" i="11" a="1"/>
  <c r="M39" i="11" s="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M38" i="11"/>
  <c r="K70" i="12" a="1"/>
  <c r="K70" i="12" s="1"/>
  <c r="K68" i="12" a="1"/>
  <c r="K68" i="12" s="1"/>
  <c r="K67" i="12" a="1"/>
  <c r="K67" i="12" s="1"/>
  <c r="J68" i="12" a="1"/>
  <c r="J68" i="12" s="1"/>
  <c r="K69" i="12"/>
  <c r="J69" i="12"/>
  <c r="K28" i="11"/>
  <c r="K27" i="11"/>
  <c r="L17" i="11"/>
  <c r="L18" i="11" a="1"/>
  <c r="L18" i="11" s="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7" i="11"/>
  <c r="L13" i="11"/>
  <c r="L12" i="11"/>
  <c r="L8" i="11"/>
  <c r="K53" i="12" a="1"/>
  <c r="K53" i="12" s="1"/>
  <c r="K52" i="12" a="1"/>
  <c r="K52" i="12" s="1"/>
  <c r="K57" i="12"/>
  <c r="K56" i="12" a="1"/>
  <c r="K56" i="12" s="1"/>
  <c r="K55" i="12"/>
  <c r="K54" i="12"/>
  <c r="K51" i="12"/>
  <c r="K58" i="12"/>
  <c r="J58" i="12"/>
  <c r="J57" i="12"/>
  <c r="J55" i="12"/>
  <c r="J54" i="12"/>
  <c r="J51" i="12"/>
  <c r="D9" i="15" l="1"/>
  <c r="A14" i="15" s="1" a="1"/>
  <c r="A14" i="15" s="1"/>
  <c r="L50" i="11"/>
  <c r="K29" i="11"/>
  <c r="K50" i="12"/>
  <c r="J50" i="12"/>
  <c r="I38" i="12"/>
  <c r="I39" i="12"/>
  <c r="I37" i="12"/>
  <c r="I36" i="12"/>
  <c r="I35" i="12" a="1"/>
  <c r="I35" i="12" s="1"/>
  <c r="I34" i="12" a="1"/>
  <c r="I34" i="12" s="1"/>
  <c r="I33" i="12"/>
  <c r="H39" i="12"/>
  <c r="H38" i="12"/>
  <c r="H37" i="12"/>
  <c r="H36" i="12"/>
  <c r="H35" i="12" a="1"/>
  <c r="H35" i="12" s="1"/>
  <c r="H34" i="12" a="1"/>
  <c r="H34" i="12" s="1"/>
  <c r="H33" i="12"/>
  <c r="I17" i="12" a="1"/>
  <c r="I17" i="12" s="1"/>
  <c r="L7" i="12"/>
  <c r="F7" i="12"/>
  <c r="A15" i="15" l="1" a="1"/>
  <c r="A15" i="15" s="1"/>
  <c r="D15" i="10" a="1"/>
  <c r="D15" i="10" s="1"/>
  <c r="C15" i="10"/>
  <c r="C12" i="10"/>
  <c r="D3" i="10"/>
  <c r="D4" i="10"/>
  <c r="D5" i="10"/>
  <c r="D6" i="10"/>
  <c r="D7" i="10"/>
  <c r="D8" i="10"/>
  <c r="B14" i="10" s="1"/>
  <c r="D9" i="10"/>
  <c r="D10" i="10"/>
  <c r="D11" i="10"/>
  <c r="D2" i="10"/>
  <c r="B15" i="10"/>
  <c r="J6" i="6"/>
  <c r="J5" i="6"/>
  <c r="J4" i="6" a="1"/>
  <c r="J4" i="6" s="1"/>
  <c r="J3" i="6" a="1"/>
  <c r="J3" i="6"/>
  <c r="J2" i="6"/>
  <c r="H6" i="6" l="1"/>
  <c r="J4" i="9" a="1"/>
  <c r="J4" i="9" s="1"/>
  <c r="I4" i="9" a="1"/>
  <c r="I4" i="9" s="1"/>
  <c r="J2" i="9" a="1"/>
  <c r="J2" i="9" s="1"/>
  <c r="J3" i="9" a="1"/>
  <c r="J3" i="9" s="1"/>
  <c r="I3" i="9" a="1"/>
  <c r="I3" i="9" s="1"/>
  <c r="I2" i="9" a="1"/>
  <c r="I2" i="9" s="1"/>
  <c r="D4" i="2" l="1" a="1"/>
  <c r="D4" i="2"/>
  <c r="J3" i="5" l="1" a="1"/>
  <c r="J3" i="5" s="1"/>
  <c r="J1" i="5"/>
  <c r="H5" i="6"/>
  <c r="I4" i="6" a="1"/>
  <c r="I4" i="6" s="1"/>
  <c r="H4" i="6" a="1"/>
  <c r="H4" i="6" s="1"/>
  <c r="I3" i="6" a="1"/>
  <c r="I3" i="6" s="1"/>
  <c r="H3" i="6" a="1"/>
  <c r="H3" i="6" s="1"/>
  <c r="I2" i="6"/>
  <c r="H2" i="6"/>
  <c r="C4" i="5"/>
  <c r="C2" i="5"/>
  <c r="B2" i="5"/>
  <c r="C1" i="5"/>
  <c r="C5" i="5" s="1"/>
  <c r="B1" i="5"/>
  <c r="B4" i="5" s="1"/>
  <c r="E3" i="2"/>
  <c r="E2" i="2"/>
  <c r="D2" i="2" a="1"/>
  <c r="D2" i="2" s="1"/>
  <c r="J1" i="2" a="1"/>
  <c r="J1" i="2" s="1"/>
  <c r="D3" i="2" a="1"/>
  <c r="L1" i="1" a="1"/>
  <c r="M1" i="1" s="1"/>
  <c r="N1" i="1" l="1"/>
  <c r="B3" i="5"/>
  <c r="B5" i="5"/>
  <c r="C3" i="5"/>
  <c r="D3" i="2"/>
  <c r="D1" i="2"/>
  <c r="L1" i="1"/>
  <c r="G2" i="1" a="1"/>
  <c r="G2" i="1" s="1"/>
  <c r="D3" i="1"/>
  <c r="D4" i="1"/>
  <c r="D5" i="1"/>
  <c r="D6" i="1"/>
  <c r="D7" i="1"/>
  <c r="D8" i="1"/>
  <c r="D9" i="1"/>
  <c r="D10" i="1"/>
  <c r="D11" i="1"/>
  <c r="D2" i="1"/>
  <c r="G1" i="1" a="1"/>
  <c r="G1" i="1" s="1"/>
  <c r="C2" i="1" a="1"/>
  <c r="C2" i="1" s="1"/>
  <c r="C9" i="1" l="1"/>
  <c r="C5" i="1"/>
  <c r="C8" i="1"/>
  <c r="C4" i="1"/>
  <c r="C11" i="1"/>
  <c r="C7" i="1"/>
  <c r="C3" i="1"/>
  <c r="C10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G1" authorId="0" shapeId="0" xr:uid="{A9F586B8-713B-4BC0-AB60-55226EB717A2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=SUMPRODUCT(A2:A11;B2:B11) ile de yapılaabilir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G2" authorId="0" shapeId="0" xr:uid="{27522CD1-101A-4603-86EA-C71DB3639A03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herhangi bir üründeki sayısına bakmak yeterli, ürn1 veya ürün2</t>
        </r>
      </text>
    </comment>
    <comment ref="H4" authorId="0" shapeId="0" xr:uid="{1D94DF9D-2EE1-4261-B576-4BE802FECB94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konuşma dili ile fomrül diline dikkat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E3" authorId="0" shapeId="0" xr:uid="{2D357C2A-224E-48A3-A7E3-47F1233DAAB9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SUMIF ile olmaz</t>
        </r>
      </text>
    </comment>
    <comment ref="D4" authorId="0" shapeId="0" xr:uid="{ACB9C841-A238-4BBF-8104-B842D87C907A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niye olmuyor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H1" authorId="0" shapeId="0" xr:uid="{E17D22DE-9E62-4BAB-8CF0-D093FC5E3ADB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benzer şekilde MAX yapılabilir</t>
        </r>
      </text>
    </comment>
    <comment ref="I1" authorId="0" shapeId="0" xr:uid="{7BB6CB95-3BF2-4C75-AD89-D4711329DC84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benzer şekilde LARGE yapılaiblir</t>
        </r>
      </text>
    </comment>
    <comment ref="J3" authorId="0" shapeId="0" xr:uid="{818156D6-42D8-4C33-9076-95AA1C68F13E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SUMIF ile de yapılabilir</t>
        </r>
      </text>
    </comment>
    <comment ref="J4" authorId="0" shapeId="0" xr:uid="{A3E6CD7A-754C-43D4-88C5-A522357C7492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SUMIFS ile de yapılabilir, bir altta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C12" authorId="0" shapeId="0" xr:uid="{144E4B29-6AC5-46C6-9F44-15F25884A5DA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aritmetik ortalama olup yanıltıcıdır</t>
        </r>
      </text>
    </comment>
    <comment ref="B15" authorId="0" shapeId="0" xr:uid="{5B1F5492-2FE5-4AE4-986A-BE2DA71A9EFA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";" ile</t>
        </r>
      </text>
    </comment>
    <comment ref="C15" authorId="0" shapeId="0" xr:uid="{C99C8185-AB08-464C-BC73-0A70085C471B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"*" ile</t>
        </r>
      </text>
    </comment>
    <comment ref="D15" authorId="0" shapeId="0" xr:uid="{7B39E9AB-73F1-4A07-BC8E-48A3A042BB34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Sum dizi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B32" authorId="0" shapeId="0" xr:uid="{72F3F21C-7530-42EA-A05C-CA532E43E4D3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Name var</t>
        </r>
      </text>
    </comment>
    <comment ref="J36" authorId="0" shapeId="0" xr:uid="{A350E14E-29C8-4036-A692-C031FA9692FE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Sadece TRUE/FALSE döndürenler -- veya N() ile parantez içine sarmalanır ve 1/0'a dönüştürülür.</t>
        </r>
      </text>
    </comment>
    <comment ref="J37" authorId="0" shapeId="0" xr:uid="{070FE19F-F293-4591-96A8-21B86DB990D3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Tüm bileşenler parantez içine sarmalanır</t>
        </r>
      </text>
    </comment>
    <comment ref="B49" authorId="0" shapeId="0" xr:uid="{5B2D4685-D086-4C07-8957-865A044F8DA5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Table var</t>
        </r>
      </text>
    </comment>
    <comment ref="F54" authorId="0" shapeId="0" xr:uid="{75F22AED-19BF-4BF8-873B-F53E5848E4F6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DSUM kriter alanı</t>
        </r>
      </text>
    </comment>
    <comment ref="B66" authorId="0" shapeId="0" xr:uid="{33887D0B-F287-4591-886D-A311E94AF4D7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Table var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H6" authorId="0" shapeId="0" xr:uid="{36C74EBB-F25D-4E8D-B4E7-02B4FCC0BBAA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Yardımcı kolon</t>
        </r>
      </text>
    </comment>
    <comment ref="K16" authorId="0" shapeId="0" xr:uid="{BCA3A61D-6177-4D31-936D-B14C255F8EF0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2.yöntem içinde Ürün1 yerine</t>
        </r>
      </text>
    </comment>
    <comment ref="L16" authorId="0" shapeId="0" xr:uid="{3A58867B-40C7-407D-AAA9-40CEDB9C81D6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Bölge2nin Ürün2 ve Ürün4 topamı</t>
        </r>
      </text>
    </comment>
    <comment ref="K18" authorId="0" shapeId="0" xr:uid="{224A118D-6923-459F-BC49-3419C533BC54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2.yöntemde Ürün3 yerine</t>
        </r>
      </text>
    </comment>
    <comment ref="K21" authorId="0" shapeId="0" xr:uid="{970AEC21-F324-453E-9DB8-CB3A482B2BA4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2.yöntem içinde Ürün1 yerine</t>
        </r>
      </text>
    </comment>
    <comment ref="L21" authorId="0" shapeId="0" xr:uid="{64E48A10-B84F-4101-ADA8-392A5B24D633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Bölge2nin Ürün2 ve Ürün4 topamı</t>
        </r>
      </text>
    </comment>
    <comment ref="H33" authorId="0" shapeId="0" xr:uid="{D540669C-26FC-4C47-8D41-645598C11F57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Yardımı kolon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Volkan</author>
  </authors>
  <commentList>
    <comment ref="D11" authorId="0" shapeId="0" xr:uid="{E08D7A9C-EFDD-4F09-909E-4EB74DAB1302}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1:3 vesiyonu hata verir</t>
        </r>
      </text>
    </comment>
  </commentList>
</comments>
</file>

<file path=xl/sharedStrings.xml><?xml version="1.0" encoding="utf-8"?>
<sst xmlns="http://schemas.openxmlformats.org/spreadsheetml/2006/main" count="1068" uniqueCount="318">
  <si>
    <t>Rakam1</t>
  </si>
  <si>
    <t>Rakam2</t>
  </si>
  <si>
    <t>Çarpım</t>
  </si>
  <si>
    <t>Fark</t>
  </si>
  <si>
    <t>Şube kodu</t>
  </si>
  <si>
    <t>Şube</t>
  </si>
  <si>
    <t>Fonksiyon</t>
  </si>
  <si>
    <t>Tutar</t>
  </si>
  <si>
    <t>Fonk</t>
  </si>
  <si>
    <t>Para yatır</t>
  </si>
  <si>
    <t>Para çek</t>
  </si>
  <si>
    <t>Sıra</t>
  </si>
  <si>
    <t>0dan büyükler</t>
  </si>
  <si>
    <t>toplam</t>
  </si>
  <si>
    <t>5ten büyük 10dan küçük</t>
  </si>
  <si>
    <t>0 hariç ort</t>
  </si>
  <si>
    <t>Yöntem</t>
  </si>
  <si>
    <t>--</t>
  </si>
  <si>
    <t>N()</t>
  </si>
  <si>
    <t>*1</t>
  </si>
  <si>
    <t>+0</t>
  </si>
  <si>
    <t>sum çarpım</t>
  </si>
  <si>
    <t>min fark</t>
  </si>
  <si>
    <t>trasnspose örneği</t>
  </si>
  <si>
    <t>Mağaza</t>
  </si>
  <si>
    <t>Reyon</t>
  </si>
  <si>
    <t>Mağaza1</t>
  </si>
  <si>
    <t>Mağaza2</t>
  </si>
  <si>
    <t>Tüm küme</t>
  </si>
  <si>
    <t>Min</t>
  </si>
  <si>
    <t>En küçük 2.</t>
  </si>
  <si>
    <t>Kısa Açıklama</t>
  </si>
  <si>
    <t>basit formül</t>
  </si>
  <si>
    <t>Dizi formülü</t>
  </si>
  <si>
    <t>Dizi içiçe if</t>
  </si>
  <si>
    <t>Excel 2016 formülü</t>
  </si>
  <si>
    <t>-</t>
  </si>
  <si>
    <t>En çok mağaza kaydı kaç</t>
  </si>
  <si>
    <t>En çok hangi mağaza</t>
  </si>
  <si>
    <t>Yaş</t>
  </si>
  <si>
    <t>İsim</t>
  </si>
  <si>
    <t>Kişi1</t>
  </si>
  <si>
    <t>Kişi2</t>
  </si>
  <si>
    <t>Kişi3</t>
  </si>
  <si>
    <t>Kişi4</t>
  </si>
  <si>
    <t>Kişi5</t>
  </si>
  <si>
    <t>Kişi6</t>
  </si>
  <si>
    <t>Kişi7</t>
  </si>
  <si>
    <t>Kişi8</t>
  </si>
  <si>
    <t>18den büyük kaç kişi var</t>
  </si>
  <si>
    <t>countif</t>
  </si>
  <si>
    <t>dizi, -- ile</t>
  </si>
  <si>
    <t>dizi, N ile</t>
  </si>
  <si>
    <t>Bölge</t>
  </si>
  <si>
    <t>Dönem</t>
  </si>
  <si>
    <t>Bölge1</t>
  </si>
  <si>
    <t>Bölge2</t>
  </si>
  <si>
    <t>sum dizi</t>
  </si>
  <si>
    <t>Spread Hedefi</t>
  </si>
  <si>
    <t>Şube1</t>
  </si>
  <si>
    <t>Şube2</t>
  </si>
  <si>
    <t>Şube3</t>
  </si>
  <si>
    <t>Şube4</t>
  </si>
  <si>
    <t>Şube5</t>
  </si>
  <si>
    <t>Şube6</t>
  </si>
  <si>
    <t>Şube7</t>
  </si>
  <si>
    <t>Şube8</t>
  </si>
  <si>
    <t>Şube9</t>
  </si>
  <si>
    <t>Şube10</t>
  </si>
  <si>
    <t>Şube11</t>
  </si>
  <si>
    <t>Şube12</t>
  </si>
  <si>
    <t>Şube13</t>
  </si>
  <si>
    <t>Şube14</t>
  </si>
  <si>
    <t>Şube15</t>
  </si>
  <si>
    <t>Şube16</t>
  </si>
  <si>
    <t>Şube17</t>
  </si>
  <si>
    <t>Şube18</t>
  </si>
  <si>
    <t>Şube19</t>
  </si>
  <si>
    <t>Şube20</t>
  </si>
  <si>
    <t>Ürün1</t>
  </si>
  <si>
    <t>Ürün2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</si>
  <si>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</si>
  <si>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</si>
  <si>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</si>
  <si>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</si>
  <si>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</si>
  <si>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</si>
  <si>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</si>
  <si>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</si>
  <si>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</si>
  <si>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</si>
  <si>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</si>
  <si>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</si>
  <si>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Sonuç</t>
  </si>
  <si>
    <t>Bölge3</t>
  </si>
  <si>
    <t>M13</t>
  </si>
  <si>
    <t>M14</t>
  </si>
  <si>
    <t>Ürün3</t>
  </si>
  <si>
    <t>Ürün4</t>
  </si>
  <si>
    <t>DSUM</t>
  </si>
  <si>
    <t>Yıl</t>
  </si>
  <si>
    <t>Ürün</t>
  </si>
  <si>
    <t>Tür</t>
  </si>
  <si>
    <t>Segment</t>
  </si>
  <si>
    <t>KOBİ</t>
  </si>
  <si>
    <t>Sicil</t>
  </si>
  <si>
    <t>Toplam</t>
  </si>
  <si>
    <t>Rakam</t>
  </si>
  <si>
    <t>rankif</t>
  </si>
  <si>
    <t>Kritersiz</t>
  </si>
  <si>
    <t>Tek kriter</t>
  </si>
  <si>
    <t>iki kriter</t>
  </si>
  <si>
    <t>Satış</t>
  </si>
  <si>
    <t>VE</t>
  </si>
  <si>
    <r>
      <t xml:space="preserve">Bölge1 </t>
    </r>
    <r>
      <rPr>
        <sz val="11"/>
        <color rgb="FFFF0000"/>
        <rFont val="Calibri"/>
        <family val="2"/>
        <charset val="162"/>
        <scheme val="minor"/>
      </rPr>
      <t>ve</t>
    </r>
    <r>
      <rPr>
        <sz val="11"/>
        <color theme="1"/>
        <rFont val="Calibri"/>
        <family val="2"/>
        <charset val="162"/>
        <scheme val="minor"/>
      </rPr>
      <t xml:space="preserve"> Ürün1'deki adede bakacağız</t>
    </r>
  </si>
  <si>
    <r>
      <t xml:space="preserve">Bölge1 </t>
    </r>
    <r>
      <rPr>
        <sz val="11"/>
        <color rgb="FFFF0000"/>
        <rFont val="Calibri"/>
        <family val="2"/>
        <charset val="162"/>
        <scheme val="minor"/>
      </rPr>
      <t>ve</t>
    </r>
    <r>
      <rPr>
        <sz val="11"/>
        <color theme="1"/>
        <rFont val="Calibri"/>
        <family val="2"/>
        <charset val="162"/>
        <scheme val="minor"/>
      </rPr>
      <t xml:space="preserve"> Ürün1'deki toplama bakacağız</t>
    </r>
  </si>
  <si>
    <t>1.yol</t>
  </si>
  <si>
    <t>2.yol</t>
  </si>
  <si>
    <r>
      <t xml:space="preserve">Bölge1 </t>
    </r>
    <r>
      <rPr>
        <sz val="11"/>
        <color rgb="FFFF0000"/>
        <rFont val="Calibri"/>
        <family val="2"/>
        <charset val="162"/>
        <scheme val="minor"/>
      </rPr>
      <t>ve</t>
    </r>
    <r>
      <rPr>
        <sz val="11"/>
        <color theme="1"/>
        <rFont val="Calibri"/>
        <family val="2"/>
        <charset val="162"/>
        <scheme val="minor"/>
      </rPr>
      <t xml:space="preserve"> (Ürün1 </t>
    </r>
    <r>
      <rPr>
        <sz val="11"/>
        <color rgb="FFFF0000"/>
        <rFont val="Calibri"/>
        <family val="2"/>
        <charset val="162"/>
        <scheme val="minor"/>
      </rPr>
      <t xml:space="preserve">veya </t>
    </r>
    <r>
      <rPr>
        <sz val="11"/>
        <color theme="1"/>
        <rFont val="Calibri"/>
        <family val="2"/>
        <charset val="162"/>
        <scheme val="minor"/>
      </rPr>
      <t>Ürün2) toplama bakacağız</t>
    </r>
  </si>
  <si>
    <t>VE/VEYA</t>
  </si>
  <si>
    <t>Konuşma dili</t>
  </si>
  <si>
    <t>Formül dili</t>
  </si>
  <si>
    <r>
      <t>Bölge1'</t>
    </r>
    <r>
      <rPr>
        <sz val="11"/>
        <color rgb="FFFF0000"/>
        <rFont val="Calibri"/>
        <family val="2"/>
        <charset val="162"/>
        <scheme val="minor"/>
      </rPr>
      <t>in</t>
    </r>
    <r>
      <rPr>
        <sz val="11"/>
        <color theme="1"/>
        <rFont val="Calibri"/>
        <family val="2"/>
        <charset val="162"/>
        <scheme val="minor"/>
      </rPr>
      <t xml:space="preserve"> şube sayısı:</t>
    </r>
  </si>
  <si>
    <r>
      <t>Bölge1</t>
    </r>
    <r>
      <rPr>
        <sz val="11"/>
        <color rgb="FFFF0000"/>
        <rFont val="Calibri"/>
        <family val="2"/>
        <charset val="162"/>
        <scheme val="minor"/>
      </rPr>
      <t>in</t>
    </r>
    <r>
      <rPr>
        <sz val="11"/>
        <color theme="1"/>
        <rFont val="Calibri"/>
        <family val="2"/>
        <charset val="162"/>
        <scheme val="minor"/>
      </rPr>
      <t xml:space="preserve"> Ürün1deki toplamı</t>
    </r>
  </si>
  <si>
    <r>
      <t>Bölge1</t>
    </r>
    <r>
      <rPr>
        <sz val="11"/>
        <color rgb="FFFF0000"/>
        <rFont val="Calibri"/>
        <family val="2"/>
        <charset val="162"/>
        <scheme val="minor"/>
      </rPr>
      <t>in</t>
    </r>
    <r>
      <rPr>
        <sz val="11"/>
        <color theme="1"/>
        <rFont val="Calibri"/>
        <family val="2"/>
        <charset val="162"/>
        <scheme val="minor"/>
      </rPr>
      <t xml:space="preserve">, Ürün1 </t>
    </r>
    <r>
      <rPr>
        <sz val="11"/>
        <color rgb="FFFF0000"/>
        <rFont val="Calibri"/>
        <family val="2"/>
        <charset val="162"/>
        <scheme val="minor"/>
      </rPr>
      <t>ve</t>
    </r>
    <r>
      <rPr>
        <sz val="11"/>
        <color theme="1"/>
        <rFont val="Calibri"/>
        <family val="2"/>
        <charset val="162"/>
        <scheme val="minor"/>
      </rPr>
      <t xml:space="preserve"> 2 toplamı</t>
    </r>
  </si>
  <si>
    <t>Database fonksiyonu</t>
  </si>
  <si>
    <t>Grup</t>
  </si>
  <si>
    <t>Hesap no</t>
  </si>
  <si>
    <t>Faiz</t>
  </si>
  <si>
    <t>Ağırlıklı Faiz</t>
  </si>
  <si>
    <t>Faiz*Tutar</t>
  </si>
  <si>
    <t>Sumproduct ile</t>
  </si>
  <si>
    <t>Yardımcı kolon ile</t>
  </si>
  <si>
    <t>Ort Faiz</t>
  </si>
  <si>
    <t>row dizi</t>
  </si>
  <si>
    <t>DİKEY EKSENDE TEK KOLON VAR</t>
  </si>
  <si>
    <t>DİKEY EKSENDE ÇOK KOLON VAR</t>
  </si>
  <si>
    <t>INDEX-MATCH dizi formülü</t>
  </si>
  <si>
    <t>SUM ve IF dizi formülü</t>
  </si>
  <si>
    <t>SUM dizi formülü</t>
  </si>
  <si>
    <t>SUMPRODUCT ";" operatörü ile</t>
  </si>
  <si>
    <t>SUMPRODUCT "*" operatörü ile</t>
  </si>
  <si>
    <t>SUMPRODCUT'ta tüm kolon seçilirse hata olur</t>
  </si>
  <si>
    <t>Aranan şey bir tane ve bir kez geçiyorsa VLOOKUP veya türevleri</t>
  </si>
  <si>
    <t>Aranan şey bir tane ve bir kez geçiyorsa(2 kolona göre kesişim) (NOT:Bölge2 çok kez geçiyor ancak Bölge2'nin 2.sıradaki şubesi sadece bir kez geçiyor)</t>
  </si>
  <si>
    <t>Aranan şey bir tane ve çok kez geçiyorsa(Eşleşenlerin toplamı)</t>
  </si>
  <si>
    <t>Aranan şey bir tane ve çok kez geçiyorsa SUMIF</t>
  </si>
  <si>
    <t>Bölgeler</t>
  </si>
  <si>
    <t>Adet</t>
  </si>
  <si>
    <t>SUMPRODUCT, kriterler yatay alandan</t>
  </si>
  <si>
    <t>SUMPRODUCT, kriterler manuel, ISNUMBER+MATCH</t>
  </si>
  <si>
    <t>SUMIFS ve COUNTIFS</t>
  </si>
  <si>
    <t>SUMPRODUCT, + operatörü ile. Çok kriter durumunda pratik değil</t>
  </si>
  <si>
    <t>DSUM ve DCOUNT. Ayrı bir kriter alanın olması gereklidir. Formül içine yazılamaz</t>
  </si>
  <si>
    <t>İkili SUMIF/COUNTIF. Çok kriter durumunda pratik değil</t>
  </si>
  <si>
    <t>SUM+SUMIF/COUNTIF dizi formülü-dizi manuel-CSE yok</t>
  </si>
  <si>
    <t>SUM+SUMIF/COUNTIF dizi formülü-dizi yatay listeden-CSE var</t>
  </si>
  <si>
    <t>SUM+SUMIF/COUNTIF dizi formülü-dizi dikey listeden-CSE var</t>
  </si>
  <si>
    <t xml:space="preserve">DSUM ve DCOUNT. </t>
  </si>
  <si>
    <r>
      <t xml:space="preserve">En kolayı ve performansı yüksek olanı </t>
    </r>
    <r>
      <rPr>
        <b/>
        <sz val="11"/>
        <color theme="1"/>
        <rFont val="Calibri"/>
        <family val="2"/>
        <charset val="162"/>
        <scheme val="minor"/>
      </rPr>
      <t xml:space="preserve">DSUM/DCOUNT. </t>
    </r>
    <r>
      <rPr>
        <sz val="11"/>
        <color theme="1"/>
        <rFont val="Calibri"/>
        <family val="2"/>
        <charset val="162"/>
        <scheme val="minor"/>
      </rPr>
      <t>Ancak mutlaka ayrı bir kriter alanın olması gereklidir, kriterler { } içine yazılamaz</t>
    </r>
  </si>
  <si>
    <t>Ayrı bir kriter alanı kullanılamaycasak SUMPRODUCT'lı versiyon seçilebilir</t>
  </si>
  <si>
    <t>ARANAN ŞEY BIRDEN ÇOK</t>
  </si>
  <si>
    <t>Arananların bir kez veya çok kez geçip geçmemesinden, Dikey eksende bir veya çok kolon olmasından bağımsız şekilde işler</t>
  </si>
  <si>
    <t>Aşağıdaki örnekte dikey eksende 2 kolon olmakla birlikte biz sadece biri üzerinde çalışacağımız için tek kolon var gibi düşündük</t>
  </si>
  <si>
    <t>SUMPRODUCT</t>
  </si>
  <si>
    <t>Yatayda aranan tek kolonda bulunuyor, dikeyde aranan 1 kez geçiyor(Kesişim aranıyor)</t>
  </si>
  <si>
    <t>Yatayda aranan tek kolonda bulunuyor, dikeyde aranan 1den çok kez geçiyor(Kesişenlerin toplamı)</t>
  </si>
  <si>
    <t>SUMIF-OFFSET-MATCH</t>
  </si>
  <si>
    <t>DSUM-MATCH</t>
  </si>
  <si>
    <t>M15</t>
  </si>
  <si>
    <t>M16</t>
  </si>
  <si>
    <t>M17</t>
  </si>
  <si>
    <t>M18</t>
  </si>
  <si>
    <t>SUMPRODCUT, kriterler  manuel, + operatörü ile. Çok kriter olursa pratik dğeil</t>
  </si>
  <si>
    <t>SUMPRODCUT, kriterler dikey alandan. Kriterler aynı sırada olmalı, gerekirse boş alan seçilmeli</t>
  </si>
  <si>
    <t>Yatayda aranan çok kolonda bulunuyor, ve bunlar komşu değiller</t>
  </si>
  <si>
    <t>Yatayda aranan çok kolonda bulunuyor, tümü</t>
  </si>
  <si>
    <t>SUMPRODUCT'ın ";" versiyonu çok kolonda hata verir</t>
  </si>
  <si>
    <t>SUMIF yardımcı kolon. Genelde tüm kolonların toplamı olduğu zaman anlamlıdır. Hızlı çözüm için idealdir, şık tasarımlar için uygun değil</t>
  </si>
  <si>
    <t>DİKEY EKSENDE TEK KOLON VAR (Bölge veya Mağaza)</t>
  </si>
  <si>
    <t xml:space="preserve">1 boyutlu tablolar yatay eksende tek kolonun olduğu, daha doğrusu tek kolon üzerinden işlemin yapıldığı tablolardır. </t>
  </si>
  <si>
    <t>2 boyutlu tablolar yatay eksende birden çok kolonun olduğutablolardır.</t>
  </si>
  <si>
    <t>DİKEYDEN TEK DEĞER ARANIYOR</t>
  </si>
  <si>
    <t>DİKEYDEN ÇOK DEĞER ARANIYOR</t>
  </si>
  <si>
    <t>&lt;2012</t>
  </si>
  <si>
    <t>DSUM/DCOUNT. Aynı satırda olanlar VE koşuludur. Bu yüzden her iki bölge için de girilmelidir</t>
  </si>
  <si>
    <t>ikili SUMIFS</t>
  </si>
  <si>
    <t>sumprodcut "+" ile</t>
  </si>
  <si>
    <t>Bireysel</t>
  </si>
  <si>
    <t>SUM SUMIFS, kriterler manuel</t>
  </si>
  <si>
    <t>DİKEY EKSENDE ÇOK KOLON VAR (Bölge,Yıl,Segment)</t>
  </si>
  <si>
    <t>Anadolu</t>
  </si>
  <si>
    <t>Marmara1</t>
  </si>
  <si>
    <t>Marmara2</t>
  </si>
  <si>
    <t>Marmara*</t>
  </si>
  <si>
    <t>SUMPRODUCT kriterlerinde biri dikeyden Transpose, diğeri manuel, Transpose kullanımı nedeniyle CSE</t>
  </si>
  <si>
    <t>SUMPRODUCT kriterlerinde ikisi de dikeyden Transpose, duplike yapmak gerekiyor, Transpose kullanımı nedeniyle CSE</t>
  </si>
  <si>
    <t>SUMPRODUCT, kriterler dikey alandan,Transpose kullanımı nedeniyle CSE</t>
  </si>
  <si>
    <t>2 kriter için toplam 4 kombinasyon olması nedeniyle uygulanması zorlaşan formüller(3'er tane olsa 9 tane)</t>
  </si>
  <si>
    <t>SUMPRODCUT, kriterler  + operatörü ile. Çok kriter olursa pratik dğeil</t>
  </si>
  <si>
    <t>SUMPRODCUT, Kriterler manuel. ISNUMBER+MATCH</t>
  </si>
  <si>
    <t>Yatayda aranan çok kolonda bulunuyor, ve bunlar komşular(bir üsttekinden hiçbirfarkı yok. Komşuya özel bir durum olmadığını göstermek için)</t>
  </si>
  <si>
    <t>Tek kolon toplamı alınacaksa 1 boyutlu tablolarda gösterildiği gibi</t>
  </si>
  <si>
    <t>SUMPRODCUT</t>
  </si>
  <si>
    <t>SUMIFS</t>
  </si>
  <si>
    <t>Kriterler manuel</t>
  </si>
  <si>
    <t>Kriterler yatay ve dikey eksenden</t>
  </si>
  <si>
    <t>SUM SUMIFS dizi, kriterler dikeyden</t>
  </si>
  <si>
    <t>SUMIF çok kolonlu toplamada işe yaramaz. Hata vermez ama gelen sonuç yanlıştır. Sadece ilk kolonun toplamını verir</t>
  </si>
  <si>
    <t>Yatayda aranan çok kolonda bulunuyor, ve bunlar komşular(bir üsttekine göre değişen bir yöntem yok)</t>
  </si>
  <si>
    <t>SUMIFS+yardımcı kolon</t>
  </si>
  <si>
    <t>SUMIFS, çok kolon seçimi hata döndürür</t>
  </si>
  <si>
    <t>Personel Tipi</t>
  </si>
  <si>
    <t>Miy Tipi</t>
  </si>
  <si>
    <t>BMIY</t>
  </si>
  <si>
    <t>Gişeci</t>
  </si>
  <si>
    <t>MIY</t>
  </si>
  <si>
    <t>BBMIY</t>
  </si>
  <si>
    <t>Gişeci ve BMIYlerin satış  toplamını arıyoruz</t>
  </si>
  <si>
    <t>DSG</t>
  </si>
  <si>
    <t>Sertifika1</t>
  </si>
  <si>
    <t>Sertifika2</t>
  </si>
  <si>
    <t>Miy</t>
  </si>
  <si>
    <t>Miy1</t>
  </si>
  <si>
    <t>Miy2</t>
  </si>
  <si>
    <t>Miy3</t>
  </si>
  <si>
    <t>Miy4</t>
  </si>
  <si>
    <t>Miy5</t>
  </si>
  <si>
    <t>Miy6</t>
  </si>
  <si>
    <t>Miy7</t>
  </si>
  <si>
    <t>Miy8</t>
  </si>
  <si>
    <t>Miy9</t>
  </si>
  <si>
    <t>Miy10</t>
  </si>
  <si>
    <t>Miy11</t>
  </si>
  <si>
    <t>Miy12</t>
  </si>
  <si>
    <t>Miy13</t>
  </si>
  <si>
    <t>Miy14</t>
  </si>
  <si>
    <t>Miy15</t>
  </si>
  <si>
    <t>Miy16</t>
  </si>
  <si>
    <t>Miy17</t>
  </si>
  <si>
    <t>Miy18</t>
  </si>
  <si>
    <t>iki sertifikadan en az 1ine sahip olan Miylerins atışı</t>
  </si>
  <si>
    <t>Hatalı sonuç olur</t>
  </si>
  <si>
    <t>SING ile doğru sonuç</t>
  </si>
  <si>
    <t>E</t>
  </si>
  <si>
    <t>H</t>
  </si>
  <si>
    <t>FARKLI KOLONLARDA VEYA DURUMU</t>
  </si>
  <si>
    <t>VEYA'lar kesişmiyor</t>
  </si>
  <si>
    <t>indirect-row</t>
  </si>
  <si>
    <t>SUMPRODUCT ve SMALL/LARGE-dizi</t>
  </si>
  <si>
    <t>SUMIFS ve SMALL/LARGE-dizi</t>
  </si>
  <si>
    <t>En yüksek ve en düşük 3 rakam hariç toplam</t>
  </si>
  <si>
    <t>2 nolu şubenin en düşük 3 Para çekme işleminin tutarı</t>
  </si>
  <si>
    <t>Sayı1</t>
  </si>
  <si>
    <t>Sayı2</t>
  </si>
  <si>
    <t>Sayı3</t>
  </si>
  <si>
    <t>Sayı4</t>
  </si>
  <si>
    <t>Sayı5</t>
  </si>
  <si>
    <t>Sayı6</t>
  </si>
  <si>
    <t>Sayı7</t>
  </si>
  <si>
    <t>Sayı8</t>
  </si>
  <si>
    <t>Sayı9</t>
  </si>
  <si>
    <t>Sayı10</t>
  </si>
  <si>
    <t>0 hariç enküçük</t>
  </si>
  <si>
    <t>En küçük 3 eleman(çoklu hücre seçim örneği)</t>
  </si>
  <si>
    <t>Hatalı satırlar hariç adet/toplam</t>
  </si>
  <si>
    <t>Hatalı Adet</t>
  </si>
  <si>
    <t>Hatasızların Toplam</t>
  </si>
  <si>
    <t>Benzersiz(Unique) değerlerin adedi</t>
  </si>
  <si>
    <t>2)Pivot ile</t>
  </si>
  <si>
    <t>1)remove duplicate</t>
  </si>
  <si>
    <t>3)dizi1</t>
  </si>
  <si>
    <t>4)dizi2</t>
  </si>
  <si>
    <t>0 hariç ortalama</t>
  </si>
  <si>
    <t>Metinler</t>
  </si>
  <si>
    <t>En uzun</t>
  </si>
  <si>
    <t>Açıklama</t>
  </si>
  <si>
    <t>Açıklama 2</t>
  </si>
  <si>
    <t>Açıklama 1231</t>
  </si>
  <si>
    <t>Açıklama1</t>
  </si>
  <si>
    <t>ranikf-ters</t>
  </si>
  <si>
    <t>En yüksek ve en düşük 3 rakam hariç toplam-Uzun liste hali</t>
  </si>
  <si>
    <t>Para Çek</t>
  </si>
  <si>
    <t>Para Yatır</t>
  </si>
  <si>
    <t>M34554</t>
  </si>
  <si>
    <t>Sadece 5 haneliler</t>
  </si>
  <si>
    <t>Norm</t>
  </si>
  <si>
    <t>Fiili</t>
  </si>
  <si>
    <t>Normu olup fiilisi olmayan</t>
  </si>
  <si>
    <t>countifs</t>
  </si>
  <si>
    <t>normu fiilisiyle aynı olan</t>
  </si>
  <si>
    <t>Normu fiilisinden fakrlı olan</t>
  </si>
  <si>
    <t>Şube21</t>
  </si>
  <si>
    <t>Şube22</t>
  </si>
  <si>
    <t>Şube23</t>
  </si>
  <si>
    <t>Şube24</t>
  </si>
  <si>
    <t>Şube25</t>
  </si>
  <si>
    <t>Şube26</t>
  </si>
  <si>
    <t>Şube27</t>
  </si>
  <si>
    <t>Şube28</t>
  </si>
  <si>
    <t>Şube29</t>
  </si>
  <si>
    <t>Şube30</t>
  </si>
  <si>
    <t>Şube31</t>
  </si>
  <si>
    <t>Şube32</t>
  </si>
  <si>
    <t>Şube33</t>
  </si>
  <si>
    <t>Şube34</t>
  </si>
  <si>
    <t>Şube35</t>
  </si>
  <si>
    <t>Şube36</t>
  </si>
  <si>
    <t>Şube37</t>
  </si>
  <si>
    <t>Şube38</t>
  </si>
  <si>
    <t>Şube39</t>
  </si>
  <si>
    <t>Şube40</t>
  </si>
  <si>
    <t>Şube41</t>
  </si>
  <si>
    <t>Şube42</t>
  </si>
  <si>
    <t>Şube43</t>
  </si>
  <si>
    <t>Kaç benzersiz mağaza</t>
  </si>
  <si>
    <t>(Aşağıdaki örnekleri tüm konular bittikten sonra inceleyin)</t>
  </si>
  <si>
    <t>İki kriterin aynı satırda da olabildiği durumlar, yani kesişen VEYA'lar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</si>
</sst>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rgb="FF454545"/>
      <name val="Courier New"/>
      <family val="3"/>
      <charset val="162"/>
    </font>
    <font>
      <b/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1"/>
      <color rgb="FF7030A0"/>
      <name val="Calibri"/>
      <family val="2"/>
      <charset val="162"/>
      <scheme val="minor"/>
    </font>
    <font>
      <b/>
      <sz val="11"/>
      <color theme="8" tint="0.39997558519241921"/>
      <name val="Calibri"/>
      <family val="2"/>
      <charset val="162"/>
      <scheme val="minor"/>
    </font>
    <font>
      <b/>
      <sz val="12"/>
      <color rgb="FF00B05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92D05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6" fillId="0" borderId="0" xfId="0" applyFont="1"/>
    <xf numFmtId="0" fontId="0" fillId="0" borderId="0" xfId="0" quotePrefix="1"/>
    <xf numFmtId="0" fontId="0" fillId="0" borderId="0" xfId="0" applyFont="1"/>
    <xf numFmtId="0" fontId="7" fillId="3" borderId="1" xfId="0" applyFont="1" applyFill="1" applyBorder="1"/>
    <xf numFmtId="0" fontId="7" fillId="3" borderId="2" xfId="0" applyFont="1" applyFill="1" applyBorder="1"/>
    <xf numFmtId="0" fontId="8" fillId="0" borderId="0" xfId="0" applyFont="1"/>
    <xf numFmtId="164" fontId="0" fillId="0" borderId="0" xfId="1" applyNumberFormat="1" applyFo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6" borderId="0" xfId="0" applyFill="1"/>
    <xf numFmtId="3" fontId="8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9" fillId="0" borderId="0" xfId="0" applyNumberFormat="1" applyFont="1"/>
    <xf numFmtId="3" fontId="0" fillId="0" borderId="0" xfId="0" applyNumberFormat="1" applyAlignment="1">
      <alignment horizontal="left"/>
    </xf>
    <xf numFmtId="3" fontId="0" fillId="6" borderId="0" xfId="0" applyNumberFormat="1" applyFill="1"/>
    <xf numFmtId="3" fontId="8" fillId="0" borderId="0" xfId="0" applyNumberFormat="1" applyFont="1" applyAlignment="1">
      <alignment horizontal="center"/>
    </xf>
    <xf numFmtId="3" fontId="0" fillId="6" borderId="0" xfId="0" applyNumberFormat="1" applyFill="1" applyAlignment="1"/>
    <xf numFmtId="3" fontId="0" fillId="6" borderId="0" xfId="0" quotePrefix="1" applyNumberFormat="1" applyFill="1" applyAlignment="1"/>
    <xf numFmtId="3" fontId="10" fillId="0" borderId="0" xfId="0" applyNumberFormat="1" applyFont="1"/>
    <xf numFmtId="0" fontId="10" fillId="0" borderId="0" xfId="0" applyFont="1"/>
    <xf numFmtId="0" fontId="7" fillId="3" borderId="0" xfId="0" applyFont="1" applyFill="1" applyBorder="1"/>
    <xf numFmtId="0" fontId="7" fillId="3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6" xfId="0" applyFont="1" applyFill="1" applyBorder="1" applyAlignment="1">
      <alignment horizontal="center"/>
    </xf>
    <xf numFmtId="0" fontId="0" fillId="5" borderId="7" xfId="0" applyFont="1" applyFill="1" applyBorder="1"/>
    <xf numFmtId="0" fontId="0" fillId="4" borderId="7" xfId="0" applyFont="1" applyFill="1" applyBorder="1"/>
    <xf numFmtId="0" fontId="0" fillId="4" borderId="3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7" fillId="7" borderId="10" xfId="0" applyFont="1" applyFill="1" applyBorder="1"/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0" fillId="8" borderId="10" xfId="0" applyFont="1" applyFill="1" applyBorder="1"/>
    <xf numFmtId="0" fontId="0" fillId="8" borderId="11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1" fillId="0" borderId="0" xfId="0" applyFont="1"/>
    <xf numFmtId="3" fontId="12" fillId="0" borderId="0" xfId="0" applyNumberFormat="1" applyFont="1"/>
    <xf numFmtId="0" fontId="0" fillId="9" borderId="0" xfId="0" applyFill="1"/>
    <xf numFmtId="3" fontId="0" fillId="6" borderId="0" xfId="0" quotePrefix="1" applyNumberFormat="1" applyFill="1"/>
    <xf numFmtId="3" fontId="13" fillId="0" borderId="0" xfId="0" applyNumberFormat="1" applyFont="1"/>
    <xf numFmtId="0" fontId="8" fillId="3" borderId="0" xfId="0" applyFont="1" applyFill="1" applyBorder="1"/>
    <xf numFmtId="0" fontId="8" fillId="3" borderId="4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6" borderId="0" xfId="0" applyNumberFormat="1" applyFont="1" applyFill="1"/>
    <xf numFmtId="0" fontId="7" fillId="3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/>
    <xf numFmtId="0" fontId="2" fillId="5" borderId="7" xfId="0" applyFont="1" applyFill="1" applyBorder="1"/>
    <xf numFmtId="0" fontId="2" fillId="4" borderId="7" xfId="0" applyFont="1" applyFill="1" applyBorder="1"/>
    <xf numFmtId="0" fontId="14" fillId="4" borderId="6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0" borderId="0" xfId="0" applyFont="1" applyFill="1"/>
    <xf numFmtId="0" fontId="14" fillId="0" borderId="0" xfId="0" applyFont="1" applyFill="1"/>
    <xf numFmtId="0" fontId="16" fillId="0" borderId="0" xfId="0" applyFont="1"/>
    <xf numFmtId="0" fontId="0" fillId="6" borderId="0" xfId="0" applyFont="1" applyFill="1"/>
    <xf numFmtId="0" fontId="2" fillId="10" borderId="0" xfId="0" applyFont="1" applyFill="1"/>
    <xf numFmtId="0" fontId="14" fillId="6" borderId="0" xfId="0" applyFont="1" applyFill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ont>
        <color rgb="FFFF0000"/>
      </font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" formatCode="#,##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kan" refreshedDate="43045.999099884262" createdVersion="6" refreshedVersion="6" minRefreshableVersion="3" recordCount="20" xr:uid="{CB182FBB-9BE5-4EC4-8F74-4E983EB16339}">
  <cacheSource type="worksheet">
    <worksheetSource ref="A1:B21" sheet="Örnek5"/>
  </cacheSource>
  <cacheFields count="2">
    <cacheField name="Şube" numFmtId="0">
      <sharedItems/>
    </cacheField>
    <cacheField name="Spread Hedefi" numFmtId="164">
      <sharedItems containsSemiMixedTypes="0" containsString="0" containsNumber="1" minValue="0.10299999999999999" maxValue="0.14499999999999999" count="14">
        <n v="0.10299999999999999"/>
        <n v="0.11899999999999999"/>
        <n v="0.114"/>
        <n v="0.121"/>
        <n v="0.126"/>
        <n v="0.13100000000000001"/>
        <n v="0.13900000000000001"/>
        <n v="0.14499999999999999"/>
        <n v="0.105"/>
        <n v="0.13400000000000001"/>
        <n v="0.128"/>
        <n v="0.12"/>
        <n v="0.127"/>
        <n v="0.1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Şube1"/>
    <x v="0"/>
  </r>
  <r>
    <s v="Şube2"/>
    <x v="1"/>
  </r>
  <r>
    <s v="Şube3"/>
    <x v="2"/>
  </r>
  <r>
    <s v="Şube4"/>
    <x v="3"/>
  </r>
  <r>
    <s v="Şube5"/>
    <x v="4"/>
  </r>
  <r>
    <s v="Şube6"/>
    <x v="5"/>
  </r>
  <r>
    <s v="Şube7"/>
    <x v="1"/>
  </r>
  <r>
    <s v="Şube8"/>
    <x v="6"/>
  </r>
  <r>
    <s v="Şube9"/>
    <x v="0"/>
  </r>
  <r>
    <s v="Şube10"/>
    <x v="7"/>
  </r>
  <r>
    <s v="Şube11"/>
    <x v="8"/>
  </r>
  <r>
    <s v="Şube12"/>
    <x v="9"/>
  </r>
  <r>
    <s v="Şube13"/>
    <x v="10"/>
  </r>
  <r>
    <s v="Şube14"/>
    <x v="5"/>
  </r>
  <r>
    <s v="Şube15"/>
    <x v="2"/>
  </r>
  <r>
    <s v="Şube16"/>
    <x v="1"/>
  </r>
  <r>
    <s v="Şube17"/>
    <x v="11"/>
  </r>
  <r>
    <s v="Şube18"/>
    <x v="12"/>
  </r>
  <r>
    <s v="Şube19"/>
    <x v="5"/>
  </r>
  <r>
    <s v="Şube20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768C5-1047-4733-959D-67F1D6D5059A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2)Pivot ile">
  <location ref="G1:G15" firstHeaderRow="1" firstDataRow="1" firstDataCol="1"/>
  <pivotFields count="2">
    <pivotField subtotalTop="0" showAll="0"/>
    <pivotField axis="axisRow" numFmtId="164" subtotalTop="0" showAll="0">
      <items count="15">
        <item x="0"/>
        <item x="8"/>
        <item x="13"/>
        <item x="2"/>
        <item x="1"/>
        <item x="11"/>
        <item x="3"/>
        <item x="4"/>
        <item x="12"/>
        <item x="10"/>
        <item x="5"/>
        <item x="9"/>
        <item x="6"/>
        <item x="7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formats count="3">
    <format dxfId="2">
      <pivotArea field="1" type="button" dataOnly="0" labelOnly="1" outline="0" axis="axisRow" fieldPosition="0"/>
    </format>
    <format dxfId="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4AD5D-FA93-4C2D-BB1B-E4C470E6512C}" name="Table2" displayName="Table2" ref="A1:C19" totalsRowShown="0" headerRowDxfId="13">
  <autoFilter ref="A1:C19" xr:uid="{F0ABFE92-87D1-4818-B015-92B5A3093D7D}"/>
  <tableColumns count="3">
    <tableColumn id="1" xr3:uid="{1D2B6067-DF49-47E7-B985-C21EEF9FAB32}" name="Mağaza"/>
    <tableColumn id="2" xr3:uid="{594E488B-1D05-4F3E-838F-135FF0E6A98E}" name="Reyon"/>
    <tableColumn id="3" xr3:uid="{8E1FC7F0-73E7-4B1B-9F25-DE6C003AD1D7}" name="Tut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9AAFBE-EC6E-4465-A8AD-A32A068FD66D}" name="Tablo" displayName="Tablo" ref="B49:D63" totalsRowShown="0" headerRowDxfId="12" dataDxfId="11">
  <tableColumns count="3">
    <tableColumn id="1" xr3:uid="{A9224DDA-E17D-4328-8307-A5CB36E604FF}" name="Bölge" dataDxfId="10"/>
    <tableColumn id="2" xr3:uid="{46657CB1-530B-4700-AD92-60998D6A3185}" name="Mağaza" dataDxfId="9"/>
    <tableColumn id="3" xr3:uid="{891F0411-EC3D-4D10-8B6E-4ECE0281603A}" name="Satış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EBC6AC-26A3-4CFB-9FB8-6BF726A9A4D1}" name="Tablo9" displayName="Tablo9" ref="B66:D84" totalsRowShown="0" headerRowDxfId="7" dataDxfId="6">
  <tableColumns count="3">
    <tableColumn id="1" xr3:uid="{F3A4DDF8-624E-4B19-A91F-F0EE3FC1857E}" name="Bölge" dataDxfId="5"/>
    <tableColumn id="2" xr3:uid="{99C2A25E-454B-4481-A7CA-D07F3C9FEE43}" name="Yıl" dataDxfId="4"/>
    <tableColumn id="3" xr3:uid="{FE0D4CD2-7E9C-4DFE-8684-F464BC513550}" name="Satış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0940-CB70-4A6D-A611-DCE6382E9760}">
  <sheetPr codeName="Sheet1"/>
  <dimension ref="A1:N11"/>
  <sheetViews>
    <sheetView tabSelected="1" workbookViewId="0"/>
  </sheetViews>
  <sheetFormatPr defaultRowHeight="15" x14ac:dyDescent="0.25"/>
  <cols>
    <col min="7" max="7" width="13.42578125" customWidth="1"/>
    <col min="11" max="11" width="16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0" t="s">
        <v>21</v>
      </c>
      <c r="G1" s="2">
        <f t="array" ref="G1">SUM(A2:A11*B2:B11)</f>
        <v>878827</v>
      </c>
      <c r="H1"/>
      <c r="J1" s="3">
        <v>1</v>
      </c>
      <c r="K1" s="1" t="s">
        <v>23</v>
      </c>
      <c r="L1" s="3">
        <f t="array" ref="L1:N1">TRANSPOSE({1;2;3})</f>
        <v>1</v>
      </c>
      <c r="M1" s="3">
        <v>2</v>
      </c>
      <c r="N1" s="3">
        <v>3</v>
      </c>
    </row>
    <row r="2" spans="1:14" x14ac:dyDescent="0.25">
      <c r="A2">
        <v>414</v>
      </c>
      <c r="B2">
        <v>484</v>
      </c>
      <c r="C2" s="2">
        <f t="array" ref="C2:C11">A2:A11*B2:B11</f>
        <v>200376</v>
      </c>
      <c r="D2">
        <f>B2-A2</f>
        <v>70</v>
      </c>
      <c r="F2" t="s">
        <v>22</v>
      </c>
      <c r="G2">
        <f t="array" ref="G2">MIN(B2:B11-A2:A11)</f>
        <v>-140</v>
      </c>
      <c r="J2" s="3">
        <v>2</v>
      </c>
      <c r="K2" s="3"/>
      <c r="M2" s="3"/>
      <c r="N2" s="3"/>
    </row>
    <row r="3" spans="1:14" x14ac:dyDescent="0.25">
      <c r="A3">
        <v>168</v>
      </c>
      <c r="B3">
        <v>332</v>
      </c>
      <c r="C3" s="2">
        <v>55776</v>
      </c>
      <c r="D3">
        <f t="shared" ref="D3:D11" si="0">B3-A3</f>
        <v>164</v>
      </c>
      <c r="J3" s="3">
        <v>3</v>
      </c>
      <c r="K3" s="3"/>
      <c r="L3" s="3"/>
      <c r="M3" s="3"/>
      <c r="N3" s="3"/>
    </row>
    <row r="4" spans="1:14" x14ac:dyDescent="0.25">
      <c r="A4">
        <v>150</v>
      </c>
      <c r="B4">
        <v>120</v>
      </c>
      <c r="C4" s="2">
        <v>18000</v>
      </c>
      <c r="D4">
        <f t="shared" si="0"/>
        <v>-30</v>
      </c>
    </row>
    <row r="5" spans="1:14" x14ac:dyDescent="0.25">
      <c r="A5">
        <v>290</v>
      </c>
      <c r="B5">
        <v>236</v>
      </c>
      <c r="C5" s="2">
        <v>68440</v>
      </c>
      <c r="D5">
        <f t="shared" si="0"/>
        <v>-54</v>
      </c>
    </row>
    <row r="6" spans="1:14" x14ac:dyDescent="0.25">
      <c r="A6">
        <v>154</v>
      </c>
      <c r="B6">
        <v>382</v>
      </c>
      <c r="C6" s="2">
        <v>58828</v>
      </c>
      <c r="D6">
        <f t="shared" si="0"/>
        <v>228</v>
      </c>
    </row>
    <row r="7" spans="1:14" x14ac:dyDescent="0.25">
      <c r="A7">
        <v>381</v>
      </c>
      <c r="B7">
        <v>335</v>
      </c>
      <c r="C7" s="2">
        <v>127635</v>
      </c>
      <c r="D7">
        <f t="shared" si="0"/>
        <v>-46</v>
      </c>
      <c r="K7" s="1" t="s">
        <v>134</v>
      </c>
      <c r="L7" s="1" t="s">
        <v>248</v>
      </c>
    </row>
    <row r="8" spans="1:14" x14ac:dyDescent="0.25">
      <c r="A8">
        <v>437</v>
      </c>
      <c r="B8">
        <v>297</v>
      </c>
      <c r="C8" s="2">
        <v>129789</v>
      </c>
      <c r="D8" s="1">
        <f t="shared" si="0"/>
        <v>-140</v>
      </c>
      <c r="K8">
        <f t="array" ref="K8:K10">ROW(1:3)</f>
        <v>1</v>
      </c>
      <c r="L8">
        <f t="array" aca="1" ref="L8:L10" ca="1">ROW(INDIRECT(1&amp;":"&amp;3))</f>
        <v>1</v>
      </c>
    </row>
    <row r="9" spans="1:14" x14ac:dyDescent="0.25">
      <c r="A9">
        <v>216</v>
      </c>
      <c r="B9">
        <v>159</v>
      </c>
      <c r="C9" s="2">
        <v>34344</v>
      </c>
      <c r="D9">
        <f t="shared" si="0"/>
        <v>-57</v>
      </c>
      <c r="K9">
        <v>2</v>
      </c>
      <c r="L9">
        <f ca="1"/>
        <v>2</v>
      </c>
    </row>
    <row r="10" spans="1:14" x14ac:dyDescent="0.25">
      <c r="A10">
        <v>146</v>
      </c>
      <c r="B10">
        <v>459</v>
      </c>
      <c r="C10" s="2">
        <v>67014</v>
      </c>
      <c r="D10">
        <f t="shared" si="0"/>
        <v>313</v>
      </c>
      <c r="K10">
        <v>3</v>
      </c>
      <c r="L10">
        <f ca="1"/>
        <v>3</v>
      </c>
    </row>
    <row r="11" spans="1:14" x14ac:dyDescent="0.25">
      <c r="A11">
        <v>365</v>
      </c>
      <c r="B11">
        <v>325</v>
      </c>
      <c r="C11" s="2">
        <v>118625</v>
      </c>
      <c r="D11">
        <f t="shared" si="0"/>
        <v>-40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F611-D31C-4753-AB06-EC111C7057FB}">
  <sheetPr codeName="Sheet2"/>
  <dimension ref="A1:J31"/>
  <sheetViews>
    <sheetView workbookViewId="0">
      <selection activeCell="I4" sqref="I4"/>
    </sheetView>
  </sheetViews>
  <sheetFormatPr defaultRowHeight="15" x14ac:dyDescent="0.25"/>
  <cols>
    <col min="7" max="7" width="27.85546875" bestFit="1" customWidth="1"/>
    <col min="8" max="8" width="44.5703125" bestFit="1" customWidth="1"/>
  </cols>
  <sheetData>
    <row r="1" spans="1:10" x14ac:dyDescent="0.25">
      <c r="A1" s="1" t="s">
        <v>53</v>
      </c>
      <c r="B1" s="1" t="s">
        <v>5</v>
      </c>
      <c r="C1" s="1" t="s">
        <v>101</v>
      </c>
      <c r="D1" s="1" t="s">
        <v>112</v>
      </c>
      <c r="F1" s="1" t="s">
        <v>102</v>
      </c>
      <c r="G1" s="1" t="s">
        <v>120</v>
      </c>
      <c r="H1" s="1" t="s">
        <v>121</v>
      </c>
      <c r="I1" s="1" t="s">
        <v>116</v>
      </c>
      <c r="J1" s="1" t="s">
        <v>117</v>
      </c>
    </row>
    <row r="2" spans="1:10" x14ac:dyDescent="0.25">
      <c r="A2" t="s">
        <v>55</v>
      </c>
      <c r="B2" t="s">
        <v>59</v>
      </c>
      <c r="C2" t="s">
        <v>79</v>
      </c>
      <c r="D2">
        <v>101</v>
      </c>
      <c r="F2" s="78" t="s">
        <v>113</v>
      </c>
      <c r="G2" t="s">
        <v>122</v>
      </c>
      <c r="H2" t="s">
        <v>114</v>
      </c>
      <c r="I2">
        <f t="array" ref="I2">SUM((bölgeler="Bölge1")*(ürünler="Ürün1"))</f>
        <v>6</v>
      </c>
      <c r="J2">
        <f t="array" ref="J2">SUM(IF((bölgeler="Bölge1")*(ürünler="Ürün1"),1))</f>
        <v>6</v>
      </c>
    </row>
    <row r="3" spans="1:10" x14ac:dyDescent="0.25">
      <c r="A3" t="s">
        <v>55</v>
      </c>
      <c r="B3" t="s">
        <v>60</v>
      </c>
      <c r="C3" t="s">
        <v>79</v>
      </c>
      <c r="D3">
        <v>155</v>
      </c>
      <c r="F3" s="78"/>
      <c r="G3" t="s">
        <v>123</v>
      </c>
      <c r="H3" t="s">
        <v>115</v>
      </c>
      <c r="I3">
        <f t="array" ref="I3">SUM((bölgeler="Bölge1")*(ürünler="Ürün1")*satışlar)</f>
        <v>1250</v>
      </c>
      <c r="J3">
        <f t="array" ref="J3">SUM(IF((bölgeler="Bölge1")*(ürünler="Ürün1"),satışlar))</f>
        <v>1250</v>
      </c>
    </row>
    <row r="4" spans="1:10" x14ac:dyDescent="0.25">
      <c r="A4" t="s">
        <v>55</v>
      </c>
      <c r="B4" t="s">
        <v>61</v>
      </c>
      <c r="C4" t="s">
        <v>79</v>
      </c>
      <c r="D4">
        <v>224</v>
      </c>
      <c r="F4" t="s">
        <v>119</v>
      </c>
      <c r="G4" t="s">
        <v>124</v>
      </c>
      <c r="H4" t="s">
        <v>118</v>
      </c>
      <c r="I4">
        <f t="array" ref="I4">SUM((bölgeler="Bölge1")*((ürünler="Ürün1")+(ürünler="Ürün2"))*satışlar)</f>
        <v>2459</v>
      </c>
      <c r="J4">
        <f t="array" ref="J4">SUM(IF((bölgeler="Bölge1")*((ürünler="Ürün1")+(ürünler="Ürün2")),satışlar))</f>
        <v>2459</v>
      </c>
    </row>
    <row r="5" spans="1:10" x14ac:dyDescent="0.25">
      <c r="A5" t="s">
        <v>55</v>
      </c>
      <c r="B5" t="s">
        <v>62</v>
      </c>
      <c r="C5" t="s">
        <v>79</v>
      </c>
      <c r="D5">
        <v>229</v>
      </c>
    </row>
    <row r="6" spans="1:10" x14ac:dyDescent="0.25">
      <c r="A6" t="s">
        <v>55</v>
      </c>
      <c r="B6" t="s">
        <v>63</v>
      </c>
      <c r="C6" t="s">
        <v>79</v>
      </c>
      <c r="D6">
        <v>108</v>
      </c>
    </row>
    <row r="7" spans="1:10" x14ac:dyDescent="0.25">
      <c r="A7" t="s">
        <v>55</v>
      </c>
      <c r="B7" t="s">
        <v>64</v>
      </c>
      <c r="C7" t="s">
        <v>79</v>
      </c>
      <c r="D7">
        <v>433</v>
      </c>
    </row>
    <row r="8" spans="1:10" x14ac:dyDescent="0.25">
      <c r="A8" t="s">
        <v>56</v>
      </c>
      <c r="B8" t="s">
        <v>65</v>
      </c>
      <c r="C8" t="s">
        <v>79</v>
      </c>
      <c r="D8">
        <v>213</v>
      </c>
    </row>
    <row r="9" spans="1:10" x14ac:dyDescent="0.25">
      <c r="A9" t="s">
        <v>56</v>
      </c>
      <c r="B9" t="s">
        <v>66</v>
      </c>
      <c r="C9" t="s">
        <v>79</v>
      </c>
      <c r="D9">
        <v>337</v>
      </c>
    </row>
    <row r="10" spans="1:10" x14ac:dyDescent="0.25">
      <c r="A10" t="s">
        <v>56</v>
      </c>
      <c r="B10" t="s">
        <v>67</v>
      </c>
      <c r="C10" t="s">
        <v>79</v>
      </c>
      <c r="D10">
        <v>341</v>
      </c>
    </row>
    <row r="11" spans="1:10" x14ac:dyDescent="0.25">
      <c r="A11" t="s">
        <v>56</v>
      </c>
      <c r="B11" t="s">
        <v>68</v>
      </c>
      <c r="C11" t="s">
        <v>79</v>
      </c>
      <c r="D11">
        <v>324</v>
      </c>
    </row>
    <row r="12" spans="1:10" x14ac:dyDescent="0.25">
      <c r="A12" t="s">
        <v>55</v>
      </c>
      <c r="B12" t="s">
        <v>59</v>
      </c>
      <c r="C12" t="s">
        <v>80</v>
      </c>
      <c r="D12">
        <v>387</v>
      </c>
    </row>
    <row r="13" spans="1:10" x14ac:dyDescent="0.25">
      <c r="A13" t="s">
        <v>55</v>
      </c>
      <c r="B13" t="s">
        <v>60</v>
      </c>
      <c r="C13" t="s">
        <v>80</v>
      </c>
      <c r="D13">
        <v>112</v>
      </c>
    </row>
    <row r="14" spans="1:10" x14ac:dyDescent="0.25">
      <c r="A14" t="s">
        <v>55</v>
      </c>
      <c r="B14" t="s">
        <v>61</v>
      </c>
      <c r="C14" t="s">
        <v>80</v>
      </c>
      <c r="D14">
        <v>143</v>
      </c>
    </row>
    <row r="15" spans="1:10" x14ac:dyDescent="0.25">
      <c r="A15" t="s">
        <v>55</v>
      </c>
      <c r="B15" t="s">
        <v>62</v>
      </c>
      <c r="C15" t="s">
        <v>80</v>
      </c>
      <c r="D15">
        <v>247</v>
      </c>
    </row>
    <row r="16" spans="1:10" x14ac:dyDescent="0.25">
      <c r="A16" t="s">
        <v>55</v>
      </c>
      <c r="B16" t="s">
        <v>63</v>
      </c>
      <c r="C16" t="s">
        <v>80</v>
      </c>
      <c r="D16">
        <v>146</v>
      </c>
    </row>
    <row r="17" spans="1:4" x14ac:dyDescent="0.25">
      <c r="A17" t="s">
        <v>55</v>
      </c>
      <c r="B17" t="s">
        <v>64</v>
      </c>
      <c r="C17" t="s">
        <v>80</v>
      </c>
      <c r="D17">
        <v>174</v>
      </c>
    </row>
    <row r="18" spans="1:4" x14ac:dyDescent="0.25">
      <c r="A18" t="s">
        <v>56</v>
      </c>
      <c r="B18" t="s">
        <v>65</v>
      </c>
      <c r="C18" t="s">
        <v>80</v>
      </c>
      <c r="D18">
        <v>412</v>
      </c>
    </row>
    <row r="19" spans="1:4" x14ac:dyDescent="0.25">
      <c r="A19" t="s">
        <v>56</v>
      </c>
      <c r="B19" t="s">
        <v>66</v>
      </c>
      <c r="C19" t="s">
        <v>80</v>
      </c>
      <c r="D19">
        <v>439</v>
      </c>
    </row>
    <row r="20" spans="1:4" x14ac:dyDescent="0.25">
      <c r="A20" t="s">
        <v>56</v>
      </c>
      <c r="B20" t="s">
        <v>67</v>
      </c>
      <c r="C20" t="s">
        <v>80</v>
      </c>
      <c r="D20">
        <v>204</v>
      </c>
    </row>
    <row r="21" spans="1:4" x14ac:dyDescent="0.25">
      <c r="A21" t="s">
        <v>56</v>
      </c>
      <c r="B21" t="s">
        <v>68</v>
      </c>
      <c r="C21" t="s">
        <v>80</v>
      </c>
      <c r="D21">
        <v>370</v>
      </c>
    </row>
    <row r="22" spans="1:4" x14ac:dyDescent="0.25">
      <c r="A22" t="s">
        <v>55</v>
      </c>
      <c r="B22" t="s">
        <v>59</v>
      </c>
      <c r="C22" t="s">
        <v>97</v>
      </c>
      <c r="D22">
        <v>327</v>
      </c>
    </row>
    <row r="23" spans="1:4" x14ac:dyDescent="0.25">
      <c r="A23" t="s">
        <v>55</v>
      </c>
      <c r="B23" t="s">
        <v>60</v>
      </c>
      <c r="C23" t="s">
        <v>97</v>
      </c>
      <c r="D23">
        <v>212</v>
      </c>
    </row>
    <row r="24" spans="1:4" x14ac:dyDescent="0.25">
      <c r="A24" t="s">
        <v>55</v>
      </c>
      <c r="B24" t="s">
        <v>61</v>
      </c>
      <c r="C24" t="s">
        <v>97</v>
      </c>
      <c r="D24">
        <v>329</v>
      </c>
    </row>
    <row r="25" spans="1:4" x14ac:dyDescent="0.25">
      <c r="A25" t="s">
        <v>55</v>
      </c>
      <c r="B25" t="s">
        <v>62</v>
      </c>
      <c r="C25" t="s">
        <v>97</v>
      </c>
      <c r="D25">
        <v>232</v>
      </c>
    </row>
    <row r="26" spans="1:4" x14ac:dyDescent="0.25">
      <c r="A26" t="s">
        <v>55</v>
      </c>
      <c r="B26" t="s">
        <v>63</v>
      </c>
      <c r="C26" t="s">
        <v>97</v>
      </c>
      <c r="D26">
        <v>341</v>
      </c>
    </row>
    <row r="27" spans="1:4" x14ac:dyDescent="0.25">
      <c r="A27" t="s">
        <v>55</v>
      </c>
      <c r="B27" t="s">
        <v>64</v>
      </c>
      <c r="C27" t="s">
        <v>97</v>
      </c>
      <c r="D27">
        <v>267</v>
      </c>
    </row>
    <row r="28" spans="1:4" x14ac:dyDescent="0.25">
      <c r="A28" t="s">
        <v>56</v>
      </c>
      <c r="B28" t="s">
        <v>65</v>
      </c>
      <c r="C28" t="s">
        <v>97</v>
      </c>
      <c r="D28">
        <v>268</v>
      </c>
    </row>
    <row r="29" spans="1:4" x14ac:dyDescent="0.25">
      <c r="A29" t="s">
        <v>56</v>
      </c>
      <c r="B29" t="s">
        <v>66</v>
      </c>
      <c r="C29" t="s">
        <v>97</v>
      </c>
      <c r="D29">
        <v>355</v>
      </c>
    </row>
    <row r="30" spans="1:4" x14ac:dyDescent="0.25">
      <c r="A30" t="s">
        <v>56</v>
      </c>
      <c r="B30" t="s">
        <v>67</v>
      </c>
      <c r="C30" t="s">
        <v>97</v>
      </c>
      <c r="D30">
        <v>252</v>
      </c>
    </row>
    <row r="31" spans="1:4" x14ac:dyDescent="0.25">
      <c r="A31" t="s">
        <v>56</v>
      </c>
      <c r="B31" t="s">
        <v>68</v>
      </c>
      <c r="C31" t="s">
        <v>97</v>
      </c>
      <c r="D31">
        <v>386</v>
      </c>
    </row>
  </sheetData>
  <mergeCells count="1">
    <mergeCell ref="F2:F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F79C-DFDC-47B9-ADDB-28827AF735C1}">
  <sheetPr codeName="Sheet6"/>
  <dimension ref="A1:K9"/>
  <sheetViews>
    <sheetView workbookViewId="0">
      <selection activeCell="J2" sqref="J2"/>
    </sheetView>
  </sheetViews>
  <sheetFormatPr defaultRowHeight="15" x14ac:dyDescent="0.25"/>
  <cols>
    <col min="9" max="9" width="22.5703125" bestFit="1" customWidth="1"/>
  </cols>
  <sheetData>
    <row r="1" spans="1:11" x14ac:dyDescent="0.25">
      <c r="A1" s="1" t="s">
        <v>16</v>
      </c>
      <c r="B1" s="1" t="b">
        <f>10=10</f>
        <v>1</v>
      </c>
      <c r="C1" s="1" t="b">
        <f>10=3</f>
        <v>0</v>
      </c>
      <c r="F1" s="1" t="s">
        <v>40</v>
      </c>
      <c r="G1" s="1" t="s">
        <v>39</v>
      </c>
      <c r="I1" s="1" t="s">
        <v>49</v>
      </c>
      <c r="J1">
        <f>COUNTIF(G:G,"&gt;18")</f>
        <v>5</v>
      </c>
      <c r="K1" t="s">
        <v>50</v>
      </c>
    </row>
    <row r="2" spans="1:11" x14ac:dyDescent="0.25">
      <c r="A2" s="9" t="s">
        <v>17</v>
      </c>
      <c r="B2">
        <f>--B1</f>
        <v>1</v>
      </c>
      <c r="C2">
        <f>--C1</f>
        <v>0</v>
      </c>
      <c r="F2" t="s">
        <v>41</v>
      </c>
      <c r="G2">
        <v>39</v>
      </c>
      <c r="J2">
        <f t="array" ref="J2">SUM(--(G2:G9&gt;18))</f>
        <v>5</v>
      </c>
      <c r="K2" t="s">
        <v>51</v>
      </c>
    </row>
    <row r="3" spans="1:11" x14ac:dyDescent="0.25">
      <c r="A3" t="s">
        <v>18</v>
      </c>
      <c r="B3">
        <f>N(B1)</f>
        <v>1</v>
      </c>
      <c r="C3">
        <f>N(C1)</f>
        <v>0</v>
      </c>
      <c r="F3" t="s">
        <v>42</v>
      </c>
      <c r="G3">
        <v>45</v>
      </c>
      <c r="J3">
        <f t="array" ref="J3">SUM(N(G2:G9&gt;18))</f>
        <v>5</v>
      </c>
      <c r="K3" t="s">
        <v>52</v>
      </c>
    </row>
    <row r="4" spans="1:11" x14ac:dyDescent="0.25">
      <c r="A4" t="s">
        <v>19</v>
      </c>
      <c r="B4">
        <f>B1*1</f>
        <v>1</v>
      </c>
      <c r="C4">
        <f>C1*1</f>
        <v>0</v>
      </c>
      <c r="F4" t="s">
        <v>43</v>
      </c>
      <c r="G4">
        <v>23</v>
      </c>
    </row>
    <row r="5" spans="1:11" x14ac:dyDescent="0.25">
      <c r="A5" s="9" t="s">
        <v>20</v>
      </c>
      <c r="B5">
        <f>B1+0</f>
        <v>1</v>
      </c>
      <c r="C5">
        <f>C1+0</f>
        <v>0</v>
      </c>
      <c r="F5" t="s">
        <v>44</v>
      </c>
      <c r="G5">
        <v>10</v>
      </c>
    </row>
    <row r="6" spans="1:11" x14ac:dyDescent="0.25">
      <c r="F6" t="s">
        <v>45</v>
      </c>
      <c r="G6">
        <v>21</v>
      </c>
    </row>
    <row r="7" spans="1:11" x14ac:dyDescent="0.25">
      <c r="F7" t="s">
        <v>46</v>
      </c>
      <c r="G7">
        <v>18</v>
      </c>
    </row>
    <row r="8" spans="1:11" x14ac:dyDescent="0.25">
      <c r="F8" t="s">
        <v>47</v>
      </c>
      <c r="G8">
        <v>13</v>
      </c>
    </row>
    <row r="9" spans="1:11" x14ac:dyDescent="0.25">
      <c r="F9" t="s">
        <v>48</v>
      </c>
      <c r="G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466F-3473-4048-B9A2-A5BB7DC99964}">
  <sheetPr codeName="Sheet3"/>
  <dimension ref="A1:J14"/>
  <sheetViews>
    <sheetView workbookViewId="0"/>
  </sheetViews>
  <sheetFormatPr defaultRowHeight="15" x14ac:dyDescent="0.25"/>
  <cols>
    <col min="3" max="3" width="24.7109375" customWidth="1"/>
    <col min="9" max="9" width="9.7109375" bestFit="1" customWidth="1"/>
  </cols>
  <sheetData>
    <row r="1" spans="1:10" x14ac:dyDescent="0.25">
      <c r="A1" s="7">
        <v>5</v>
      </c>
      <c r="C1" t="s">
        <v>13</v>
      </c>
      <c r="D1">
        <f>SUM(A1:A6)</f>
        <v>24</v>
      </c>
      <c r="F1" s="4"/>
      <c r="G1">
        <v>31</v>
      </c>
      <c r="I1" t="s">
        <v>15</v>
      </c>
      <c r="J1">
        <f t="array" ref="J1">AVERAGE(IF(G1:G8&lt;&gt;0,G1:G8))</f>
        <v>27.833333333333332</v>
      </c>
    </row>
    <row r="2" spans="1:10" x14ac:dyDescent="0.25">
      <c r="A2" s="7">
        <v>8</v>
      </c>
      <c r="C2" t="s">
        <v>12</v>
      </c>
      <c r="D2" s="7">
        <f t="array" ref="D2">SUM(IF(A1:A6&gt;0,A1:A6))</f>
        <v>33</v>
      </c>
      <c r="E2">
        <f>SUMIF(A1:A6,"&gt;0")</f>
        <v>33</v>
      </c>
      <c r="F2" s="4"/>
      <c r="G2">
        <v>11</v>
      </c>
    </row>
    <row r="3" spans="1:10" x14ac:dyDescent="0.25">
      <c r="A3">
        <v>-7</v>
      </c>
      <c r="C3" t="s">
        <v>14</v>
      </c>
      <c r="D3">
        <f t="array" ref="D3">SUM((A1:A6&gt;5)*(A1:A6&lt;10)*(A1:A6))</f>
        <v>17</v>
      </c>
      <c r="E3">
        <f>SUMIF(A1:A6,AND("&gt;5","&lt;10"))</f>
        <v>0</v>
      </c>
      <c r="F3" s="4"/>
      <c r="G3">
        <v>21</v>
      </c>
    </row>
    <row r="4" spans="1:10" x14ac:dyDescent="0.25">
      <c r="A4" s="7">
        <v>9</v>
      </c>
      <c r="D4">
        <f t="array" ref="D4">SUM(IF(((A1:A6&gt;5)+(A1:A6&lt;10)),(A1:A6)))</f>
        <v>24</v>
      </c>
      <c r="F4" s="4"/>
      <c r="G4">
        <v>0</v>
      </c>
    </row>
    <row r="5" spans="1:10" x14ac:dyDescent="0.25">
      <c r="A5">
        <v>-2</v>
      </c>
      <c r="F5" s="4"/>
      <c r="G5">
        <v>45</v>
      </c>
    </row>
    <row r="6" spans="1:10" x14ac:dyDescent="0.25">
      <c r="A6" s="7">
        <v>11</v>
      </c>
      <c r="F6" s="4"/>
      <c r="G6">
        <v>0</v>
      </c>
    </row>
    <row r="7" spans="1:10" x14ac:dyDescent="0.25">
      <c r="F7" s="4"/>
      <c r="G7">
        <v>40</v>
      </c>
    </row>
    <row r="8" spans="1:10" x14ac:dyDescent="0.25">
      <c r="F8" s="4"/>
      <c r="G8">
        <v>19</v>
      </c>
    </row>
    <row r="14" spans="1:10" x14ac:dyDescent="0.25">
      <c r="C14" s="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0DC-3751-4430-917F-5109C9BB9501}">
  <sheetPr codeName="Sheet4"/>
  <dimension ref="A1:N19"/>
  <sheetViews>
    <sheetView workbookViewId="0"/>
  </sheetViews>
  <sheetFormatPr defaultRowHeight="15" x14ac:dyDescent="0.25"/>
  <cols>
    <col min="1" max="1" width="9.85546875" customWidth="1"/>
    <col min="6" max="6" width="16.5703125" bestFit="1" customWidth="1"/>
    <col min="7" max="7" width="6.5703125" bestFit="1" customWidth="1"/>
    <col min="9" max="9" width="10.7109375" bestFit="1" customWidth="1"/>
    <col min="10" max="10" width="10.7109375" customWidth="1"/>
    <col min="11" max="11" width="19.7109375" bestFit="1" customWidth="1"/>
  </cols>
  <sheetData>
    <row r="1" spans="1:14" ht="15.75" thickBot="1" x14ac:dyDescent="0.3">
      <c r="A1" s="1" t="s">
        <v>24</v>
      </c>
      <c r="B1" s="1" t="s">
        <v>25</v>
      </c>
      <c r="C1" s="1" t="s">
        <v>7</v>
      </c>
      <c r="E1" s="1" t="s">
        <v>126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106</v>
      </c>
      <c r="K1" s="1" t="s">
        <v>31</v>
      </c>
      <c r="M1" s="11" t="s">
        <v>24</v>
      </c>
      <c r="N1" s="12" t="s">
        <v>25</v>
      </c>
    </row>
    <row r="2" spans="1:14" ht="15.75" thickTop="1" x14ac:dyDescent="0.25">
      <c r="A2" t="s">
        <v>26</v>
      </c>
      <c r="B2">
        <v>1</v>
      </c>
      <c r="C2">
        <v>218</v>
      </c>
      <c r="E2" t="s">
        <v>109</v>
      </c>
      <c r="F2" s="1" t="s">
        <v>28</v>
      </c>
      <c r="G2" s="1"/>
      <c r="H2" s="20">
        <f>MIN(Table2[Tutar])</f>
        <v>105</v>
      </c>
      <c r="I2" s="20">
        <f>SMALL(Table2[Tutar],2)</f>
        <v>117</v>
      </c>
      <c r="J2" s="20">
        <f>SUM(Table2[Tutar])</f>
        <v>5771</v>
      </c>
      <c r="K2" t="s">
        <v>32</v>
      </c>
      <c r="M2" s="1" t="s">
        <v>26</v>
      </c>
      <c r="N2" s="1">
        <v>1</v>
      </c>
    </row>
    <row r="3" spans="1:14" x14ac:dyDescent="0.25">
      <c r="A3" t="s">
        <v>26</v>
      </c>
      <c r="B3">
        <v>1</v>
      </c>
      <c r="C3">
        <v>299</v>
      </c>
      <c r="E3" t="s">
        <v>110</v>
      </c>
      <c r="F3" s="1" t="s">
        <v>26</v>
      </c>
      <c r="G3" s="1"/>
      <c r="H3" s="20">
        <f t="array" ref="H3">MIN(IF(Table2[Mağaza]=F3,Table2[Tutar]))</f>
        <v>117</v>
      </c>
      <c r="I3" s="20">
        <f t="array" ref="I3">SMALL(IF(Table2[Mağaza]=F3,Table2[Tutar]),2)</f>
        <v>180</v>
      </c>
      <c r="J3" s="20">
        <f t="array" ref="J3">SUM(IF(Table2[Mağaza]=F3,Table2[Tutar]))</f>
        <v>4052</v>
      </c>
      <c r="K3" t="s">
        <v>33</v>
      </c>
    </row>
    <row r="4" spans="1:14" x14ac:dyDescent="0.25">
      <c r="A4" t="s">
        <v>26</v>
      </c>
      <c r="B4">
        <v>1</v>
      </c>
      <c r="C4">
        <v>180</v>
      </c>
      <c r="E4" t="s">
        <v>111</v>
      </c>
      <c r="F4" s="1" t="s">
        <v>26</v>
      </c>
      <c r="G4" s="1">
        <v>1</v>
      </c>
      <c r="H4" s="20">
        <f t="array" ref="H4">MIN(IF(Table2[Mağaza]=F4,IF(Table2[Reyon]=G4,Table2[Tutar])))</f>
        <v>180</v>
      </c>
      <c r="I4" s="20">
        <f t="array" ref="I4">SMALL(IF(Table2[Mağaza]=F4,IF(Table2[Reyon]=G4,Table2[Tutar])),2)</f>
        <v>218</v>
      </c>
      <c r="J4" s="20">
        <f t="array" ref="J4">SUM(IF(Table2[Mağaza]=F4,IF(Table2[Reyon]=G4,Table2[Tutar])))</f>
        <v>1584</v>
      </c>
      <c r="K4" t="s">
        <v>34</v>
      </c>
    </row>
    <row r="5" spans="1:14" x14ac:dyDescent="0.25">
      <c r="A5" t="s">
        <v>26</v>
      </c>
      <c r="B5">
        <v>1</v>
      </c>
      <c r="C5">
        <v>474</v>
      </c>
      <c r="E5" t="s">
        <v>111</v>
      </c>
      <c r="F5" s="1" t="s">
        <v>26</v>
      </c>
      <c r="G5" s="1">
        <v>1</v>
      </c>
      <c r="H5" s="20">
        <f>_xlfn.MINIFS(Table2[Tutar],Table2[Mağaza],F5,Table2[Reyon],G5)</f>
        <v>180</v>
      </c>
      <c r="I5" s="20" t="s">
        <v>36</v>
      </c>
      <c r="J5" s="20">
        <f>SUMIFS(Table2[Tutar],Table2[Mağaza],F5,Table2[Reyon],G5)</f>
        <v>1584</v>
      </c>
      <c r="K5" t="s">
        <v>35</v>
      </c>
    </row>
    <row r="6" spans="1:14" x14ac:dyDescent="0.25">
      <c r="A6" t="s">
        <v>26</v>
      </c>
      <c r="B6">
        <v>1</v>
      </c>
      <c r="C6">
        <v>413</v>
      </c>
      <c r="E6" t="s">
        <v>111</v>
      </c>
      <c r="F6" s="1" t="s">
        <v>26</v>
      </c>
      <c r="G6" s="1">
        <v>1</v>
      </c>
      <c r="H6" s="20">
        <f>DMIN(Table2[#All],3,M1:N2)</f>
        <v>180</v>
      </c>
      <c r="I6" s="20" t="s">
        <v>36</v>
      </c>
      <c r="J6" s="20">
        <f>DSUM(Table2[#All],3,M1:N2)</f>
        <v>1584</v>
      </c>
      <c r="K6" t="s">
        <v>125</v>
      </c>
    </row>
    <row r="7" spans="1:14" x14ac:dyDescent="0.25">
      <c r="A7" t="s">
        <v>26</v>
      </c>
      <c r="B7">
        <v>2</v>
      </c>
      <c r="C7">
        <v>478</v>
      </c>
    </row>
    <row r="8" spans="1:14" x14ac:dyDescent="0.25">
      <c r="A8" t="s">
        <v>26</v>
      </c>
      <c r="B8">
        <v>2</v>
      </c>
      <c r="C8">
        <v>306</v>
      </c>
      <c r="E8" s="7" t="s">
        <v>316</v>
      </c>
    </row>
    <row r="9" spans="1:14" x14ac:dyDescent="0.25">
      <c r="A9" t="s">
        <v>26</v>
      </c>
      <c r="B9">
        <v>2</v>
      </c>
      <c r="C9">
        <v>298</v>
      </c>
      <c r="E9" s="13" t="s">
        <v>37</v>
      </c>
    </row>
    <row r="10" spans="1:14" x14ac:dyDescent="0.25">
      <c r="A10" t="s">
        <v>26</v>
      </c>
      <c r="B10">
        <v>2</v>
      </c>
      <c r="C10">
        <v>310</v>
      </c>
      <c r="E10" s="20">
        <f t="array" ref="E10">MAX(COUNTIF(Table2[Mağaza],Table2[Mağaza]))</f>
        <v>12</v>
      </c>
    </row>
    <row r="11" spans="1:14" x14ac:dyDescent="0.25">
      <c r="A11" t="s">
        <v>26</v>
      </c>
      <c r="B11">
        <v>2</v>
      </c>
      <c r="C11">
        <v>487</v>
      </c>
      <c r="E11" s="10"/>
    </row>
    <row r="12" spans="1:14" x14ac:dyDescent="0.25">
      <c r="A12" t="s">
        <v>26</v>
      </c>
      <c r="B12">
        <v>2</v>
      </c>
      <c r="C12">
        <v>117</v>
      </c>
      <c r="E12" s="13" t="s">
        <v>38</v>
      </c>
    </row>
    <row r="13" spans="1:14" x14ac:dyDescent="0.25">
      <c r="A13" t="s">
        <v>26</v>
      </c>
      <c r="B13">
        <v>2</v>
      </c>
      <c r="C13">
        <v>472</v>
      </c>
      <c r="E13" s="20" t="str">
        <f t="array" ref="E13">INDEX(Table2[Mağaza],_xlfn.MODE.SNGL(MATCH(Table2[Mağaza],Table2[Mağaza],0)))</f>
        <v>Mağaza1</v>
      </c>
    </row>
    <row r="14" spans="1:14" x14ac:dyDescent="0.25">
      <c r="A14" t="s">
        <v>27</v>
      </c>
      <c r="B14">
        <v>1</v>
      </c>
      <c r="C14">
        <v>105</v>
      </c>
      <c r="E14" s="10"/>
    </row>
    <row r="15" spans="1:14" x14ac:dyDescent="0.25">
      <c r="A15" t="s">
        <v>27</v>
      </c>
      <c r="B15">
        <v>1</v>
      </c>
      <c r="C15">
        <v>232</v>
      </c>
      <c r="E15" s="13" t="s">
        <v>315</v>
      </c>
    </row>
    <row r="16" spans="1:14" x14ac:dyDescent="0.25">
      <c r="A16" t="s">
        <v>27</v>
      </c>
      <c r="B16">
        <v>1</v>
      </c>
      <c r="C16">
        <v>585</v>
      </c>
      <c r="E16" s="20">
        <f t="array" ref="E16">SUM(1/COUNTIF(Table2[Mağaza],Table2[Mağaza]))</f>
        <v>2.0000000000000004</v>
      </c>
    </row>
    <row r="17" spans="1:3" x14ac:dyDescent="0.25">
      <c r="A17" t="s">
        <v>27</v>
      </c>
      <c r="B17">
        <v>2</v>
      </c>
      <c r="C17">
        <v>321</v>
      </c>
    </row>
    <row r="18" spans="1:3" x14ac:dyDescent="0.25">
      <c r="A18" t="s">
        <v>27</v>
      </c>
      <c r="B18">
        <v>2</v>
      </c>
      <c r="C18">
        <v>223</v>
      </c>
    </row>
    <row r="19" spans="1:3" x14ac:dyDescent="0.25">
      <c r="A19" t="s">
        <v>27</v>
      </c>
      <c r="B19">
        <v>2</v>
      </c>
      <c r="C19">
        <v>253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3A2-9CC7-419B-B051-0E3A7CB823B7}">
  <sheetPr codeName="Sheet7"/>
  <dimension ref="A1:D15"/>
  <sheetViews>
    <sheetView workbookViewId="0">
      <selection activeCell="G2" sqref="G2"/>
    </sheetView>
  </sheetViews>
  <sheetFormatPr defaultRowHeight="15" x14ac:dyDescent="0.25"/>
  <cols>
    <col min="1" max="1" width="16.5703125" bestFit="1" customWidth="1"/>
  </cols>
  <sheetData>
    <row r="1" spans="1:4" x14ac:dyDescent="0.25">
      <c r="A1" s="1" t="s">
        <v>127</v>
      </c>
      <c r="B1" s="1" t="s">
        <v>7</v>
      </c>
      <c r="C1" s="1" t="s">
        <v>128</v>
      </c>
      <c r="D1" s="1" t="s">
        <v>130</v>
      </c>
    </row>
    <row r="2" spans="1:4" x14ac:dyDescent="0.25">
      <c r="A2">
        <v>1</v>
      </c>
      <c r="B2">
        <v>8967</v>
      </c>
      <c r="C2">
        <v>1.1599999999999999</v>
      </c>
      <c r="D2">
        <f>B2*C2</f>
        <v>10401.719999999999</v>
      </c>
    </row>
    <row r="3" spans="1:4" x14ac:dyDescent="0.25">
      <c r="A3">
        <v>2</v>
      </c>
      <c r="B3">
        <v>8879</v>
      </c>
      <c r="C3">
        <v>1.1599999999999999</v>
      </c>
      <c r="D3">
        <f t="shared" ref="D3:D11" si="0">B3*C3</f>
        <v>10299.64</v>
      </c>
    </row>
    <row r="4" spans="1:4" x14ac:dyDescent="0.25">
      <c r="A4">
        <v>3</v>
      </c>
      <c r="B4">
        <v>11290</v>
      </c>
      <c r="C4">
        <v>1.1200000000000001</v>
      </c>
      <c r="D4">
        <f t="shared" si="0"/>
        <v>12644.800000000001</v>
      </c>
    </row>
    <row r="5" spans="1:4" x14ac:dyDescent="0.25">
      <c r="A5">
        <v>4</v>
      </c>
      <c r="B5">
        <v>11357</v>
      </c>
      <c r="C5">
        <v>1.1599999999999999</v>
      </c>
      <c r="D5">
        <f t="shared" si="0"/>
        <v>13174.119999999999</v>
      </c>
    </row>
    <row r="6" spans="1:4" x14ac:dyDescent="0.25">
      <c r="A6">
        <v>5</v>
      </c>
      <c r="B6">
        <v>10932</v>
      </c>
      <c r="C6">
        <v>1.03</v>
      </c>
      <c r="D6">
        <f t="shared" si="0"/>
        <v>11259.960000000001</v>
      </c>
    </row>
    <row r="7" spans="1:4" x14ac:dyDescent="0.25">
      <c r="A7">
        <v>6</v>
      </c>
      <c r="B7">
        <v>9265</v>
      </c>
      <c r="C7">
        <v>1.06</v>
      </c>
      <c r="D7">
        <f t="shared" si="0"/>
        <v>9820.9</v>
      </c>
    </row>
    <row r="8" spans="1:4" x14ac:dyDescent="0.25">
      <c r="A8">
        <v>7</v>
      </c>
      <c r="B8">
        <v>85245</v>
      </c>
      <c r="C8">
        <v>1</v>
      </c>
      <c r="D8">
        <f t="shared" si="0"/>
        <v>85245</v>
      </c>
    </row>
    <row r="9" spans="1:4" x14ac:dyDescent="0.25">
      <c r="A9">
        <v>8</v>
      </c>
      <c r="B9">
        <v>7656</v>
      </c>
      <c r="C9">
        <v>1.1200000000000001</v>
      </c>
      <c r="D9">
        <f t="shared" si="0"/>
        <v>8574.7200000000012</v>
      </c>
    </row>
    <row r="10" spans="1:4" x14ac:dyDescent="0.25">
      <c r="A10">
        <v>9</v>
      </c>
      <c r="B10">
        <v>10244</v>
      </c>
      <c r="C10">
        <v>1.1399999999999999</v>
      </c>
      <c r="D10">
        <f t="shared" si="0"/>
        <v>11678.16</v>
      </c>
    </row>
    <row r="11" spans="1:4" x14ac:dyDescent="0.25">
      <c r="A11">
        <v>10</v>
      </c>
      <c r="B11">
        <v>5848</v>
      </c>
      <c r="C11">
        <v>1.1000000000000001</v>
      </c>
      <c r="D11">
        <f t="shared" si="0"/>
        <v>6432.8</v>
      </c>
    </row>
    <row r="12" spans="1:4" x14ac:dyDescent="0.25">
      <c r="B12" t="s">
        <v>133</v>
      </c>
      <c r="C12">
        <f>AVERAGE(C2:C11)</f>
        <v>1.105</v>
      </c>
    </row>
    <row r="13" spans="1:4" x14ac:dyDescent="0.25">
      <c r="A13" s="1" t="s">
        <v>129</v>
      </c>
    </row>
    <row r="14" spans="1:4" x14ac:dyDescent="0.25">
      <c r="A14" t="s">
        <v>132</v>
      </c>
      <c r="B14">
        <f>SUM(D2:D11)/SUM(B2:B11)</f>
        <v>1.0580424674245505</v>
      </c>
    </row>
    <row r="15" spans="1:4" x14ac:dyDescent="0.25">
      <c r="A15" t="s">
        <v>131</v>
      </c>
      <c r="B15">
        <f>SUMPRODUCT(B2:B11,C2:C11)/SUM(B2:B11)</f>
        <v>1.0580424674245505</v>
      </c>
      <c r="C15">
        <f>SUMPRODUCT((B2:B11)*(C2:C11))/SUM(B2:B11)</f>
        <v>1.0580424674245505</v>
      </c>
      <c r="D15">
        <f t="array" ref="D15">SUM((B2:B11)*(C2:C11))/SUM(B2:B11)</f>
        <v>1.0580424674245505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9E0-2094-402A-B248-F09A79A50539}">
  <dimension ref="A1:M19"/>
  <sheetViews>
    <sheetView workbookViewId="0"/>
  </sheetViews>
  <sheetFormatPr defaultRowHeight="15" x14ac:dyDescent="0.25"/>
  <cols>
    <col min="1" max="1" width="9.85546875" bestFit="1" customWidth="1"/>
    <col min="9" max="9" width="9.85546875" bestFit="1" customWidth="1"/>
    <col min="12" max="12" width="2.140625" customWidth="1"/>
  </cols>
  <sheetData>
    <row r="1" spans="1:13" ht="15.75" thickBot="1" x14ac:dyDescent="0.3">
      <c r="A1" s="34" t="s">
        <v>53</v>
      </c>
      <c r="B1" s="35" t="s">
        <v>100</v>
      </c>
      <c r="C1" s="35" t="s">
        <v>103</v>
      </c>
      <c r="D1" s="35" t="s">
        <v>79</v>
      </c>
      <c r="E1" s="35" t="s">
        <v>80</v>
      </c>
      <c r="F1" s="35" t="s">
        <v>97</v>
      </c>
      <c r="I1" s="58" t="s">
        <v>53</v>
      </c>
      <c r="J1" s="59" t="s">
        <v>100</v>
      </c>
      <c r="K1" s="35" t="s">
        <v>101</v>
      </c>
      <c r="M1" s="1" t="s">
        <v>106</v>
      </c>
    </row>
    <row r="2" spans="1:13" ht="15.75" thickTop="1" x14ac:dyDescent="0.25">
      <c r="A2" s="36" t="s">
        <v>192</v>
      </c>
      <c r="B2" s="37">
        <v>2013</v>
      </c>
      <c r="C2" s="37" t="s">
        <v>104</v>
      </c>
      <c r="D2" s="37">
        <v>559</v>
      </c>
      <c r="E2" s="37">
        <v>483</v>
      </c>
      <c r="F2" s="37">
        <v>310</v>
      </c>
      <c r="I2" s="7" t="s">
        <v>194</v>
      </c>
      <c r="J2" s="7">
        <v>2013</v>
      </c>
      <c r="K2" t="s">
        <v>79</v>
      </c>
      <c r="M2" s="20">
        <f>DSUM(A1:F19,MATCH(K2,A1:F1,0),I1:J2)</f>
        <v>1761</v>
      </c>
    </row>
    <row r="3" spans="1:13" x14ac:dyDescent="0.25">
      <c r="A3" s="38" t="s">
        <v>192</v>
      </c>
      <c r="B3" s="18">
        <v>2014</v>
      </c>
      <c r="C3" s="18" t="s">
        <v>104</v>
      </c>
      <c r="D3" s="18">
        <v>746</v>
      </c>
      <c r="E3" s="18">
        <v>532</v>
      </c>
      <c r="F3" s="18">
        <v>137</v>
      </c>
    </row>
    <row r="4" spans="1:13" x14ac:dyDescent="0.25">
      <c r="A4" s="39" t="s">
        <v>192</v>
      </c>
      <c r="B4" s="40">
        <v>2015</v>
      </c>
      <c r="C4" s="40" t="s">
        <v>104</v>
      </c>
      <c r="D4" s="40">
        <v>202</v>
      </c>
      <c r="E4" s="40">
        <v>152</v>
      </c>
      <c r="F4" s="40">
        <v>668</v>
      </c>
    </row>
    <row r="5" spans="1:13" x14ac:dyDescent="0.25">
      <c r="A5" s="38" t="s">
        <v>192</v>
      </c>
      <c r="B5" s="18">
        <v>2013</v>
      </c>
      <c r="C5" s="18" t="s">
        <v>188</v>
      </c>
      <c r="D5" s="18">
        <v>578</v>
      </c>
      <c r="E5" s="18">
        <v>545</v>
      </c>
      <c r="F5" s="18">
        <v>179</v>
      </c>
    </row>
    <row r="6" spans="1:13" x14ac:dyDescent="0.25">
      <c r="A6" s="39" t="s">
        <v>192</v>
      </c>
      <c r="B6" s="40">
        <v>2014</v>
      </c>
      <c r="C6" s="40" t="s">
        <v>188</v>
      </c>
      <c r="D6" s="40">
        <v>355</v>
      </c>
      <c r="E6" s="40">
        <v>791</v>
      </c>
      <c r="F6" s="40">
        <v>514</v>
      </c>
    </row>
    <row r="7" spans="1:13" ht="15.75" thickBot="1" x14ac:dyDescent="0.3">
      <c r="A7" s="38" t="s">
        <v>192</v>
      </c>
      <c r="B7" s="18">
        <v>2015</v>
      </c>
      <c r="C7" s="18" t="s">
        <v>188</v>
      </c>
      <c r="D7" s="18">
        <v>199</v>
      </c>
      <c r="E7" s="18">
        <v>740</v>
      </c>
      <c r="F7" s="18">
        <v>560</v>
      </c>
    </row>
    <row r="8" spans="1:13" ht="15.75" thickTop="1" x14ac:dyDescent="0.25">
      <c r="A8" s="36" t="s">
        <v>193</v>
      </c>
      <c r="B8" s="40">
        <v>2013</v>
      </c>
      <c r="C8" s="37" t="s">
        <v>104</v>
      </c>
      <c r="D8" s="40">
        <v>329</v>
      </c>
      <c r="E8" s="40">
        <v>407</v>
      </c>
      <c r="F8" s="40">
        <v>522</v>
      </c>
    </row>
    <row r="9" spans="1:13" x14ac:dyDescent="0.25">
      <c r="A9" s="38" t="s">
        <v>193</v>
      </c>
      <c r="B9" s="18">
        <v>2014</v>
      </c>
      <c r="C9" s="18" t="s">
        <v>104</v>
      </c>
      <c r="D9" s="18">
        <v>181</v>
      </c>
      <c r="E9" s="18">
        <v>133</v>
      </c>
      <c r="F9" s="18">
        <v>101</v>
      </c>
    </row>
    <row r="10" spans="1:13" x14ac:dyDescent="0.25">
      <c r="A10" s="39" t="s">
        <v>193</v>
      </c>
      <c r="B10" s="40">
        <v>2015</v>
      </c>
      <c r="C10" s="40" t="s">
        <v>104</v>
      </c>
      <c r="D10" s="40">
        <v>369</v>
      </c>
      <c r="E10" s="40">
        <v>567</v>
      </c>
      <c r="F10" s="40">
        <v>318</v>
      </c>
    </row>
    <row r="11" spans="1:13" x14ac:dyDescent="0.25">
      <c r="A11" s="38" t="s">
        <v>193</v>
      </c>
      <c r="B11" s="18">
        <v>2013</v>
      </c>
      <c r="C11" s="18" t="s">
        <v>188</v>
      </c>
      <c r="D11" s="18">
        <v>295</v>
      </c>
      <c r="E11" s="18">
        <v>554</v>
      </c>
      <c r="F11" s="18">
        <v>684</v>
      </c>
    </row>
    <row r="12" spans="1:13" x14ac:dyDescent="0.25">
      <c r="A12" s="39" t="s">
        <v>193</v>
      </c>
      <c r="B12" s="40">
        <v>2014</v>
      </c>
      <c r="C12" s="40" t="s">
        <v>188</v>
      </c>
      <c r="D12" s="40">
        <v>451</v>
      </c>
      <c r="E12" s="40">
        <v>209</v>
      </c>
      <c r="F12" s="40">
        <v>760</v>
      </c>
    </row>
    <row r="13" spans="1:13" ht="15.75" thickBot="1" x14ac:dyDescent="0.3">
      <c r="A13" s="38" t="s">
        <v>193</v>
      </c>
      <c r="B13" s="18">
        <v>2015</v>
      </c>
      <c r="C13" s="18" t="s">
        <v>188</v>
      </c>
      <c r="D13" s="18">
        <v>489</v>
      </c>
      <c r="E13" s="18">
        <v>736</v>
      </c>
      <c r="F13" s="18">
        <v>473</v>
      </c>
    </row>
    <row r="14" spans="1:13" ht="15.75" thickTop="1" x14ac:dyDescent="0.25">
      <c r="A14" s="39" t="s">
        <v>191</v>
      </c>
      <c r="B14" s="40">
        <v>2013</v>
      </c>
      <c r="C14" s="37" t="s">
        <v>104</v>
      </c>
      <c r="D14" s="40">
        <v>185</v>
      </c>
      <c r="E14" s="40">
        <v>123</v>
      </c>
      <c r="F14" s="40">
        <v>757</v>
      </c>
    </row>
    <row r="15" spans="1:13" x14ac:dyDescent="0.25">
      <c r="A15" s="38" t="s">
        <v>191</v>
      </c>
      <c r="B15" s="18">
        <v>2014</v>
      </c>
      <c r="C15" s="18" t="s">
        <v>104</v>
      </c>
      <c r="D15" s="18">
        <v>189</v>
      </c>
      <c r="E15" s="18">
        <v>225</v>
      </c>
      <c r="F15" s="18">
        <v>587</v>
      </c>
    </row>
    <row r="16" spans="1:13" x14ac:dyDescent="0.25">
      <c r="A16" s="39" t="s">
        <v>191</v>
      </c>
      <c r="B16" s="40">
        <v>2015</v>
      </c>
      <c r="C16" s="40" t="s">
        <v>104</v>
      </c>
      <c r="D16" s="40">
        <v>193</v>
      </c>
      <c r="E16" s="40">
        <v>327</v>
      </c>
      <c r="F16" s="40">
        <v>417</v>
      </c>
    </row>
    <row r="17" spans="1:6" x14ac:dyDescent="0.25">
      <c r="A17" s="38" t="s">
        <v>191</v>
      </c>
      <c r="B17" s="18">
        <v>2013</v>
      </c>
      <c r="C17" s="18" t="s">
        <v>188</v>
      </c>
      <c r="D17" s="18">
        <v>197</v>
      </c>
      <c r="E17" s="18">
        <v>429</v>
      </c>
      <c r="F17" s="18">
        <v>247</v>
      </c>
    </row>
    <row r="18" spans="1:6" x14ac:dyDescent="0.25">
      <c r="A18" s="39" t="s">
        <v>191</v>
      </c>
      <c r="B18" s="40">
        <v>2014</v>
      </c>
      <c r="C18" s="40" t="s">
        <v>188</v>
      </c>
      <c r="D18" s="40">
        <v>201</v>
      </c>
      <c r="E18" s="40">
        <v>531</v>
      </c>
      <c r="F18" s="40">
        <v>77</v>
      </c>
    </row>
    <row r="19" spans="1:6" x14ac:dyDescent="0.25">
      <c r="A19" s="38" t="s">
        <v>191</v>
      </c>
      <c r="B19" s="18">
        <v>2015</v>
      </c>
      <c r="C19" s="18" t="s">
        <v>188</v>
      </c>
      <c r="D19" s="18">
        <v>205</v>
      </c>
      <c r="E19" s="18">
        <v>633</v>
      </c>
      <c r="F19" s="18">
        <v>98</v>
      </c>
    </row>
  </sheetData>
  <dataValidations count="2">
    <dataValidation type="list" allowBlank="1" showInputMessage="1" showErrorMessage="1" sqref="J2" xr:uid="{427D1FF1-86A7-4858-BC0E-5E32D2B6D3BA}">
      <formula1>$B$2:$B$4</formula1>
    </dataValidation>
    <dataValidation type="list" allowBlank="1" showInputMessage="1" showErrorMessage="1" sqref="K2" xr:uid="{8AAD3D07-3933-4A07-8CA8-607B208B6072}">
      <formula1>$D$1:$F$1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4D3E-A772-4D00-8DBF-076F99CCFFDB}">
  <sheetPr codeName="Sheet11"/>
  <dimension ref="A1:Q84"/>
  <sheetViews>
    <sheetView showGridLines="0" topLeftCell="A49" workbookViewId="0">
      <selection activeCell="J54" sqref="J54"/>
    </sheetView>
  </sheetViews>
  <sheetFormatPr defaultRowHeight="15" x14ac:dyDescent="0.25"/>
  <cols>
    <col min="1" max="1" width="9.140625" style="22"/>
    <col min="2" max="10" width="9.140625" style="2"/>
    <col min="11" max="11" width="8" style="2" customWidth="1"/>
    <col min="12" max="12" width="10" style="2" customWidth="1"/>
    <col min="13" max="14" width="12.7109375" style="2" customWidth="1"/>
    <col min="15" max="15" width="12.5703125" style="2" customWidth="1"/>
    <col min="16" max="16" width="13.7109375" style="2" bestFit="1" customWidth="1"/>
    <col min="17" max="16384" width="9.140625" style="2"/>
  </cols>
  <sheetData>
    <row r="1" spans="1:13" x14ac:dyDescent="0.25">
      <c r="A1" s="53" t="s">
        <v>180</v>
      </c>
    </row>
    <row r="2" spans="1:13" x14ac:dyDescent="0.25">
      <c r="A2" s="21"/>
      <c r="B2" s="21"/>
      <c r="C2" s="21"/>
      <c r="D2" s="21"/>
      <c r="E2" s="21"/>
    </row>
    <row r="3" spans="1:13" x14ac:dyDescent="0.25">
      <c r="A3" s="21" t="s">
        <v>135</v>
      </c>
    </row>
    <row r="4" spans="1:13" s="23" customFormat="1" x14ac:dyDescent="0.25">
      <c r="A4" s="21"/>
      <c r="B4" s="32" t="s">
        <v>146</v>
      </c>
      <c r="H4" s="32" t="s">
        <v>143</v>
      </c>
    </row>
    <row r="5" spans="1:13" s="23" customFormat="1" ht="7.5" customHeight="1" x14ac:dyDescent="0.25">
      <c r="A5" s="21"/>
      <c r="B5" s="32"/>
      <c r="H5" s="32"/>
    </row>
    <row r="6" spans="1:13" x14ac:dyDescent="0.25">
      <c r="B6" s="23" t="s">
        <v>53</v>
      </c>
      <c r="C6" s="24" t="s">
        <v>7</v>
      </c>
      <c r="E6" s="23" t="s">
        <v>53</v>
      </c>
      <c r="F6" s="23" t="s">
        <v>7</v>
      </c>
      <c r="H6" s="23" t="s">
        <v>5</v>
      </c>
      <c r="I6" s="23" t="s">
        <v>7</v>
      </c>
      <c r="K6" s="23" t="s">
        <v>5</v>
      </c>
      <c r="L6" s="23" t="s">
        <v>7</v>
      </c>
      <c r="M6" s="23"/>
    </row>
    <row r="7" spans="1:13" x14ac:dyDescent="0.25">
      <c r="B7" s="2" t="s">
        <v>55</v>
      </c>
      <c r="C7" s="25">
        <v>310</v>
      </c>
      <c r="E7" s="22" t="s">
        <v>55</v>
      </c>
      <c r="F7" s="28">
        <f>SUMIF($B$6:$B$11,E7,$C$6:$C$11)</f>
        <v>586</v>
      </c>
      <c r="H7" s="2" t="s">
        <v>59</v>
      </c>
      <c r="I7" s="25">
        <v>310</v>
      </c>
      <c r="K7" s="22" t="s">
        <v>59</v>
      </c>
      <c r="L7" s="28">
        <f>VLOOKUP(K7,$H$6:$I$11,2,0)</f>
        <v>310</v>
      </c>
    </row>
    <row r="8" spans="1:13" x14ac:dyDescent="0.25">
      <c r="B8" s="2" t="s">
        <v>55</v>
      </c>
      <c r="C8" s="25">
        <v>276</v>
      </c>
      <c r="H8" s="2" t="s">
        <v>60</v>
      </c>
      <c r="I8" s="25">
        <v>276</v>
      </c>
    </row>
    <row r="9" spans="1:13" x14ac:dyDescent="0.25">
      <c r="B9" s="2" t="s">
        <v>56</v>
      </c>
      <c r="C9" s="25">
        <v>171</v>
      </c>
      <c r="H9" s="2" t="s">
        <v>61</v>
      </c>
      <c r="I9" s="25">
        <v>171</v>
      </c>
    </row>
    <row r="10" spans="1:13" x14ac:dyDescent="0.25">
      <c r="B10" s="2" t="s">
        <v>56</v>
      </c>
      <c r="C10" s="25">
        <v>128</v>
      </c>
      <c r="H10" s="2" t="s">
        <v>62</v>
      </c>
      <c r="I10" s="25">
        <v>128</v>
      </c>
    </row>
    <row r="11" spans="1:13" x14ac:dyDescent="0.25">
      <c r="B11" s="2" t="s">
        <v>56</v>
      </c>
      <c r="C11" s="25">
        <v>232</v>
      </c>
      <c r="H11" s="2" t="s">
        <v>63</v>
      </c>
      <c r="I11" s="25">
        <v>232</v>
      </c>
    </row>
    <row r="13" spans="1:13" x14ac:dyDescent="0.25">
      <c r="A13" s="21" t="s">
        <v>136</v>
      </c>
    </row>
    <row r="14" spans="1:13" s="23" customFormat="1" x14ac:dyDescent="0.25">
      <c r="A14" s="21"/>
      <c r="B14" s="32" t="s">
        <v>144</v>
      </c>
    </row>
    <row r="15" spans="1:13" s="23" customFormat="1" ht="4.5" customHeight="1" x14ac:dyDescent="0.25">
      <c r="A15" s="21"/>
      <c r="B15" s="32"/>
    </row>
    <row r="16" spans="1:13" x14ac:dyDescent="0.25">
      <c r="B16" s="23" t="s">
        <v>53</v>
      </c>
      <c r="C16" s="24" t="s">
        <v>11</v>
      </c>
      <c r="D16" s="24" t="s">
        <v>7</v>
      </c>
      <c r="E16" s="23" t="s">
        <v>5</v>
      </c>
      <c r="G16" s="23" t="s">
        <v>53</v>
      </c>
      <c r="H16" s="23" t="s">
        <v>11</v>
      </c>
      <c r="I16" s="23" t="s">
        <v>5</v>
      </c>
      <c r="J16" s="23" t="s">
        <v>16</v>
      </c>
    </row>
    <row r="17" spans="1:14" x14ac:dyDescent="0.25">
      <c r="B17" s="2" t="s">
        <v>55</v>
      </c>
      <c r="C17" s="25">
        <v>1</v>
      </c>
      <c r="D17" s="25">
        <v>128</v>
      </c>
      <c r="E17" s="2" t="s">
        <v>66</v>
      </c>
      <c r="G17" s="22" t="s">
        <v>56</v>
      </c>
      <c r="H17" s="22">
        <v>2</v>
      </c>
      <c r="I17" s="28" t="str">
        <f t="array" ref="I17">INDEX($E$16:$E$28,MATCH(G17&amp;H17,$B$16:$B$28&amp;$C$16:$C$28,0))</f>
        <v>Şube12</v>
      </c>
      <c r="J17" s="2" t="s">
        <v>137</v>
      </c>
    </row>
    <row r="18" spans="1:14" x14ac:dyDescent="0.25">
      <c r="B18" s="2" t="s">
        <v>55</v>
      </c>
      <c r="C18" s="25">
        <v>2</v>
      </c>
      <c r="D18" s="25">
        <v>153</v>
      </c>
      <c r="E18" s="2" t="s">
        <v>61</v>
      </c>
    </row>
    <row r="19" spans="1:14" x14ac:dyDescent="0.25">
      <c r="B19" s="2" t="s">
        <v>55</v>
      </c>
      <c r="C19" s="25">
        <v>3</v>
      </c>
      <c r="D19" s="25">
        <v>171</v>
      </c>
      <c r="E19" s="2" t="s">
        <v>65</v>
      </c>
    </row>
    <row r="20" spans="1:14" x14ac:dyDescent="0.25">
      <c r="B20" s="2" t="s">
        <v>55</v>
      </c>
      <c r="C20" s="25">
        <v>4</v>
      </c>
      <c r="D20" s="25">
        <v>173</v>
      </c>
      <c r="E20" s="2" t="s">
        <v>63</v>
      </c>
      <c r="G20" s="26"/>
    </row>
    <row r="21" spans="1:14" x14ac:dyDescent="0.25">
      <c r="B21" s="2" t="s">
        <v>55</v>
      </c>
      <c r="C21" s="25">
        <v>5</v>
      </c>
      <c r="D21" s="25">
        <v>173</v>
      </c>
      <c r="E21" s="2" t="s">
        <v>64</v>
      </c>
    </row>
    <row r="22" spans="1:14" x14ac:dyDescent="0.25">
      <c r="B22" s="2" t="s">
        <v>55</v>
      </c>
      <c r="C22" s="25">
        <v>6</v>
      </c>
      <c r="D22" s="25">
        <v>232</v>
      </c>
      <c r="E22" s="2" t="s">
        <v>67</v>
      </c>
    </row>
    <row r="23" spans="1:14" x14ac:dyDescent="0.25">
      <c r="B23" s="2" t="s">
        <v>56</v>
      </c>
      <c r="C23" s="25">
        <v>1</v>
      </c>
      <c r="D23" s="25">
        <v>276</v>
      </c>
      <c r="E23" s="2" t="s">
        <v>60</v>
      </c>
    </row>
    <row r="24" spans="1:14" x14ac:dyDescent="0.25">
      <c r="B24" s="2" t="s">
        <v>56</v>
      </c>
      <c r="C24" s="25">
        <v>2</v>
      </c>
      <c r="D24" s="25">
        <v>287</v>
      </c>
      <c r="E24" s="2" t="s">
        <v>70</v>
      </c>
    </row>
    <row r="25" spans="1:14" x14ac:dyDescent="0.25">
      <c r="B25" s="2" t="s">
        <v>56</v>
      </c>
      <c r="C25" s="25">
        <v>3</v>
      </c>
      <c r="D25" s="25">
        <v>305</v>
      </c>
      <c r="E25" s="2" t="s">
        <v>69</v>
      </c>
    </row>
    <row r="26" spans="1:14" x14ac:dyDescent="0.25">
      <c r="B26" s="2" t="s">
        <v>56</v>
      </c>
      <c r="C26" s="25">
        <v>4</v>
      </c>
      <c r="D26" s="25">
        <v>310</v>
      </c>
      <c r="E26" s="2" t="s">
        <v>59</v>
      </c>
    </row>
    <row r="27" spans="1:14" x14ac:dyDescent="0.25">
      <c r="B27" s="2" t="s">
        <v>56</v>
      </c>
      <c r="C27" s="25">
        <v>5</v>
      </c>
      <c r="D27" s="25">
        <v>360</v>
      </c>
      <c r="E27" s="2" t="s">
        <v>62</v>
      </c>
    </row>
    <row r="28" spans="1:14" x14ac:dyDescent="0.25">
      <c r="B28" s="2" t="s">
        <v>56</v>
      </c>
      <c r="C28" s="25">
        <v>6</v>
      </c>
      <c r="D28" s="25">
        <v>498</v>
      </c>
      <c r="E28" s="2" t="s">
        <v>68</v>
      </c>
    </row>
    <row r="30" spans="1:14" s="23" customFormat="1" x14ac:dyDescent="0.25">
      <c r="A30" s="21"/>
      <c r="B30" s="32" t="s">
        <v>145</v>
      </c>
    </row>
    <row r="31" spans="1:14" s="23" customFormat="1" ht="6.75" customHeight="1" x14ac:dyDescent="0.25">
      <c r="A31" s="21"/>
      <c r="B31" s="32"/>
    </row>
    <row r="32" spans="1:14" x14ac:dyDescent="0.25">
      <c r="B32" s="23" t="s">
        <v>53</v>
      </c>
      <c r="C32" s="24" t="s">
        <v>54</v>
      </c>
      <c r="D32" s="24" t="s">
        <v>7</v>
      </c>
      <c r="F32" s="23" t="s">
        <v>53</v>
      </c>
      <c r="G32" s="23" t="s">
        <v>54</v>
      </c>
      <c r="H32" s="23" t="s">
        <v>106</v>
      </c>
      <c r="I32" s="23" t="s">
        <v>148</v>
      </c>
      <c r="J32" s="23" t="s">
        <v>16</v>
      </c>
      <c r="N32" s="23"/>
    </row>
    <row r="33" spans="1:14" x14ac:dyDescent="0.25">
      <c r="B33" s="2" t="s">
        <v>55</v>
      </c>
      <c r="C33" s="25">
        <v>1</v>
      </c>
      <c r="D33" s="25">
        <v>310</v>
      </c>
      <c r="F33" s="22" t="s">
        <v>56</v>
      </c>
      <c r="G33" s="60">
        <v>2</v>
      </c>
      <c r="H33" s="28">
        <f>SUMIFS(Tutarlar,bölgeler2,F33,dönemler,G33)</f>
        <v>1090</v>
      </c>
      <c r="I33" s="30">
        <f>COUNTIFS(bölgeler2,F33,dönemler,G33)</f>
        <v>3</v>
      </c>
      <c r="J33" s="2" t="s">
        <v>151</v>
      </c>
      <c r="K33" s="24"/>
      <c r="N33" s="27"/>
    </row>
    <row r="34" spans="1:14" x14ac:dyDescent="0.25">
      <c r="B34" s="2" t="s">
        <v>55</v>
      </c>
      <c r="C34" s="25">
        <v>1</v>
      </c>
      <c r="D34" s="25">
        <v>276</v>
      </c>
      <c r="H34" s="28">
        <f t="array" ref="H34">SUM(IF((bölgeler2=F33)*(dönemler=G33),Tutarlar))</f>
        <v>1090</v>
      </c>
      <c r="I34" s="31">
        <f t="array" ref="I34">SUM(IF((bölgeler2=F33)*(dönemler=G33),1))</f>
        <v>3</v>
      </c>
      <c r="J34" s="2" t="s">
        <v>138</v>
      </c>
      <c r="K34" s="24"/>
    </row>
    <row r="35" spans="1:14" x14ac:dyDescent="0.25">
      <c r="B35" s="2" t="s">
        <v>55</v>
      </c>
      <c r="C35" s="25">
        <v>1</v>
      </c>
      <c r="D35" s="25">
        <v>153</v>
      </c>
      <c r="H35" s="28">
        <f t="array" ref="H35">SUM((bölgeler2=F33)*(dönemler=G33)*Tutarlar)</f>
        <v>1090</v>
      </c>
      <c r="I35" s="30">
        <f t="array" ref="I35">SUM((bölgeler2=F33)*(dönemler=G33))</f>
        <v>3</v>
      </c>
      <c r="J35" s="2" t="s">
        <v>139</v>
      </c>
      <c r="K35" s="29"/>
    </row>
    <row r="36" spans="1:14" x14ac:dyDescent="0.25">
      <c r="B36" s="2" t="s">
        <v>55</v>
      </c>
      <c r="C36" s="25">
        <v>2</v>
      </c>
      <c r="D36" s="25">
        <v>360</v>
      </c>
      <c r="H36" s="28">
        <f>SUMPRODUCT(--(bölgeler2=F33),N(dönemler=G33),Tutarlar)</f>
        <v>1090</v>
      </c>
      <c r="I36" s="30">
        <f>SUMPRODUCT(--(bölgeler2=F33),N(dönemler=G33))</f>
        <v>3</v>
      </c>
      <c r="J36" s="2" t="s">
        <v>140</v>
      </c>
      <c r="K36" s="24"/>
    </row>
    <row r="37" spans="1:14" x14ac:dyDescent="0.25">
      <c r="B37" s="2" t="s">
        <v>55</v>
      </c>
      <c r="C37" s="25">
        <v>2</v>
      </c>
      <c r="D37" s="25">
        <v>173</v>
      </c>
      <c r="H37" s="28">
        <f>SUMPRODUCT((bölgeler2=F33)*(dönemler=G33)*Tutarlar)</f>
        <v>1090</v>
      </c>
      <c r="I37" s="30">
        <f>SUMPRODUCT((bölgeler2=F33)*(dönemler=G33))</f>
        <v>3</v>
      </c>
      <c r="J37" s="2" t="s">
        <v>141</v>
      </c>
      <c r="K37" s="29"/>
    </row>
    <row r="38" spans="1:14" x14ac:dyDescent="0.25">
      <c r="B38" s="2" t="s">
        <v>55</v>
      </c>
      <c r="C38" s="25">
        <v>2</v>
      </c>
      <c r="D38" s="25">
        <v>173</v>
      </c>
      <c r="H38" s="28" t="e">
        <f>SUMPRODUCT((C:C=F33)*(D:D=G33)*E:E)</f>
        <v>#VALUE!</v>
      </c>
      <c r="I38" s="30">
        <f>SUMPRODUCT((C:C=F33)*(D:D=G33))</f>
        <v>0</v>
      </c>
      <c r="J38" s="27" t="s">
        <v>142</v>
      </c>
      <c r="K38" s="24"/>
      <c r="N38" s="27"/>
    </row>
    <row r="39" spans="1:14" x14ac:dyDescent="0.25">
      <c r="B39" s="2" t="s">
        <v>56</v>
      </c>
      <c r="C39" s="25">
        <v>1</v>
      </c>
      <c r="D39" s="25">
        <v>171</v>
      </c>
      <c r="H39" s="28">
        <f>DSUM(alanfordsum,3,F32:G33)</f>
        <v>1090</v>
      </c>
      <c r="I39" s="30">
        <f>DCOUNT(alanfordsum,3,F32:G33)</f>
        <v>3</v>
      </c>
      <c r="J39" s="2" t="s">
        <v>153</v>
      </c>
    </row>
    <row r="40" spans="1:14" x14ac:dyDescent="0.25">
      <c r="B40" s="2" t="s">
        <v>56</v>
      </c>
      <c r="C40" s="25">
        <v>1</v>
      </c>
      <c r="D40" s="25">
        <v>128</v>
      </c>
    </row>
    <row r="41" spans="1:14" x14ac:dyDescent="0.25">
      <c r="B41" s="2" t="s">
        <v>56</v>
      </c>
      <c r="C41" s="25">
        <v>1</v>
      </c>
      <c r="D41" s="25">
        <v>232</v>
      </c>
    </row>
    <row r="42" spans="1:14" x14ac:dyDescent="0.25">
      <c r="B42" s="2" t="s">
        <v>56</v>
      </c>
      <c r="C42" s="25">
        <v>2</v>
      </c>
      <c r="D42" s="25">
        <v>498</v>
      </c>
    </row>
    <row r="43" spans="1:14" x14ac:dyDescent="0.25">
      <c r="B43" s="2" t="s">
        <v>56</v>
      </c>
      <c r="C43" s="25">
        <v>2</v>
      </c>
      <c r="D43" s="25">
        <v>305</v>
      </c>
    </row>
    <row r="44" spans="1:14" x14ac:dyDescent="0.25">
      <c r="B44" s="2" t="s">
        <v>56</v>
      </c>
      <c r="C44" s="25">
        <v>2</v>
      </c>
      <c r="D44" s="25">
        <v>287</v>
      </c>
    </row>
    <row r="46" spans="1:14" s="23" customFormat="1" x14ac:dyDescent="0.25">
      <c r="A46" s="21" t="s">
        <v>161</v>
      </c>
    </row>
    <row r="47" spans="1:14" s="23" customFormat="1" x14ac:dyDescent="0.25">
      <c r="B47" s="32" t="s">
        <v>162</v>
      </c>
    </row>
    <row r="48" spans="1:14" s="23" customFormat="1" ht="6.75" customHeight="1" x14ac:dyDescent="0.25">
      <c r="B48" s="21"/>
    </row>
    <row r="49" spans="2:17" x14ac:dyDescent="0.25">
      <c r="B49" s="23" t="s">
        <v>53</v>
      </c>
      <c r="C49" s="24" t="s">
        <v>24</v>
      </c>
      <c r="D49" s="24" t="s">
        <v>112</v>
      </c>
      <c r="F49" s="23" t="s">
        <v>147</v>
      </c>
      <c r="G49" s="22" t="s">
        <v>55</v>
      </c>
      <c r="H49" s="22" t="s">
        <v>56</v>
      </c>
      <c r="I49" s="23"/>
      <c r="J49" s="23" t="s">
        <v>106</v>
      </c>
      <c r="K49" s="23" t="s">
        <v>148</v>
      </c>
      <c r="L49" s="23" t="s">
        <v>16</v>
      </c>
      <c r="M49" s="23"/>
      <c r="O49" s="23"/>
      <c r="P49" s="23"/>
      <c r="Q49" s="23"/>
    </row>
    <row r="50" spans="2:17" x14ac:dyDescent="0.25">
      <c r="B50" s="2" t="s">
        <v>55</v>
      </c>
      <c r="C50" s="25" t="s">
        <v>81</v>
      </c>
      <c r="D50" s="25">
        <v>604</v>
      </c>
      <c r="G50" s="22"/>
      <c r="H50" s="22"/>
      <c r="J50" s="28">
        <f>SUMIF(Tablo[Bölge],G49,Tablo[Satış])+SUMIF(Tablo[Bölge],H49,Tablo[Satış])</f>
        <v>6435</v>
      </c>
      <c r="K50" s="28">
        <f>COUNTIF(Tablo[Bölge],G49)+COUNTIF(Tablo[Bölge],H49)</f>
        <v>12</v>
      </c>
      <c r="L50" s="2" t="s">
        <v>154</v>
      </c>
      <c r="O50" s="23"/>
      <c r="P50" s="23"/>
      <c r="Q50" s="23"/>
    </row>
    <row r="51" spans="2:17" x14ac:dyDescent="0.25">
      <c r="B51" s="2" t="s">
        <v>55</v>
      </c>
      <c r="C51" s="25" t="s">
        <v>82</v>
      </c>
      <c r="D51" s="25">
        <v>337</v>
      </c>
      <c r="F51" s="23" t="s">
        <v>147</v>
      </c>
      <c r="G51" s="22" t="s">
        <v>55</v>
      </c>
      <c r="J51" s="28">
        <f>SUM(SUMIF(Tablo[Bölge],{"Bölge1";"Bölge2"},Tablo[Satış]))</f>
        <v>6435</v>
      </c>
      <c r="K51" s="28">
        <f>SUM(COUNTIF(Tablo[Bölge],{"Bölge1";"Bölge2"}))</f>
        <v>12</v>
      </c>
      <c r="L51" s="2" t="s">
        <v>155</v>
      </c>
      <c r="O51" s="23"/>
      <c r="P51" s="23"/>
      <c r="Q51" s="23"/>
    </row>
    <row r="52" spans="2:17" x14ac:dyDescent="0.25">
      <c r="B52" s="2" t="s">
        <v>55</v>
      </c>
      <c r="C52" s="25" t="s">
        <v>83</v>
      </c>
      <c r="D52" s="25">
        <v>481</v>
      </c>
      <c r="G52" s="22" t="s">
        <v>56</v>
      </c>
      <c r="J52" s="28">
        <f t="array" ref="J52">SUM(SUMIF(Tablo[Bölge],G49:H49,Tablo[Satış]))</f>
        <v>6435</v>
      </c>
      <c r="K52" s="28">
        <f t="array" ref="K52">SUM(COUNTIF(Tablo[Bölge],G49:H49))</f>
        <v>12</v>
      </c>
      <c r="L52" s="2" t="s">
        <v>156</v>
      </c>
      <c r="O52" s="23"/>
      <c r="P52" s="23"/>
      <c r="Q52" s="23"/>
    </row>
    <row r="53" spans="2:17" x14ac:dyDescent="0.25">
      <c r="B53" s="2" t="s">
        <v>55</v>
      </c>
      <c r="C53" s="25" t="s">
        <v>84</v>
      </c>
      <c r="D53" s="25">
        <v>123</v>
      </c>
      <c r="J53" s="28">
        <f t="array" ref="J53">SUM(SUMIF(Tablo[Bölge],G51:G52,Tablo[Satış]))</f>
        <v>6435</v>
      </c>
      <c r="K53" s="28">
        <f t="array" ref="K53">SUM(COUNTIF(Tablo[Bölge],G51:G52))</f>
        <v>12</v>
      </c>
      <c r="L53" s="2" t="s">
        <v>157</v>
      </c>
      <c r="O53" s="23"/>
      <c r="P53" s="23"/>
      <c r="Q53" s="23"/>
    </row>
    <row r="54" spans="2:17" x14ac:dyDescent="0.25">
      <c r="B54" s="2" t="s">
        <v>55</v>
      </c>
      <c r="C54" s="25" t="s">
        <v>85</v>
      </c>
      <c r="D54" s="25">
        <v>361</v>
      </c>
      <c r="F54" s="23" t="s">
        <v>53</v>
      </c>
      <c r="G54" s="22"/>
      <c r="J54" s="28">
        <f>SUMPRODUCT(((Tablo[Bölge]=G49)+(Tablo[Bölge]=H49))*Tablo[Satış])</f>
        <v>6435</v>
      </c>
      <c r="K54" s="28">
        <f>SUMPRODUCT(((Tablo[Bölge]=G49)+(Tablo[Bölge]=H49)))</f>
        <v>12</v>
      </c>
      <c r="L54" s="2" t="s">
        <v>152</v>
      </c>
      <c r="O54" s="23"/>
      <c r="P54" s="23"/>
      <c r="Q54" s="23"/>
    </row>
    <row r="55" spans="2:17" x14ac:dyDescent="0.25">
      <c r="B55" s="2" t="s">
        <v>55</v>
      </c>
      <c r="C55" s="25" t="s">
        <v>86</v>
      </c>
      <c r="D55" s="25">
        <v>989</v>
      </c>
      <c r="F55" s="22" t="s">
        <v>55</v>
      </c>
      <c r="G55" s="22"/>
      <c r="J55" s="28">
        <f>SUMPRODUCT((Tablo[Bölge]=G49:H49)*(Tablo[Satış]))</f>
        <v>6435</v>
      </c>
      <c r="K55" s="28">
        <f>SUMPRODUCT((Tablo[Bölge]=G49:H49)*1)</f>
        <v>12</v>
      </c>
      <c r="L55" s="2" t="s">
        <v>149</v>
      </c>
      <c r="O55" s="23"/>
      <c r="P55" s="23"/>
      <c r="Q55" s="23"/>
    </row>
    <row r="56" spans="2:17" x14ac:dyDescent="0.25">
      <c r="B56" s="2" t="s">
        <v>56</v>
      </c>
      <c r="C56" s="25" t="s">
        <v>87</v>
      </c>
      <c r="D56" s="25">
        <v>715</v>
      </c>
      <c r="F56" s="22" t="s">
        <v>56</v>
      </c>
      <c r="J56" s="28">
        <f t="array" ref="J56">SUMPRODUCT((Tablo[Bölge]=TRANSPOSE(G51:G52))*(Tablo[Satış]))</f>
        <v>6435</v>
      </c>
      <c r="K56" s="28">
        <f t="array" ref="K56">SUMPRODUCT((Tablo[Bölge]=TRANSPOSE(G51:G52))*1)</f>
        <v>12</v>
      </c>
      <c r="L56" s="2" t="s">
        <v>197</v>
      </c>
      <c r="O56" s="23"/>
      <c r="P56" s="23"/>
      <c r="Q56" s="23"/>
    </row>
    <row r="57" spans="2:17" x14ac:dyDescent="0.25">
      <c r="B57" s="2" t="s">
        <v>56</v>
      </c>
      <c r="C57" s="25" t="s">
        <v>88</v>
      </c>
      <c r="D57" s="25">
        <v>643</v>
      </c>
      <c r="J57" s="28">
        <f>SUMPRODUCT(--ISNUMBER(MATCH(Tablo[Bölge],{"Bölge1";"Bölge2"},0))*(Tablo[Satış]))</f>
        <v>6435</v>
      </c>
      <c r="K57" s="28">
        <f>SUMPRODUCT(--ISNUMBER(MATCH(Tablo[Bölge],{"Bölge1";"Bölge2"},0)))</f>
        <v>12</v>
      </c>
      <c r="L57" s="2" t="s">
        <v>150</v>
      </c>
      <c r="O57" s="23"/>
      <c r="P57" s="23"/>
      <c r="Q57" s="23"/>
    </row>
    <row r="58" spans="2:17" x14ac:dyDescent="0.25">
      <c r="B58" s="2" t="s">
        <v>56</v>
      </c>
      <c r="C58" s="25" t="s">
        <v>89</v>
      </c>
      <c r="D58" s="25">
        <v>595</v>
      </c>
      <c r="J58" s="28">
        <f>DSUM(Tablo[#All],3,F54:F56)</f>
        <v>6435</v>
      </c>
      <c r="K58" s="28">
        <f>DCOUNT(Tablo[#All],3,F54:F56)</f>
        <v>12</v>
      </c>
      <c r="L58" s="2" t="s">
        <v>158</v>
      </c>
      <c r="O58" s="23"/>
      <c r="P58" s="23"/>
      <c r="Q58" s="23"/>
    </row>
    <row r="59" spans="2:17" x14ac:dyDescent="0.25">
      <c r="B59" s="2" t="s">
        <v>56</v>
      </c>
      <c r="C59" s="25" t="s">
        <v>90</v>
      </c>
      <c r="D59" s="25">
        <v>969</v>
      </c>
      <c r="O59" s="23"/>
      <c r="P59" s="23"/>
      <c r="Q59" s="23"/>
    </row>
    <row r="60" spans="2:17" x14ac:dyDescent="0.25">
      <c r="B60" s="2" t="s">
        <v>56</v>
      </c>
      <c r="C60" s="25" t="s">
        <v>91</v>
      </c>
      <c r="D60" s="25">
        <v>431</v>
      </c>
      <c r="J60" s="2" t="s">
        <v>159</v>
      </c>
      <c r="O60" s="23"/>
      <c r="P60" s="23"/>
      <c r="Q60" s="23"/>
    </row>
    <row r="61" spans="2:17" x14ac:dyDescent="0.25">
      <c r="B61" s="2" t="s">
        <v>56</v>
      </c>
      <c r="C61" s="25" t="s">
        <v>92</v>
      </c>
      <c r="D61" s="25">
        <v>187</v>
      </c>
      <c r="J61" s="2" t="s">
        <v>160</v>
      </c>
    </row>
    <row r="62" spans="2:17" x14ac:dyDescent="0.25">
      <c r="B62" s="2" t="s">
        <v>94</v>
      </c>
      <c r="C62" s="25" t="s">
        <v>95</v>
      </c>
      <c r="D62" s="25">
        <v>358</v>
      </c>
    </row>
    <row r="63" spans="2:17" x14ac:dyDescent="0.25">
      <c r="B63" s="2" t="s">
        <v>94</v>
      </c>
      <c r="C63" s="25" t="s">
        <v>96</v>
      </c>
      <c r="D63" s="25">
        <v>457</v>
      </c>
    </row>
    <row r="66" spans="2:12" ht="15.75" thickBot="1" x14ac:dyDescent="0.3">
      <c r="B66" s="23" t="s">
        <v>53</v>
      </c>
      <c r="C66" s="24" t="s">
        <v>100</v>
      </c>
      <c r="D66" s="24" t="s">
        <v>112</v>
      </c>
      <c r="F66" s="23" t="s">
        <v>53</v>
      </c>
      <c r="G66" s="23" t="s">
        <v>100</v>
      </c>
      <c r="H66" s="23" t="s">
        <v>100</v>
      </c>
      <c r="J66" s="23" t="s">
        <v>106</v>
      </c>
      <c r="K66" s="23" t="s">
        <v>148</v>
      </c>
      <c r="L66" s="23" t="s">
        <v>16</v>
      </c>
    </row>
    <row r="67" spans="2:12" ht="15.75" thickTop="1" x14ac:dyDescent="0.25">
      <c r="B67" s="36" t="s">
        <v>55</v>
      </c>
      <c r="C67" s="37">
        <v>2010</v>
      </c>
      <c r="D67" s="25">
        <v>604</v>
      </c>
      <c r="F67" s="22" t="s">
        <v>55</v>
      </c>
      <c r="G67" s="22" t="s">
        <v>184</v>
      </c>
      <c r="H67" s="7">
        <v>2010</v>
      </c>
      <c r="J67" s="28">
        <f t="array" ref="J67">SUMPRODUCT((Tablo9[Bölge]=TRANSPOSE(F67:F68))*(Tablo9[Yıl]&lt;2012)*(Tablo9[Satış]))</f>
        <v>2299</v>
      </c>
      <c r="K67" s="28">
        <f t="array" ref="K67">SUMPRODUCT((Tablo9[Bölge]=TRANSPOSE(F67:F68))*(Tablo9[Yıl]&lt;2012))</f>
        <v>4</v>
      </c>
      <c r="L67" s="2" t="s">
        <v>195</v>
      </c>
    </row>
    <row r="68" spans="2:12" x14ac:dyDescent="0.25">
      <c r="B68" s="38" t="s">
        <v>55</v>
      </c>
      <c r="C68" s="18">
        <v>2011</v>
      </c>
      <c r="D68" s="25">
        <v>337</v>
      </c>
      <c r="F68" s="22" t="s">
        <v>56</v>
      </c>
      <c r="G68" s="22" t="s">
        <v>184</v>
      </c>
      <c r="H68" s="7">
        <v>2010</v>
      </c>
      <c r="J68" s="56">
        <f t="array" ref="J68">SUMPRODUCT((Tablo9[Bölge]=TRANSPOSE(F67:F70))*(Tablo9[Yıl]=TRANSPOSE(H67:H70))*(Tablo9[Satış]))</f>
        <v>2299</v>
      </c>
      <c r="K68" s="28">
        <f t="array" ref="K68">SUMPRODUCT((Tablo9[Bölge]=TRANSPOSE(F67:F70))*(Tablo9[Yıl]=TRANSPOSE(H67:H70)))</f>
        <v>4</v>
      </c>
      <c r="L68" s="2" t="s">
        <v>196</v>
      </c>
    </row>
    <row r="69" spans="2:12" x14ac:dyDescent="0.25">
      <c r="B69" s="39" t="s">
        <v>55</v>
      </c>
      <c r="C69" s="40">
        <v>2012</v>
      </c>
      <c r="D69" s="25">
        <v>481</v>
      </c>
      <c r="F69" s="22" t="s">
        <v>55</v>
      </c>
      <c r="H69" s="7">
        <v>2011</v>
      </c>
      <c r="J69" s="28">
        <f>DSUM(Tablo9[#All],3,F66:G68)</f>
        <v>2299</v>
      </c>
      <c r="K69" s="28">
        <f>DCOUNT(Tablo9[#All],3,F66:G68)</f>
        <v>4</v>
      </c>
      <c r="L69" s="2" t="s">
        <v>185</v>
      </c>
    </row>
    <row r="70" spans="2:12" x14ac:dyDescent="0.25">
      <c r="B70" s="38" t="s">
        <v>55</v>
      </c>
      <c r="C70" s="18">
        <v>2013</v>
      </c>
      <c r="D70" s="25">
        <v>123</v>
      </c>
      <c r="F70" s="22" t="s">
        <v>56</v>
      </c>
      <c r="H70" s="7">
        <v>2011</v>
      </c>
      <c r="J70" s="56">
        <f t="array" ref="J70">SUM(SUMIFS(Tablo9[Satış],Tablo9[Bölge],F67:F68,Tablo9[Yıl],G67:G68))</f>
        <v>2299</v>
      </c>
      <c r="K70" s="28">
        <f t="array" ref="K70">SUM(COUNTIFS(Tablo9[Bölge],TRANSPOSE(F67:F68),Tablo9[Yıl],TRANSPOSE(G67:G68)))</f>
        <v>4</v>
      </c>
      <c r="L70" s="2" t="s">
        <v>207</v>
      </c>
    </row>
    <row r="71" spans="2:12" x14ac:dyDescent="0.25">
      <c r="B71" s="39" t="s">
        <v>55</v>
      </c>
      <c r="C71" s="40">
        <v>2014</v>
      </c>
      <c r="D71" s="25">
        <v>361</v>
      </c>
      <c r="J71" s="28">
        <f>SUM(SUMIFS(Tablo9[Satış],Tablo9[Bölge],{"Bölge1";"Bölge2"},Tablo9[Yıl],"&lt;2012"))</f>
        <v>2299</v>
      </c>
      <c r="K71" s="28">
        <f>SUM(COUNTIFS(Tablo9[Bölge],{"Bölge1";"Bölge2"},Tablo9[Yıl],"&lt;2012"))</f>
        <v>4</v>
      </c>
      <c r="L71" s="2" t="s">
        <v>189</v>
      </c>
    </row>
    <row r="72" spans="2:12" x14ac:dyDescent="0.25">
      <c r="B72" s="38" t="s">
        <v>55</v>
      </c>
      <c r="C72" s="18">
        <v>2015</v>
      </c>
      <c r="D72" s="25">
        <v>989</v>
      </c>
      <c r="J72" s="57" t="s">
        <v>198</v>
      </c>
      <c r="K72" s="57"/>
    </row>
    <row r="73" spans="2:12" x14ac:dyDescent="0.25">
      <c r="B73" s="39" t="s">
        <v>56</v>
      </c>
      <c r="C73" s="40">
        <v>2010</v>
      </c>
      <c r="D73" s="25">
        <v>715</v>
      </c>
      <c r="J73" s="57"/>
      <c r="K73" s="57" t="s">
        <v>186</v>
      </c>
    </row>
    <row r="74" spans="2:12" x14ac:dyDescent="0.25">
      <c r="B74" s="38" t="s">
        <v>56</v>
      </c>
      <c r="C74" s="18">
        <v>2011</v>
      </c>
      <c r="D74" s="25">
        <v>643</v>
      </c>
      <c r="J74" s="57"/>
      <c r="K74" s="57" t="s">
        <v>187</v>
      </c>
    </row>
    <row r="75" spans="2:12" x14ac:dyDescent="0.25">
      <c r="B75" s="39" t="s">
        <v>56</v>
      </c>
      <c r="C75" s="40">
        <v>2012</v>
      </c>
      <c r="D75" s="25">
        <v>595</v>
      </c>
    </row>
    <row r="76" spans="2:12" x14ac:dyDescent="0.25">
      <c r="B76" s="38" t="s">
        <v>56</v>
      </c>
      <c r="C76" s="18">
        <v>2013</v>
      </c>
      <c r="D76" s="25">
        <v>969</v>
      </c>
    </row>
    <row r="77" spans="2:12" x14ac:dyDescent="0.25">
      <c r="B77" s="39" t="s">
        <v>56</v>
      </c>
      <c r="C77" s="40">
        <v>2014</v>
      </c>
      <c r="D77" s="25">
        <v>431</v>
      </c>
    </row>
    <row r="78" spans="2:12" x14ac:dyDescent="0.25">
      <c r="B78" s="38" t="s">
        <v>56</v>
      </c>
      <c r="C78" s="18">
        <v>2015</v>
      </c>
      <c r="D78" s="25">
        <v>187</v>
      </c>
    </row>
    <row r="79" spans="2:12" x14ac:dyDescent="0.25">
      <c r="B79" s="39" t="s">
        <v>94</v>
      </c>
      <c r="C79" s="40">
        <v>2010</v>
      </c>
      <c r="D79" s="25">
        <v>358</v>
      </c>
    </row>
    <row r="80" spans="2:12" x14ac:dyDescent="0.25">
      <c r="B80" s="38" t="s">
        <v>94</v>
      </c>
      <c r="C80" s="18">
        <v>2011</v>
      </c>
      <c r="D80" s="25">
        <v>457</v>
      </c>
    </row>
    <row r="81" spans="2:4" x14ac:dyDescent="0.25">
      <c r="B81" s="39" t="s">
        <v>94</v>
      </c>
      <c r="C81" s="40">
        <v>2012</v>
      </c>
      <c r="D81" s="25">
        <v>385</v>
      </c>
    </row>
    <row r="82" spans="2:4" x14ac:dyDescent="0.25">
      <c r="B82" s="38" t="s">
        <v>94</v>
      </c>
      <c r="C82" s="18">
        <v>2013</v>
      </c>
      <c r="D82" s="25">
        <v>478</v>
      </c>
    </row>
    <row r="83" spans="2:4" x14ac:dyDescent="0.25">
      <c r="B83" s="39" t="s">
        <v>94</v>
      </c>
      <c r="C83" s="40">
        <v>2014</v>
      </c>
      <c r="D83" s="25">
        <v>958</v>
      </c>
    </row>
    <row r="84" spans="2:4" x14ac:dyDescent="0.25">
      <c r="B84" s="38" t="s">
        <v>94</v>
      </c>
      <c r="C84" s="18">
        <v>2015</v>
      </c>
      <c r="D84" s="25">
        <v>654</v>
      </c>
    </row>
  </sheetData>
  <sortState ref="B17:D28">
    <sortCondition ref="C17:C28"/>
  </sortState>
  <dataValidations disablePrompts="1" count="3">
    <dataValidation type="list" allowBlank="1" showInputMessage="1" showErrorMessage="1" sqref="E7 G17 F33" xr:uid="{D512F1DF-ADE5-4A8F-BB64-E538877E8AE0}">
      <formula1>"Bölge1,Bölge2"</formula1>
    </dataValidation>
    <dataValidation type="list" allowBlank="1" showInputMessage="1" showErrorMessage="1" sqref="H17" xr:uid="{62C09E68-31F5-4280-89FE-870BB7270EAD}">
      <formula1>"1,2,3,4,5,6"</formula1>
    </dataValidation>
    <dataValidation type="list" allowBlank="1" showInputMessage="1" showErrorMessage="1" sqref="G33" xr:uid="{413328FF-4421-4DC5-B967-6E95B9202C85}">
      <formula1>"1,2"</formula1>
    </dataValidation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D396-9EFD-42C4-8AD0-869AF3D67C2F}">
  <sheetPr codeName="Sheet10"/>
  <dimension ref="A1:U94"/>
  <sheetViews>
    <sheetView showGridLines="0" workbookViewId="0"/>
  </sheetViews>
  <sheetFormatPr defaultRowHeight="15" x14ac:dyDescent="0.25"/>
  <cols>
    <col min="1" max="1" width="3.85546875" customWidth="1"/>
    <col min="12" max="12" width="11.7109375" style="2" customWidth="1"/>
  </cols>
  <sheetData>
    <row r="1" spans="1:13" s="2" customFormat="1" x14ac:dyDescent="0.25">
      <c r="A1" s="53" t="s">
        <v>181</v>
      </c>
    </row>
    <row r="2" spans="1:13" s="2" customFormat="1" ht="15.75" x14ac:dyDescent="0.25">
      <c r="A2" s="53"/>
      <c r="K2" s="54"/>
    </row>
    <row r="3" spans="1:13" ht="15.75" x14ac:dyDescent="0.25">
      <c r="A3" s="21" t="s">
        <v>179</v>
      </c>
      <c r="K3" s="54"/>
    </row>
    <row r="4" spans="1:13" x14ac:dyDescent="0.25">
      <c r="B4" t="s">
        <v>163</v>
      </c>
    </row>
    <row r="5" spans="1:13" x14ac:dyDescent="0.25">
      <c r="B5" s="33"/>
    </row>
    <row r="6" spans="1:13" x14ac:dyDescent="0.25">
      <c r="B6" s="43" t="s">
        <v>53</v>
      </c>
      <c r="C6" s="44" t="s">
        <v>24</v>
      </c>
      <c r="D6" s="44" t="s">
        <v>79</v>
      </c>
      <c r="E6" s="44" t="s">
        <v>80</v>
      </c>
      <c r="F6" s="44" t="s">
        <v>97</v>
      </c>
      <c r="G6" s="44" t="s">
        <v>98</v>
      </c>
      <c r="H6" s="45" t="s">
        <v>106</v>
      </c>
      <c r="J6" s="33" t="s">
        <v>165</v>
      </c>
    </row>
    <row r="7" spans="1:13" x14ac:dyDescent="0.25">
      <c r="B7" s="46" t="s">
        <v>55</v>
      </c>
      <c r="C7" s="47" t="s">
        <v>81</v>
      </c>
      <c r="D7" s="47">
        <v>604</v>
      </c>
      <c r="E7" s="47">
        <v>559</v>
      </c>
      <c r="F7" s="47">
        <v>483</v>
      </c>
      <c r="G7" s="47">
        <v>310</v>
      </c>
      <c r="H7" s="47">
        <f>SUM(D7:G7)</f>
        <v>1956</v>
      </c>
      <c r="J7" s="1" t="s">
        <v>24</v>
      </c>
      <c r="K7" s="1" t="s">
        <v>101</v>
      </c>
      <c r="L7" s="23" t="s">
        <v>7</v>
      </c>
      <c r="M7" s="50" t="s">
        <v>16</v>
      </c>
    </row>
    <row r="8" spans="1:13" x14ac:dyDescent="0.25">
      <c r="B8" s="48" t="s">
        <v>55</v>
      </c>
      <c r="C8" s="49" t="s">
        <v>82</v>
      </c>
      <c r="D8" s="49">
        <v>337</v>
      </c>
      <c r="E8" s="49">
        <v>746</v>
      </c>
      <c r="F8" s="49">
        <v>532</v>
      </c>
      <c r="G8" s="49">
        <v>137</v>
      </c>
      <c r="H8" s="49">
        <f t="shared" ref="H8:H24" si="0">SUM(D8:G8)</f>
        <v>1752</v>
      </c>
      <c r="J8" s="7" t="s">
        <v>82</v>
      </c>
      <c r="K8" s="7" t="s">
        <v>97</v>
      </c>
      <c r="L8" s="28">
        <f>SUMPRODUCT((Mağazalar=J8)*(Ürünler3=K8)*Tutarlar3)</f>
        <v>532</v>
      </c>
      <c r="M8" t="s">
        <v>164</v>
      </c>
    </row>
    <row r="9" spans="1:13" x14ac:dyDescent="0.25">
      <c r="B9" s="46" t="s">
        <v>55</v>
      </c>
      <c r="C9" s="47" t="s">
        <v>83</v>
      </c>
      <c r="D9" s="47">
        <v>481</v>
      </c>
      <c r="E9" s="47">
        <v>202</v>
      </c>
      <c r="F9" s="47">
        <v>152</v>
      </c>
      <c r="G9" s="47">
        <v>668</v>
      </c>
      <c r="H9" s="47">
        <f t="shared" si="0"/>
        <v>1503</v>
      </c>
      <c r="L9" s="28">
        <f ca="1">SUMIF(Mağazalar,J8,OFFSET(Mağazalar,0,MATCH(K8,Ürünler3,0)))</f>
        <v>532</v>
      </c>
      <c r="M9" t="s">
        <v>167</v>
      </c>
    </row>
    <row r="10" spans="1:13" x14ac:dyDescent="0.25">
      <c r="B10" s="48" t="s">
        <v>55</v>
      </c>
      <c r="C10" s="49" t="s">
        <v>84</v>
      </c>
      <c r="D10" s="49">
        <v>123</v>
      </c>
      <c r="E10" s="49">
        <v>578</v>
      </c>
      <c r="F10" s="49">
        <v>545</v>
      </c>
      <c r="G10" s="49">
        <v>179</v>
      </c>
      <c r="H10" s="49">
        <f t="shared" si="0"/>
        <v>1425</v>
      </c>
      <c r="J10" s="33" t="s">
        <v>166</v>
      </c>
    </row>
    <row r="11" spans="1:13" x14ac:dyDescent="0.25">
      <c r="B11" s="46" t="s">
        <v>55</v>
      </c>
      <c r="C11" s="47" t="s">
        <v>85</v>
      </c>
      <c r="D11" s="47">
        <v>361</v>
      </c>
      <c r="E11" s="47">
        <v>355</v>
      </c>
      <c r="F11" s="47">
        <v>791</v>
      </c>
      <c r="G11" s="47">
        <v>514</v>
      </c>
      <c r="H11" s="47">
        <f t="shared" si="0"/>
        <v>2021</v>
      </c>
      <c r="J11" s="1" t="s">
        <v>53</v>
      </c>
      <c r="K11" s="1" t="s">
        <v>101</v>
      </c>
      <c r="L11" s="23" t="s">
        <v>7</v>
      </c>
      <c r="M11" s="50" t="s">
        <v>16</v>
      </c>
    </row>
    <row r="12" spans="1:13" x14ac:dyDescent="0.25">
      <c r="B12" s="48" t="s">
        <v>55</v>
      </c>
      <c r="C12" s="49" t="s">
        <v>86</v>
      </c>
      <c r="D12" s="49">
        <v>989</v>
      </c>
      <c r="E12" s="49">
        <v>199</v>
      </c>
      <c r="F12" s="49">
        <v>740</v>
      </c>
      <c r="G12" s="49">
        <v>560</v>
      </c>
      <c r="H12" s="49">
        <f t="shared" si="0"/>
        <v>2488</v>
      </c>
      <c r="J12" s="7" t="s">
        <v>56</v>
      </c>
      <c r="K12" s="7" t="s">
        <v>97</v>
      </c>
      <c r="L12" s="28">
        <f>SUMPRODUCT((bölgeler3=J12)*(Ürünler3=K12)*Tutarlar3)</f>
        <v>2606</v>
      </c>
      <c r="M12" t="s">
        <v>164</v>
      </c>
    </row>
    <row r="13" spans="1:13" x14ac:dyDescent="0.25">
      <c r="B13" s="46" t="s">
        <v>56</v>
      </c>
      <c r="C13" s="47" t="s">
        <v>87</v>
      </c>
      <c r="D13" s="47">
        <v>715</v>
      </c>
      <c r="E13" s="47">
        <v>329</v>
      </c>
      <c r="F13" s="47">
        <v>407</v>
      </c>
      <c r="G13" s="47">
        <v>522</v>
      </c>
      <c r="H13" s="47">
        <f t="shared" si="0"/>
        <v>1973</v>
      </c>
      <c r="L13" s="28">
        <f ca="1">SUMIF(bölgeler3,J12,OFFSET(Mağazalar,0,MATCH(K12,Ürünler3,0)))</f>
        <v>2606</v>
      </c>
      <c r="M13" t="s">
        <v>167</v>
      </c>
    </row>
    <row r="14" spans="1:13" x14ac:dyDescent="0.25">
      <c r="B14" s="48" t="s">
        <v>56</v>
      </c>
      <c r="C14" s="49" t="s">
        <v>88</v>
      </c>
      <c r="D14" s="49">
        <v>643</v>
      </c>
      <c r="E14" s="49">
        <v>181</v>
      </c>
      <c r="F14" s="49">
        <v>133</v>
      </c>
      <c r="G14" s="49">
        <v>101</v>
      </c>
      <c r="H14" s="49">
        <f t="shared" si="0"/>
        <v>1058</v>
      </c>
      <c r="L14" s="28">
        <f>DSUM(B6:G24,MATCH(K12,B6:G6,0),J11:J12)</f>
        <v>2606</v>
      </c>
      <c r="M14" t="s">
        <v>168</v>
      </c>
    </row>
    <row r="15" spans="1:13" x14ac:dyDescent="0.25">
      <c r="B15" s="46" t="s">
        <v>56</v>
      </c>
      <c r="C15" s="47" t="s">
        <v>89</v>
      </c>
      <c r="D15" s="47">
        <v>595</v>
      </c>
      <c r="E15" s="47">
        <v>369</v>
      </c>
      <c r="F15" s="47">
        <v>567</v>
      </c>
      <c r="G15" s="47">
        <v>318</v>
      </c>
      <c r="H15" s="47">
        <f t="shared" si="0"/>
        <v>1849</v>
      </c>
      <c r="J15" s="33" t="s">
        <v>175</v>
      </c>
    </row>
    <row r="16" spans="1:13" x14ac:dyDescent="0.25">
      <c r="B16" s="48" t="s">
        <v>56</v>
      </c>
      <c r="C16" s="49" t="s">
        <v>90</v>
      </c>
      <c r="D16" s="49">
        <v>969</v>
      </c>
      <c r="E16" s="49">
        <v>295</v>
      </c>
      <c r="F16" s="49">
        <v>554</v>
      </c>
      <c r="G16" s="49">
        <v>684</v>
      </c>
      <c r="H16" s="49">
        <f t="shared" si="0"/>
        <v>2502</v>
      </c>
      <c r="J16" s="1" t="s">
        <v>53</v>
      </c>
      <c r="K16" s="1" t="s">
        <v>101</v>
      </c>
      <c r="L16" s="23" t="s">
        <v>7</v>
      </c>
      <c r="M16" s="1" t="s">
        <v>16</v>
      </c>
    </row>
    <row r="17" spans="1:17" x14ac:dyDescent="0.25">
      <c r="B17" s="46" t="s">
        <v>56</v>
      </c>
      <c r="C17" s="47" t="s">
        <v>91</v>
      </c>
      <c r="D17" s="47">
        <v>431</v>
      </c>
      <c r="E17" s="47">
        <v>451</v>
      </c>
      <c r="F17" s="47">
        <v>209</v>
      </c>
      <c r="G17" s="47">
        <v>760</v>
      </c>
      <c r="H17" s="47">
        <f t="shared" si="0"/>
        <v>1851</v>
      </c>
      <c r="J17" s="7" t="s">
        <v>56</v>
      </c>
      <c r="K17" s="7" t="s">
        <v>80</v>
      </c>
      <c r="L17" s="28">
        <f>SUMPRODUCT((bölgeler3=J17)*((Ürünler3=K17)+(Ürünler3=K18))*Tutarlar3)</f>
        <v>4972</v>
      </c>
      <c r="M17" t="s">
        <v>199</v>
      </c>
    </row>
    <row r="18" spans="1:17" x14ac:dyDescent="0.25">
      <c r="B18" s="48" t="s">
        <v>56</v>
      </c>
      <c r="C18" s="49" t="s">
        <v>92</v>
      </c>
      <c r="D18" s="49">
        <v>187</v>
      </c>
      <c r="E18" s="49">
        <v>489</v>
      </c>
      <c r="F18" s="49">
        <v>736</v>
      </c>
      <c r="G18" s="49">
        <v>473</v>
      </c>
      <c r="H18" s="49">
        <f t="shared" si="0"/>
        <v>1885</v>
      </c>
      <c r="K18" s="7" t="s">
        <v>98</v>
      </c>
      <c r="L18" s="28">
        <f t="array" ref="L18">SUMPRODUCT((bölgeler3=J17)*(Ürünler3=TRANSPOSE(K16:K19))*(Tutarlar3))</f>
        <v>4972</v>
      </c>
      <c r="M18" t="s">
        <v>174</v>
      </c>
    </row>
    <row r="19" spans="1:17" x14ac:dyDescent="0.25">
      <c r="B19" s="46" t="s">
        <v>94</v>
      </c>
      <c r="C19" s="47" t="s">
        <v>95</v>
      </c>
      <c r="D19" s="47">
        <v>358</v>
      </c>
      <c r="E19" s="47">
        <v>185</v>
      </c>
      <c r="F19" s="47">
        <v>123</v>
      </c>
      <c r="G19" s="47">
        <v>757</v>
      </c>
      <c r="H19" s="47">
        <f t="shared" si="0"/>
        <v>1423</v>
      </c>
      <c r="K19" s="7" t="s">
        <v>98</v>
      </c>
      <c r="L19" s="28">
        <f>SUMPRODUCT(--ISNUMBER(MATCH(Ürünler3,{"Ürün2";"Ürün4"},0))*(bölgeler3=J17)*(Tutarlar3))</f>
        <v>4972</v>
      </c>
      <c r="M19" t="s">
        <v>200</v>
      </c>
    </row>
    <row r="20" spans="1:17" x14ac:dyDescent="0.25">
      <c r="B20" s="41" t="s">
        <v>94</v>
      </c>
      <c r="C20" s="42" t="s">
        <v>96</v>
      </c>
      <c r="D20" s="42">
        <v>457</v>
      </c>
      <c r="E20" s="42">
        <v>189</v>
      </c>
      <c r="F20" s="42">
        <v>225</v>
      </c>
      <c r="G20" s="42">
        <v>587</v>
      </c>
      <c r="H20" s="42">
        <f t="shared" si="0"/>
        <v>1458</v>
      </c>
      <c r="J20" s="33" t="s">
        <v>201</v>
      </c>
    </row>
    <row r="21" spans="1:17" x14ac:dyDescent="0.25">
      <c r="B21" s="46" t="s">
        <v>94</v>
      </c>
      <c r="C21" s="47" t="s">
        <v>169</v>
      </c>
      <c r="D21" s="47">
        <v>556</v>
      </c>
      <c r="E21" s="47">
        <v>193</v>
      </c>
      <c r="F21" s="47">
        <v>327</v>
      </c>
      <c r="G21" s="47">
        <v>417</v>
      </c>
      <c r="H21" s="47">
        <f t="shared" si="0"/>
        <v>1493</v>
      </c>
      <c r="J21" s="1" t="s">
        <v>53</v>
      </c>
      <c r="K21" s="1" t="s">
        <v>101</v>
      </c>
      <c r="L21" s="23" t="s">
        <v>7</v>
      </c>
      <c r="M21" s="1" t="s">
        <v>16</v>
      </c>
    </row>
    <row r="22" spans="1:17" x14ac:dyDescent="0.25">
      <c r="B22" s="41" t="s">
        <v>94</v>
      </c>
      <c r="C22" s="42" t="s">
        <v>170</v>
      </c>
      <c r="D22" s="42">
        <v>655</v>
      </c>
      <c r="E22" s="42">
        <v>197</v>
      </c>
      <c r="F22" s="42">
        <v>429</v>
      </c>
      <c r="G22" s="42">
        <v>247</v>
      </c>
      <c r="H22" s="42">
        <f t="shared" si="0"/>
        <v>1528</v>
      </c>
      <c r="J22" s="7" t="s">
        <v>56</v>
      </c>
      <c r="K22" s="7" t="s">
        <v>80</v>
      </c>
      <c r="L22" s="28">
        <f>SUMPRODUCT((bölgeler3=J22)*((Ürünler3=K22)+(Ürünler3=K23))*Tutarlar3)</f>
        <v>4720</v>
      </c>
      <c r="M22" t="s">
        <v>199</v>
      </c>
    </row>
    <row r="23" spans="1:17" x14ac:dyDescent="0.25">
      <c r="B23" s="46" t="s">
        <v>94</v>
      </c>
      <c r="C23" s="47" t="s">
        <v>171</v>
      </c>
      <c r="D23" s="47">
        <v>754</v>
      </c>
      <c r="E23" s="47">
        <v>201</v>
      </c>
      <c r="F23" s="47">
        <v>531</v>
      </c>
      <c r="G23" s="47">
        <v>77</v>
      </c>
      <c r="H23" s="47">
        <f t="shared" si="0"/>
        <v>1563</v>
      </c>
      <c r="K23" s="7" t="s">
        <v>97</v>
      </c>
      <c r="L23" s="28">
        <f t="array" ref="L23">SUMPRODUCT((bölgeler3=J22)*(Ürünler3=TRANSPOSE(K21:K24))*(Tutarlar3))</f>
        <v>4720</v>
      </c>
      <c r="M23" t="s">
        <v>174</v>
      </c>
    </row>
    <row r="24" spans="1:17" x14ac:dyDescent="0.25">
      <c r="B24" s="41" t="s">
        <v>94</v>
      </c>
      <c r="C24" s="42" t="s">
        <v>172</v>
      </c>
      <c r="D24" s="42">
        <v>853</v>
      </c>
      <c r="E24" s="42">
        <v>205</v>
      </c>
      <c r="F24" s="42">
        <v>633</v>
      </c>
      <c r="G24" s="42">
        <v>98</v>
      </c>
      <c r="H24" s="42">
        <f t="shared" si="0"/>
        <v>1789</v>
      </c>
      <c r="L24" s="28">
        <f>SUMPRODUCT(--ISNUMBER(MATCH(Ürünler3,{"Ürün2";"Ürün3"},0))*(bölgeler3=J22)*(Tutarlar3))</f>
        <v>4720</v>
      </c>
      <c r="M24" t="s">
        <v>200</v>
      </c>
    </row>
    <row r="25" spans="1:17" x14ac:dyDescent="0.25">
      <c r="B25" s="51"/>
      <c r="C25" s="52"/>
      <c r="D25" s="52"/>
      <c r="E25" s="52"/>
      <c r="F25" s="52"/>
      <c r="G25" s="52"/>
      <c r="H25" s="52"/>
      <c r="J25" s="33" t="s">
        <v>176</v>
      </c>
    </row>
    <row r="26" spans="1:17" x14ac:dyDescent="0.25">
      <c r="B26" s="51"/>
      <c r="C26" s="52"/>
      <c r="D26" s="52"/>
      <c r="E26" s="52"/>
      <c r="F26" s="52"/>
      <c r="G26" s="52"/>
      <c r="H26" s="52"/>
      <c r="J26" s="1" t="s">
        <v>53</v>
      </c>
      <c r="K26" s="1" t="s">
        <v>7</v>
      </c>
      <c r="L26" s="23" t="s">
        <v>16</v>
      </c>
    </row>
    <row r="27" spans="1:17" x14ac:dyDescent="0.25">
      <c r="B27" s="51"/>
      <c r="C27" s="52"/>
      <c r="D27" s="52"/>
      <c r="E27" s="52"/>
      <c r="F27" s="52"/>
      <c r="G27" s="52"/>
      <c r="H27" s="52"/>
      <c r="J27" s="7" t="s">
        <v>56</v>
      </c>
      <c r="K27" s="28">
        <f>SUMPRODUCT((bölgeler3=J27)*Tutarlar3)</f>
        <v>11118</v>
      </c>
      <c r="L27" s="2" t="s">
        <v>164</v>
      </c>
    </row>
    <row r="28" spans="1:17" x14ac:dyDescent="0.25">
      <c r="C28" s="52"/>
      <c r="D28" s="52"/>
      <c r="E28" s="52"/>
      <c r="F28" s="52"/>
      <c r="G28" s="52"/>
      <c r="H28" s="52"/>
      <c r="K28" s="28" t="e">
        <f>SUMPRODUCT(--(bölgeler3=J27),Tutarlar3)</f>
        <v>#VALUE!</v>
      </c>
      <c r="L28" s="2" t="s">
        <v>177</v>
      </c>
    </row>
    <row r="29" spans="1:17" x14ac:dyDescent="0.25">
      <c r="B29" s="51"/>
      <c r="C29" s="52"/>
      <c r="D29" s="52"/>
      <c r="E29" s="52"/>
      <c r="F29" s="52"/>
      <c r="G29" s="52"/>
      <c r="H29" s="52"/>
      <c r="K29" s="28">
        <f>SUMIF(bölgeler3,J27,H7:H24)</f>
        <v>11118</v>
      </c>
      <c r="L29" t="s">
        <v>178</v>
      </c>
    </row>
    <row r="30" spans="1:17" x14ac:dyDescent="0.25">
      <c r="K30" s="20">
        <f>SUMIF(bölgeler3,J27,Tutarlar3)</f>
        <v>3540</v>
      </c>
      <c r="L30" s="2" t="s">
        <v>208</v>
      </c>
    </row>
    <row r="31" spans="1:17" x14ac:dyDescent="0.25">
      <c r="A31" s="21" t="s">
        <v>190</v>
      </c>
    </row>
    <row r="32" spans="1:17" x14ac:dyDescent="0.25">
      <c r="Q32" s="13"/>
    </row>
    <row r="33" spans="2:21" ht="15.75" thickBot="1" x14ac:dyDescent="0.3">
      <c r="B33" s="34" t="s">
        <v>53</v>
      </c>
      <c r="C33" s="35" t="s">
        <v>100</v>
      </c>
      <c r="D33" s="35" t="s">
        <v>103</v>
      </c>
      <c r="E33" s="35" t="s">
        <v>79</v>
      </c>
      <c r="F33" s="35" t="s">
        <v>80</v>
      </c>
      <c r="G33" s="35" t="s">
        <v>97</v>
      </c>
      <c r="H33" s="35" t="s">
        <v>106</v>
      </c>
      <c r="J33" s="1" t="s">
        <v>182</v>
      </c>
      <c r="P33" s="55"/>
      <c r="Q33" s="1" t="s">
        <v>183</v>
      </c>
    </row>
    <row r="34" spans="2:21" ht="15.75" thickTop="1" x14ac:dyDescent="0.25">
      <c r="B34" s="36" t="s">
        <v>55</v>
      </c>
      <c r="C34" s="37">
        <v>2013</v>
      </c>
      <c r="D34" s="37" t="s">
        <v>104</v>
      </c>
      <c r="E34" s="37">
        <v>559</v>
      </c>
      <c r="F34" s="37">
        <v>483</v>
      </c>
      <c r="G34" s="37">
        <v>310</v>
      </c>
      <c r="H34" s="37">
        <f>SUM(E34:G34)</f>
        <v>1352</v>
      </c>
      <c r="J34" s="79" t="s">
        <v>202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2:21" x14ac:dyDescent="0.25">
      <c r="B35" s="38" t="s">
        <v>55</v>
      </c>
      <c r="C35" s="18">
        <v>2014</v>
      </c>
      <c r="D35" s="18" t="s">
        <v>104</v>
      </c>
      <c r="E35" s="18">
        <v>746</v>
      </c>
      <c r="F35" s="18">
        <v>532</v>
      </c>
      <c r="G35" s="18">
        <v>137</v>
      </c>
      <c r="H35" s="18">
        <f t="shared" ref="H35:H51" si="1">SUM(E35:G35)</f>
        <v>1415</v>
      </c>
      <c r="P35" s="55"/>
    </row>
    <row r="36" spans="2:21" x14ac:dyDescent="0.25">
      <c r="B36" s="39" t="s">
        <v>55</v>
      </c>
      <c r="C36" s="40">
        <v>2015</v>
      </c>
      <c r="D36" s="40" t="s">
        <v>104</v>
      </c>
      <c r="E36" s="40">
        <v>202</v>
      </c>
      <c r="F36" s="40">
        <v>152</v>
      </c>
      <c r="G36" s="40">
        <v>668</v>
      </c>
      <c r="H36" s="40">
        <f t="shared" si="1"/>
        <v>1022</v>
      </c>
      <c r="J36" s="79" t="s">
        <v>175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spans="2:21" x14ac:dyDescent="0.25">
      <c r="B37" s="38" t="s">
        <v>55</v>
      </c>
      <c r="C37" s="18">
        <v>2013</v>
      </c>
      <c r="D37" s="18" t="s">
        <v>188</v>
      </c>
      <c r="E37" s="18">
        <v>578</v>
      </c>
      <c r="F37" s="18">
        <v>545</v>
      </c>
      <c r="G37" s="18">
        <v>179</v>
      </c>
      <c r="H37" s="18">
        <f t="shared" si="1"/>
        <v>1302</v>
      </c>
      <c r="J37" s="1" t="s">
        <v>53</v>
      </c>
      <c r="K37" s="1" t="s">
        <v>100</v>
      </c>
      <c r="L37" s="1" t="s">
        <v>101</v>
      </c>
      <c r="M37" s="50" t="s">
        <v>7</v>
      </c>
      <c r="N37" s="50" t="s">
        <v>16</v>
      </c>
      <c r="P37" s="55"/>
      <c r="Q37" s="1" t="s">
        <v>53</v>
      </c>
      <c r="R37" s="1" t="s">
        <v>100</v>
      </c>
      <c r="S37" s="1" t="s">
        <v>101</v>
      </c>
      <c r="T37" s="1" t="s">
        <v>7</v>
      </c>
      <c r="U37" s="1" t="s">
        <v>16</v>
      </c>
    </row>
    <row r="38" spans="2:21" x14ac:dyDescent="0.25">
      <c r="B38" s="39" t="s">
        <v>55</v>
      </c>
      <c r="C38" s="40">
        <v>2014</v>
      </c>
      <c r="D38" s="40" t="s">
        <v>188</v>
      </c>
      <c r="E38" s="40">
        <v>355</v>
      </c>
      <c r="F38" s="40">
        <v>791</v>
      </c>
      <c r="G38" s="40">
        <v>514</v>
      </c>
      <c r="H38" s="40">
        <f t="shared" si="1"/>
        <v>1660</v>
      </c>
      <c r="J38" s="7" t="s">
        <v>56</v>
      </c>
      <c r="K38" s="7">
        <v>2014</v>
      </c>
      <c r="L38" s="7" t="s">
        <v>79</v>
      </c>
      <c r="M38" s="20">
        <f>SUMPRODUCT((bölgeler4=J38)*(yıllar4=K38)*((ürünler4=L38)+(ürünler4=L39))*tutarlar4)</f>
        <v>1493</v>
      </c>
      <c r="N38" t="s">
        <v>173</v>
      </c>
      <c r="P38" s="55"/>
      <c r="Q38" s="7" t="s">
        <v>55</v>
      </c>
      <c r="R38" s="7">
        <v>2014</v>
      </c>
      <c r="S38" s="7" t="s">
        <v>79</v>
      </c>
      <c r="T38" s="20">
        <f t="array" ref="T38">SUMPRODUCT(--ISNUMBER(MATCH(bölgeler4,Q38:Q40,0))*--ISNUMBER(MATCH(ürünler4,S38:S40,0))*(yıllar4=R38)*tutarlar4)</f>
        <v>3245</v>
      </c>
      <c r="U38" t="s">
        <v>206</v>
      </c>
    </row>
    <row r="39" spans="2:21" ht="15.75" thickBot="1" x14ac:dyDescent="0.3">
      <c r="B39" s="38" t="s">
        <v>55</v>
      </c>
      <c r="C39" s="18">
        <v>2015</v>
      </c>
      <c r="D39" s="18" t="s">
        <v>188</v>
      </c>
      <c r="E39" s="18">
        <v>199</v>
      </c>
      <c r="F39" s="18">
        <v>740</v>
      </c>
      <c r="G39" s="18">
        <v>560</v>
      </c>
      <c r="H39" s="18">
        <f t="shared" si="1"/>
        <v>1499</v>
      </c>
      <c r="L39" s="7" t="s">
        <v>97</v>
      </c>
      <c r="M39" s="20">
        <f t="array" ref="M39">SUMPRODUCT((bölgeler4=J38)*(yıllar4=K38)*(ürünler4=TRANSPOSE(L38:L40))*tutarlar4)</f>
        <v>1493</v>
      </c>
      <c r="N39" t="s">
        <v>174</v>
      </c>
      <c r="P39" s="55"/>
      <c r="Q39" s="7" t="s">
        <v>56</v>
      </c>
      <c r="R39" s="7"/>
      <c r="S39" s="7" t="s">
        <v>97</v>
      </c>
      <c r="T39" s="20">
        <f>SUMPRODUCT(--ISNUMBER(MATCH(bölgeler4,{"Bölge1";"Bölge2"},0))*--ISNUMBER(MATCH(ürünler4,{"Ürün1";"Ürün3"},0))*(yıllar4=2014)*tutarlar4)</f>
        <v>3245</v>
      </c>
      <c r="U39" t="s">
        <v>205</v>
      </c>
    </row>
    <row r="40" spans="2:21" ht="15.75" thickTop="1" x14ac:dyDescent="0.25">
      <c r="B40" s="39" t="s">
        <v>56</v>
      </c>
      <c r="C40" s="40">
        <v>2013</v>
      </c>
      <c r="D40" s="37" t="s">
        <v>104</v>
      </c>
      <c r="E40" s="40">
        <v>329</v>
      </c>
      <c r="F40" s="40">
        <v>407</v>
      </c>
      <c r="G40" s="40">
        <v>522</v>
      </c>
      <c r="H40" s="40">
        <f t="shared" si="1"/>
        <v>1258</v>
      </c>
      <c r="L40" s="7" t="s">
        <v>97</v>
      </c>
      <c r="P40" s="55"/>
      <c r="S40" s="7" t="s">
        <v>97</v>
      </c>
    </row>
    <row r="41" spans="2:21" x14ac:dyDescent="0.25">
      <c r="B41" s="38" t="s">
        <v>56</v>
      </c>
      <c r="C41" s="18">
        <v>2014</v>
      </c>
      <c r="D41" s="18" t="s">
        <v>104</v>
      </c>
      <c r="E41" s="18">
        <v>181</v>
      </c>
      <c r="F41" s="18">
        <v>133</v>
      </c>
      <c r="G41" s="18">
        <v>101</v>
      </c>
      <c r="H41" s="18">
        <f t="shared" si="1"/>
        <v>415</v>
      </c>
      <c r="P41" s="55"/>
    </row>
    <row r="42" spans="2:21" x14ac:dyDescent="0.25">
      <c r="B42" s="39" t="s">
        <v>56</v>
      </c>
      <c r="C42" s="40">
        <v>2015</v>
      </c>
      <c r="D42" s="40" t="s">
        <v>104</v>
      </c>
      <c r="E42" s="40">
        <v>369</v>
      </c>
      <c r="F42" s="40">
        <v>567</v>
      </c>
      <c r="G42" s="40">
        <v>318</v>
      </c>
      <c r="H42" s="40">
        <f t="shared" si="1"/>
        <v>1254</v>
      </c>
      <c r="J42" s="79" t="s">
        <v>209</v>
      </c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spans="2:21" x14ac:dyDescent="0.25">
      <c r="B43" s="38" t="s">
        <v>56</v>
      </c>
      <c r="C43" s="18">
        <v>2013</v>
      </c>
      <c r="D43" s="18" t="s">
        <v>188</v>
      </c>
      <c r="E43" s="18">
        <v>295</v>
      </c>
      <c r="F43" s="18">
        <v>554</v>
      </c>
      <c r="G43" s="18">
        <v>684</v>
      </c>
      <c r="H43" s="18">
        <f t="shared" si="1"/>
        <v>1533</v>
      </c>
      <c r="J43" s="1" t="s">
        <v>53</v>
      </c>
      <c r="K43" s="1" t="s">
        <v>100</v>
      </c>
      <c r="L43" s="1" t="s">
        <v>101</v>
      </c>
      <c r="M43" s="50" t="s">
        <v>7</v>
      </c>
      <c r="N43" s="1" t="s">
        <v>16</v>
      </c>
      <c r="P43" s="55"/>
      <c r="Q43" s="1" t="s">
        <v>53</v>
      </c>
      <c r="R43" s="1" t="s">
        <v>100</v>
      </c>
      <c r="S43" s="1" t="s">
        <v>101</v>
      </c>
    </row>
    <row r="44" spans="2:21" x14ac:dyDescent="0.25">
      <c r="B44" s="39" t="s">
        <v>56</v>
      </c>
      <c r="C44" s="40">
        <v>2014</v>
      </c>
      <c r="D44" s="40" t="s">
        <v>188</v>
      </c>
      <c r="E44" s="40">
        <v>451</v>
      </c>
      <c r="F44" s="40">
        <v>209</v>
      </c>
      <c r="G44" s="40">
        <v>760</v>
      </c>
      <c r="H44" s="40">
        <f t="shared" si="1"/>
        <v>1420</v>
      </c>
      <c r="J44" s="7" t="s">
        <v>56</v>
      </c>
      <c r="K44" s="7">
        <v>2014</v>
      </c>
      <c r="L44" s="7" t="s">
        <v>79</v>
      </c>
      <c r="M44" s="20">
        <f>SUMPRODUCT((bölgeler4=J44)*(yıllar4=K44)*((ürünler4=L44)+(ürünler4=L45))*tutarlar4)</f>
        <v>974</v>
      </c>
      <c r="N44" t="s">
        <v>173</v>
      </c>
      <c r="P44" s="55"/>
      <c r="Q44" s="7" t="s">
        <v>55</v>
      </c>
      <c r="R44" s="7">
        <v>2014</v>
      </c>
      <c r="S44" s="7" t="s">
        <v>79</v>
      </c>
      <c r="T44" s="20">
        <f t="array" ref="T44">SUMPRODUCT(--ISNUMBER(MATCH(bölgeler4,Q44:Q46,0))*--ISNUMBER(MATCH(ürünler4,S44:S46,0))*(yıllar4=R44)*tutarlar4)</f>
        <v>3398</v>
      </c>
      <c r="U44" t="s">
        <v>206</v>
      </c>
    </row>
    <row r="45" spans="2:21" ht="15.75" thickBot="1" x14ac:dyDescent="0.3">
      <c r="B45" s="38" t="s">
        <v>56</v>
      </c>
      <c r="C45" s="18">
        <v>2015</v>
      </c>
      <c r="D45" s="18" t="s">
        <v>188</v>
      </c>
      <c r="E45" s="18">
        <v>489</v>
      </c>
      <c r="F45" s="18">
        <v>736</v>
      </c>
      <c r="G45" s="18">
        <v>473</v>
      </c>
      <c r="H45" s="18">
        <f t="shared" si="1"/>
        <v>1698</v>
      </c>
      <c r="L45" s="7" t="s">
        <v>80</v>
      </c>
      <c r="M45" s="20">
        <f t="array" ref="M45">SUMPRODUCT((bölgeler4=J44)*(yıllar4=K44)*(ürünler4=TRANSPOSE(L44:L46))*tutarlar4)</f>
        <v>974</v>
      </c>
      <c r="N45" t="s">
        <v>174</v>
      </c>
      <c r="P45" s="55"/>
      <c r="Q45" s="7" t="s">
        <v>56</v>
      </c>
      <c r="R45" s="7"/>
      <c r="S45" s="7" t="s">
        <v>80</v>
      </c>
      <c r="T45" s="20">
        <f>SUMPRODUCT(--ISNUMBER(MATCH(bölgeler4,{"Bölge1";"Bölge2"},0))*--ISNUMBER(MATCH(ürünler4,{"Ürün1";"Ürün2"},0))*(yıllar4=2014)*tutarlar4)</f>
        <v>3398</v>
      </c>
      <c r="U45" t="s">
        <v>205</v>
      </c>
    </row>
    <row r="46" spans="2:21" ht="15.75" thickTop="1" x14ac:dyDescent="0.25">
      <c r="B46" s="39" t="s">
        <v>94</v>
      </c>
      <c r="C46" s="40">
        <v>2013</v>
      </c>
      <c r="D46" s="37" t="s">
        <v>104</v>
      </c>
      <c r="E46" s="40">
        <v>185</v>
      </c>
      <c r="F46" s="40">
        <v>123</v>
      </c>
      <c r="G46" s="40">
        <v>757</v>
      </c>
      <c r="H46" s="40">
        <f t="shared" si="1"/>
        <v>1065</v>
      </c>
      <c r="L46"/>
      <c r="P46" s="55"/>
    </row>
    <row r="47" spans="2:21" x14ac:dyDescent="0.25">
      <c r="B47" s="38" t="s">
        <v>94</v>
      </c>
      <c r="C47" s="18">
        <v>2014</v>
      </c>
      <c r="D47" s="18" t="s">
        <v>104</v>
      </c>
      <c r="E47" s="18">
        <v>189</v>
      </c>
      <c r="F47" s="18">
        <v>225</v>
      </c>
      <c r="G47" s="18">
        <v>587</v>
      </c>
      <c r="H47" s="18">
        <f t="shared" si="1"/>
        <v>1001</v>
      </c>
      <c r="J47" s="79" t="s">
        <v>176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spans="2:21" x14ac:dyDescent="0.25">
      <c r="B48" s="39" t="s">
        <v>94</v>
      </c>
      <c r="C48" s="40">
        <v>2015</v>
      </c>
      <c r="D48" s="40" t="s">
        <v>104</v>
      </c>
      <c r="E48" s="40">
        <v>193</v>
      </c>
      <c r="F48" s="40">
        <v>327</v>
      </c>
      <c r="G48" s="40">
        <v>417</v>
      </c>
      <c r="H48" s="40">
        <f t="shared" si="1"/>
        <v>937</v>
      </c>
      <c r="J48" s="1" t="s">
        <v>53</v>
      </c>
      <c r="K48" s="1" t="s">
        <v>100</v>
      </c>
      <c r="L48" s="23" t="s">
        <v>7</v>
      </c>
      <c r="M48" s="1" t="s">
        <v>16</v>
      </c>
      <c r="P48" s="55"/>
      <c r="Q48" s="1" t="s">
        <v>53</v>
      </c>
      <c r="R48" s="1" t="s">
        <v>100</v>
      </c>
      <c r="S48" s="1" t="s">
        <v>101</v>
      </c>
    </row>
    <row r="49" spans="1:21" x14ac:dyDescent="0.25">
      <c r="B49" s="38" t="s">
        <v>94</v>
      </c>
      <c r="C49" s="18">
        <v>2013</v>
      </c>
      <c r="D49" s="18" t="s">
        <v>188</v>
      </c>
      <c r="E49" s="18">
        <v>197</v>
      </c>
      <c r="F49" s="18">
        <v>429</v>
      </c>
      <c r="G49" s="18">
        <v>247</v>
      </c>
      <c r="H49" s="18">
        <f t="shared" si="1"/>
        <v>873</v>
      </c>
      <c r="J49" s="7" t="s">
        <v>56</v>
      </c>
      <c r="K49" s="7">
        <v>2014</v>
      </c>
      <c r="L49" s="28">
        <f>SUMPRODUCT((bölgeler4=J49)*(yıllar4=K49)*tutarlar4)</f>
        <v>1835</v>
      </c>
      <c r="M49" t="s">
        <v>203</v>
      </c>
      <c r="P49" s="55"/>
      <c r="Q49" s="7" t="s">
        <v>55</v>
      </c>
      <c r="R49" s="7">
        <v>2014</v>
      </c>
      <c r="S49" s="28">
        <f>SUMPRODUCT(--ISNUMBER(MATCH(bölgeler4,Q49:Q50,0))*(yıllar4=R49)*tutarlar4)</f>
        <v>4910</v>
      </c>
      <c r="T49" t="s">
        <v>203</v>
      </c>
    </row>
    <row r="50" spans="1:21" x14ac:dyDescent="0.25">
      <c r="B50" s="39" t="s">
        <v>94</v>
      </c>
      <c r="C50" s="40">
        <v>2014</v>
      </c>
      <c r="D50" s="40" t="s">
        <v>188</v>
      </c>
      <c r="E50" s="40">
        <v>201</v>
      </c>
      <c r="F50" s="40">
        <v>531</v>
      </c>
      <c r="G50" s="40">
        <v>77</v>
      </c>
      <c r="H50" s="40">
        <f t="shared" si="1"/>
        <v>809</v>
      </c>
      <c r="L50" s="28">
        <f>SUMIFS(H34:H51,bölgeler4,J49,yıllar4,K49)</f>
        <v>1835</v>
      </c>
      <c r="M50" t="s">
        <v>210</v>
      </c>
      <c r="P50" s="55"/>
      <c r="Q50" s="7" t="s">
        <v>56</v>
      </c>
      <c r="R50" s="7"/>
      <c r="S50" s="28">
        <f t="array" ref="S50">SUM(SUMIFS(H34:H51,bölgeler4,Q49:Q50,yıllar4,R49))</f>
        <v>4910</v>
      </c>
      <c r="T50" t="s">
        <v>204</v>
      </c>
    </row>
    <row r="51" spans="1:21" x14ac:dyDescent="0.25">
      <c r="B51" s="38" t="s">
        <v>94</v>
      </c>
      <c r="C51" s="18">
        <v>2015</v>
      </c>
      <c r="D51" s="18" t="s">
        <v>188</v>
      </c>
      <c r="E51" s="18">
        <v>205</v>
      </c>
      <c r="F51" s="18">
        <v>633</v>
      </c>
      <c r="G51" s="18">
        <v>98</v>
      </c>
      <c r="H51" s="18">
        <f t="shared" si="1"/>
        <v>936</v>
      </c>
      <c r="J51" s="1"/>
      <c r="K51" s="1"/>
      <c r="L51" s="61" t="e">
        <f>SUMIFS(tutarlar4,bölgeler4,J49,yıllar4,K49)</f>
        <v>#VALUE!</v>
      </c>
      <c r="M51" s="10" t="s">
        <v>211</v>
      </c>
      <c r="P51" s="7"/>
      <c r="Q51" s="1"/>
      <c r="R51" s="1"/>
      <c r="S51" s="23"/>
      <c r="T51" s="1"/>
      <c r="U51" s="1"/>
    </row>
    <row r="52" spans="1:21" x14ac:dyDescent="0.25">
      <c r="J52" s="7"/>
      <c r="K52" s="7"/>
      <c r="Q52" s="7"/>
      <c r="R52" s="7"/>
      <c r="S52" s="7"/>
      <c r="T52" s="7"/>
    </row>
    <row r="53" spans="1:21" x14ac:dyDescent="0.25">
      <c r="A53" s="13" t="s">
        <v>246</v>
      </c>
      <c r="Q53" s="7"/>
      <c r="T53" s="7"/>
    </row>
    <row r="54" spans="1:21" x14ac:dyDescent="0.25">
      <c r="A54" s="13"/>
      <c r="B54" s="1" t="s">
        <v>247</v>
      </c>
      <c r="Q54" s="7"/>
      <c r="T54" s="7"/>
    </row>
    <row r="55" spans="1:21" ht="15.75" thickBot="1" x14ac:dyDescent="0.3">
      <c r="A55" s="21"/>
      <c r="B55" s="34" t="s">
        <v>212</v>
      </c>
      <c r="C55" s="35" t="s">
        <v>213</v>
      </c>
      <c r="D55" s="35" t="s">
        <v>79</v>
      </c>
      <c r="E55" s="35" t="s">
        <v>80</v>
      </c>
      <c r="F55" s="35" t="s">
        <v>97</v>
      </c>
      <c r="G55" s="35" t="s">
        <v>98</v>
      </c>
      <c r="I55" t="s">
        <v>218</v>
      </c>
      <c r="T55" s="7"/>
    </row>
    <row r="56" spans="1:21" ht="15.75" thickTop="1" x14ac:dyDescent="0.25">
      <c r="B56" s="66" t="s">
        <v>215</v>
      </c>
      <c r="C56" s="37">
        <v>-1</v>
      </c>
      <c r="D56" s="63">
        <v>128</v>
      </c>
      <c r="E56" s="63">
        <v>100</v>
      </c>
      <c r="F56" s="63">
        <v>105</v>
      </c>
      <c r="G56" s="63">
        <v>131</v>
      </c>
      <c r="I56" s="1" t="s">
        <v>212</v>
      </c>
      <c r="J56" s="1" t="s">
        <v>213</v>
      </c>
      <c r="K56" s="1" t="s">
        <v>93</v>
      </c>
      <c r="T56" s="7"/>
    </row>
    <row r="57" spans="1:21" x14ac:dyDescent="0.25">
      <c r="B57" s="67" t="s">
        <v>215</v>
      </c>
      <c r="C57" s="18">
        <v>-1</v>
      </c>
      <c r="D57" s="64">
        <v>110</v>
      </c>
      <c r="E57" s="64">
        <v>135</v>
      </c>
      <c r="F57" s="64">
        <v>121</v>
      </c>
      <c r="G57" s="64">
        <v>114</v>
      </c>
      <c r="I57" s="7" t="s">
        <v>215</v>
      </c>
      <c r="J57" s="7" t="s">
        <v>214</v>
      </c>
      <c r="K57" s="28">
        <f>SUMPRODUCT(((perstip=I57)+(miytip=J57))*satış)</f>
        <v>4325</v>
      </c>
    </row>
    <row r="58" spans="1:21" x14ac:dyDescent="0.25">
      <c r="B58" s="68" t="s">
        <v>215</v>
      </c>
      <c r="C58" s="40">
        <v>-1</v>
      </c>
      <c r="D58" s="65">
        <v>104</v>
      </c>
      <c r="E58" s="65">
        <v>139</v>
      </c>
      <c r="F58" s="65">
        <v>135</v>
      </c>
      <c r="G58" s="65">
        <v>100</v>
      </c>
    </row>
    <row r="59" spans="1:21" x14ac:dyDescent="0.25">
      <c r="B59" s="67" t="s">
        <v>215</v>
      </c>
      <c r="C59" s="18">
        <v>-1</v>
      </c>
      <c r="D59" s="64">
        <v>148</v>
      </c>
      <c r="E59" s="64">
        <v>121</v>
      </c>
      <c r="F59" s="64">
        <v>101</v>
      </c>
      <c r="G59" s="64">
        <v>104</v>
      </c>
    </row>
    <row r="60" spans="1:21" x14ac:dyDescent="0.25">
      <c r="B60" s="39" t="s">
        <v>219</v>
      </c>
      <c r="C60" s="40">
        <v>-1</v>
      </c>
      <c r="D60" s="40">
        <v>122</v>
      </c>
      <c r="E60" s="40">
        <v>107</v>
      </c>
      <c r="F60" s="40">
        <v>104</v>
      </c>
      <c r="G60" s="40">
        <v>117</v>
      </c>
    </row>
    <row r="61" spans="1:21" ht="15.75" thickBot="1" x14ac:dyDescent="0.3">
      <c r="B61" s="38" t="s">
        <v>219</v>
      </c>
      <c r="C61" s="18">
        <v>-1</v>
      </c>
      <c r="D61" s="18">
        <v>146</v>
      </c>
      <c r="E61" s="18">
        <v>132</v>
      </c>
      <c r="F61" s="18">
        <v>110</v>
      </c>
      <c r="G61" s="18">
        <v>116</v>
      </c>
    </row>
    <row r="62" spans="1:21" ht="15.75" thickTop="1" x14ac:dyDescent="0.25">
      <c r="B62" s="39" t="s">
        <v>219</v>
      </c>
      <c r="C62" s="40">
        <v>-1</v>
      </c>
      <c r="D62" s="37">
        <v>107</v>
      </c>
      <c r="E62" s="40">
        <v>141</v>
      </c>
      <c r="F62" s="40">
        <v>122</v>
      </c>
      <c r="G62" s="40">
        <v>130</v>
      </c>
    </row>
    <row r="63" spans="1:21" x14ac:dyDescent="0.25">
      <c r="B63" s="38" t="s">
        <v>219</v>
      </c>
      <c r="C63" s="18">
        <v>-1</v>
      </c>
      <c r="D63" s="18">
        <v>113</v>
      </c>
      <c r="E63" s="18">
        <v>136</v>
      </c>
      <c r="F63" s="18">
        <v>115</v>
      </c>
      <c r="G63" s="18">
        <v>106</v>
      </c>
    </row>
    <row r="64" spans="1:21" x14ac:dyDescent="0.25">
      <c r="B64" s="39" t="s">
        <v>216</v>
      </c>
      <c r="C64" s="65" t="s">
        <v>214</v>
      </c>
      <c r="D64" s="65">
        <v>121</v>
      </c>
      <c r="E64" s="65">
        <v>137</v>
      </c>
      <c r="F64" s="65">
        <v>136</v>
      </c>
      <c r="G64" s="65">
        <v>131</v>
      </c>
    </row>
    <row r="65" spans="2:11" x14ac:dyDescent="0.25">
      <c r="B65" s="38" t="s">
        <v>216</v>
      </c>
      <c r="C65" s="64" t="s">
        <v>214</v>
      </c>
      <c r="D65" s="64">
        <v>124</v>
      </c>
      <c r="E65" s="64">
        <v>107</v>
      </c>
      <c r="F65" s="64">
        <v>131</v>
      </c>
      <c r="G65" s="64">
        <v>108</v>
      </c>
    </row>
    <row r="66" spans="2:11" x14ac:dyDescent="0.25">
      <c r="B66" s="39" t="s">
        <v>216</v>
      </c>
      <c r="C66" s="65" t="s">
        <v>214</v>
      </c>
      <c r="D66" s="65">
        <v>118</v>
      </c>
      <c r="E66" s="65">
        <v>103</v>
      </c>
      <c r="F66" s="65">
        <v>106</v>
      </c>
      <c r="G66" s="65">
        <v>101</v>
      </c>
    </row>
    <row r="67" spans="2:11" ht="15.75" thickBot="1" x14ac:dyDescent="0.3">
      <c r="B67" s="38" t="s">
        <v>216</v>
      </c>
      <c r="C67" s="64" t="s">
        <v>214</v>
      </c>
      <c r="D67" s="64">
        <v>149</v>
      </c>
      <c r="E67" s="64">
        <v>100</v>
      </c>
      <c r="F67" s="64">
        <v>123</v>
      </c>
      <c r="G67" s="64">
        <v>132</v>
      </c>
    </row>
    <row r="68" spans="2:11" ht="15.75" thickTop="1" x14ac:dyDescent="0.25">
      <c r="B68" s="39" t="s">
        <v>216</v>
      </c>
      <c r="C68" s="65" t="s">
        <v>214</v>
      </c>
      <c r="D68" s="63">
        <v>141</v>
      </c>
      <c r="E68" s="65">
        <v>115</v>
      </c>
      <c r="F68" s="65">
        <v>143</v>
      </c>
      <c r="G68" s="65">
        <v>103</v>
      </c>
    </row>
    <row r="69" spans="2:11" x14ac:dyDescent="0.25">
      <c r="B69" s="38" t="s">
        <v>216</v>
      </c>
      <c r="C69" s="18" t="s">
        <v>217</v>
      </c>
      <c r="D69" s="18">
        <v>131</v>
      </c>
      <c r="E69" s="18">
        <v>135</v>
      </c>
      <c r="F69" s="18">
        <v>123</v>
      </c>
      <c r="G69" s="18">
        <v>140</v>
      </c>
    </row>
    <row r="70" spans="2:11" x14ac:dyDescent="0.25">
      <c r="B70" s="39" t="s">
        <v>216</v>
      </c>
      <c r="C70" s="40" t="s">
        <v>217</v>
      </c>
      <c r="D70" s="40">
        <v>118</v>
      </c>
      <c r="E70" s="40">
        <v>139</v>
      </c>
      <c r="F70" s="40">
        <v>103</v>
      </c>
      <c r="G70" s="40">
        <v>133</v>
      </c>
    </row>
    <row r="71" spans="2:11" x14ac:dyDescent="0.25">
      <c r="B71" s="38" t="s">
        <v>216</v>
      </c>
      <c r="C71" s="18" t="s">
        <v>217</v>
      </c>
      <c r="D71" s="18">
        <v>116</v>
      </c>
      <c r="E71" s="18">
        <v>102</v>
      </c>
      <c r="F71" s="18">
        <v>139</v>
      </c>
      <c r="G71" s="18">
        <v>119</v>
      </c>
    </row>
    <row r="72" spans="2:11" x14ac:dyDescent="0.25">
      <c r="B72" s="39" t="s">
        <v>216</v>
      </c>
      <c r="C72" s="40" t="s">
        <v>217</v>
      </c>
      <c r="D72" s="40">
        <v>148</v>
      </c>
      <c r="E72" s="40">
        <v>142</v>
      </c>
      <c r="F72" s="40">
        <v>139</v>
      </c>
      <c r="G72" s="40">
        <v>113</v>
      </c>
    </row>
    <row r="73" spans="2:11" x14ac:dyDescent="0.25">
      <c r="B73" s="38" t="s">
        <v>216</v>
      </c>
      <c r="C73" s="18" t="s">
        <v>217</v>
      </c>
      <c r="D73" s="18">
        <v>124</v>
      </c>
      <c r="E73" s="18">
        <v>102</v>
      </c>
      <c r="F73" s="18">
        <v>130</v>
      </c>
      <c r="G73" s="18">
        <v>129</v>
      </c>
    </row>
    <row r="75" spans="2:11" x14ac:dyDescent="0.25">
      <c r="B75" t="s">
        <v>317</v>
      </c>
    </row>
    <row r="76" spans="2:11" ht="15.75" thickBot="1" x14ac:dyDescent="0.3">
      <c r="B76" s="34" t="s">
        <v>222</v>
      </c>
      <c r="C76" s="34" t="s">
        <v>220</v>
      </c>
      <c r="D76" s="35" t="s">
        <v>221</v>
      </c>
      <c r="E76" s="35" t="s">
        <v>79</v>
      </c>
      <c r="F76" s="35" t="s">
        <v>80</v>
      </c>
      <c r="G76" s="35" t="s">
        <v>97</v>
      </c>
      <c r="H76" s="62" t="s">
        <v>106</v>
      </c>
      <c r="J76" t="s">
        <v>241</v>
      </c>
    </row>
    <row r="77" spans="2:11" ht="15.75" thickTop="1" x14ac:dyDescent="0.25">
      <c r="B77" s="37" t="s">
        <v>223</v>
      </c>
      <c r="C77" s="63" t="s">
        <v>244</v>
      </c>
      <c r="D77" s="63" t="s">
        <v>244</v>
      </c>
      <c r="E77" s="63">
        <v>100</v>
      </c>
      <c r="F77" s="63">
        <v>105</v>
      </c>
      <c r="G77" s="63">
        <v>131</v>
      </c>
      <c r="H77" s="69">
        <f>SUM(E77:G77)</f>
        <v>336</v>
      </c>
      <c r="J77" s="1" t="s">
        <v>93</v>
      </c>
      <c r="K77" s="1" t="s">
        <v>16</v>
      </c>
    </row>
    <row r="78" spans="2:11" x14ac:dyDescent="0.25">
      <c r="B78" s="18" t="s">
        <v>224</v>
      </c>
      <c r="C78" s="64" t="s">
        <v>244</v>
      </c>
      <c r="D78" s="64" t="s">
        <v>245</v>
      </c>
      <c r="E78" s="64">
        <v>135</v>
      </c>
      <c r="F78" s="64">
        <v>121</v>
      </c>
      <c r="G78" s="64">
        <v>114</v>
      </c>
      <c r="H78" s="70">
        <f t="shared" ref="H78:H94" si="2">SUM(E78:G78)</f>
        <v>370</v>
      </c>
      <c r="J78" s="20">
        <f>SUMPRODUCT(((cert1="E")+(cert2="E"))*certsatış)</f>
        <v>6838</v>
      </c>
      <c r="K78" t="s">
        <v>242</v>
      </c>
    </row>
    <row r="79" spans="2:11" x14ac:dyDescent="0.25">
      <c r="B79" s="40" t="s">
        <v>225</v>
      </c>
      <c r="C79" s="65" t="s">
        <v>244</v>
      </c>
      <c r="D79" s="65" t="s">
        <v>244</v>
      </c>
      <c r="E79" s="65">
        <v>139</v>
      </c>
      <c r="F79" s="65">
        <v>135</v>
      </c>
      <c r="G79" s="65">
        <v>100</v>
      </c>
      <c r="H79" s="71">
        <f t="shared" si="2"/>
        <v>374</v>
      </c>
      <c r="J79" s="20">
        <f>SUMPRODUCT(SIGN((cert1="E")+(cert2="E"))*certsatış)</f>
        <v>4319</v>
      </c>
      <c r="K79" t="s">
        <v>243</v>
      </c>
    </row>
    <row r="80" spans="2:11" x14ac:dyDescent="0.25">
      <c r="B80" s="18" t="s">
        <v>226</v>
      </c>
      <c r="C80" s="64" t="s">
        <v>244</v>
      </c>
      <c r="D80" s="64" t="s">
        <v>244</v>
      </c>
      <c r="E80" s="64">
        <v>121</v>
      </c>
      <c r="F80" s="64">
        <v>101</v>
      </c>
      <c r="G80" s="64">
        <v>104</v>
      </c>
      <c r="H80" s="70">
        <f t="shared" si="2"/>
        <v>326</v>
      </c>
    </row>
    <row r="81" spans="2:13" x14ac:dyDescent="0.25">
      <c r="B81" s="40" t="s">
        <v>227</v>
      </c>
      <c r="C81" s="40" t="s">
        <v>245</v>
      </c>
      <c r="D81" s="40" t="s">
        <v>245</v>
      </c>
      <c r="E81" s="40">
        <v>107</v>
      </c>
      <c r="F81" s="40">
        <v>104</v>
      </c>
      <c r="G81" s="65">
        <v>117</v>
      </c>
      <c r="H81" s="71">
        <f t="shared" si="2"/>
        <v>328</v>
      </c>
      <c r="J81" s="1" t="s">
        <v>220</v>
      </c>
      <c r="K81" s="1" t="s">
        <v>221</v>
      </c>
      <c r="L81" s="1" t="s">
        <v>93</v>
      </c>
      <c r="M81" s="1" t="s">
        <v>16</v>
      </c>
    </row>
    <row r="82" spans="2:13" x14ac:dyDescent="0.25">
      <c r="B82" s="18" t="s">
        <v>228</v>
      </c>
      <c r="C82" s="64" t="s">
        <v>244</v>
      </c>
      <c r="D82" s="64" t="s">
        <v>244</v>
      </c>
      <c r="E82" s="64">
        <v>132</v>
      </c>
      <c r="F82" s="64">
        <v>110</v>
      </c>
      <c r="G82" s="64">
        <v>116</v>
      </c>
      <c r="H82" s="70">
        <f t="shared" si="2"/>
        <v>358</v>
      </c>
      <c r="J82" t="s">
        <v>244</v>
      </c>
      <c r="L82" s="28">
        <f>DSUM(B76:H94,H76,J81:K83)</f>
        <v>4319</v>
      </c>
      <c r="M82" t="s">
        <v>99</v>
      </c>
    </row>
    <row r="83" spans="2:13" x14ac:dyDescent="0.25">
      <c r="B83" s="40" t="s">
        <v>229</v>
      </c>
      <c r="C83" s="40" t="s">
        <v>245</v>
      </c>
      <c r="D83" s="40" t="s">
        <v>245</v>
      </c>
      <c r="E83" s="40">
        <v>141</v>
      </c>
      <c r="F83" s="40">
        <v>122</v>
      </c>
      <c r="G83" s="65">
        <v>130</v>
      </c>
      <c r="H83" s="71">
        <f t="shared" si="2"/>
        <v>393</v>
      </c>
      <c r="K83" t="s">
        <v>244</v>
      </c>
    </row>
    <row r="84" spans="2:13" x14ac:dyDescent="0.25">
      <c r="B84" s="18" t="s">
        <v>230</v>
      </c>
      <c r="C84" s="18" t="s">
        <v>245</v>
      </c>
      <c r="D84" s="18" t="s">
        <v>245</v>
      </c>
      <c r="E84" s="18">
        <v>136</v>
      </c>
      <c r="F84" s="18">
        <v>115</v>
      </c>
      <c r="G84" s="64">
        <v>106</v>
      </c>
      <c r="H84" s="70">
        <f t="shared" si="2"/>
        <v>357</v>
      </c>
    </row>
    <row r="85" spans="2:13" x14ac:dyDescent="0.25">
      <c r="B85" s="40" t="s">
        <v>231</v>
      </c>
      <c r="C85" s="65" t="s">
        <v>244</v>
      </c>
      <c r="D85" s="65" t="s">
        <v>244</v>
      </c>
      <c r="E85" s="65">
        <v>137</v>
      </c>
      <c r="F85" s="65">
        <v>136</v>
      </c>
      <c r="G85" s="65">
        <v>131</v>
      </c>
      <c r="H85" s="71">
        <f t="shared" si="2"/>
        <v>404</v>
      </c>
    </row>
    <row r="86" spans="2:13" x14ac:dyDescent="0.25">
      <c r="B86" s="18" t="s">
        <v>232</v>
      </c>
      <c r="C86" s="64" t="s">
        <v>244</v>
      </c>
      <c r="D86" s="64" t="s">
        <v>244</v>
      </c>
      <c r="E86" s="64">
        <v>107</v>
      </c>
      <c r="F86" s="64">
        <v>131</v>
      </c>
      <c r="G86" s="64">
        <v>108</v>
      </c>
      <c r="H86" s="70">
        <f t="shared" si="2"/>
        <v>346</v>
      </c>
    </row>
    <row r="87" spans="2:13" x14ac:dyDescent="0.25">
      <c r="B87" s="40" t="s">
        <v>233</v>
      </c>
      <c r="C87" s="65" t="s">
        <v>245</v>
      </c>
      <c r="D87" s="65" t="s">
        <v>244</v>
      </c>
      <c r="E87" s="65">
        <v>103</v>
      </c>
      <c r="F87" s="65">
        <v>106</v>
      </c>
      <c r="G87" s="65">
        <v>101</v>
      </c>
      <c r="H87" s="71">
        <f t="shared" si="2"/>
        <v>310</v>
      </c>
    </row>
    <row r="88" spans="2:13" x14ac:dyDescent="0.25">
      <c r="B88" s="18" t="s">
        <v>234</v>
      </c>
      <c r="C88" s="18" t="s">
        <v>245</v>
      </c>
      <c r="D88" s="18" t="s">
        <v>245</v>
      </c>
      <c r="E88" s="18">
        <v>100</v>
      </c>
      <c r="F88" s="18">
        <v>123</v>
      </c>
      <c r="G88" s="64">
        <v>132</v>
      </c>
      <c r="H88" s="70">
        <f t="shared" si="2"/>
        <v>355</v>
      </c>
    </row>
    <row r="89" spans="2:13" x14ac:dyDescent="0.25">
      <c r="B89" s="40" t="s">
        <v>235</v>
      </c>
      <c r="C89" s="65" t="s">
        <v>245</v>
      </c>
      <c r="D89" s="65" t="s">
        <v>244</v>
      </c>
      <c r="E89" s="65">
        <v>115</v>
      </c>
      <c r="F89" s="65">
        <v>143</v>
      </c>
      <c r="G89" s="65">
        <v>103</v>
      </c>
      <c r="H89" s="71">
        <f t="shared" si="2"/>
        <v>361</v>
      </c>
    </row>
    <row r="90" spans="2:13" x14ac:dyDescent="0.25">
      <c r="B90" s="18" t="s">
        <v>236</v>
      </c>
      <c r="C90" s="64" t="s">
        <v>245</v>
      </c>
      <c r="D90" s="64" t="s">
        <v>244</v>
      </c>
      <c r="E90" s="64">
        <v>135</v>
      </c>
      <c r="F90" s="64">
        <v>123</v>
      </c>
      <c r="G90" s="64">
        <v>140</v>
      </c>
      <c r="H90" s="70">
        <f t="shared" si="2"/>
        <v>398</v>
      </c>
    </row>
    <row r="91" spans="2:13" x14ac:dyDescent="0.25">
      <c r="B91" s="40" t="s">
        <v>237</v>
      </c>
      <c r="C91" s="65" t="s">
        <v>244</v>
      </c>
      <c r="D91" s="65" t="s">
        <v>244</v>
      </c>
      <c r="E91" s="65">
        <v>139</v>
      </c>
      <c r="F91" s="65">
        <v>103</v>
      </c>
      <c r="G91" s="65">
        <v>133</v>
      </c>
      <c r="H91" s="71">
        <f t="shared" si="2"/>
        <v>375</v>
      </c>
    </row>
    <row r="92" spans="2:13" x14ac:dyDescent="0.25">
      <c r="B92" s="18" t="s">
        <v>238</v>
      </c>
      <c r="C92" s="18" t="s">
        <v>245</v>
      </c>
      <c r="D92" s="18" t="s">
        <v>245</v>
      </c>
      <c r="E92" s="18">
        <v>102</v>
      </c>
      <c r="F92" s="18">
        <v>139</v>
      </c>
      <c r="G92" s="64">
        <v>119</v>
      </c>
      <c r="H92" s="70">
        <f t="shared" si="2"/>
        <v>360</v>
      </c>
    </row>
    <row r="93" spans="2:13" x14ac:dyDescent="0.25">
      <c r="B93" s="40" t="s">
        <v>239</v>
      </c>
      <c r="C93" s="40" t="s">
        <v>245</v>
      </c>
      <c r="D93" s="40" t="s">
        <v>245</v>
      </c>
      <c r="E93" s="40">
        <v>142</v>
      </c>
      <c r="F93" s="40">
        <v>139</v>
      </c>
      <c r="G93" s="65">
        <v>113</v>
      </c>
      <c r="H93" s="71">
        <f t="shared" si="2"/>
        <v>394</v>
      </c>
    </row>
    <row r="94" spans="2:13" x14ac:dyDescent="0.25">
      <c r="B94" s="18" t="s">
        <v>240</v>
      </c>
      <c r="C94" s="64" t="s">
        <v>244</v>
      </c>
      <c r="D94" s="64" t="s">
        <v>245</v>
      </c>
      <c r="E94" s="64">
        <v>102</v>
      </c>
      <c r="F94" s="64">
        <v>130</v>
      </c>
      <c r="G94" s="64">
        <v>129</v>
      </c>
      <c r="H94" s="70">
        <f t="shared" si="2"/>
        <v>361</v>
      </c>
    </row>
  </sheetData>
  <mergeCells count="4">
    <mergeCell ref="J36:U36"/>
    <mergeCell ref="J42:U42"/>
    <mergeCell ref="J47:U47"/>
    <mergeCell ref="J34:U34"/>
  </mergeCells>
  <dataValidations count="8">
    <dataValidation type="list" allowBlank="1" showInputMessage="1" showErrorMessage="1" sqref="J8" xr:uid="{98DF999F-7F62-4050-8241-DA7DF1C4E146}">
      <formula1>Mağazalar</formula1>
    </dataValidation>
    <dataValidation type="list" allowBlank="1" showInputMessage="1" showErrorMessage="1" sqref="K8 K12 K17:K19 K22:K23" xr:uid="{98B26012-A066-4AEC-BCCC-27393EE32BC9}">
      <formula1>"Ürün1,Ürün2,Ürün3,Ürün4"</formula1>
    </dataValidation>
    <dataValidation type="list" allowBlank="1" showInputMessage="1" showErrorMessage="1" sqref="J12 J17 J22 J27 J38 J44 J49 Q38:Q39 Q44:Q45 Q49:Q50" xr:uid="{4F69D18F-AA1E-4AFA-B321-805B484A878B}">
      <formula1>"Bölge1,Bölge2,Bölge3"</formula1>
    </dataValidation>
    <dataValidation type="list" allowBlank="1" showInputMessage="1" showErrorMessage="1" sqref="K38 K49 K44 R38:R39 J52 R44:R45 R49:R50" xr:uid="{0FCD09E6-1332-48A7-AF7D-C6955242BB91}">
      <formula1>$C$34:$C$36</formula1>
    </dataValidation>
    <dataValidation type="list" allowBlank="1" showInputMessage="1" showErrorMessage="1" sqref="L38:L40 L44:L45 S38:S40 S44:S45" xr:uid="{C7600F26-6B30-410E-8E32-C9EEF549A9A8}">
      <formula1>"Ürün1,Ürün2,Ürün3"</formula1>
    </dataValidation>
    <dataValidation type="list" allowBlank="1" showInputMessage="1" showErrorMessage="1" sqref="K52" xr:uid="{668F4DAC-AB48-42B5-B7C9-39E40BB471AA}">
      <formula1>"KOBİ,Bireysel"</formula1>
    </dataValidation>
    <dataValidation type="list" allowBlank="1" showInputMessage="1" showErrorMessage="1" sqref="I57" xr:uid="{97881646-C7DF-4DA6-94EA-D968A602A2FF}">
      <formula1>"Gişeci,DSG,MIY"</formula1>
    </dataValidation>
    <dataValidation type="list" allowBlank="1" showInputMessage="1" showErrorMessage="1" sqref="J57" xr:uid="{C132DB24-480A-4B43-93FA-51A957F9CC98}">
      <formula1>"-1,BMIY,BBMIY"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EC15-6585-4F80-A215-082634CDD956}">
  <dimension ref="A1:J18"/>
  <sheetViews>
    <sheetView workbookViewId="0"/>
  </sheetViews>
  <sheetFormatPr defaultRowHeight="15" x14ac:dyDescent="0.25"/>
  <cols>
    <col min="1" max="1" width="7.42578125" customWidth="1"/>
    <col min="2" max="3" width="5.5703125" bestFit="1" customWidth="1"/>
    <col min="4" max="4" width="7.140625" bestFit="1" customWidth="1"/>
    <col min="5" max="9" width="5.5703125" bestFit="1" customWidth="1"/>
    <col min="10" max="10" width="6.5703125" bestFit="1" customWidth="1"/>
    <col min="11" max="11" width="14.7109375" bestFit="1" customWidth="1"/>
  </cols>
  <sheetData>
    <row r="1" spans="1:10" x14ac:dyDescent="0.2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 spans="1:10" x14ac:dyDescent="0.25">
      <c r="A2">
        <v>157</v>
      </c>
      <c r="B2">
        <v>175</v>
      </c>
      <c r="C2">
        <v>0</v>
      </c>
      <c r="D2">
        <v>157</v>
      </c>
      <c r="E2">
        <v>187</v>
      </c>
      <c r="F2">
        <v>164</v>
      </c>
      <c r="G2">
        <v>182</v>
      </c>
      <c r="H2">
        <v>125</v>
      </c>
      <c r="I2">
        <v>114</v>
      </c>
      <c r="J2">
        <v>155</v>
      </c>
    </row>
    <row r="4" spans="1:10" x14ac:dyDescent="0.25">
      <c r="A4" s="13" t="s">
        <v>263</v>
      </c>
      <c r="D4" s="13" t="s">
        <v>273</v>
      </c>
    </row>
    <row r="5" spans="1:10" x14ac:dyDescent="0.25">
      <c r="A5" s="20">
        <f t="array" ref="A5">MIN(IF(A2:J2&gt;0,A2:J2))</f>
        <v>114</v>
      </c>
      <c r="D5" s="20">
        <f t="array" ref="D5">AVERAGE(IF(A2:J2&lt;&gt;0,A2:J2))</f>
        <v>157.33333333333334</v>
      </c>
    </row>
    <row r="6" spans="1:10" x14ac:dyDescent="0.25">
      <c r="A6" s="20">
        <f>SMALL(A2:J2,COUNTIF(A2:J2,0)+1)</f>
        <v>114</v>
      </c>
    </row>
    <row r="8" spans="1:10" x14ac:dyDescent="0.25">
      <c r="A8" s="13" t="s">
        <v>264</v>
      </c>
    </row>
    <row r="9" spans="1:10" x14ac:dyDescent="0.25">
      <c r="A9">
        <f t="array" aca="1" ref="A9:C9" ca="1">SMALL(A2:J2,COLUMN(INDIRECT(1&amp;":"&amp;3)))</f>
        <v>0</v>
      </c>
      <c r="B9">
        <f ca="1"/>
        <v>114</v>
      </c>
      <c r="C9">
        <f ca="1"/>
        <v>125</v>
      </c>
      <c r="D9" s="20">
        <f ca="1">SUM(A9:C9)</f>
        <v>239</v>
      </c>
    </row>
    <row r="10" spans="1:10" x14ac:dyDescent="0.25">
      <c r="A10">
        <f t="array" aca="1" ref="A10:C10" ca="1">SMALL(A2:J2,COLUMN(INDIRECT("A:C")))</f>
        <v>0</v>
      </c>
      <c r="B10">
        <f ca="1"/>
        <v>114</v>
      </c>
      <c r="C10">
        <f ca="1"/>
        <v>125</v>
      </c>
      <c r="D10" s="20">
        <f t="array" aca="1" ref="D10" ca="1">SUM(SMALL(A2:J2,COLUMN(INDIRECT("A:C"))))</f>
        <v>239</v>
      </c>
    </row>
    <row r="11" spans="1:10" x14ac:dyDescent="0.25">
      <c r="D11" s="20" t="e">
        <f t="array" aca="1" ref="D11" ca="1">SUM(SMALL(A2:J2,COLUMN(INDIRECT(1&amp;":"&amp;3))))</f>
        <v>#NUM!</v>
      </c>
    </row>
    <row r="13" spans="1:10" x14ac:dyDescent="0.25">
      <c r="A13" s="13" t="s">
        <v>265</v>
      </c>
    </row>
    <row r="14" spans="1:10" x14ac:dyDescent="0.25">
      <c r="A14" s="20">
        <f t="array" aca="1" ref="A14" ca="1">SUM(IF(ISERROR(D9:D11),1))</f>
        <v>1</v>
      </c>
      <c r="B14" t="s">
        <v>266</v>
      </c>
    </row>
    <row r="15" spans="1:10" x14ac:dyDescent="0.25">
      <c r="A15" s="20">
        <f t="array" aca="1" ref="A15" ca="1">SUM(IF(ISERROR(D9:D11),0,D9:D11))</f>
        <v>478</v>
      </c>
      <c r="B15" t="s">
        <v>267</v>
      </c>
    </row>
    <row r="17" spans="1:1" x14ac:dyDescent="0.25">
      <c r="A17" s="13" t="s">
        <v>268</v>
      </c>
    </row>
    <row r="18" spans="1:1" x14ac:dyDescent="0.25">
      <c r="A18" s="20">
        <f t="array" ref="A18">SUM(--(FREQUENCY(A2:J2,A2:J2)&gt;0))</f>
        <v>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FFE8-CD62-4F55-BE51-C807FFB1B6DB}">
  <sheetPr codeName="Sheet5"/>
  <dimension ref="A1:J21"/>
  <sheetViews>
    <sheetView workbookViewId="0">
      <selection activeCell="A3" sqref="A3"/>
    </sheetView>
  </sheetViews>
  <sheetFormatPr defaultRowHeight="15" x14ac:dyDescent="0.25"/>
  <cols>
    <col min="5" max="5" width="16.7109375" bestFit="1" customWidth="1"/>
    <col min="7" max="7" width="10.5703125" bestFit="1" customWidth="1"/>
  </cols>
  <sheetData>
    <row r="1" spans="1:10" x14ac:dyDescent="0.25">
      <c r="A1" s="1" t="s">
        <v>5</v>
      </c>
      <c r="B1" s="1" t="s">
        <v>58</v>
      </c>
      <c r="E1" s="13" t="s">
        <v>270</v>
      </c>
      <c r="G1" s="76" t="s">
        <v>269</v>
      </c>
      <c r="I1" s="13" t="s">
        <v>271</v>
      </c>
      <c r="J1" s="13" t="s">
        <v>272</v>
      </c>
    </row>
    <row r="2" spans="1:10" x14ac:dyDescent="0.25">
      <c r="A2" t="s">
        <v>59</v>
      </c>
      <c r="B2" s="14">
        <v>0.10299999999999999</v>
      </c>
      <c r="E2" s="14">
        <v>0.10299999999999999</v>
      </c>
      <c r="G2" s="15">
        <v>0.10299999999999999</v>
      </c>
      <c r="I2" s="75">
        <f t="array" ref="I2">SUM(1/COUNTIF(B2:B21,B2:B21))</f>
        <v>14.000000000000002</v>
      </c>
      <c r="J2" s="75">
        <f t="array" ref="J2">SUM(--(FREQUENCY(B2:B21,B2:B21)&gt;0))</f>
        <v>14</v>
      </c>
    </row>
    <row r="3" spans="1:10" x14ac:dyDescent="0.25">
      <c r="A3" t="s">
        <v>60</v>
      </c>
      <c r="B3" s="14">
        <v>0.11899999999999999</v>
      </c>
      <c r="E3" s="14">
        <v>0.11899999999999999</v>
      </c>
      <c r="G3" s="15">
        <v>0.105</v>
      </c>
    </row>
    <row r="4" spans="1:10" x14ac:dyDescent="0.25">
      <c r="A4" t="s">
        <v>61</v>
      </c>
      <c r="B4" s="14">
        <v>0.114</v>
      </c>
      <c r="E4" s="14">
        <v>0.114</v>
      </c>
      <c r="G4" s="15">
        <v>0.108</v>
      </c>
    </row>
    <row r="5" spans="1:10" x14ac:dyDescent="0.25">
      <c r="A5" t="s">
        <v>62</v>
      </c>
      <c r="B5" s="14">
        <v>0.121</v>
      </c>
      <c r="E5" s="14">
        <v>0.121</v>
      </c>
      <c r="G5" s="15">
        <v>0.114</v>
      </c>
    </row>
    <row r="6" spans="1:10" x14ac:dyDescent="0.25">
      <c r="A6" t="s">
        <v>63</v>
      </c>
      <c r="B6" s="14">
        <v>0.126</v>
      </c>
      <c r="E6" s="14">
        <v>0.126</v>
      </c>
      <c r="G6" s="15">
        <v>0.11899999999999999</v>
      </c>
    </row>
    <row r="7" spans="1:10" x14ac:dyDescent="0.25">
      <c r="A7" t="s">
        <v>64</v>
      </c>
      <c r="B7" s="14">
        <v>0.13100000000000001</v>
      </c>
      <c r="E7" s="14">
        <v>0.13100000000000001</v>
      </c>
      <c r="G7" s="15">
        <v>0.12</v>
      </c>
    </row>
    <row r="8" spans="1:10" x14ac:dyDescent="0.25">
      <c r="A8" t="s">
        <v>65</v>
      </c>
      <c r="B8" s="14">
        <v>0.11899999999999999</v>
      </c>
      <c r="E8" s="14">
        <v>0.13900000000000001</v>
      </c>
      <c r="G8" s="15">
        <v>0.121</v>
      </c>
    </row>
    <row r="9" spans="1:10" x14ac:dyDescent="0.25">
      <c r="A9" t="s">
        <v>66</v>
      </c>
      <c r="B9" s="14">
        <v>0.13900000000000001</v>
      </c>
      <c r="E9" s="14">
        <v>0.14499999999999999</v>
      </c>
      <c r="G9" s="15">
        <v>0.126</v>
      </c>
    </row>
    <row r="10" spans="1:10" x14ac:dyDescent="0.25">
      <c r="A10" t="s">
        <v>67</v>
      </c>
      <c r="B10" s="14">
        <v>0.10299999999999999</v>
      </c>
      <c r="E10" s="14">
        <v>0.105</v>
      </c>
      <c r="G10" s="15">
        <v>0.127</v>
      </c>
    </row>
    <row r="11" spans="1:10" x14ac:dyDescent="0.25">
      <c r="A11" t="s">
        <v>68</v>
      </c>
      <c r="B11" s="14">
        <v>0.14499999999999999</v>
      </c>
      <c r="E11" s="14">
        <v>0.13400000000000001</v>
      </c>
      <c r="G11" s="15">
        <v>0.128</v>
      </c>
    </row>
    <row r="12" spans="1:10" x14ac:dyDescent="0.25">
      <c r="A12" t="s">
        <v>69</v>
      </c>
      <c r="B12" s="14">
        <v>0.105</v>
      </c>
      <c r="E12" s="14">
        <v>0.128</v>
      </c>
      <c r="G12" s="15">
        <v>0.13100000000000001</v>
      </c>
    </row>
    <row r="13" spans="1:10" x14ac:dyDescent="0.25">
      <c r="A13" t="s">
        <v>70</v>
      </c>
      <c r="B13" s="14">
        <v>0.13400000000000001</v>
      </c>
      <c r="E13" s="14">
        <v>0.12</v>
      </c>
      <c r="G13" s="15">
        <v>0.13400000000000001</v>
      </c>
    </row>
    <row r="14" spans="1:10" x14ac:dyDescent="0.25">
      <c r="A14" t="s">
        <v>71</v>
      </c>
      <c r="B14" s="14">
        <v>0.128</v>
      </c>
      <c r="E14" s="14">
        <v>0.127</v>
      </c>
      <c r="G14" s="15">
        <v>0.13900000000000001</v>
      </c>
    </row>
    <row r="15" spans="1:10" x14ac:dyDescent="0.25">
      <c r="A15" t="s">
        <v>72</v>
      </c>
      <c r="B15" s="14">
        <v>0.13100000000000001</v>
      </c>
      <c r="E15" s="14">
        <v>0.108</v>
      </c>
      <c r="G15" s="15">
        <v>0.14499999999999999</v>
      </c>
    </row>
    <row r="16" spans="1:10" x14ac:dyDescent="0.25">
      <c r="A16" t="s">
        <v>73</v>
      </c>
      <c r="B16" s="14">
        <v>0.114</v>
      </c>
      <c r="E16" s="20">
        <f>COUNT(E2:E15)</f>
        <v>14</v>
      </c>
      <c r="G16" s="20">
        <f>COUNT(G2:G15)</f>
        <v>14</v>
      </c>
    </row>
    <row r="17" spans="1:2" x14ac:dyDescent="0.25">
      <c r="A17" t="s">
        <v>74</v>
      </c>
      <c r="B17" s="14">
        <v>0.11899999999999999</v>
      </c>
    </row>
    <row r="18" spans="1:2" x14ac:dyDescent="0.25">
      <c r="A18" t="s">
        <v>75</v>
      </c>
      <c r="B18" s="14">
        <v>0.12</v>
      </c>
    </row>
    <row r="19" spans="1:2" x14ac:dyDescent="0.25">
      <c r="A19" t="s">
        <v>76</v>
      </c>
      <c r="B19" s="14">
        <v>0.127</v>
      </c>
    </row>
    <row r="20" spans="1:2" x14ac:dyDescent="0.25">
      <c r="A20" t="s">
        <v>77</v>
      </c>
      <c r="B20" s="14">
        <v>0.13100000000000001</v>
      </c>
    </row>
    <row r="21" spans="1:2" x14ac:dyDescent="0.25">
      <c r="A21" t="s">
        <v>78</v>
      </c>
      <c r="B21" s="14">
        <v>0.108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1B3-B9F5-4C76-B1E7-B9AD1B065549}">
  <dimension ref="A1:C5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3" max="3" width="13.42578125" bestFit="1" customWidth="1"/>
  </cols>
  <sheetData>
    <row r="1" spans="1:3" x14ac:dyDescent="0.25">
      <c r="A1" s="1" t="s">
        <v>274</v>
      </c>
      <c r="C1" s="13" t="s">
        <v>275</v>
      </c>
    </row>
    <row r="2" spans="1:3" x14ac:dyDescent="0.25">
      <c r="A2" t="s">
        <v>276</v>
      </c>
      <c r="C2" s="20" t="str">
        <f t="array" aca="1" ref="C2" ca="1">OFFSET(A2,MATCH(MAX(LEN(A2:A5)),LEN(A2:A5),0)-1,0)</f>
        <v>Açıklama 1231</v>
      </c>
    </row>
    <row r="3" spans="1:3" x14ac:dyDescent="0.25">
      <c r="A3" t="s">
        <v>277</v>
      </c>
    </row>
    <row r="4" spans="1:3" x14ac:dyDescent="0.25">
      <c r="A4" t="s">
        <v>278</v>
      </c>
    </row>
    <row r="5" spans="1:3" x14ac:dyDescent="0.25">
      <c r="A5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C300-458D-49BF-841E-701A5960F5E7}">
  <sheetPr codeName="Sheet12"/>
  <dimension ref="A1:F12"/>
  <sheetViews>
    <sheetView workbookViewId="0">
      <selection activeCell="F17" sqref="F17"/>
    </sheetView>
  </sheetViews>
  <sheetFormatPr defaultRowHeight="15" x14ac:dyDescent="0.25"/>
  <cols>
    <col min="5" max="5" width="10.28515625" bestFit="1" customWidth="1"/>
  </cols>
  <sheetData>
    <row r="1" spans="1:6" x14ac:dyDescent="0.25">
      <c r="A1" s="1" t="s">
        <v>53</v>
      </c>
      <c r="B1" s="16" t="s">
        <v>5</v>
      </c>
      <c r="C1" s="16" t="s">
        <v>107</v>
      </c>
      <c r="D1" s="16" t="s">
        <v>108</v>
      </c>
      <c r="E1" s="16" t="s">
        <v>280</v>
      </c>
      <c r="F1" s="19"/>
    </row>
    <row r="2" spans="1:6" x14ac:dyDescent="0.25">
      <c r="A2" t="s">
        <v>55</v>
      </c>
      <c r="B2" s="17" t="s">
        <v>59</v>
      </c>
      <c r="C2" s="17">
        <v>174</v>
      </c>
      <c r="D2" s="17">
        <f t="shared" ref="D2:D12" si="0">SUMPRODUCT((bölge=A2)*(C2&lt;rakam))+1</f>
        <v>2</v>
      </c>
      <c r="E2" s="17">
        <f t="shared" ref="E2:E12" si="1">SUMPRODUCT(--(bölge=A2),--(C2&gt;rakam))+1</f>
        <v>4</v>
      </c>
      <c r="F2" s="17"/>
    </row>
    <row r="3" spans="1:6" x14ac:dyDescent="0.25">
      <c r="A3" t="s">
        <v>55</v>
      </c>
      <c r="B3" s="17" t="s">
        <v>60</v>
      </c>
      <c r="C3" s="17">
        <v>163</v>
      </c>
      <c r="D3" s="17">
        <f t="shared" si="0"/>
        <v>3</v>
      </c>
      <c r="E3" s="17">
        <f t="shared" si="1"/>
        <v>3</v>
      </c>
      <c r="F3" s="17"/>
    </row>
    <row r="4" spans="1:6" x14ac:dyDescent="0.25">
      <c r="A4" t="s">
        <v>55</v>
      </c>
      <c r="B4" s="17" t="s">
        <v>61</v>
      </c>
      <c r="C4" s="17">
        <v>126</v>
      </c>
      <c r="D4" s="17">
        <f t="shared" si="0"/>
        <v>5</v>
      </c>
      <c r="E4" s="17">
        <f t="shared" si="1"/>
        <v>1</v>
      </c>
      <c r="F4" s="17"/>
    </row>
    <row r="5" spans="1:6" x14ac:dyDescent="0.25">
      <c r="A5" t="s">
        <v>55</v>
      </c>
      <c r="B5" s="17" t="s">
        <v>62</v>
      </c>
      <c r="C5" s="17">
        <v>139</v>
      </c>
      <c r="D5" s="17">
        <f t="shared" si="0"/>
        <v>4</v>
      </c>
      <c r="E5" s="17">
        <f t="shared" si="1"/>
        <v>2</v>
      </c>
      <c r="F5" s="17"/>
    </row>
    <row r="6" spans="1:6" x14ac:dyDescent="0.25">
      <c r="A6" t="s">
        <v>55</v>
      </c>
      <c r="B6" s="17" t="s">
        <v>63</v>
      </c>
      <c r="C6" s="17">
        <v>195</v>
      </c>
      <c r="D6" s="17">
        <f t="shared" si="0"/>
        <v>1</v>
      </c>
      <c r="E6" s="17">
        <f t="shared" si="1"/>
        <v>5</v>
      </c>
      <c r="F6" s="17"/>
    </row>
    <row r="7" spans="1:6" x14ac:dyDescent="0.25">
      <c r="A7" t="s">
        <v>56</v>
      </c>
      <c r="B7" s="17" t="s">
        <v>64</v>
      </c>
      <c r="C7" s="17">
        <v>159</v>
      </c>
      <c r="D7" s="17">
        <f t="shared" si="0"/>
        <v>2</v>
      </c>
      <c r="E7" s="17">
        <f t="shared" si="1"/>
        <v>5</v>
      </c>
      <c r="F7" s="17"/>
    </row>
    <row r="8" spans="1:6" x14ac:dyDescent="0.25">
      <c r="A8" t="s">
        <v>56</v>
      </c>
      <c r="B8" s="17" t="s">
        <v>65</v>
      </c>
      <c r="C8" s="17">
        <v>179</v>
      </c>
      <c r="D8" s="17">
        <f t="shared" si="0"/>
        <v>1</v>
      </c>
      <c r="E8" s="17">
        <f t="shared" si="1"/>
        <v>6</v>
      </c>
      <c r="F8" s="17"/>
    </row>
    <row r="9" spans="1:6" x14ac:dyDescent="0.25">
      <c r="A9" t="s">
        <v>56</v>
      </c>
      <c r="B9" s="17" t="s">
        <v>66</v>
      </c>
      <c r="C9" s="17">
        <v>138</v>
      </c>
      <c r="D9" s="17">
        <f t="shared" si="0"/>
        <v>4</v>
      </c>
      <c r="E9" s="17">
        <f t="shared" si="1"/>
        <v>3</v>
      </c>
      <c r="F9" s="17"/>
    </row>
    <row r="10" spans="1:6" x14ac:dyDescent="0.25">
      <c r="A10" t="s">
        <v>56</v>
      </c>
      <c r="B10" s="17" t="s">
        <v>67</v>
      </c>
      <c r="C10" s="17">
        <v>140</v>
      </c>
      <c r="D10" s="17">
        <f t="shared" si="0"/>
        <v>3</v>
      </c>
      <c r="E10" s="17">
        <f t="shared" si="1"/>
        <v>4</v>
      </c>
      <c r="F10" s="17"/>
    </row>
    <row r="11" spans="1:6" x14ac:dyDescent="0.25">
      <c r="A11" t="s">
        <v>56</v>
      </c>
      <c r="B11" s="17" t="s">
        <v>68</v>
      </c>
      <c r="C11" s="17">
        <v>124</v>
      </c>
      <c r="D11" s="17">
        <f t="shared" si="0"/>
        <v>5</v>
      </c>
      <c r="E11" s="17">
        <f t="shared" si="1"/>
        <v>2</v>
      </c>
      <c r="F11" s="17"/>
    </row>
    <row r="12" spans="1:6" x14ac:dyDescent="0.25">
      <c r="A12" t="s">
        <v>56</v>
      </c>
      <c r="B12" s="17" t="s">
        <v>69</v>
      </c>
      <c r="C12" s="17">
        <v>104</v>
      </c>
      <c r="D12" s="17">
        <f t="shared" si="0"/>
        <v>6</v>
      </c>
      <c r="E12" s="17">
        <f t="shared" si="1"/>
        <v>1</v>
      </c>
      <c r="F12" s="1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D421-D2F5-4BC6-A3B8-231ADDB44E6D}">
  <sheetPr codeName="Sheet9"/>
  <dimension ref="A1:I161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4</v>
      </c>
      <c r="B1" t="s">
        <v>6</v>
      </c>
      <c r="C1" t="s">
        <v>7</v>
      </c>
      <c r="D1" t="s">
        <v>11</v>
      </c>
      <c r="F1" s="74" t="s">
        <v>252</v>
      </c>
    </row>
    <row r="2" spans="1:9" x14ac:dyDescent="0.25">
      <c r="A2">
        <v>2</v>
      </c>
      <c r="B2" t="s">
        <v>10</v>
      </c>
      <c r="C2" s="72">
        <v>263</v>
      </c>
      <c r="D2">
        <v>30</v>
      </c>
      <c r="F2">
        <v>2</v>
      </c>
      <c r="G2" t="s">
        <v>10</v>
      </c>
      <c r="H2" s="20">
        <f t="array" aca="1" ref="H2" ca="1">SUM(SMALL(IF(A2:A161=F2,IF(B2:B161=G2,C2:C161)),ROW(INDIRECT(1&amp;":"&amp;3))))</f>
        <v>1034</v>
      </c>
    </row>
    <row r="3" spans="1:9" x14ac:dyDescent="0.25">
      <c r="A3">
        <v>2</v>
      </c>
      <c r="B3" t="s">
        <v>10</v>
      </c>
      <c r="C3" s="72">
        <v>290</v>
      </c>
      <c r="D3">
        <v>12</v>
      </c>
    </row>
    <row r="4" spans="1:9" x14ac:dyDescent="0.25">
      <c r="A4">
        <v>2</v>
      </c>
      <c r="B4" t="s">
        <v>10</v>
      </c>
      <c r="C4" s="72">
        <v>481</v>
      </c>
      <c r="D4">
        <v>34</v>
      </c>
    </row>
    <row r="5" spans="1:9" x14ac:dyDescent="0.25">
      <c r="A5">
        <v>2</v>
      </c>
      <c r="B5" t="s">
        <v>10</v>
      </c>
      <c r="C5" s="6">
        <v>505</v>
      </c>
      <c r="D5">
        <v>29</v>
      </c>
      <c r="F5" s="13" t="s">
        <v>251</v>
      </c>
    </row>
    <row r="6" spans="1:9" x14ac:dyDescent="0.25">
      <c r="A6">
        <v>2</v>
      </c>
      <c r="B6" t="s">
        <v>10</v>
      </c>
      <c r="C6" s="6">
        <v>827</v>
      </c>
      <c r="D6">
        <v>17</v>
      </c>
      <c r="F6" s="1" t="s">
        <v>5</v>
      </c>
      <c r="G6" s="1" t="s">
        <v>8</v>
      </c>
      <c r="H6" s="1" t="s">
        <v>7</v>
      </c>
      <c r="I6" s="1" t="s">
        <v>16</v>
      </c>
    </row>
    <row r="7" spans="1:9" x14ac:dyDescent="0.25">
      <c r="A7">
        <v>2</v>
      </c>
      <c r="B7" t="s">
        <v>10</v>
      </c>
      <c r="C7" s="6">
        <v>1244</v>
      </c>
      <c r="D7">
        <v>21</v>
      </c>
      <c r="F7">
        <v>2</v>
      </c>
      <c r="G7" t="s">
        <v>10</v>
      </c>
      <c r="H7" s="20">
        <f t="array" ref="H7">SUMPRODUCT(($A$2:$A$161=F7)*($B$2:$B$161=G7)*($C$2:$C$161)*($C$2:$C$161&gt;SMALL(IF($A$2:$A$161=F7,IF($B$2:$B$161=G7,$C$2:$C$161)),3))*($C$2:$C$161&lt;LARGE(IF($A$2:$A$161=F7,IF($B$2:$B$161=G7,$C$2:$C$161)),3)))</f>
        <v>2576</v>
      </c>
      <c r="I7" t="s">
        <v>249</v>
      </c>
    </row>
    <row r="8" spans="1:9" x14ac:dyDescent="0.25">
      <c r="A8">
        <v>2</v>
      </c>
      <c r="B8" t="s">
        <v>10</v>
      </c>
      <c r="C8" s="73">
        <v>1478</v>
      </c>
      <c r="D8">
        <v>38</v>
      </c>
      <c r="H8" s="20">
        <f t="array" aca="1" ref="H8" ca="1">SUMIFS(C:C,A:A,F7,B:B,G7)-SUM(SMALL(IF(A2:A161=F7,IF(B2:B161=G7,C2:C161)),ROW(INDIRECT(1&amp;":"&amp;3))))-SUM(LARGE(IF(A2:A161=F7,IF(B2:B161=G7,C2:C161)),ROW(INDIRECT(1&amp;":"&amp;3))))</f>
        <v>2576</v>
      </c>
      <c r="I8" t="s">
        <v>250</v>
      </c>
    </row>
    <row r="9" spans="1:9" x14ac:dyDescent="0.25">
      <c r="A9">
        <v>2</v>
      </c>
      <c r="B9" t="s">
        <v>10</v>
      </c>
      <c r="C9" s="73">
        <v>1558</v>
      </c>
      <c r="D9">
        <v>3</v>
      </c>
    </row>
    <row r="10" spans="1:9" x14ac:dyDescent="0.25">
      <c r="A10">
        <v>2</v>
      </c>
      <c r="B10" t="s">
        <v>10</v>
      </c>
      <c r="C10" s="73">
        <v>2166</v>
      </c>
      <c r="D10">
        <v>7</v>
      </c>
      <c r="F10" s="13" t="s">
        <v>281</v>
      </c>
    </row>
    <row r="11" spans="1:9" x14ac:dyDescent="0.25">
      <c r="A11">
        <v>2</v>
      </c>
      <c r="B11" t="s">
        <v>9</v>
      </c>
      <c r="C11" s="73">
        <v>880</v>
      </c>
      <c r="D11">
        <v>37</v>
      </c>
      <c r="F11" s="13" t="s">
        <v>5</v>
      </c>
      <c r="G11" s="13" t="s">
        <v>282</v>
      </c>
      <c r="H11" s="13" t="s">
        <v>283</v>
      </c>
    </row>
    <row r="12" spans="1:9" x14ac:dyDescent="0.25">
      <c r="A12">
        <v>2</v>
      </c>
      <c r="B12" t="s">
        <v>9</v>
      </c>
      <c r="C12" s="5">
        <v>1238</v>
      </c>
      <c r="D12">
        <v>45</v>
      </c>
      <c r="F12">
        <v>2</v>
      </c>
      <c r="G12" s="28">
        <f t="array" aca="1" ref="G12" ca="1">SUMIFS(C:C,A:A,F12,B:B,G$11)-SUM(SMALL(IF($A$2:$A$161=F12,IF($B$2:$B$161=G$11,$C$2:$C$161)),ROW(INDIRECT(1&amp;":"&amp;3))))-SUM(LARGE(IF($A$2:$A$161=F12,IF($B$2:$B$161=G$11,$C$2:$C$161)),ROW(INDIRECT(1&amp;":"&amp;3))))</f>
        <v>2576</v>
      </c>
      <c r="H12" s="28">
        <f t="array" aca="1" ref="H12" ca="1">SUMIFS(C:C,A:A,F12,B:B,H$11)-SUM(SMALL(IF($A$2:$A$161=F12,IF($B$2:$B$161=H$11,$C$2:$C$161)),ROW(INDIRECT(1&amp;":"&amp;3))))-SUM(LARGE(IF($A$2:$A$161=F12,IF($B$2:$B$161=H$11,$C$2:$C$161)),ROW(INDIRECT(1&amp;":"&amp;3))))</f>
        <v>1554</v>
      </c>
    </row>
    <row r="13" spans="1:9" x14ac:dyDescent="0.25">
      <c r="A13">
        <v>2</v>
      </c>
      <c r="B13" t="s">
        <v>9</v>
      </c>
      <c r="C13" s="5">
        <v>1474</v>
      </c>
      <c r="D13">
        <v>42</v>
      </c>
      <c r="F13">
        <v>3</v>
      </c>
      <c r="G13" s="28">
        <f t="array" aca="1" ref="G13" ca="1">SUMIFS(C:C,A:A,F13,B:B,G$11)-SUM(SMALL(IF($A$2:$A$161=F13,IF($B$2:$B$161=G$11,$C$2:$C$161)),ROW(INDIRECT(1&amp;":"&amp;3))))-SUM(LARGE(IF($A$2:$A$161=F13,IF($B$2:$B$161=G$11,$C$2:$C$161)),ROW(INDIRECT(1&amp;":"&amp;3))))</f>
        <v>6325</v>
      </c>
      <c r="H13" s="28">
        <f t="array" aca="1" ref="H13" ca="1">SUMIFS(C:C,A:A,F13,B:B,H$11)-SUM(SMALL(IF($A$2:$A$161=F13,IF($B$2:$B$161=H$11,$C$2:$C$161)),ROW(INDIRECT(1&amp;":"&amp;3))))-SUM(LARGE(IF($A$2:$A$161=F13,IF($B$2:$B$161=H$11,$C$2:$C$161)),ROW(INDIRECT(1&amp;":"&amp;3))))</f>
        <v>12209</v>
      </c>
    </row>
    <row r="14" spans="1:9" x14ac:dyDescent="0.25">
      <c r="A14">
        <v>2</v>
      </c>
      <c r="B14" t="s">
        <v>9</v>
      </c>
      <c r="C14" s="5">
        <v>1554</v>
      </c>
      <c r="D14">
        <v>4</v>
      </c>
      <c r="F14">
        <v>4</v>
      </c>
      <c r="G14" s="28">
        <f t="array" aca="1" ref="G14" ca="1">SUMIFS(C:C,A:A,F14,B:B,G$11)-SUM(SMALL(IF($A$2:$A$161=F14,IF($B$2:$B$161=G$11,$C$2:$C$161)),ROW(INDIRECT(1&amp;":"&amp;3))))-SUM(LARGE(IF($A$2:$A$161=F14,IF($B$2:$B$161=G$11,$C$2:$C$161)),ROW(INDIRECT(1&amp;":"&amp;3))))</f>
        <v>27840</v>
      </c>
      <c r="H14" s="28">
        <f t="array" aca="1" ref="H14" ca="1">SUMIFS(C:C,A:A,F14,B:B,H$11)-SUM(SMALL(IF($A$2:$A$161=F14,IF($B$2:$B$161=H$11,$C$2:$C$161)),ROW(INDIRECT(1&amp;":"&amp;3))))-SUM(LARGE(IF($A$2:$A$161=F14,IF($B$2:$B$161=H$11,$C$2:$C$161)),ROW(INDIRECT(1&amp;":"&amp;3))))</f>
        <v>52866</v>
      </c>
    </row>
    <row r="15" spans="1:9" x14ac:dyDescent="0.25">
      <c r="A15">
        <v>2</v>
      </c>
      <c r="B15" t="s">
        <v>9</v>
      </c>
      <c r="C15" s="5">
        <v>2070</v>
      </c>
      <c r="D15">
        <v>25</v>
      </c>
      <c r="F15">
        <v>5</v>
      </c>
      <c r="G15" s="28">
        <f t="array" aca="1" ref="G15" ca="1">SUMIFS(C:C,A:A,F15,B:B,G$11)-SUM(SMALL(IF($A$2:$A$161=F15,IF($B$2:$B$161=G$11,$C$2:$C$161)),ROW(INDIRECT(1&amp;":"&amp;3))))-SUM(LARGE(IF($A$2:$A$161=F15,IF($B$2:$B$161=G$11,$C$2:$C$161)),ROW(INDIRECT(1&amp;":"&amp;3))))</f>
        <v>13425</v>
      </c>
      <c r="H15" s="28">
        <f t="array" aca="1" ref="H15" ca="1">SUMIFS(C:C,A:A,F15,B:B,H$11)-SUM(SMALL(IF($A$2:$A$161=F15,IF($B$2:$B$161=H$11,$C$2:$C$161)),ROW(INDIRECT(1&amp;":"&amp;3))))-SUM(LARGE(IF($A$2:$A$161=F15,IF($B$2:$B$161=H$11,$C$2:$C$161)),ROW(INDIRECT(1&amp;":"&amp;3))))</f>
        <v>20257</v>
      </c>
    </row>
    <row r="16" spans="1:9" x14ac:dyDescent="0.25">
      <c r="A16">
        <v>2</v>
      </c>
      <c r="B16" t="s">
        <v>9</v>
      </c>
      <c r="C16" s="5">
        <v>2080</v>
      </c>
      <c r="D16">
        <v>9</v>
      </c>
      <c r="F16">
        <v>6</v>
      </c>
      <c r="G16" s="28">
        <f t="array" aca="1" ref="G16" ca="1">SUMIFS(C:C,A:A,F16,B:B,G$11)-SUM(SMALL(IF($A$2:$A$161=F16,IF($B$2:$B$161=G$11,$C$2:$C$161)),ROW(INDIRECT(1&amp;":"&amp;3))))-SUM(LARGE(IF($A$2:$A$161=F16,IF($B$2:$B$161=G$11,$C$2:$C$161)),ROW(INDIRECT(1&amp;":"&amp;3))))</f>
        <v>52311</v>
      </c>
      <c r="H16" s="28">
        <f t="array" aca="1" ref="H16" ca="1">SUMIFS(C:C,A:A,F16,B:B,H$11)-SUM(SMALL(IF($A$2:$A$161=F16,IF($B$2:$B$161=H$11,$C$2:$C$161)),ROW(INDIRECT(1&amp;":"&amp;3))))-SUM(LARGE(IF($A$2:$A$161=F16,IF($B$2:$B$161=H$11,$C$2:$C$161)),ROW(INDIRECT(1&amp;":"&amp;3))))</f>
        <v>81344</v>
      </c>
    </row>
    <row r="17" spans="1:4" x14ac:dyDescent="0.25">
      <c r="A17">
        <v>2</v>
      </c>
      <c r="B17" t="s">
        <v>9</v>
      </c>
      <c r="C17" s="5">
        <v>2080</v>
      </c>
      <c r="D17">
        <v>36</v>
      </c>
    </row>
    <row r="18" spans="1:4" x14ac:dyDescent="0.25">
      <c r="A18">
        <v>3</v>
      </c>
      <c r="B18" t="s">
        <v>10</v>
      </c>
      <c r="C18">
        <v>739</v>
      </c>
      <c r="D18">
        <v>62</v>
      </c>
    </row>
    <row r="19" spans="1:4" x14ac:dyDescent="0.25">
      <c r="A19">
        <v>3</v>
      </c>
      <c r="B19" t="s">
        <v>10</v>
      </c>
      <c r="C19">
        <v>1079</v>
      </c>
      <c r="D19">
        <v>61</v>
      </c>
    </row>
    <row r="20" spans="1:4" x14ac:dyDescent="0.25">
      <c r="A20">
        <v>3</v>
      </c>
      <c r="B20" t="s">
        <v>10</v>
      </c>
      <c r="C20">
        <v>1725</v>
      </c>
      <c r="D20">
        <v>56</v>
      </c>
    </row>
    <row r="21" spans="1:4" x14ac:dyDescent="0.25">
      <c r="A21">
        <v>3</v>
      </c>
      <c r="B21" t="s">
        <v>10</v>
      </c>
      <c r="C21" s="5">
        <v>1757</v>
      </c>
      <c r="D21">
        <v>47</v>
      </c>
    </row>
    <row r="22" spans="1:4" x14ac:dyDescent="0.25">
      <c r="A22">
        <v>3</v>
      </c>
      <c r="B22" t="s">
        <v>10</v>
      </c>
      <c r="C22" s="5">
        <v>2043</v>
      </c>
      <c r="D22">
        <v>46</v>
      </c>
    </row>
    <row r="23" spans="1:4" x14ac:dyDescent="0.25">
      <c r="A23">
        <v>3</v>
      </c>
      <c r="B23" t="s">
        <v>10</v>
      </c>
      <c r="C23">
        <v>2525</v>
      </c>
      <c r="D23">
        <v>59</v>
      </c>
    </row>
    <row r="24" spans="1:4" x14ac:dyDescent="0.25">
      <c r="A24">
        <v>3</v>
      </c>
      <c r="B24" t="s">
        <v>10</v>
      </c>
      <c r="C24" s="5">
        <v>3507</v>
      </c>
      <c r="D24">
        <v>49</v>
      </c>
    </row>
    <row r="25" spans="1:4" x14ac:dyDescent="0.25">
      <c r="A25">
        <v>3</v>
      </c>
      <c r="B25" t="s">
        <v>10</v>
      </c>
      <c r="C25">
        <v>3651</v>
      </c>
      <c r="D25">
        <v>64</v>
      </c>
    </row>
    <row r="26" spans="1:4" x14ac:dyDescent="0.25">
      <c r="A26">
        <v>3</v>
      </c>
      <c r="B26" t="s">
        <v>10</v>
      </c>
      <c r="C26">
        <v>4304</v>
      </c>
      <c r="D26">
        <v>53</v>
      </c>
    </row>
    <row r="27" spans="1:4" x14ac:dyDescent="0.25">
      <c r="A27">
        <v>3</v>
      </c>
      <c r="B27" t="s">
        <v>9</v>
      </c>
      <c r="C27">
        <v>379</v>
      </c>
      <c r="D27">
        <v>52</v>
      </c>
    </row>
    <row r="28" spans="1:4" x14ac:dyDescent="0.25">
      <c r="A28">
        <v>3</v>
      </c>
      <c r="B28" t="s">
        <v>9</v>
      </c>
      <c r="C28">
        <v>773</v>
      </c>
      <c r="D28">
        <v>57</v>
      </c>
    </row>
    <row r="29" spans="1:4" x14ac:dyDescent="0.25">
      <c r="A29">
        <v>3</v>
      </c>
      <c r="B29" t="s">
        <v>9</v>
      </c>
      <c r="C29">
        <v>889</v>
      </c>
      <c r="D29">
        <v>66</v>
      </c>
    </row>
    <row r="30" spans="1:4" x14ac:dyDescent="0.25">
      <c r="A30">
        <v>3</v>
      </c>
      <c r="B30" t="s">
        <v>9</v>
      </c>
      <c r="C30">
        <v>1011</v>
      </c>
      <c r="D30">
        <v>54</v>
      </c>
    </row>
    <row r="31" spans="1:4" x14ac:dyDescent="0.25">
      <c r="A31">
        <v>3</v>
      </c>
      <c r="B31" t="s">
        <v>9</v>
      </c>
      <c r="C31">
        <v>1495</v>
      </c>
      <c r="D31">
        <v>65</v>
      </c>
    </row>
    <row r="32" spans="1:4" x14ac:dyDescent="0.25">
      <c r="A32">
        <v>3</v>
      </c>
      <c r="B32" t="s">
        <v>9</v>
      </c>
      <c r="C32" s="5">
        <v>1513</v>
      </c>
      <c r="D32">
        <v>48</v>
      </c>
    </row>
    <row r="33" spans="1:4" x14ac:dyDescent="0.25">
      <c r="A33">
        <v>3</v>
      </c>
      <c r="B33" t="s">
        <v>9</v>
      </c>
      <c r="C33">
        <v>1975</v>
      </c>
      <c r="D33">
        <v>58</v>
      </c>
    </row>
    <row r="34" spans="1:4" x14ac:dyDescent="0.25">
      <c r="A34">
        <v>3</v>
      </c>
      <c r="B34" t="s">
        <v>9</v>
      </c>
      <c r="C34">
        <v>3096</v>
      </c>
      <c r="D34">
        <v>63</v>
      </c>
    </row>
    <row r="35" spans="1:4" x14ac:dyDescent="0.25">
      <c r="A35">
        <v>3</v>
      </c>
      <c r="B35" t="s">
        <v>9</v>
      </c>
      <c r="C35">
        <v>3119</v>
      </c>
      <c r="D35">
        <v>55</v>
      </c>
    </row>
    <row r="36" spans="1:4" x14ac:dyDescent="0.25">
      <c r="A36">
        <v>3</v>
      </c>
      <c r="B36" t="s">
        <v>9</v>
      </c>
      <c r="C36">
        <v>3244</v>
      </c>
      <c r="D36">
        <v>51</v>
      </c>
    </row>
    <row r="37" spans="1:4" x14ac:dyDescent="0.25">
      <c r="A37">
        <v>3</v>
      </c>
      <c r="B37" t="s">
        <v>9</v>
      </c>
      <c r="C37" s="5">
        <v>3644</v>
      </c>
      <c r="D37">
        <v>50</v>
      </c>
    </row>
    <row r="38" spans="1:4" x14ac:dyDescent="0.25">
      <c r="A38">
        <v>3</v>
      </c>
      <c r="B38" t="s">
        <v>9</v>
      </c>
      <c r="C38">
        <v>4991</v>
      </c>
      <c r="D38">
        <v>60</v>
      </c>
    </row>
    <row r="39" spans="1:4" x14ac:dyDescent="0.25">
      <c r="A39">
        <v>4</v>
      </c>
      <c r="B39" t="s">
        <v>10</v>
      </c>
      <c r="C39">
        <v>722</v>
      </c>
      <c r="D39">
        <v>79</v>
      </c>
    </row>
    <row r="40" spans="1:4" x14ac:dyDescent="0.25">
      <c r="A40">
        <v>4</v>
      </c>
      <c r="B40" t="s">
        <v>10</v>
      </c>
      <c r="C40">
        <v>801</v>
      </c>
      <c r="D40">
        <v>95</v>
      </c>
    </row>
    <row r="41" spans="1:4" x14ac:dyDescent="0.25">
      <c r="A41">
        <v>4</v>
      </c>
      <c r="B41" t="s">
        <v>10</v>
      </c>
      <c r="C41">
        <v>1149</v>
      </c>
      <c r="D41">
        <v>68</v>
      </c>
    </row>
    <row r="42" spans="1:4" x14ac:dyDescent="0.25">
      <c r="A42">
        <v>4</v>
      </c>
      <c r="B42" t="s">
        <v>10</v>
      </c>
      <c r="C42">
        <v>1171</v>
      </c>
      <c r="D42">
        <v>97</v>
      </c>
    </row>
    <row r="43" spans="1:4" x14ac:dyDescent="0.25">
      <c r="A43">
        <v>4</v>
      </c>
      <c r="B43" t="s">
        <v>10</v>
      </c>
      <c r="C43">
        <v>1183</v>
      </c>
      <c r="D43">
        <v>89</v>
      </c>
    </row>
    <row r="44" spans="1:4" x14ac:dyDescent="0.25">
      <c r="A44">
        <v>4</v>
      </c>
      <c r="B44" t="s">
        <v>10</v>
      </c>
      <c r="C44">
        <v>1267</v>
      </c>
      <c r="D44">
        <v>77</v>
      </c>
    </row>
    <row r="45" spans="1:4" x14ac:dyDescent="0.25">
      <c r="A45">
        <v>4</v>
      </c>
      <c r="B45" t="s">
        <v>10</v>
      </c>
      <c r="C45">
        <v>1290</v>
      </c>
      <c r="D45">
        <v>86</v>
      </c>
    </row>
    <row r="46" spans="1:4" x14ac:dyDescent="0.25">
      <c r="A46">
        <v>4</v>
      </c>
      <c r="B46" t="s">
        <v>10</v>
      </c>
      <c r="C46">
        <v>1753</v>
      </c>
      <c r="D46">
        <v>67</v>
      </c>
    </row>
    <row r="47" spans="1:4" x14ac:dyDescent="0.25">
      <c r="A47">
        <v>4</v>
      </c>
      <c r="B47" t="s">
        <v>10</v>
      </c>
      <c r="C47">
        <v>2097</v>
      </c>
      <c r="D47">
        <v>92</v>
      </c>
    </row>
    <row r="48" spans="1:4" x14ac:dyDescent="0.25">
      <c r="A48">
        <v>4</v>
      </c>
      <c r="B48" t="s">
        <v>10</v>
      </c>
      <c r="C48">
        <v>2622</v>
      </c>
      <c r="D48">
        <v>101</v>
      </c>
    </row>
    <row r="49" spans="1:4" x14ac:dyDescent="0.25">
      <c r="A49">
        <v>4</v>
      </c>
      <c r="B49" t="s">
        <v>10</v>
      </c>
      <c r="C49">
        <v>2908</v>
      </c>
      <c r="D49">
        <v>80</v>
      </c>
    </row>
    <row r="50" spans="1:4" x14ac:dyDescent="0.25">
      <c r="A50">
        <v>4</v>
      </c>
      <c r="B50" t="s">
        <v>10</v>
      </c>
      <c r="C50">
        <v>2996</v>
      </c>
      <c r="D50">
        <v>100</v>
      </c>
    </row>
    <row r="51" spans="1:4" x14ac:dyDescent="0.25">
      <c r="A51">
        <v>4</v>
      </c>
      <c r="B51" t="s">
        <v>10</v>
      </c>
      <c r="C51">
        <v>3446</v>
      </c>
      <c r="D51">
        <v>74</v>
      </c>
    </row>
    <row r="52" spans="1:4" x14ac:dyDescent="0.25">
      <c r="A52">
        <v>4</v>
      </c>
      <c r="B52" t="s">
        <v>10</v>
      </c>
      <c r="C52">
        <v>3522</v>
      </c>
      <c r="D52">
        <v>107</v>
      </c>
    </row>
    <row r="53" spans="1:4" x14ac:dyDescent="0.25">
      <c r="A53">
        <v>4</v>
      </c>
      <c r="B53" t="s">
        <v>10</v>
      </c>
      <c r="C53">
        <v>3585</v>
      </c>
      <c r="D53">
        <v>94</v>
      </c>
    </row>
    <row r="54" spans="1:4" x14ac:dyDescent="0.25">
      <c r="A54">
        <v>4</v>
      </c>
      <c r="B54" t="s">
        <v>10</v>
      </c>
      <c r="C54">
        <v>3746</v>
      </c>
      <c r="D54">
        <v>104</v>
      </c>
    </row>
    <row r="55" spans="1:4" x14ac:dyDescent="0.25">
      <c r="A55">
        <v>4</v>
      </c>
      <c r="B55" t="s">
        <v>10</v>
      </c>
      <c r="C55">
        <v>4121</v>
      </c>
      <c r="D55">
        <v>82</v>
      </c>
    </row>
    <row r="56" spans="1:4" x14ac:dyDescent="0.25">
      <c r="A56">
        <v>4</v>
      </c>
      <c r="B56" t="s">
        <v>10</v>
      </c>
      <c r="C56">
        <v>4754</v>
      </c>
      <c r="D56">
        <v>71</v>
      </c>
    </row>
    <row r="57" spans="1:4" x14ac:dyDescent="0.25">
      <c r="A57">
        <v>4</v>
      </c>
      <c r="B57" t="s">
        <v>9</v>
      </c>
      <c r="C57">
        <v>102</v>
      </c>
      <c r="D57">
        <v>78</v>
      </c>
    </row>
    <row r="58" spans="1:4" x14ac:dyDescent="0.25">
      <c r="A58">
        <v>4</v>
      </c>
      <c r="B58" t="s">
        <v>9</v>
      </c>
      <c r="C58">
        <v>878</v>
      </c>
      <c r="D58">
        <v>81</v>
      </c>
    </row>
    <row r="59" spans="1:4" x14ac:dyDescent="0.25">
      <c r="A59">
        <v>4</v>
      </c>
      <c r="B59" t="s">
        <v>9</v>
      </c>
      <c r="C59">
        <v>1057</v>
      </c>
      <c r="D59">
        <v>72</v>
      </c>
    </row>
    <row r="60" spans="1:4" x14ac:dyDescent="0.25">
      <c r="A60">
        <v>4</v>
      </c>
      <c r="B60" t="s">
        <v>9</v>
      </c>
      <c r="C60">
        <v>1249</v>
      </c>
      <c r="D60">
        <v>69</v>
      </c>
    </row>
    <row r="61" spans="1:4" x14ac:dyDescent="0.25">
      <c r="A61">
        <v>4</v>
      </c>
      <c r="B61" t="s">
        <v>9</v>
      </c>
      <c r="C61">
        <v>1471</v>
      </c>
      <c r="D61">
        <v>83</v>
      </c>
    </row>
    <row r="62" spans="1:4" x14ac:dyDescent="0.25">
      <c r="A62">
        <v>4</v>
      </c>
      <c r="B62" t="s">
        <v>9</v>
      </c>
      <c r="C62">
        <v>1700</v>
      </c>
      <c r="D62">
        <v>103</v>
      </c>
    </row>
    <row r="63" spans="1:4" x14ac:dyDescent="0.25">
      <c r="A63">
        <v>4</v>
      </c>
      <c r="B63" t="s">
        <v>9</v>
      </c>
      <c r="C63">
        <v>1862</v>
      </c>
      <c r="D63">
        <v>105</v>
      </c>
    </row>
    <row r="64" spans="1:4" x14ac:dyDescent="0.25">
      <c r="A64">
        <v>4</v>
      </c>
      <c r="B64" t="s">
        <v>9</v>
      </c>
      <c r="C64">
        <v>2008</v>
      </c>
      <c r="D64">
        <v>70</v>
      </c>
    </row>
    <row r="65" spans="1:4" x14ac:dyDescent="0.25">
      <c r="A65">
        <v>4</v>
      </c>
      <c r="B65" t="s">
        <v>9</v>
      </c>
      <c r="C65">
        <v>2525</v>
      </c>
      <c r="D65">
        <v>91</v>
      </c>
    </row>
    <row r="66" spans="1:4" x14ac:dyDescent="0.25">
      <c r="A66">
        <v>4</v>
      </c>
      <c r="B66" t="s">
        <v>9</v>
      </c>
      <c r="C66">
        <v>2608</v>
      </c>
      <c r="D66">
        <v>88</v>
      </c>
    </row>
    <row r="67" spans="1:4" x14ac:dyDescent="0.25">
      <c r="A67">
        <v>4</v>
      </c>
      <c r="B67" t="s">
        <v>9</v>
      </c>
      <c r="C67">
        <v>3301</v>
      </c>
      <c r="D67">
        <v>98</v>
      </c>
    </row>
    <row r="68" spans="1:4" x14ac:dyDescent="0.25">
      <c r="A68">
        <v>4</v>
      </c>
      <c r="B68" t="s">
        <v>9</v>
      </c>
      <c r="C68">
        <v>3430</v>
      </c>
      <c r="D68">
        <v>87</v>
      </c>
    </row>
    <row r="69" spans="1:4" x14ac:dyDescent="0.25">
      <c r="A69">
        <v>4</v>
      </c>
      <c r="B69" t="s">
        <v>9</v>
      </c>
      <c r="C69">
        <v>3431</v>
      </c>
      <c r="D69">
        <v>106</v>
      </c>
    </row>
    <row r="70" spans="1:4" x14ac:dyDescent="0.25">
      <c r="A70">
        <v>4</v>
      </c>
      <c r="B70" t="s">
        <v>9</v>
      </c>
      <c r="C70">
        <v>3835</v>
      </c>
      <c r="D70">
        <v>90</v>
      </c>
    </row>
    <row r="71" spans="1:4" x14ac:dyDescent="0.25">
      <c r="A71">
        <v>4</v>
      </c>
      <c r="B71" t="s">
        <v>9</v>
      </c>
      <c r="C71">
        <v>3857</v>
      </c>
      <c r="D71">
        <v>93</v>
      </c>
    </row>
    <row r="72" spans="1:4" x14ac:dyDescent="0.25">
      <c r="A72">
        <v>4</v>
      </c>
      <c r="B72" t="s">
        <v>9</v>
      </c>
      <c r="C72">
        <v>4049</v>
      </c>
      <c r="D72">
        <v>102</v>
      </c>
    </row>
    <row r="73" spans="1:4" x14ac:dyDescent="0.25">
      <c r="A73">
        <v>4</v>
      </c>
      <c r="B73" t="s">
        <v>9</v>
      </c>
      <c r="C73">
        <v>4152</v>
      </c>
      <c r="D73">
        <v>73</v>
      </c>
    </row>
    <row r="74" spans="1:4" x14ac:dyDescent="0.25">
      <c r="A74">
        <v>4</v>
      </c>
      <c r="B74" t="s">
        <v>9</v>
      </c>
      <c r="C74">
        <v>4357</v>
      </c>
      <c r="D74">
        <v>75</v>
      </c>
    </row>
    <row r="75" spans="1:4" x14ac:dyDescent="0.25">
      <c r="A75">
        <v>4</v>
      </c>
      <c r="B75" t="s">
        <v>9</v>
      </c>
      <c r="C75">
        <v>4395</v>
      </c>
      <c r="D75">
        <v>96</v>
      </c>
    </row>
    <row r="76" spans="1:4" x14ac:dyDescent="0.25">
      <c r="A76">
        <v>4</v>
      </c>
      <c r="B76" t="s">
        <v>9</v>
      </c>
      <c r="C76">
        <v>4636</v>
      </c>
      <c r="D76">
        <v>99</v>
      </c>
    </row>
    <row r="77" spans="1:4" x14ac:dyDescent="0.25">
      <c r="A77">
        <v>4</v>
      </c>
      <c r="B77" t="s">
        <v>9</v>
      </c>
      <c r="C77">
        <v>4790</v>
      </c>
      <c r="D77">
        <v>76</v>
      </c>
    </row>
    <row r="78" spans="1:4" x14ac:dyDescent="0.25">
      <c r="A78">
        <v>4</v>
      </c>
      <c r="B78" t="s">
        <v>9</v>
      </c>
      <c r="C78">
        <v>4812</v>
      </c>
      <c r="D78">
        <v>85</v>
      </c>
    </row>
    <row r="79" spans="1:4" x14ac:dyDescent="0.25">
      <c r="A79">
        <v>4</v>
      </c>
      <c r="B79" t="s">
        <v>9</v>
      </c>
      <c r="C79">
        <v>4825</v>
      </c>
      <c r="D79">
        <v>84</v>
      </c>
    </row>
    <row r="80" spans="1:4" x14ac:dyDescent="0.25">
      <c r="A80">
        <v>5</v>
      </c>
      <c r="B80" t="s">
        <v>10</v>
      </c>
      <c r="C80">
        <v>492</v>
      </c>
      <c r="D80">
        <v>110</v>
      </c>
    </row>
    <row r="81" spans="1:4" x14ac:dyDescent="0.25">
      <c r="A81">
        <v>5</v>
      </c>
      <c r="B81" t="s">
        <v>10</v>
      </c>
      <c r="C81">
        <v>1062</v>
      </c>
      <c r="D81">
        <v>112</v>
      </c>
    </row>
    <row r="82" spans="1:4" x14ac:dyDescent="0.25">
      <c r="A82">
        <v>5</v>
      </c>
      <c r="B82" t="s">
        <v>10</v>
      </c>
      <c r="C82">
        <v>2246</v>
      </c>
      <c r="D82">
        <v>130</v>
      </c>
    </row>
    <row r="83" spans="1:4" x14ac:dyDescent="0.25">
      <c r="A83">
        <v>5</v>
      </c>
      <c r="B83" t="s">
        <v>10</v>
      </c>
      <c r="C83">
        <v>2904</v>
      </c>
      <c r="D83">
        <v>125</v>
      </c>
    </row>
    <row r="84" spans="1:4" x14ac:dyDescent="0.25">
      <c r="A84">
        <v>5</v>
      </c>
      <c r="B84" t="s">
        <v>10</v>
      </c>
      <c r="C84">
        <v>3373</v>
      </c>
      <c r="D84">
        <v>122</v>
      </c>
    </row>
    <row r="85" spans="1:4" x14ac:dyDescent="0.25">
      <c r="A85">
        <v>5</v>
      </c>
      <c r="B85" t="s">
        <v>10</v>
      </c>
      <c r="C85">
        <v>3545</v>
      </c>
      <c r="D85">
        <v>113</v>
      </c>
    </row>
    <row r="86" spans="1:4" x14ac:dyDescent="0.25">
      <c r="A86">
        <v>5</v>
      </c>
      <c r="B86" t="s">
        <v>10</v>
      </c>
      <c r="C86">
        <v>3603</v>
      </c>
      <c r="D86">
        <v>119</v>
      </c>
    </row>
    <row r="87" spans="1:4" x14ac:dyDescent="0.25">
      <c r="A87">
        <v>5</v>
      </c>
      <c r="B87" t="s">
        <v>10</v>
      </c>
      <c r="C87">
        <v>4343</v>
      </c>
      <c r="D87">
        <v>127</v>
      </c>
    </row>
    <row r="88" spans="1:4" x14ac:dyDescent="0.25">
      <c r="A88">
        <v>5</v>
      </c>
      <c r="B88" t="s">
        <v>10</v>
      </c>
      <c r="C88">
        <v>4499</v>
      </c>
      <c r="D88">
        <v>115</v>
      </c>
    </row>
    <row r="89" spans="1:4" x14ac:dyDescent="0.25">
      <c r="A89">
        <v>5</v>
      </c>
      <c r="B89" t="s">
        <v>10</v>
      </c>
      <c r="C89">
        <v>4907</v>
      </c>
      <c r="D89">
        <v>128</v>
      </c>
    </row>
    <row r="90" spans="1:4" x14ac:dyDescent="0.25">
      <c r="A90">
        <v>5</v>
      </c>
      <c r="B90" t="s">
        <v>9</v>
      </c>
      <c r="C90">
        <v>123</v>
      </c>
      <c r="D90">
        <v>111</v>
      </c>
    </row>
    <row r="91" spans="1:4" x14ac:dyDescent="0.25">
      <c r="A91">
        <v>5</v>
      </c>
      <c r="B91" t="s">
        <v>9</v>
      </c>
      <c r="C91">
        <v>128</v>
      </c>
      <c r="D91">
        <v>109</v>
      </c>
    </row>
    <row r="92" spans="1:4" x14ac:dyDescent="0.25">
      <c r="A92">
        <v>5</v>
      </c>
      <c r="B92" t="s">
        <v>9</v>
      </c>
      <c r="C92">
        <v>552</v>
      </c>
      <c r="D92">
        <v>120</v>
      </c>
    </row>
    <row r="93" spans="1:4" x14ac:dyDescent="0.25">
      <c r="A93">
        <v>5</v>
      </c>
      <c r="B93" t="s">
        <v>9</v>
      </c>
      <c r="C93">
        <v>869</v>
      </c>
      <c r="D93">
        <v>117</v>
      </c>
    </row>
    <row r="94" spans="1:4" x14ac:dyDescent="0.25">
      <c r="A94">
        <v>5</v>
      </c>
      <c r="B94" t="s">
        <v>9</v>
      </c>
      <c r="C94">
        <v>1179</v>
      </c>
      <c r="D94">
        <v>129</v>
      </c>
    </row>
    <row r="95" spans="1:4" x14ac:dyDescent="0.25">
      <c r="A95">
        <v>5</v>
      </c>
      <c r="B95" t="s">
        <v>9</v>
      </c>
      <c r="C95">
        <v>1535</v>
      </c>
      <c r="D95">
        <v>121</v>
      </c>
    </row>
    <row r="96" spans="1:4" x14ac:dyDescent="0.25">
      <c r="A96">
        <v>5</v>
      </c>
      <c r="B96" t="s">
        <v>9</v>
      </c>
      <c r="C96">
        <v>1967</v>
      </c>
      <c r="D96">
        <v>116</v>
      </c>
    </row>
    <row r="97" spans="1:4" x14ac:dyDescent="0.25">
      <c r="A97">
        <v>5</v>
      </c>
      <c r="B97" t="s">
        <v>9</v>
      </c>
      <c r="C97">
        <v>2462</v>
      </c>
      <c r="D97">
        <v>124</v>
      </c>
    </row>
    <row r="98" spans="1:4" x14ac:dyDescent="0.25">
      <c r="A98">
        <v>5</v>
      </c>
      <c r="B98" t="s">
        <v>9</v>
      </c>
      <c r="C98">
        <v>2824</v>
      </c>
      <c r="D98">
        <v>132</v>
      </c>
    </row>
    <row r="99" spans="1:4" x14ac:dyDescent="0.25">
      <c r="A99">
        <v>5</v>
      </c>
      <c r="B99" t="s">
        <v>9</v>
      </c>
      <c r="C99">
        <v>3089</v>
      </c>
      <c r="D99">
        <v>114</v>
      </c>
    </row>
    <row r="100" spans="1:4" x14ac:dyDescent="0.25">
      <c r="A100">
        <v>5</v>
      </c>
      <c r="B100" t="s">
        <v>9</v>
      </c>
      <c r="C100">
        <v>3130</v>
      </c>
      <c r="D100">
        <v>131</v>
      </c>
    </row>
    <row r="101" spans="1:4" x14ac:dyDescent="0.25">
      <c r="A101">
        <v>5</v>
      </c>
      <c r="B101" t="s">
        <v>9</v>
      </c>
      <c r="C101">
        <v>3202</v>
      </c>
      <c r="D101">
        <v>123</v>
      </c>
    </row>
    <row r="102" spans="1:4" x14ac:dyDescent="0.25">
      <c r="A102">
        <v>5</v>
      </c>
      <c r="B102" t="s">
        <v>9</v>
      </c>
      <c r="C102">
        <v>4486</v>
      </c>
      <c r="D102">
        <v>126</v>
      </c>
    </row>
    <row r="103" spans="1:4" x14ac:dyDescent="0.25">
      <c r="A103">
        <v>5</v>
      </c>
      <c r="B103" t="s">
        <v>9</v>
      </c>
      <c r="C103">
        <v>4508</v>
      </c>
      <c r="D103">
        <v>118</v>
      </c>
    </row>
    <row r="104" spans="1:4" x14ac:dyDescent="0.25">
      <c r="A104">
        <v>5</v>
      </c>
      <c r="B104" t="s">
        <v>9</v>
      </c>
      <c r="C104">
        <v>4693</v>
      </c>
      <c r="D104">
        <v>108</v>
      </c>
    </row>
    <row r="105" spans="1:4" x14ac:dyDescent="0.25">
      <c r="A105">
        <v>6</v>
      </c>
      <c r="B105" t="s">
        <v>10</v>
      </c>
      <c r="C105">
        <v>625</v>
      </c>
      <c r="D105">
        <v>144</v>
      </c>
    </row>
    <row r="106" spans="1:4" x14ac:dyDescent="0.25">
      <c r="A106">
        <v>6</v>
      </c>
      <c r="B106" t="s">
        <v>10</v>
      </c>
      <c r="C106">
        <v>739</v>
      </c>
      <c r="D106">
        <v>147</v>
      </c>
    </row>
    <row r="107" spans="1:4" x14ac:dyDescent="0.25">
      <c r="A107">
        <v>6</v>
      </c>
      <c r="B107" t="s">
        <v>10</v>
      </c>
      <c r="C107">
        <v>895</v>
      </c>
      <c r="D107">
        <v>162</v>
      </c>
    </row>
    <row r="108" spans="1:4" x14ac:dyDescent="0.25">
      <c r="A108">
        <v>6</v>
      </c>
      <c r="B108" t="s">
        <v>10</v>
      </c>
      <c r="C108">
        <v>988</v>
      </c>
      <c r="D108">
        <v>150</v>
      </c>
    </row>
    <row r="109" spans="1:4" x14ac:dyDescent="0.25">
      <c r="A109">
        <v>6</v>
      </c>
      <c r="B109" t="s">
        <v>10</v>
      </c>
      <c r="C109">
        <v>1424</v>
      </c>
      <c r="D109">
        <v>171</v>
      </c>
    </row>
    <row r="110" spans="1:4" x14ac:dyDescent="0.25">
      <c r="A110">
        <v>6</v>
      </c>
      <c r="B110" t="s">
        <v>10</v>
      </c>
      <c r="C110">
        <v>1755</v>
      </c>
      <c r="D110">
        <v>158</v>
      </c>
    </row>
    <row r="111" spans="1:4" x14ac:dyDescent="0.25">
      <c r="A111">
        <v>6</v>
      </c>
      <c r="B111" t="s">
        <v>10</v>
      </c>
      <c r="C111">
        <v>1756</v>
      </c>
      <c r="D111">
        <v>185</v>
      </c>
    </row>
    <row r="112" spans="1:4" x14ac:dyDescent="0.25">
      <c r="A112">
        <v>6</v>
      </c>
      <c r="B112" t="s">
        <v>10</v>
      </c>
      <c r="C112">
        <v>1772</v>
      </c>
      <c r="D112">
        <v>179</v>
      </c>
    </row>
    <row r="113" spans="1:4" x14ac:dyDescent="0.25">
      <c r="A113">
        <v>6</v>
      </c>
      <c r="B113" t="s">
        <v>10</v>
      </c>
      <c r="C113">
        <v>1809</v>
      </c>
      <c r="D113">
        <v>155</v>
      </c>
    </row>
    <row r="114" spans="1:4" x14ac:dyDescent="0.25">
      <c r="A114">
        <v>6</v>
      </c>
      <c r="B114" t="s">
        <v>10</v>
      </c>
      <c r="C114">
        <v>2045</v>
      </c>
      <c r="D114">
        <v>176</v>
      </c>
    </row>
    <row r="115" spans="1:4" x14ac:dyDescent="0.25">
      <c r="A115">
        <v>6</v>
      </c>
      <c r="B115" t="s">
        <v>10</v>
      </c>
      <c r="C115">
        <v>2102</v>
      </c>
      <c r="D115">
        <v>140</v>
      </c>
    </row>
    <row r="116" spans="1:4" x14ac:dyDescent="0.25">
      <c r="A116">
        <v>6</v>
      </c>
      <c r="B116" t="s">
        <v>10</v>
      </c>
      <c r="C116">
        <v>2586</v>
      </c>
      <c r="D116">
        <v>188</v>
      </c>
    </row>
    <row r="117" spans="1:4" x14ac:dyDescent="0.25">
      <c r="A117">
        <v>6</v>
      </c>
      <c r="B117" t="s">
        <v>10</v>
      </c>
      <c r="C117">
        <v>2827</v>
      </c>
      <c r="D117">
        <v>165</v>
      </c>
    </row>
    <row r="118" spans="1:4" x14ac:dyDescent="0.25">
      <c r="A118">
        <v>6</v>
      </c>
      <c r="B118" t="s">
        <v>10</v>
      </c>
      <c r="C118">
        <v>3033</v>
      </c>
      <c r="D118">
        <v>156</v>
      </c>
    </row>
    <row r="119" spans="1:4" x14ac:dyDescent="0.25">
      <c r="A119">
        <v>6</v>
      </c>
      <c r="B119" t="s">
        <v>10</v>
      </c>
      <c r="C119">
        <v>3354</v>
      </c>
      <c r="D119">
        <v>143</v>
      </c>
    </row>
    <row r="120" spans="1:4" x14ac:dyDescent="0.25">
      <c r="A120">
        <v>6</v>
      </c>
      <c r="B120" t="s">
        <v>10</v>
      </c>
      <c r="C120">
        <v>3399</v>
      </c>
      <c r="D120">
        <v>138</v>
      </c>
    </row>
    <row r="121" spans="1:4" x14ac:dyDescent="0.25">
      <c r="A121">
        <v>6</v>
      </c>
      <c r="B121" t="s">
        <v>10</v>
      </c>
      <c r="C121">
        <v>3517</v>
      </c>
      <c r="D121">
        <v>181</v>
      </c>
    </row>
    <row r="122" spans="1:4" x14ac:dyDescent="0.25">
      <c r="A122">
        <v>6</v>
      </c>
      <c r="B122" t="s">
        <v>10</v>
      </c>
      <c r="C122">
        <v>3755</v>
      </c>
      <c r="D122">
        <v>153</v>
      </c>
    </row>
    <row r="123" spans="1:4" x14ac:dyDescent="0.25">
      <c r="A123">
        <v>6</v>
      </c>
      <c r="B123" t="s">
        <v>10</v>
      </c>
      <c r="C123">
        <v>3884</v>
      </c>
      <c r="D123">
        <v>178</v>
      </c>
    </row>
    <row r="124" spans="1:4" x14ac:dyDescent="0.25">
      <c r="A124">
        <v>6</v>
      </c>
      <c r="B124" t="s">
        <v>10</v>
      </c>
      <c r="C124">
        <v>4038</v>
      </c>
      <c r="D124">
        <v>137</v>
      </c>
    </row>
    <row r="125" spans="1:4" x14ac:dyDescent="0.25">
      <c r="A125">
        <v>6</v>
      </c>
      <c r="B125" t="s">
        <v>10</v>
      </c>
      <c r="C125">
        <v>4068</v>
      </c>
      <c r="D125">
        <v>168</v>
      </c>
    </row>
    <row r="126" spans="1:4" x14ac:dyDescent="0.25">
      <c r="A126">
        <v>6</v>
      </c>
      <c r="B126" t="s">
        <v>10</v>
      </c>
      <c r="C126">
        <v>4199</v>
      </c>
      <c r="D126">
        <v>173</v>
      </c>
    </row>
    <row r="127" spans="1:4" x14ac:dyDescent="0.25">
      <c r="A127">
        <v>6</v>
      </c>
      <c r="B127" t="s">
        <v>10</v>
      </c>
      <c r="C127">
        <v>4286</v>
      </c>
      <c r="D127">
        <v>170</v>
      </c>
    </row>
    <row r="128" spans="1:4" x14ac:dyDescent="0.25">
      <c r="A128">
        <v>6</v>
      </c>
      <c r="B128" t="s">
        <v>10</v>
      </c>
      <c r="C128">
        <v>4760</v>
      </c>
      <c r="D128">
        <v>184</v>
      </c>
    </row>
    <row r="129" spans="1:4" x14ac:dyDescent="0.25">
      <c r="A129">
        <v>6</v>
      </c>
      <c r="B129" t="s">
        <v>10</v>
      </c>
      <c r="C129">
        <v>4986</v>
      </c>
      <c r="D129">
        <v>135</v>
      </c>
    </row>
    <row r="130" spans="1:4" x14ac:dyDescent="0.25">
      <c r="A130">
        <v>6</v>
      </c>
      <c r="B130" t="s">
        <v>9</v>
      </c>
      <c r="C130">
        <v>288</v>
      </c>
      <c r="D130">
        <v>148</v>
      </c>
    </row>
    <row r="131" spans="1:4" x14ac:dyDescent="0.25">
      <c r="A131">
        <v>6</v>
      </c>
      <c r="B131" t="s">
        <v>9</v>
      </c>
      <c r="C131">
        <v>902</v>
      </c>
      <c r="D131">
        <v>169</v>
      </c>
    </row>
    <row r="132" spans="1:4" x14ac:dyDescent="0.25">
      <c r="A132">
        <v>6</v>
      </c>
      <c r="B132" t="s">
        <v>9</v>
      </c>
      <c r="C132">
        <v>1359</v>
      </c>
      <c r="D132">
        <v>142</v>
      </c>
    </row>
    <row r="133" spans="1:4" x14ac:dyDescent="0.25">
      <c r="A133">
        <v>6</v>
      </c>
      <c r="B133" t="s">
        <v>9</v>
      </c>
      <c r="C133">
        <v>1421</v>
      </c>
      <c r="D133">
        <v>167</v>
      </c>
    </row>
    <row r="134" spans="1:4" x14ac:dyDescent="0.25">
      <c r="A134">
        <v>6</v>
      </c>
      <c r="B134" t="s">
        <v>9</v>
      </c>
      <c r="C134">
        <v>1597</v>
      </c>
      <c r="D134">
        <v>180</v>
      </c>
    </row>
    <row r="135" spans="1:4" x14ac:dyDescent="0.25">
      <c r="A135">
        <v>6</v>
      </c>
      <c r="B135" t="s">
        <v>9</v>
      </c>
      <c r="C135">
        <v>1741</v>
      </c>
      <c r="D135">
        <v>134</v>
      </c>
    </row>
    <row r="136" spans="1:4" x14ac:dyDescent="0.25">
      <c r="A136">
        <v>6</v>
      </c>
      <c r="B136" t="s">
        <v>9</v>
      </c>
      <c r="C136">
        <v>1744</v>
      </c>
      <c r="D136">
        <v>163</v>
      </c>
    </row>
    <row r="137" spans="1:4" x14ac:dyDescent="0.25">
      <c r="A137">
        <v>6</v>
      </c>
      <c r="B137" t="s">
        <v>9</v>
      </c>
      <c r="C137">
        <v>1864</v>
      </c>
      <c r="D137">
        <v>159</v>
      </c>
    </row>
    <row r="138" spans="1:4" x14ac:dyDescent="0.25">
      <c r="A138">
        <v>6</v>
      </c>
      <c r="B138" t="s">
        <v>9</v>
      </c>
      <c r="C138">
        <v>1969</v>
      </c>
      <c r="D138">
        <v>149</v>
      </c>
    </row>
    <row r="139" spans="1:4" x14ac:dyDescent="0.25">
      <c r="A139">
        <v>6</v>
      </c>
      <c r="B139" t="s">
        <v>9</v>
      </c>
      <c r="C139">
        <v>2349</v>
      </c>
      <c r="D139">
        <v>164</v>
      </c>
    </row>
    <row r="140" spans="1:4" x14ac:dyDescent="0.25">
      <c r="A140">
        <v>6</v>
      </c>
      <c r="B140" t="s">
        <v>9</v>
      </c>
      <c r="C140">
        <v>2424</v>
      </c>
      <c r="D140">
        <v>141</v>
      </c>
    </row>
    <row r="141" spans="1:4" x14ac:dyDescent="0.25">
      <c r="A141">
        <v>6</v>
      </c>
      <c r="B141" t="s">
        <v>9</v>
      </c>
      <c r="C141">
        <v>2496</v>
      </c>
      <c r="D141">
        <v>186</v>
      </c>
    </row>
    <row r="142" spans="1:4" x14ac:dyDescent="0.25">
      <c r="A142">
        <v>6</v>
      </c>
      <c r="B142" t="s">
        <v>9</v>
      </c>
      <c r="C142">
        <v>2738</v>
      </c>
      <c r="D142">
        <v>157</v>
      </c>
    </row>
    <row r="143" spans="1:4" x14ac:dyDescent="0.25">
      <c r="A143">
        <v>6</v>
      </c>
      <c r="B143" t="s">
        <v>9</v>
      </c>
      <c r="C143">
        <v>2801</v>
      </c>
      <c r="D143">
        <v>174</v>
      </c>
    </row>
    <row r="144" spans="1:4" x14ac:dyDescent="0.25">
      <c r="A144">
        <v>6</v>
      </c>
      <c r="B144" t="s">
        <v>9</v>
      </c>
      <c r="C144">
        <v>2967</v>
      </c>
      <c r="D144">
        <v>182</v>
      </c>
    </row>
    <row r="145" spans="1:4" x14ac:dyDescent="0.25">
      <c r="A145">
        <v>6</v>
      </c>
      <c r="B145" t="s">
        <v>9</v>
      </c>
      <c r="C145">
        <v>3138</v>
      </c>
      <c r="D145">
        <v>152</v>
      </c>
    </row>
    <row r="146" spans="1:4" x14ac:dyDescent="0.25">
      <c r="A146">
        <v>6</v>
      </c>
      <c r="B146" t="s">
        <v>9</v>
      </c>
      <c r="C146">
        <v>3456</v>
      </c>
      <c r="D146">
        <v>139</v>
      </c>
    </row>
    <row r="147" spans="1:4" x14ac:dyDescent="0.25">
      <c r="A147">
        <v>6</v>
      </c>
      <c r="B147" t="s">
        <v>9</v>
      </c>
      <c r="C147">
        <v>3474</v>
      </c>
      <c r="D147">
        <v>183</v>
      </c>
    </row>
    <row r="148" spans="1:4" x14ac:dyDescent="0.25">
      <c r="A148">
        <v>6</v>
      </c>
      <c r="B148" t="s">
        <v>9</v>
      </c>
      <c r="C148">
        <v>3497</v>
      </c>
      <c r="D148">
        <v>177</v>
      </c>
    </row>
    <row r="149" spans="1:4" x14ac:dyDescent="0.25">
      <c r="A149">
        <v>6</v>
      </c>
      <c r="B149" t="s">
        <v>9</v>
      </c>
      <c r="C149">
        <v>3537</v>
      </c>
      <c r="D149">
        <v>154</v>
      </c>
    </row>
    <row r="150" spans="1:4" x14ac:dyDescent="0.25">
      <c r="A150">
        <v>6</v>
      </c>
      <c r="B150" t="s">
        <v>9</v>
      </c>
      <c r="C150">
        <v>3813</v>
      </c>
      <c r="D150">
        <v>151</v>
      </c>
    </row>
    <row r="151" spans="1:4" x14ac:dyDescent="0.25">
      <c r="A151">
        <v>6</v>
      </c>
      <c r="B151" t="s">
        <v>9</v>
      </c>
      <c r="C151">
        <v>3986</v>
      </c>
      <c r="D151">
        <v>133</v>
      </c>
    </row>
    <row r="152" spans="1:4" x14ac:dyDescent="0.25">
      <c r="A152">
        <v>6</v>
      </c>
      <c r="B152" t="s">
        <v>9</v>
      </c>
      <c r="C152">
        <v>3993</v>
      </c>
      <c r="D152">
        <v>189</v>
      </c>
    </row>
    <row r="153" spans="1:4" x14ac:dyDescent="0.25">
      <c r="A153">
        <v>6</v>
      </c>
      <c r="B153" t="s">
        <v>9</v>
      </c>
      <c r="C153">
        <v>4082</v>
      </c>
      <c r="D153">
        <v>136</v>
      </c>
    </row>
    <row r="154" spans="1:4" x14ac:dyDescent="0.25">
      <c r="A154">
        <v>6</v>
      </c>
      <c r="B154" t="s">
        <v>9</v>
      </c>
      <c r="C154">
        <v>4283</v>
      </c>
      <c r="D154">
        <v>160</v>
      </c>
    </row>
    <row r="155" spans="1:4" x14ac:dyDescent="0.25">
      <c r="A155">
        <v>6</v>
      </c>
      <c r="B155" t="s">
        <v>9</v>
      </c>
      <c r="C155">
        <v>4287</v>
      </c>
      <c r="D155">
        <v>172</v>
      </c>
    </row>
    <row r="156" spans="1:4" x14ac:dyDescent="0.25">
      <c r="A156">
        <v>6</v>
      </c>
      <c r="B156" t="s">
        <v>9</v>
      </c>
      <c r="C156">
        <v>4445</v>
      </c>
      <c r="D156">
        <v>146</v>
      </c>
    </row>
    <row r="157" spans="1:4" x14ac:dyDescent="0.25">
      <c r="A157">
        <v>6</v>
      </c>
      <c r="B157" t="s">
        <v>9</v>
      </c>
      <c r="C157">
        <v>4585</v>
      </c>
      <c r="D157">
        <v>175</v>
      </c>
    </row>
    <row r="158" spans="1:4" x14ac:dyDescent="0.25">
      <c r="A158">
        <v>6</v>
      </c>
      <c r="B158" t="s">
        <v>9</v>
      </c>
      <c r="C158">
        <v>4657</v>
      </c>
      <c r="D158">
        <v>161</v>
      </c>
    </row>
    <row r="159" spans="1:4" x14ac:dyDescent="0.25">
      <c r="A159">
        <v>6</v>
      </c>
      <c r="B159" t="s">
        <v>9</v>
      </c>
      <c r="C159">
        <v>4803</v>
      </c>
      <c r="D159">
        <v>187</v>
      </c>
    </row>
    <row r="160" spans="1:4" x14ac:dyDescent="0.25">
      <c r="A160">
        <v>6</v>
      </c>
      <c r="B160" t="s">
        <v>9</v>
      </c>
      <c r="C160">
        <v>4817</v>
      </c>
      <c r="D160">
        <v>166</v>
      </c>
    </row>
    <row r="161" spans="1:4" x14ac:dyDescent="0.25">
      <c r="A161">
        <v>6</v>
      </c>
      <c r="B161" t="s">
        <v>9</v>
      </c>
      <c r="C161">
        <v>4990</v>
      </c>
      <c r="D161">
        <v>145</v>
      </c>
    </row>
  </sheetData>
  <sortState ref="A2:D161">
    <sortCondition ref="A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C1EB-1AE0-4D72-AB4C-40249715E680}">
  <dimension ref="A1:D1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105</v>
      </c>
      <c r="B1" t="s">
        <v>112</v>
      </c>
      <c r="D1" s="7" t="s">
        <v>285</v>
      </c>
    </row>
    <row r="2" spans="1:4" x14ac:dyDescent="0.25">
      <c r="A2">
        <v>40366</v>
      </c>
      <c r="B2">
        <v>125</v>
      </c>
      <c r="D2" s="77">
        <f t="array" ref="D2">SUM(--(LEN(A2:A14)=5))</f>
        <v>11</v>
      </c>
    </row>
    <row r="3" spans="1:4" x14ac:dyDescent="0.25">
      <c r="A3">
        <v>45897</v>
      </c>
      <c r="B3">
        <v>115</v>
      </c>
    </row>
    <row r="4" spans="1:4" x14ac:dyDescent="0.25">
      <c r="A4">
        <v>47691</v>
      </c>
      <c r="B4">
        <v>153</v>
      </c>
    </row>
    <row r="5" spans="1:4" x14ac:dyDescent="0.25">
      <c r="A5">
        <v>40006</v>
      </c>
      <c r="B5">
        <v>105</v>
      </c>
    </row>
    <row r="6" spans="1:4" x14ac:dyDescent="0.25">
      <c r="A6" t="s">
        <v>284</v>
      </c>
      <c r="B6">
        <v>185</v>
      </c>
    </row>
    <row r="7" spans="1:4" x14ac:dyDescent="0.25">
      <c r="A7">
        <v>37972</v>
      </c>
      <c r="B7">
        <v>145</v>
      </c>
    </row>
    <row r="8" spans="1:4" x14ac:dyDescent="0.25">
      <c r="A8">
        <v>39434</v>
      </c>
      <c r="B8">
        <v>119</v>
      </c>
    </row>
    <row r="9" spans="1:4" x14ac:dyDescent="0.25">
      <c r="A9">
        <v>44793</v>
      </c>
      <c r="B9">
        <v>167</v>
      </c>
    </row>
    <row r="10" spans="1:4" x14ac:dyDescent="0.25">
      <c r="A10">
        <v>44739</v>
      </c>
      <c r="B10">
        <v>135</v>
      </c>
    </row>
    <row r="11" spans="1:4" x14ac:dyDescent="0.25">
      <c r="A11">
        <v>990002</v>
      </c>
      <c r="B11">
        <v>187</v>
      </c>
    </row>
    <row r="12" spans="1:4" x14ac:dyDescent="0.25">
      <c r="A12">
        <v>38934</v>
      </c>
      <c r="B12">
        <v>157</v>
      </c>
    </row>
    <row r="13" spans="1:4" x14ac:dyDescent="0.25">
      <c r="A13">
        <v>49603</v>
      </c>
      <c r="B13">
        <v>140</v>
      </c>
    </row>
    <row r="14" spans="1:4" x14ac:dyDescent="0.25">
      <c r="A14">
        <v>40215</v>
      </c>
      <c r="B1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24B6-1FDB-4BC5-AF2C-733F37F30475}">
  <dimension ref="A1:H44"/>
  <sheetViews>
    <sheetView workbookViewId="0"/>
  </sheetViews>
  <sheetFormatPr defaultRowHeight="15" x14ac:dyDescent="0.25"/>
  <cols>
    <col min="6" max="6" width="26.28515625" bestFit="1" customWidth="1"/>
  </cols>
  <sheetData>
    <row r="1" spans="1:8" x14ac:dyDescent="0.25">
      <c r="A1" s="1" t="s">
        <v>5</v>
      </c>
      <c r="B1" s="1" t="s">
        <v>286</v>
      </c>
      <c r="C1" s="1" t="s">
        <v>287</v>
      </c>
      <c r="D1" s="1" t="s">
        <v>3</v>
      </c>
      <c r="E1" s="2"/>
      <c r="F1" s="2" t="s">
        <v>288</v>
      </c>
      <c r="G1" s="28">
        <f>COUNTIFS(B2:B44,"&gt;0",C2:C44,0)</f>
        <v>8</v>
      </c>
      <c r="H1" s="2" t="s">
        <v>289</v>
      </c>
    </row>
    <row r="2" spans="1:8" x14ac:dyDescent="0.25">
      <c r="A2" t="s">
        <v>59</v>
      </c>
      <c r="B2">
        <v>3</v>
      </c>
      <c r="C2">
        <v>3</v>
      </c>
      <c r="D2" t="b">
        <f>B2=C2</f>
        <v>1</v>
      </c>
      <c r="E2" s="2"/>
      <c r="F2" s="2" t="s">
        <v>290</v>
      </c>
      <c r="G2" s="28">
        <f>COUNTIF(D2:D44,TRUE)</f>
        <v>13</v>
      </c>
      <c r="H2" s="2" t="s">
        <v>50</v>
      </c>
    </row>
    <row r="3" spans="1:8" x14ac:dyDescent="0.25">
      <c r="A3" t="s">
        <v>60</v>
      </c>
      <c r="B3">
        <v>1</v>
      </c>
      <c r="C3">
        <v>1</v>
      </c>
      <c r="D3" t="b">
        <f t="shared" ref="D3:D44" si="0">B3=C3</f>
        <v>1</v>
      </c>
      <c r="E3" s="2"/>
      <c r="F3" s="2" t="s">
        <v>290</v>
      </c>
      <c r="G3" s="28">
        <f t="array" ref="G3">SUM(--(B2:B44=C2:C44))</f>
        <v>13</v>
      </c>
      <c r="H3" s="2" t="s">
        <v>57</v>
      </c>
    </row>
    <row r="4" spans="1:8" x14ac:dyDescent="0.25">
      <c r="A4" t="s">
        <v>61</v>
      </c>
      <c r="B4">
        <v>2</v>
      </c>
      <c r="C4">
        <v>3</v>
      </c>
      <c r="D4" t="b">
        <f t="shared" si="0"/>
        <v>0</v>
      </c>
      <c r="E4" s="2"/>
      <c r="F4" s="2" t="s">
        <v>291</v>
      </c>
      <c r="G4" s="28">
        <f>COUNTIF(D2:D44,FALSE)</f>
        <v>30</v>
      </c>
      <c r="H4" s="2" t="s">
        <v>50</v>
      </c>
    </row>
    <row r="5" spans="1:8" x14ac:dyDescent="0.25">
      <c r="A5" t="s">
        <v>62</v>
      </c>
      <c r="B5">
        <v>1</v>
      </c>
      <c r="C5">
        <v>1</v>
      </c>
      <c r="D5" t="b">
        <f t="shared" si="0"/>
        <v>1</v>
      </c>
      <c r="E5" s="2"/>
      <c r="F5" s="2" t="s">
        <v>291</v>
      </c>
      <c r="G5" s="28">
        <f t="array" ref="G5">SUM(--(B2:B44&lt;&gt;C2:C44))</f>
        <v>30</v>
      </c>
      <c r="H5" s="2" t="s">
        <v>57</v>
      </c>
    </row>
    <row r="6" spans="1:8" x14ac:dyDescent="0.25">
      <c r="A6" t="s">
        <v>63</v>
      </c>
      <c r="B6">
        <v>1</v>
      </c>
      <c r="C6">
        <v>1</v>
      </c>
      <c r="D6" t="b">
        <f t="shared" si="0"/>
        <v>1</v>
      </c>
      <c r="E6" s="2"/>
      <c r="F6" s="2"/>
      <c r="G6" s="2"/>
      <c r="H6" s="2"/>
    </row>
    <row r="7" spans="1:8" x14ac:dyDescent="0.25">
      <c r="A7" t="s">
        <v>64</v>
      </c>
      <c r="B7">
        <v>3</v>
      </c>
      <c r="C7">
        <v>3</v>
      </c>
      <c r="D7" t="b">
        <f t="shared" si="0"/>
        <v>1</v>
      </c>
      <c r="E7" s="2"/>
      <c r="F7" s="2"/>
      <c r="G7" s="2"/>
      <c r="H7" s="2"/>
    </row>
    <row r="8" spans="1:8" x14ac:dyDescent="0.25">
      <c r="A8" t="s">
        <v>65</v>
      </c>
      <c r="B8">
        <v>2</v>
      </c>
      <c r="C8">
        <v>1</v>
      </c>
      <c r="D8" t="b">
        <f t="shared" si="0"/>
        <v>0</v>
      </c>
      <c r="E8" s="2"/>
      <c r="F8" s="2"/>
      <c r="G8" s="2"/>
      <c r="H8" s="2"/>
    </row>
    <row r="9" spans="1:8" x14ac:dyDescent="0.25">
      <c r="A9" t="s">
        <v>66</v>
      </c>
      <c r="B9">
        <v>0</v>
      </c>
      <c r="C9">
        <v>2</v>
      </c>
      <c r="D9" t="b">
        <f t="shared" si="0"/>
        <v>0</v>
      </c>
      <c r="E9" s="2"/>
      <c r="F9" s="2"/>
      <c r="G9" s="2"/>
      <c r="H9" s="2"/>
    </row>
    <row r="10" spans="1:8" x14ac:dyDescent="0.25">
      <c r="A10" t="s">
        <v>67</v>
      </c>
      <c r="B10">
        <v>1</v>
      </c>
      <c r="C10">
        <v>1</v>
      </c>
      <c r="D10" t="b">
        <f t="shared" si="0"/>
        <v>1</v>
      </c>
      <c r="E10" s="2"/>
      <c r="F10" s="2"/>
      <c r="G10" s="2"/>
      <c r="H10" s="2"/>
    </row>
    <row r="11" spans="1:8" x14ac:dyDescent="0.25">
      <c r="A11" t="s">
        <v>68</v>
      </c>
      <c r="B11">
        <v>3</v>
      </c>
      <c r="C11">
        <v>0</v>
      </c>
      <c r="D11" t="b">
        <f t="shared" si="0"/>
        <v>0</v>
      </c>
      <c r="E11" s="2"/>
      <c r="F11" s="2"/>
      <c r="G11" s="2"/>
      <c r="H11" s="2"/>
    </row>
    <row r="12" spans="1:8" x14ac:dyDescent="0.25">
      <c r="A12" t="s">
        <v>69</v>
      </c>
      <c r="B12">
        <v>2</v>
      </c>
      <c r="C12">
        <v>0</v>
      </c>
      <c r="D12" t="b">
        <f t="shared" si="0"/>
        <v>0</v>
      </c>
      <c r="E12" s="2"/>
      <c r="F12" s="2"/>
      <c r="G12" s="2"/>
      <c r="H12" s="2"/>
    </row>
    <row r="13" spans="1:8" x14ac:dyDescent="0.25">
      <c r="A13" t="s">
        <v>70</v>
      </c>
      <c r="B13">
        <v>0</v>
      </c>
      <c r="C13">
        <v>1</v>
      </c>
      <c r="D13" t="b">
        <f t="shared" si="0"/>
        <v>0</v>
      </c>
      <c r="E13" s="2"/>
      <c r="F13" s="2"/>
      <c r="G13" s="2"/>
      <c r="H13" s="2"/>
    </row>
    <row r="14" spans="1:8" x14ac:dyDescent="0.25">
      <c r="A14" t="s">
        <v>71</v>
      </c>
      <c r="B14">
        <v>2</v>
      </c>
      <c r="C14">
        <v>2</v>
      </c>
      <c r="D14" t="b">
        <f t="shared" si="0"/>
        <v>1</v>
      </c>
      <c r="E14" s="2"/>
      <c r="F14" s="2"/>
      <c r="G14" s="2"/>
      <c r="H14" s="2"/>
    </row>
    <row r="15" spans="1:8" x14ac:dyDescent="0.25">
      <c r="A15" t="s">
        <v>72</v>
      </c>
      <c r="B15">
        <v>1</v>
      </c>
      <c r="C15">
        <v>0</v>
      </c>
      <c r="D15" t="b">
        <f t="shared" si="0"/>
        <v>0</v>
      </c>
      <c r="E15" s="2"/>
      <c r="F15" s="2"/>
      <c r="G15" s="2"/>
      <c r="H15" s="2"/>
    </row>
    <row r="16" spans="1:8" x14ac:dyDescent="0.25">
      <c r="A16" t="s">
        <v>73</v>
      </c>
      <c r="B16">
        <v>2</v>
      </c>
      <c r="C16">
        <v>3</v>
      </c>
      <c r="D16" t="b">
        <f t="shared" si="0"/>
        <v>0</v>
      </c>
      <c r="E16" s="2"/>
      <c r="F16" s="2"/>
      <c r="G16" s="2"/>
      <c r="H16" s="2"/>
    </row>
    <row r="17" spans="1:8" x14ac:dyDescent="0.25">
      <c r="A17" t="s">
        <v>74</v>
      </c>
      <c r="B17">
        <v>3</v>
      </c>
      <c r="C17">
        <v>2</v>
      </c>
      <c r="D17" t="b">
        <f t="shared" si="0"/>
        <v>0</v>
      </c>
      <c r="E17" s="2"/>
      <c r="F17" s="2"/>
      <c r="G17" s="2"/>
      <c r="H17" s="2"/>
    </row>
    <row r="18" spans="1:8" x14ac:dyDescent="0.25">
      <c r="A18" t="s">
        <v>75</v>
      </c>
      <c r="B18">
        <v>2</v>
      </c>
      <c r="C18">
        <v>3</v>
      </c>
      <c r="D18" t="b">
        <f t="shared" si="0"/>
        <v>0</v>
      </c>
      <c r="E18" s="2"/>
      <c r="F18" s="2"/>
      <c r="G18" s="2"/>
      <c r="H18" s="2"/>
    </row>
    <row r="19" spans="1:8" x14ac:dyDescent="0.25">
      <c r="A19" t="s">
        <v>76</v>
      </c>
      <c r="B19">
        <v>1</v>
      </c>
      <c r="C19">
        <v>3</v>
      </c>
      <c r="D19" t="b">
        <f t="shared" si="0"/>
        <v>0</v>
      </c>
      <c r="E19" s="2"/>
      <c r="F19" s="2"/>
      <c r="G19" s="2"/>
      <c r="H19" s="2"/>
    </row>
    <row r="20" spans="1:8" x14ac:dyDescent="0.25">
      <c r="A20" t="s">
        <v>77</v>
      </c>
      <c r="B20">
        <v>3</v>
      </c>
      <c r="C20">
        <v>1</v>
      </c>
      <c r="D20" t="b">
        <f t="shared" si="0"/>
        <v>0</v>
      </c>
      <c r="E20" s="2"/>
      <c r="F20" s="2"/>
      <c r="G20" s="2"/>
      <c r="H20" s="2"/>
    </row>
    <row r="21" spans="1:8" x14ac:dyDescent="0.25">
      <c r="A21" t="s">
        <v>78</v>
      </c>
      <c r="B21">
        <v>3</v>
      </c>
      <c r="C21">
        <v>1</v>
      </c>
      <c r="D21" t="b">
        <f t="shared" si="0"/>
        <v>0</v>
      </c>
      <c r="E21" s="2"/>
      <c r="F21" s="2"/>
      <c r="G21" s="2"/>
      <c r="H21" s="2"/>
    </row>
    <row r="22" spans="1:8" x14ac:dyDescent="0.25">
      <c r="A22" t="s">
        <v>292</v>
      </c>
      <c r="B22">
        <v>1</v>
      </c>
      <c r="C22">
        <v>3</v>
      </c>
      <c r="D22" t="b">
        <f t="shared" si="0"/>
        <v>0</v>
      </c>
      <c r="E22" s="2"/>
      <c r="F22" s="2"/>
      <c r="G22" s="2"/>
      <c r="H22" s="2"/>
    </row>
    <row r="23" spans="1:8" x14ac:dyDescent="0.25">
      <c r="A23" t="s">
        <v>293</v>
      </c>
      <c r="B23">
        <v>1</v>
      </c>
      <c r="C23">
        <v>1</v>
      </c>
      <c r="D23" t="b">
        <f t="shared" si="0"/>
        <v>1</v>
      </c>
      <c r="E23" s="2"/>
      <c r="F23" s="2"/>
      <c r="G23" s="2"/>
      <c r="H23" s="2"/>
    </row>
    <row r="24" spans="1:8" x14ac:dyDescent="0.25">
      <c r="A24" t="s">
        <v>294</v>
      </c>
      <c r="B24">
        <v>3</v>
      </c>
      <c r="C24">
        <v>0</v>
      </c>
      <c r="D24" t="b">
        <f t="shared" si="0"/>
        <v>0</v>
      </c>
      <c r="E24" s="2"/>
      <c r="F24" s="2"/>
      <c r="G24" s="2"/>
      <c r="H24" s="2"/>
    </row>
    <row r="25" spans="1:8" x14ac:dyDescent="0.25">
      <c r="A25" t="s">
        <v>295</v>
      </c>
      <c r="B25">
        <v>1</v>
      </c>
      <c r="C25">
        <v>2</v>
      </c>
      <c r="D25" t="b">
        <f t="shared" si="0"/>
        <v>0</v>
      </c>
      <c r="E25" s="2"/>
      <c r="F25" s="2"/>
      <c r="G25" s="2"/>
      <c r="H25" s="2"/>
    </row>
    <row r="26" spans="1:8" x14ac:dyDescent="0.25">
      <c r="A26" t="s">
        <v>296</v>
      </c>
      <c r="B26">
        <v>2</v>
      </c>
      <c r="C26">
        <v>0</v>
      </c>
      <c r="D26" t="b">
        <f t="shared" si="0"/>
        <v>0</v>
      </c>
      <c r="E26" s="2"/>
      <c r="F26" s="2"/>
      <c r="G26" s="2"/>
      <c r="H26" s="2"/>
    </row>
    <row r="27" spans="1:8" x14ac:dyDescent="0.25">
      <c r="A27" t="s">
        <v>297</v>
      </c>
      <c r="B27">
        <v>2</v>
      </c>
      <c r="C27">
        <v>0</v>
      </c>
      <c r="D27" t="b">
        <f t="shared" si="0"/>
        <v>0</v>
      </c>
      <c r="E27" s="2"/>
      <c r="F27" s="2"/>
      <c r="G27" s="2"/>
      <c r="H27" s="2"/>
    </row>
    <row r="28" spans="1:8" x14ac:dyDescent="0.25">
      <c r="A28" t="s">
        <v>298</v>
      </c>
      <c r="B28">
        <v>3</v>
      </c>
      <c r="C28">
        <v>2</v>
      </c>
      <c r="D28" t="b">
        <f t="shared" si="0"/>
        <v>0</v>
      </c>
      <c r="E28" s="2"/>
      <c r="F28" s="2"/>
      <c r="G28" s="2"/>
      <c r="H28" s="2"/>
    </row>
    <row r="29" spans="1:8" x14ac:dyDescent="0.25">
      <c r="A29" t="s">
        <v>299</v>
      </c>
      <c r="B29">
        <v>1</v>
      </c>
      <c r="C29">
        <v>2</v>
      </c>
      <c r="D29" t="b">
        <f t="shared" si="0"/>
        <v>0</v>
      </c>
      <c r="E29" s="2"/>
      <c r="F29" s="2"/>
      <c r="G29" s="2"/>
      <c r="H29" s="2"/>
    </row>
    <row r="30" spans="1:8" x14ac:dyDescent="0.25">
      <c r="A30" t="s">
        <v>300</v>
      </c>
      <c r="B30">
        <v>2</v>
      </c>
      <c r="C30">
        <v>3</v>
      </c>
      <c r="D30" t="b">
        <f t="shared" si="0"/>
        <v>0</v>
      </c>
      <c r="E30" s="2"/>
      <c r="F30" s="2"/>
      <c r="G30" s="2"/>
      <c r="H30" s="2"/>
    </row>
    <row r="31" spans="1:8" x14ac:dyDescent="0.25">
      <c r="A31" t="s">
        <v>301</v>
      </c>
      <c r="B31">
        <v>1</v>
      </c>
      <c r="C31">
        <v>2</v>
      </c>
      <c r="D31" t="b">
        <f t="shared" si="0"/>
        <v>0</v>
      </c>
      <c r="E31" s="2"/>
      <c r="F31" s="2"/>
      <c r="G31" s="2"/>
      <c r="H31" s="2"/>
    </row>
    <row r="32" spans="1:8" x14ac:dyDescent="0.25">
      <c r="A32" t="s">
        <v>302</v>
      </c>
      <c r="B32">
        <v>2</v>
      </c>
      <c r="C32">
        <v>1</v>
      </c>
      <c r="D32" t="b">
        <f t="shared" si="0"/>
        <v>0</v>
      </c>
      <c r="E32" s="2"/>
      <c r="F32" s="2"/>
      <c r="G32" s="2"/>
      <c r="H32" s="2"/>
    </row>
    <row r="33" spans="1:8" x14ac:dyDescent="0.25">
      <c r="A33" t="s">
        <v>303</v>
      </c>
      <c r="B33">
        <v>0</v>
      </c>
      <c r="C33">
        <v>0</v>
      </c>
      <c r="D33" t="b">
        <f t="shared" si="0"/>
        <v>1</v>
      </c>
      <c r="E33" s="2"/>
      <c r="F33" s="2"/>
      <c r="G33" s="2"/>
      <c r="H33" s="2"/>
    </row>
    <row r="34" spans="1:8" x14ac:dyDescent="0.25">
      <c r="A34" t="s">
        <v>304</v>
      </c>
      <c r="B34">
        <v>1</v>
      </c>
      <c r="C34">
        <v>3</v>
      </c>
      <c r="D34" t="b">
        <f t="shared" si="0"/>
        <v>0</v>
      </c>
      <c r="E34" s="2"/>
      <c r="F34" s="2"/>
      <c r="G34" s="2"/>
      <c r="H34" s="2"/>
    </row>
    <row r="35" spans="1:8" x14ac:dyDescent="0.25">
      <c r="A35" t="s">
        <v>305</v>
      </c>
      <c r="B35">
        <v>0</v>
      </c>
      <c r="C35">
        <v>0</v>
      </c>
      <c r="D35" t="b">
        <f t="shared" si="0"/>
        <v>1</v>
      </c>
      <c r="E35" s="2"/>
      <c r="F35" s="2"/>
      <c r="G35" s="2"/>
      <c r="H35" s="2"/>
    </row>
    <row r="36" spans="1:8" x14ac:dyDescent="0.25">
      <c r="A36" t="s">
        <v>306</v>
      </c>
      <c r="B36">
        <v>3</v>
      </c>
      <c r="C36">
        <v>1</v>
      </c>
      <c r="D36" t="b">
        <f t="shared" si="0"/>
        <v>0</v>
      </c>
      <c r="E36" s="2"/>
      <c r="F36" s="2"/>
      <c r="G36" s="2"/>
      <c r="H36" s="2"/>
    </row>
    <row r="37" spans="1:8" x14ac:dyDescent="0.25">
      <c r="A37" t="s">
        <v>307</v>
      </c>
      <c r="B37">
        <v>2</v>
      </c>
      <c r="C37">
        <v>3</v>
      </c>
      <c r="D37" t="b">
        <f t="shared" si="0"/>
        <v>0</v>
      </c>
      <c r="E37" s="2"/>
      <c r="F37" s="2"/>
      <c r="G37" s="2"/>
      <c r="H37" s="2"/>
    </row>
    <row r="38" spans="1:8" x14ac:dyDescent="0.25">
      <c r="A38" t="s">
        <v>308</v>
      </c>
      <c r="B38">
        <v>1</v>
      </c>
      <c r="C38">
        <v>0</v>
      </c>
      <c r="D38" t="b">
        <f t="shared" si="0"/>
        <v>0</v>
      </c>
      <c r="E38" s="2"/>
      <c r="F38" s="2"/>
      <c r="G38" s="2"/>
      <c r="H38" s="2"/>
    </row>
    <row r="39" spans="1:8" x14ac:dyDescent="0.25">
      <c r="A39" t="s">
        <v>309</v>
      </c>
      <c r="B39">
        <v>1</v>
      </c>
      <c r="C39">
        <v>1</v>
      </c>
      <c r="D39" t="b">
        <f t="shared" si="0"/>
        <v>1</v>
      </c>
      <c r="E39" s="2"/>
      <c r="F39" s="2"/>
      <c r="G39" s="2"/>
      <c r="H39" s="2"/>
    </row>
    <row r="40" spans="1:8" x14ac:dyDescent="0.25">
      <c r="A40" t="s">
        <v>310</v>
      </c>
      <c r="B40">
        <v>0</v>
      </c>
      <c r="C40">
        <v>0</v>
      </c>
      <c r="D40" t="b">
        <f t="shared" si="0"/>
        <v>1</v>
      </c>
      <c r="E40" s="2"/>
      <c r="F40" s="2"/>
      <c r="G40" s="2"/>
      <c r="H40" s="2"/>
    </row>
    <row r="41" spans="1:8" x14ac:dyDescent="0.25">
      <c r="A41" t="s">
        <v>311</v>
      </c>
      <c r="B41">
        <v>3</v>
      </c>
      <c r="C41">
        <v>0</v>
      </c>
      <c r="D41" t="b">
        <f t="shared" si="0"/>
        <v>0</v>
      </c>
      <c r="E41" s="2"/>
      <c r="F41" s="2"/>
      <c r="G41" s="2"/>
      <c r="H41" s="2"/>
    </row>
    <row r="42" spans="1:8" x14ac:dyDescent="0.25">
      <c r="A42" t="s">
        <v>312</v>
      </c>
      <c r="B42">
        <v>2</v>
      </c>
      <c r="C42">
        <v>3</v>
      </c>
      <c r="D42" t="b">
        <f t="shared" si="0"/>
        <v>0</v>
      </c>
      <c r="E42" s="2"/>
      <c r="F42" s="2"/>
      <c r="G42" s="2"/>
      <c r="H42" s="2"/>
    </row>
    <row r="43" spans="1:8" x14ac:dyDescent="0.25">
      <c r="A43" t="s">
        <v>313</v>
      </c>
      <c r="B43">
        <v>1</v>
      </c>
      <c r="C43">
        <v>1</v>
      </c>
      <c r="D43" t="b">
        <f t="shared" si="0"/>
        <v>1</v>
      </c>
      <c r="E43" s="2"/>
      <c r="F43" s="2"/>
      <c r="G43" s="2"/>
      <c r="H43" s="2"/>
    </row>
    <row r="44" spans="1:8" x14ac:dyDescent="0.25">
      <c r="A44" t="s">
        <v>314</v>
      </c>
      <c r="B44">
        <v>2</v>
      </c>
      <c r="C44">
        <v>1</v>
      </c>
      <c r="D44" t="b">
        <f t="shared" si="0"/>
        <v>0</v>
      </c>
      <c r="E44" s="2"/>
      <c r="F44" s="2"/>
      <c r="G44" s="2"/>
      <c r="H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25</vt:i4>
      </vt:variant>
    </vt:vector>
  </HeadingPairs>
  <TitlesOfParts>
    <vt:vector size="41" baseType="lpstr">
      <vt:lpstr>dizi giriş</vt:lpstr>
      <vt:lpstr>true false ve veya</vt:lpstr>
      <vt:lpstr>true&amp;false sayısala</vt:lpstr>
      <vt:lpstr>ifli örnekler</vt:lpstr>
      <vt:lpstr>MINIF SMALL-dizi</vt:lpstr>
      <vt:lpstr>sumproduct klasik</vt:lpstr>
      <vt:lpstr>veritabanı fonksiyonları</vt:lpstr>
      <vt:lpstr>1 boyutlu tablolar</vt:lpstr>
      <vt:lpstr>2 boyutlu tablolar</vt:lpstr>
      <vt:lpstr>Örnek1,2,3,4</vt:lpstr>
      <vt:lpstr>Örnek5</vt:lpstr>
      <vt:lpstr>Örnek6</vt:lpstr>
      <vt:lpstr>Örnek7</vt:lpstr>
      <vt:lpstr>Örnek8</vt:lpstr>
      <vt:lpstr>Örnek9</vt:lpstr>
      <vt:lpstr>Örnek10</vt:lpstr>
      <vt:lpstr>alanfordsum</vt:lpstr>
      <vt:lpstr>bölge</vt:lpstr>
      <vt:lpstr>bölgeler</vt:lpstr>
      <vt:lpstr>bölgeler2</vt:lpstr>
      <vt:lpstr>bölgeler3</vt:lpstr>
      <vt:lpstr>bölgeler4</vt:lpstr>
      <vt:lpstr>cert1</vt:lpstr>
      <vt:lpstr>cert2</vt:lpstr>
      <vt:lpstr>certsatış</vt:lpstr>
      <vt:lpstr>dönemler</vt:lpstr>
      <vt:lpstr>Mağazalar</vt:lpstr>
      <vt:lpstr>miyler</vt:lpstr>
      <vt:lpstr>miytip</vt:lpstr>
      <vt:lpstr>perstip</vt:lpstr>
      <vt:lpstr>rakam</vt:lpstr>
      <vt:lpstr>satış</vt:lpstr>
      <vt:lpstr>satışlar</vt:lpstr>
      <vt:lpstr>segment</vt:lpstr>
      <vt:lpstr>Tutarlar</vt:lpstr>
      <vt:lpstr>Tutarlar3</vt:lpstr>
      <vt:lpstr>tutarlar4</vt:lpstr>
      <vt:lpstr>ürünler</vt:lpstr>
      <vt:lpstr>Ürünler3</vt:lpstr>
      <vt:lpstr>ürünler4</vt:lpstr>
      <vt:lpstr>yıllar4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2017-10-31T20:16:48Z</dcterms:created>
  <dcterms:modified xsi:type="dcterms:W3CDTF">2017-12-09T20:52:53Z</dcterms:modified>
</cp:coreProperties>
</file>