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Calcul Homonculus Faim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43" i="2"/>
  <c r="B43" i="2"/>
  <c r="F43" i="2" s="1"/>
  <c r="G43" i="2" s="1"/>
  <c r="C42" i="2"/>
  <c r="B42" i="2"/>
  <c r="B41" i="2"/>
  <c r="F41" i="2" s="1"/>
  <c r="F42" i="2"/>
  <c r="G42" i="2" s="1"/>
  <c r="I31" i="2"/>
  <c r="H31" i="2"/>
  <c r="F31" i="2"/>
  <c r="H23" i="2"/>
  <c r="O18" i="2"/>
  <c r="H18" i="2"/>
  <c r="I28" i="2"/>
  <c r="R28" i="2"/>
  <c r="S28" i="2" s="1"/>
  <c r="G28" i="2"/>
  <c r="H28" i="2" s="1"/>
  <c r="J28" i="2" s="1"/>
  <c r="K28" i="2" s="1"/>
  <c r="Q28" i="2"/>
  <c r="C28" i="2"/>
  <c r="E28" i="2"/>
  <c r="M20" i="2"/>
  <c r="N20" i="2" s="1"/>
  <c r="M19" i="2"/>
  <c r="N19" i="2" s="1"/>
  <c r="M18" i="2"/>
  <c r="N18" i="2" s="1"/>
  <c r="G20" i="2"/>
  <c r="G19" i="2"/>
  <c r="G18" i="2"/>
  <c r="F20" i="2"/>
  <c r="F19" i="2"/>
  <c r="F18" i="2"/>
  <c r="G25" i="2"/>
  <c r="F25" i="2"/>
  <c r="F24" i="2"/>
  <c r="G24" i="2" s="1"/>
  <c r="F23" i="2"/>
  <c r="G23" i="2" s="1"/>
  <c r="B20" i="2"/>
  <c r="B19" i="2"/>
  <c r="B18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1" i="2" l="1"/>
  <c r="L49" i="1"/>
  <c r="R49" i="1" s="1"/>
  <c r="X49" i="1" s="1"/>
  <c r="AD49" i="1" s="1"/>
  <c r="J49" i="1"/>
  <c r="K49" i="1" s="1"/>
  <c r="I49" i="1"/>
  <c r="O49" i="1" s="1"/>
  <c r="U49" i="1" s="1"/>
  <c r="AA49" i="1" s="1"/>
  <c r="H49" i="1"/>
  <c r="G49" i="1"/>
  <c r="M49" i="1" s="1"/>
  <c r="E49" i="1"/>
  <c r="B49" i="1"/>
  <c r="U43" i="1"/>
  <c r="S43" i="1"/>
  <c r="T43" i="1" s="1"/>
  <c r="R43" i="1"/>
  <c r="P43" i="1"/>
  <c r="Q43" i="1" s="1"/>
  <c r="O43" i="1"/>
  <c r="M43" i="1"/>
  <c r="N43" i="1" s="1"/>
  <c r="V12" i="1"/>
  <c r="V11" i="1"/>
  <c r="V10" i="1"/>
  <c r="U12" i="1"/>
  <c r="U11" i="1"/>
  <c r="U10" i="1"/>
  <c r="S49" i="1" l="1"/>
  <c r="N49" i="1"/>
  <c r="P49" i="1"/>
  <c r="Q49" i="1" l="1"/>
  <c r="V49" i="1"/>
  <c r="Y49" i="1"/>
  <c r="Z49" i="1" s="1"/>
  <c r="T49" i="1"/>
  <c r="W49" i="1" l="1"/>
  <c r="AB49" i="1"/>
  <c r="AC49" i="1" s="1"/>
  <c r="R20" i="1" l="1"/>
  <c r="R19" i="1"/>
  <c r="R18" i="1"/>
  <c r="R12" i="1"/>
  <c r="R11" i="1"/>
  <c r="R10" i="1"/>
  <c r="H12" i="1"/>
  <c r="H11" i="1"/>
  <c r="H10" i="1"/>
  <c r="H20" i="1"/>
  <c r="H19" i="1"/>
  <c r="H18" i="1"/>
  <c r="S20" i="1" l="1"/>
  <c r="T20" i="1" s="1"/>
  <c r="U20" i="1" s="1"/>
  <c r="V20" i="1" s="1"/>
  <c r="Q20" i="1"/>
  <c r="Q19" i="1"/>
  <c r="Q18" i="1"/>
  <c r="E19" i="1"/>
  <c r="E18" i="1"/>
  <c r="E20" i="1"/>
  <c r="S19" i="1"/>
  <c r="T19" i="1" s="1"/>
  <c r="U19" i="1" s="1"/>
  <c r="V19" i="1" s="1"/>
  <c r="S18" i="1"/>
  <c r="T18" i="1" s="1"/>
  <c r="U18" i="1" s="1"/>
  <c r="V18" i="1" s="1"/>
  <c r="F20" i="1"/>
  <c r="F19" i="1"/>
  <c r="F18" i="1"/>
  <c r="P13" i="1" l="1"/>
  <c r="AA13" i="1" s="1"/>
  <c r="F13" i="1"/>
  <c r="R13" i="1"/>
  <c r="Q13" i="1"/>
  <c r="Q12" i="1"/>
  <c r="Q11" i="1"/>
  <c r="Q10" i="1"/>
  <c r="J37" i="1" l="1"/>
  <c r="P37" i="1" s="1"/>
  <c r="G37" i="1"/>
  <c r="L37" i="1"/>
  <c r="R37" i="1" s="1"/>
  <c r="X37" i="1" s="1"/>
  <c r="AD37" i="1" s="1"/>
  <c r="I37" i="1"/>
  <c r="O37" i="1" s="1"/>
  <c r="U37" i="1" s="1"/>
  <c r="AA37" i="1" s="1"/>
  <c r="E37" i="1"/>
  <c r="B37" i="1"/>
  <c r="U31" i="1"/>
  <c r="S31" i="1"/>
  <c r="T31" i="1" s="1"/>
  <c r="R31" i="1"/>
  <c r="P31" i="1"/>
  <c r="Q31" i="1" s="1"/>
  <c r="O31" i="1"/>
  <c r="M31" i="1"/>
  <c r="S12" i="1"/>
  <c r="T12" i="1" s="1"/>
  <c r="S11" i="1"/>
  <c r="T11" i="1" s="1"/>
  <c r="F12" i="1"/>
  <c r="E12" i="1"/>
  <c r="F11" i="1"/>
  <c r="E11" i="1"/>
  <c r="E10" i="1"/>
  <c r="S10" i="1" s="1"/>
  <c r="T10" i="1" s="1"/>
  <c r="F10" i="1"/>
  <c r="Q37" i="1" l="1"/>
  <c r="N31" i="1"/>
  <c r="H37" i="1"/>
  <c r="M37" i="1"/>
  <c r="V37" i="1"/>
  <c r="K37" i="1"/>
  <c r="AB37" i="1" l="1"/>
  <c r="AC37" i="1" s="1"/>
  <c r="W37" i="1"/>
  <c r="N37" i="1"/>
  <c r="S37" i="1"/>
  <c r="Y37" i="1" l="1"/>
  <c r="Z37" i="1" s="1"/>
  <c r="T37" i="1"/>
</calcChain>
</file>

<file path=xl/sharedStrings.xml><?xml version="1.0" encoding="utf-8"?>
<sst xmlns="http://schemas.openxmlformats.org/spreadsheetml/2006/main" count="315" uniqueCount="113">
  <si>
    <t>Unit name</t>
  </si>
  <si>
    <t>DEF</t>
  </si>
  <si>
    <t>Icaru 1</t>
  </si>
  <si>
    <t>Icaru 2</t>
  </si>
  <si>
    <t>Icaru 3</t>
  </si>
  <si>
    <t>Verdehile</t>
  </si>
  <si>
    <t>Required</t>
  </si>
  <si>
    <t>SPD</t>
  </si>
  <si>
    <t>ACC</t>
  </si>
  <si>
    <t>Other bonus</t>
  </si>
  <si>
    <t>ATK</t>
  </si>
  <si>
    <t>HP</t>
  </si>
  <si>
    <t>Speed building</t>
  </si>
  <si>
    <t>DEF building + Cairos guild buff</t>
  </si>
  <si>
    <t>All stats are rounded up</t>
  </si>
  <si>
    <t>EHP</t>
  </si>
  <si>
    <t>DMG</t>
  </si>
  <si>
    <t>Cairos guild buff</t>
  </si>
  <si>
    <t>9 deter sets</t>
  </si>
  <si>
    <t>Missing</t>
  </si>
  <si>
    <t>DEF as %</t>
  </si>
  <si>
    <t>in substat</t>
  </si>
  <si>
    <t>2, 4, 6 DEF 6*</t>
  </si>
  <si>
    <t>3 DEF flat</t>
  </si>
  <si>
    <t>runes bonus</t>
  </si>
  <si>
    <t>TOTAL DEF</t>
  </si>
  <si>
    <t>Min</t>
  </si>
  <si>
    <t>Max</t>
  </si>
  <si>
    <t>Rare</t>
  </si>
  <si>
    <t>Hero</t>
  </si>
  <si>
    <t>Legend</t>
  </si>
  <si>
    <t>Avg.</t>
  </si>
  <si>
    <t>Sub-stat rune def %</t>
  </si>
  <si>
    <t>Gem DEF %</t>
  </si>
  <si>
    <t>Grind DEF %</t>
  </si>
  <si>
    <t>Combo Gem + Grind DEF %</t>
  </si>
  <si>
    <t>5*</t>
  </si>
  <si>
    <t>6*</t>
  </si>
  <si>
    <t>Sub-stat rune def % 1 roll</t>
  </si>
  <si>
    <t>Sub-stat rune def % 2 roll</t>
  </si>
  <si>
    <t>Sub-stat rune def % 3 roll</t>
  </si>
  <si>
    <t>Sub-stat rune def % 4 roll</t>
  </si>
  <si>
    <t>TOTAL SPD</t>
  </si>
  <si>
    <t>5 HP flat</t>
  </si>
  <si>
    <t>TOTAL HP</t>
  </si>
  <si>
    <t>EHP : hp*(1000+(Defense*3))/1000</t>
  </si>
  <si>
    <t>TOTAL</t>
  </si>
  <si>
    <t>Rune 2</t>
  </si>
  <si>
    <t>Rune 4</t>
  </si>
  <si>
    <t>Rune 6</t>
  </si>
  <si>
    <t>Rune 1</t>
  </si>
  <si>
    <t>Rune 3</t>
  </si>
  <si>
    <t>Rune 5</t>
  </si>
  <si>
    <t>Main stat DEF %</t>
  </si>
  <si>
    <t>Substats DEF %</t>
  </si>
  <si>
    <t>2 artefacts</t>
  </si>
  <si>
    <t>2 artefacts DEF</t>
  </si>
  <si>
    <t>in flat def eq.</t>
  </si>
  <si>
    <t>in flat def eq. in sub</t>
  </si>
  <si>
    <t>Gem DEF+ %</t>
  </si>
  <si>
    <t>Grind DEF+ %</t>
  </si>
  <si>
    <t>Combo Gem + Grind DEF+ %</t>
  </si>
  <si>
    <t>Sub-stat rune def+ %</t>
  </si>
  <si>
    <t>Sub-stat rune def+ % 1 roll</t>
  </si>
  <si>
    <t>Sub-stat rune def+ % 2 roll</t>
  </si>
  <si>
    <t>Sub-stat rune def+ % 3 roll</t>
  </si>
  <si>
    <t>Sub-stat rune def+ % 4 roll</t>
  </si>
  <si>
    <t>Monster</t>
  </si>
  <si>
    <t>Stars</t>
  </si>
  <si>
    <t>Level</t>
  </si>
  <si>
    <t>Attack</t>
  </si>
  <si>
    <t>Defense</t>
  </si>
  <si>
    <t>Speed</t>
  </si>
  <si>
    <t>Resistance</t>
  </si>
  <si>
    <t>Accuracy</t>
  </si>
  <si>
    <t>Critical Rate</t>
  </si>
  <si>
    <t>Critical Damage Reduction</t>
  </si>
  <si>
    <t>Wave 1</t>
  </si>
  <si>
    <t>Inugami (Fire)</t>
  </si>
  <si>
    <t>Hellhound (Fire)</t>
  </si>
  <si>
    <t>Wave 2</t>
  </si>
  <si>
    <t>Wave 3</t>
  </si>
  <si>
    <t>Sieq</t>
  </si>
  <si>
    <t>Skill name</t>
  </si>
  <si>
    <t>Desc Formula</t>
  </si>
  <si>
    <t>Crit D</t>
  </si>
  <si>
    <t>DMG formula</t>
  </si>
  <si>
    <t>Frost Ray (S1)</t>
  </si>
  <si>
    <t>S2</t>
  </si>
  <si>
    <t>S3</t>
  </si>
  <si>
    <t>Actual</t>
  </si>
  <si>
    <t>Total crit EHP damage</t>
  </si>
  <si>
    <t>Homonculus</t>
  </si>
  <si>
    <t>Crit DMG</t>
  </si>
  <si>
    <t>1 ATK flat</t>
  </si>
  <si>
    <t>ATK Bat</t>
  </si>
  <si>
    <t>TOTAL ATK</t>
  </si>
  <si>
    <t>TOTAL Crit DMG</t>
  </si>
  <si>
    <t>Crit D Bat</t>
  </si>
  <si>
    <t>2, 6, ATK 6*</t>
  </si>
  <si>
    <t>4 Crit D 6*</t>
  </si>
  <si>
    <t>ATK lack as %</t>
  </si>
  <si>
    <t>in flat atk eq.</t>
  </si>
  <si>
    <t>in flat atk eq. in sub</t>
  </si>
  <si>
    <t>ATK req.</t>
  </si>
  <si>
    <t>Crit d req.</t>
  </si>
  <si>
    <t>Crit D lack as %</t>
  </si>
  <si>
    <t>Total crit max skill EHP damage</t>
  </si>
  <si>
    <t>BAT SPD</t>
  </si>
  <si>
    <t>SPD required</t>
  </si>
  <si>
    <t>lack</t>
  </si>
  <si>
    <t>à avoir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</si>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</sst>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9"/>
  <sheetViews>
    <sheetView topLeftCell="A4" workbookViewId="0">
      <selection activeCell="Q10" sqref="Q10"/>
    </sheetView>
  </sheetViews>
  <sheetFormatPr baseColWidth="10" defaultColWidth="9.140625" defaultRowHeight="15" x14ac:dyDescent="0.25"/>
  <cols>
    <col min="1" max="7" width="9.140625" style="1"/>
    <col min="8" max="8" width="11.140625" style="1" bestFit="1" customWidth="1"/>
    <col min="9" max="15" width="9.140625" style="1"/>
    <col min="16" max="16" width="10.140625" style="1" bestFit="1" customWidth="1"/>
    <col min="17" max="18" width="11.5703125" style="1" bestFit="1" customWidth="1"/>
    <col min="19" max="20" width="9.140625" style="1"/>
    <col min="21" max="22" width="11.5703125" style="1" bestFit="1" customWidth="1"/>
    <col min="23" max="26" width="9.140625" style="1"/>
    <col min="27" max="27" width="10.5703125" style="1" bestFit="1" customWidth="1"/>
    <col min="28" max="16384" width="9.140625" style="1"/>
  </cols>
  <sheetData>
    <row r="2" spans="1:28" ht="60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K2" s="8" t="s">
        <v>45</v>
      </c>
      <c r="L2" s="8"/>
      <c r="M2" s="8"/>
      <c r="N2" s="8"/>
    </row>
    <row r="7" spans="1:28" ht="45" customHeight="1" x14ac:dyDescent="0.25">
      <c r="E7" s="8" t="s">
        <v>24</v>
      </c>
      <c r="F7" s="8"/>
      <c r="G7" s="8"/>
      <c r="K7" s="1" t="s">
        <v>9</v>
      </c>
    </row>
    <row r="8" spans="1:28" ht="75" x14ac:dyDescent="0.25">
      <c r="E8" s="1" t="s">
        <v>22</v>
      </c>
      <c r="F8" s="1" t="s">
        <v>18</v>
      </c>
      <c r="G8" s="1" t="s">
        <v>23</v>
      </c>
      <c r="I8" s="1" t="s">
        <v>43</v>
      </c>
      <c r="J8" s="1" t="s">
        <v>12</v>
      </c>
      <c r="K8" s="1" t="s">
        <v>13</v>
      </c>
      <c r="L8" s="1" t="s">
        <v>17</v>
      </c>
      <c r="M8" s="1" t="s">
        <v>17</v>
      </c>
      <c r="S8" s="8" t="s">
        <v>19</v>
      </c>
      <c r="T8" s="8"/>
      <c r="U8" s="8"/>
      <c r="W8" s="8" t="s">
        <v>6</v>
      </c>
      <c r="X8" s="8"/>
      <c r="Y8" s="8"/>
    </row>
    <row r="9" spans="1:28" ht="45" x14ac:dyDescent="0.25">
      <c r="A9" s="1" t="s">
        <v>0</v>
      </c>
      <c r="B9" s="1" t="s">
        <v>1</v>
      </c>
      <c r="C9" s="1" t="s">
        <v>7</v>
      </c>
      <c r="D9" s="1" t="s">
        <v>11</v>
      </c>
      <c r="E9" s="8" t="s">
        <v>1</v>
      </c>
      <c r="F9" s="8"/>
      <c r="G9" s="8"/>
      <c r="H9" s="1" t="s">
        <v>56</v>
      </c>
      <c r="J9" s="1" t="s">
        <v>7</v>
      </c>
      <c r="K9" s="1" t="s">
        <v>1</v>
      </c>
      <c r="L9" s="1" t="s">
        <v>10</v>
      </c>
      <c r="M9" s="1" t="s">
        <v>11</v>
      </c>
      <c r="P9" s="1" t="s">
        <v>44</v>
      </c>
      <c r="Q9" s="1" t="s">
        <v>42</v>
      </c>
      <c r="R9" s="1" t="s">
        <v>25</v>
      </c>
      <c r="S9" s="1" t="s">
        <v>20</v>
      </c>
      <c r="T9" s="1" t="s">
        <v>21</v>
      </c>
      <c r="U9" s="1" t="s">
        <v>57</v>
      </c>
      <c r="V9" s="1" t="s">
        <v>58</v>
      </c>
      <c r="W9" s="1" t="s">
        <v>1</v>
      </c>
      <c r="X9" s="1" t="s">
        <v>7</v>
      </c>
      <c r="Y9" s="1" t="s">
        <v>8</v>
      </c>
      <c r="AA9" s="1" t="s">
        <v>15</v>
      </c>
      <c r="AB9" s="1" t="s">
        <v>16</v>
      </c>
    </row>
    <row r="10" spans="1:28" x14ac:dyDescent="0.25">
      <c r="A10" s="1" t="s">
        <v>2</v>
      </c>
      <c r="B10" s="1">
        <v>736</v>
      </c>
      <c r="C10" s="1">
        <v>108</v>
      </c>
      <c r="E10" s="1">
        <f>63*3</f>
        <v>189</v>
      </c>
      <c r="F10" s="1">
        <f>7*9</f>
        <v>63</v>
      </c>
      <c r="G10" s="1">
        <v>160</v>
      </c>
      <c r="H10" s="1">
        <f>100*2</f>
        <v>200</v>
      </c>
      <c r="J10" s="4">
        <v>20</v>
      </c>
      <c r="K10" s="4">
        <v>25</v>
      </c>
      <c r="L10" s="4">
        <v>5</v>
      </c>
      <c r="M10" s="4">
        <v>5</v>
      </c>
      <c r="Q10" s="1">
        <f>ROUNDUP(C10+(C10*J10/100),0)</f>
        <v>130</v>
      </c>
      <c r="R10" s="1">
        <f>ROUNDUP(B10+G10+(B10*(E10+F10+K10)/100)+H10,0)</f>
        <v>3135</v>
      </c>
      <c r="S10" s="3">
        <f>(W10-R10)/B10</f>
        <v>0.22554347826086957</v>
      </c>
      <c r="T10" s="3">
        <f>S10/3</f>
        <v>7.5181159420289856E-2</v>
      </c>
      <c r="U10" s="1">
        <f>B10*T10</f>
        <v>55.333333333333336</v>
      </c>
      <c r="V10" s="1">
        <f>U10/2</f>
        <v>27.666666666666668</v>
      </c>
      <c r="W10" s="1">
        <v>3301</v>
      </c>
      <c r="Y10" s="1">
        <v>30</v>
      </c>
    </row>
    <row r="11" spans="1:28" x14ac:dyDescent="0.25">
      <c r="A11" s="1" t="s">
        <v>3</v>
      </c>
      <c r="B11" s="1">
        <v>736</v>
      </c>
      <c r="C11" s="1">
        <v>108</v>
      </c>
      <c r="E11" s="1">
        <f t="shared" ref="E11:E12" si="0">63*3</f>
        <v>189</v>
      </c>
      <c r="F11" s="1">
        <f t="shared" ref="F11:F13" si="1">7*9</f>
        <v>63</v>
      </c>
      <c r="G11" s="1">
        <v>160</v>
      </c>
      <c r="H11" s="1">
        <f t="shared" ref="H11:H12" si="2">100*2</f>
        <v>200</v>
      </c>
      <c r="I11" s="3"/>
      <c r="J11" s="4">
        <v>20</v>
      </c>
      <c r="K11" s="4">
        <v>25</v>
      </c>
      <c r="L11" s="4">
        <v>5</v>
      </c>
      <c r="M11" s="4">
        <v>5</v>
      </c>
      <c r="Q11" s="1">
        <f>ROUNDUP(C11+(C11*J11/100),0)</f>
        <v>130</v>
      </c>
      <c r="R11" s="1">
        <f t="shared" ref="R11:R12" si="3">ROUNDUP(B11+G11+(B11*(E11+F11+K11)/100)+H11,0)</f>
        <v>3135</v>
      </c>
      <c r="S11" s="3">
        <f>(W11-R11)/B11</f>
        <v>0.22554347826086957</v>
      </c>
      <c r="T11" s="3">
        <f t="shared" ref="T11:T12" si="4">S11/3</f>
        <v>7.5181159420289856E-2</v>
      </c>
      <c r="U11" s="1">
        <f t="shared" ref="U11:U12" si="5">B11*T11</f>
        <v>55.333333333333336</v>
      </c>
      <c r="V11" s="1">
        <f t="shared" ref="V11:V12" si="6">U11/2</f>
        <v>27.666666666666668</v>
      </c>
      <c r="W11" s="1">
        <v>3301</v>
      </c>
      <c r="Y11" s="1">
        <v>30</v>
      </c>
    </row>
    <row r="12" spans="1:28" x14ac:dyDescent="0.25">
      <c r="A12" s="1" t="s">
        <v>4</v>
      </c>
      <c r="B12" s="1">
        <v>736</v>
      </c>
      <c r="C12" s="1">
        <v>108</v>
      </c>
      <c r="E12" s="1">
        <f t="shared" si="0"/>
        <v>189</v>
      </c>
      <c r="F12" s="1">
        <f t="shared" si="1"/>
        <v>63</v>
      </c>
      <c r="G12" s="1">
        <v>160</v>
      </c>
      <c r="H12" s="1">
        <f t="shared" si="2"/>
        <v>200</v>
      </c>
      <c r="I12" s="3"/>
      <c r="J12" s="4">
        <v>20</v>
      </c>
      <c r="K12" s="4">
        <v>25</v>
      </c>
      <c r="L12" s="4">
        <v>5</v>
      </c>
      <c r="M12" s="4">
        <v>5</v>
      </c>
      <c r="Q12" s="1">
        <f>ROUNDUP(C12+(C12*J12/100),0)</f>
        <v>130</v>
      </c>
      <c r="R12" s="1">
        <f t="shared" si="3"/>
        <v>3135</v>
      </c>
      <c r="S12" s="3">
        <f>(W12-R12)/B12</f>
        <v>0.22554347826086957</v>
      </c>
      <c r="T12" s="3">
        <f t="shared" si="4"/>
        <v>7.5181159420289856E-2</v>
      </c>
      <c r="U12" s="1">
        <f t="shared" si="5"/>
        <v>55.333333333333336</v>
      </c>
      <c r="V12" s="1">
        <f t="shared" si="6"/>
        <v>27.666666666666668</v>
      </c>
      <c r="W12" s="1">
        <v>3301</v>
      </c>
      <c r="Y12" s="1">
        <v>30</v>
      </c>
    </row>
    <row r="13" spans="1:28" ht="30" x14ac:dyDescent="0.25">
      <c r="A13" s="1" t="s">
        <v>5</v>
      </c>
      <c r="B13" s="1">
        <v>505</v>
      </c>
      <c r="C13" s="1">
        <v>99</v>
      </c>
      <c r="D13" s="1">
        <v>9885</v>
      </c>
      <c r="F13" s="1">
        <f t="shared" si="1"/>
        <v>63</v>
      </c>
      <c r="G13" s="1">
        <v>160</v>
      </c>
      <c r="I13" s="4">
        <v>2448</v>
      </c>
      <c r="J13" s="4">
        <v>20</v>
      </c>
      <c r="K13" s="4">
        <v>25</v>
      </c>
      <c r="L13" s="4">
        <v>5</v>
      </c>
      <c r="M13" s="4">
        <v>5</v>
      </c>
      <c r="P13" s="4">
        <f>D13+I13+(D13*M13/100)</f>
        <v>12827.25</v>
      </c>
      <c r="Q13" s="1">
        <f>ROUNDUP(C13+(C13*J13/100),0)</f>
        <v>119</v>
      </c>
      <c r="R13" s="1">
        <f>ROUNDUP(B13+G13+(B13*(E13+F13+K13)/100),0)</f>
        <v>1110</v>
      </c>
      <c r="AA13" s="1">
        <f>P13*(1000+(R13*3))/1000</f>
        <v>55541.9925</v>
      </c>
    </row>
    <row r="15" spans="1:28" ht="30" customHeight="1" x14ac:dyDescent="0.25"/>
    <row r="16" spans="1:28" ht="30" x14ac:dyDescent="0.25">
      <c r="J16" s="1" t="s">
        <v>12</v>
      </c>
    </row>
    <row r="17" spans="1:24" ht="30" x14ac:dyDescent="0.25">
      <c r="B17" s="1" t="s">
        <v>1</v>
      </c>
      <c r="C17" s="1" t="s">
        <v>7</v>
      </c>
      <c r="E17" s="1" t="s">
        <v>22</v>
      </c>
      <c r="F17" s="1" t="s">
        <v>18</v>
      </c>
      <c r="G17" s="1" t="s">
        <v>23</v>
      </c>
      <c r="H17" s="1" t="s">
        <v>55</v>
      </c>
      <c r="J17" s="1" t="s">
        <v>7</v>
      </c>
      <c r="K17" s="1" t="s">
        <v>1</v>
      </c>
      <c r="M17" s="1" t="s">
        <v>46</v>
      </c>
      <c r="P17" s="1" t="s">
        <v>44</v>
      </c>
      <c r="Q17" s="1" t="s">
        <v>42</v>
      </c>
      <c r="R17" s="1" t="s">
        <v>25</v>
      </c>
      <c r="S17" s="1" t="s">
        <v>20</v>
      </c>
      <c r="T17" s="1" t="s">
        <v>21</v>
      </c>
      <c r="U17" s="1" t="s">
        <v>57</v>
      </c>
      <c r="V17" s="1" t="s">
        <v>58</v>
      </c>
      <c r="W17" s="1" t="s">
        <v>1</v>
      </c>
    </row>
    <row r="18" spans="1:24" x14ac:dyDescent="0.25">
      <c r="B18" s="1">
        <v>736</v>
      </c>
      <c r="C18" s="1">
        <v>108</v>
      </c>
      <c r="E18" s="1">
        <f>63+63+63</f>
        <v>189</v>
      </c>
      <c r="F18" s="1">
        <f>7*9</f>
        <v>63</v>
      </c>
      <c r="G18" s="1">
        <v>160</v>
      </c>
      <c r="H18" s="1">
        <f>100*2</f>
        <v>200</v>
      </c>
      <c r="J18" s="4">
        <v>20</v>
      </c>
      <c r="K18" s="4">
        <v>25</v>
      </c>
      <c r="Q18" s="1">
        <f>ROUNDUP(C18+(C18*J18/100),0)</f>
        <v>130</v>
      </c>
      <c r="R18" s="1">
        <f t="shared" ref="R18:R20" si="7">ROUNDUP(B18+G18+(B18*(E18+F18+K18)/100)+H18,0)</f>
        <v>3135</v>
      </c>
      <c r="S18" s="3">
        <f>(W18-R18)/B18</f>
        <v>0.22554347826086957</v>
      </c>
      <c r="T18" s="3">
        <f>S18/3</f>
        <v>7.5181159420289856E-2</v>
      </c>
      <c r="U18" s="1">
        <f>B18*T18</f>
        <v>55.333333333333336</v>
      </c>
      <c r="V18" s="1">
        <f>U18/2</f>
        <v>27.666666666666668</v>
      </c>
      <c r="W18" s="1">
        <v>3301</v>
      </c>
    </row>
    <row r="19" spans="1:24" x14ac:dyDescent="0.25">
      <c r="B19" s="1">
        <v>736</v>
      </c>
      <c r="C19" s="1">
        <v>108</v>
      </c>
      <c r="E19" s="1">
        <f>51+63+63</f>
        <v>177</v>
      </c>
      <c r="F19" s="1">
        <f t="shared" ref="F19:F20" si="8">7*9</f>
        <v>63</v>
      </c>
      <c r="G19" s="1">
        <v>160</v>
      </c>
      <c r="H19" s="1">
        <f t="shared" ref="H19:H20" si="9">100*2</f>
        <v>200</v>
      </c>
      <c r="J19" s="4">
        <v>20</v>
      </c>
      <c r="K19" s="4">
        <v>25</v>
      </c>
      <c r="Q19" s="1">
        <f>ROUNDUP(C19+(C19*J19/100),0)</f>
        <v>130</v>
      </c>
      <c r="R19" s="1">
        <f t="shared" si="7"/>
        <v>3047</v>
      </c>
      <c r="S19" s="3">
        <f t="shared" ref="S19:S20" si="10">(W19-R19)/B19</f>
        <v>0.34510869565217389</v>
      </c>
      <c r="T19" s="3">
        <f t="shared" ref="T19:T20" si="11">S19/3</f>
        <v>0.11503623188405797</v>
      </c>
      <c r="U19" s="1">
        <f t="shared" ref="U19:U20" si="12">B19*T19</f>
        <v>84.666666666666671</v>
      </c>
      <c r="V19" s="1">
        <f t="shared" ref="V19:V20" si="13">U19/2</f>
        <v>42.333333333333336</v>
      </c>
      <c r="W19" s="1">
        <v>3301</v>
      </c>
    </row>
    <row r="20" spans="1:24" x14ac:dyDescent="0.25">
      <c r="B20" s="1">
        <v>736</v>
      </c>
      <c r="C20" s="1">
        <v>108</v>
      </c>
      <c r="E20" s="1">
        <f>51+51+63</f>
        <v>165</v>
      </c>
      <c r="F20" s="1">
        <f t="shared" si="8"/>
        <v>63</v>
      </c>
      <c r="G20" s="1">
        <v>160</v>
      </c>
      <c r="H20" s="1">
        <f t="shared" si="9"/>
        <v>200</v>
      </c>
      <c r="J20" s="4">
        <v>20</v>
      </c>
      <c r="K20" s="4">
        <v>25</v>
      </c>
      <c r="Q20" s="1">
        <f>ROUNDUP(C20+(C20*J20/100),0)</f>
        <v>130</v>
      </c>
      <c r="R20" s="1">
        <f t="shared" si="7"/>
        <v>2959</v>
      </c>
      <c r="S20" s="3">
        <f t="shared" si="10"/>
        <v>0.46467391304347827</v>
      </c>
      <c r="T20" s="3">
        <f t="shared" si="11"/>
        <v>0.15489130434782608</v>
      </c>
      <c r="U20" s="1">
        <f t="shared" si="12"/>
        <v>114</v>
      </c>
      <c r="V20" s="1">
        <f t="shared" si="13"/>
        <v>57</v>
      </c>
      <c r="W20" s="1">
        <v>3301</v>
      </c>
    </row>
    <row r="21" spans="1:24" ht="15" customHeight="1" x14ac:dyDescent="0.25"/>
    <row r="23" spans="1:24" x14ac:dyDescent="0.25">
      <c r="B23" s="1" t="s">
        <v>50</v>
      </c>
      <c r="F23" s="1" t="s">
        <v>47</v>
      </c>
      <c r="J23" s="1" t="s">
        <v>51</v>
      </c>
      <c r="N23" s="1" t="s">
        <v>48</v>
      </c>
      <c r="R23" s="1" t="s">
        <v>52</v>
      </c>
      <c r="V23" s="1" t="s">
        <v>49</v>
      </c>
    </row>
    <row r="24" spans="1:24" ht="30" x14ac:dyDescent="0.25">
      <c r="A24" s="1" t="s">
        <v>53</v>
      </c>
      <c r="B24" s="6"/>
      <c r="C24" s="6"/>
      <c r="D24" s="6"/>
      <c r="F24" s="1">
        <v>63</v>
      </c>
      <c r="G24" s="1">
        <v>51</v>
      </c>
      <c r="H24" s="1">
        <v>51</v>
      </c>
      <c r="J24" s="6"/>
      <c r="K24" s="6"/>
      <c r="L24" s="6"/>
      <c r="N24" s="1">
        <v>63</v>
      </c>
      <c r="O24" s="1">
        <v>63</v>
      </c>
      <c r="P24" s="1">
        <v>51</v>
      </c>
      <c r="R24" s="6"/>
      <c r="S24" s="6"/>
      <c r="T24" s="6"/>
      <c r="V24" s="1">
        <v>63</v>
      </c>
      <c r="W24" s="1">
        <v>63</v>
      </c>
      <c r="X24" s="1">
        <v>63</v>
      </c>
    </row>
    <row r="25" spans="1:24" ht="30" x14ac:dyDescent="0.25">
      <c r="A25" s="1" t="s">
        <v>54</v>
      </c>
      <c r="B25" s="6"/>
      <c r="C25" s="6"/>
      <c r="D25" s="6"/>
      <c r="F25" s="6"/>
      <c r="G25" s="6"/>
      <c r="H25" s="6"/>
      <c r="N25" s="6"/>
      <c r="O25" s="6"/>
      <c r="P25" s="6"/>
      <c r="V25" s="6"/>
      <c r="W25" s="6"/>
      <c r="X25" s="6"/>
    </row>
    <row r="26" spans="1:24" ht="15" customHeight="1" x14ac:dyDescent="0.25"/>
    <row r="28" spans="1:24" x14ac:dyDescent="0.25">
      <c r="A28" s="7" t="s">
        <v>33</v>
      </c>
      <c r="B28" s="7"/>
      <c r="C28" s="7"/>
      <c r="D28" s="7"/>
      <c r="E28" s="7"/>
      <c r="F28" s="7"/>
      <c r="G28" s="7" t="s">
        <v>34</v>
      </c>
      <c r="H28" s="7"/>
      <c r="I28" s="7"/>
      <c r="J28" s="7"/>
      <c r="K28" s="7"/>
      <c r="L28" s="7"/>
      <c r="M28" s="7" t="s">
        <v>35</v>
      </c>
      <c r="N28" s="7"/>
      <c r="O28" s="7"/>
      <c r="P28" s="7"/>
      <c r="Q28" s="7"/>
      <c r="R28" s="7"/>
      <c r="S28" s="7"/>
      <c r="T28" s="7"/>
      <c r="U28" s="7"/>
    </row>
    <row r="29" spans="1:24" x14ac:dyDescent="0.25">
      <c r="A29" s="7" t="s">
        <v>28</v>
      </c>
      <c r="B29" s="7"/>
      <c r="C29" s="7" t="s">
        <v>29</v>
      </c>
      <c r="D29" s="7"/>
      <c r="E29" s="7" t="s">
        <v>30</v>
      </c>
      <c r="F29" s="7"/>
      <c r="G29" s="7" t="s">
        <v>28</v>
      </c>
      <c r="H29" s="7"/>
      <c r="I29" s="7" t="s">
        <v>29</v>
      </c>
      <c r="J29" s="7"/>
      <c r="K29" s="7" t="s">
        <v>30</v>
      </c>
      <c r="L29" s="7"/>
      <c r="M29" s="7" t="s">
        <v>28</v>
      </c>
      <c r="N29" s="7"/>
      <c r="O29" s="7"/>
      <c r="P29" s="7" t="s">
        <v>29</v>
      </c>
      <c r="Q29" s="7"/>
      <c r="R29" s="7"/>
      <c r="S29" s="7" t="s">
        <v>30</v>
      </c>
      <c r="T29" s="7"/>
      <c r="U29" s="7"/>
    </row>
    <row r="30" spans="1:24" x14ac:dyDescent="0.25">
      <c r="A30" s="5" t="s">
        <v>26</v>
      </c>
      <c r="B30" s="5" t="s">
        <v>27</v>
      </c>
      <c r="C30" s="5" t="s">
        <v>26</v>
      </c>
      <c r="D30" s="5" t="s">
        <v>27</v>
      </c>
      <c r="E30" s="5" t="s">
        <v>26</v>
      </c>
      <c r="F30" s="5" t="s">
        <v>27</v>
      </c>
      <c r="G30" s="5" t="s">
        <v>26</v>
      </c>
      <c r="H30" s="5" t="s">
        <v>27</v>
      </c>
      <c r="I30" s="5" t="s">
        <v>26</v>
      </c>
      <c r="J30" s="5" t="s">
        <v>27</v>
      </c>
      <c r="K30" s="5" t="s">
        <v>26</v>
      </c>
      <c r="L30" s="5" t="s">
        <v>27</v>
      </c>
      <c r="M30" s="5" t="s">
        <v>26</v>
      </c>
      <c r="N30" s="5" t="s">
        <v>31</v>
      </c>
      <c r="O30" s="5" t="s">
        <v>27</v>
      </c>
      <c r="P30" s="5" t="s">
        <v>26</v>
      </c>
      <c r="Q30" s="5" t="s">
        <v>31</v>
      </c>
      <c r="R30" s="5" t="s">
        <v>27</v>
      </c>
      <c r="S30" s="5" t="s">
        <v>26</v>
      </c>
      <c r="T30" s="5" t="s">
        <v>31</v>
      </c>
      <c r="U30" s="5" t="s">
        <v>27</v>
      </c>
    </row>
    <row r="31" spans="1:24" x14ac:dyDescent="0.25">
      <c r="A31" s="5">
        <v>5</v>
      </c>
      <c r="B31" s="5">
        <v>9</v>
      </c>
      <c r="C31" s="5">
        <v>7</v>
      </c>
      <c r="D31" s="5">
        <v>11</v>
      </c>
      <c r="E31" s="5">
        <v>9</v>
      </c>
      <c r="F31" s="5">
        <v>13</v>
      </c>
      <c r="G31" s="5">
        <v>3</v>
      </c>
      <c r="H31" s="5">
        <v>6</v>
      </c>
      <c r="I31" s="5">
        <v>4</v>
      </c>
      <c r="J31" s="5">
        <v>7</v>
      </c>
      <c r="K31" s="5">
        <v>5</v>
      </c>
      <c r="L31" s="5">
        <v>10</v>
      </c>
      <c r="M31" s="5">
        <f>A31+G31</f>
        <v>8</v>
      </c>
      <c r="N31" s="5">
        <f>AVERAGE(M31,O31)</f>
        <v>11.5</v>
      </c>
      <c r="O31" s="5">
        <f>B31+H31</f>
        <v>15</v>
      </c>
      <c r="P31" s="5">
        <f>C31+I31</f>
        <v>11</v>
      </c>
      <c r="Q31" s="5">
        <f>AVERAGE(P31,R31)</f>
        <v>14.5</v>
      </c>
      <c r="R31" s="5">
        <f>D31+J31</f>
        <v>18</v>
      </c>
      <c r="S31" s="5">
        <f>E31+K31</f>
        <v>14</v>
      </c>
      <c r="T31" s="5">
        <f>AVERAGE(S31,U31)</f>
        <v>18.5</v>
      </c>
      <c r="U31" s="5">
        <f>F31+L31</f>
        <v>23</v>
      </c>
    </row>
    <row r="34" spans="1:30" x14ac:dyDescent="0.25">
      <c r="A34" s="7" t="s">
        <v>32</v>
      </c>
      <c r="B34" s="7"/>
      <c r="C34" s="7"/>
      <c r="D34" s="7"/>
      <c r="E34" s="7"/>
      <c r="F34" s="7"/>
      <c r="G34" s="7" t="s">
        <v>38</v>
      </c>
      <c r="H34" s="7"/>
      <c r="I34" s="7"/>
      <c r="J34" s="7"/>
      <c r="K34" s="7"/>
      <c r="L34" s="7"/>
      <c r="M34" s="7" t="s">
        <v>39</v>
      </c>
      <c r="N34" s="7"/>
      <c r="O34" s="7"/>
      <c r="P34" s="7"/>
      <c r="Q34" s="7"/>
      <c r="R34" s="7"/>
      <c r="S34" s="7" t="s">
        <v>40</v>
      </c>
      <c r="T34" s="7"/>
      <c r="U34" s="7"/>
      <c r="V34" s="7"/>
      <c r="W34" s="7"/>
      <c r="X34" s="7"/>
      <c r="Y34" s="7" t="s">
        <v>41</v>
      </c>
      <c r="Z34" s="7"/>
      <c r="AA34" s="7"/>
      <c r="AB34" s="7"/>
      <c r="AC34" s="7"/>
      <c r="AD34" s="7"/>
    </row>
    <row r="35" spans="1:30" x14ac:dyDescent="0.25">
      <c r="A35" s="7" t="s">
        <v>36</v>
      </c>
      <c r="B35" s="7"/>
      <c r="C35" s="7"/>
      <c r="D35" s="7" t="s">
        <v>37</v>
      </c>
      <c r="E35" s="7"/>
      <c r="F35" s="7"/>
      <c r="G35" s="7" t="s">
        <v>36</v>
      </c>
      <c r="H35" s="7"/>
      <c r="I35" s="7"/>
      <c r="J35" s="7" t="s">
        <v>37</v>
      </c>
      <c r="K35" s="7"/>
      <c r="L35" s="7"/>
      <c r="M35" s="7" t="s">
        <v>36</v>
      </c>
      <c r="N35" s="7"/>
      <c r="O35" s="7"/>
      <c r="P35" s="7" t="s">
        <v>37</v>
      </c>
      <c r="Q35" s="7"/>
      <c r="R35" s="7"/>
      <c r="S35" s="7" t="s">
        <v>36</v>
      </c>
      <c r="T35" s="7"/>
      <c r="U35" s="7"/>
      <c r="V35" s="7" t="s">
        <v>37</v>
      </c>
      <c r="W35" s="7"/>
      <c r="X35" s="7"/>
      <c r="Y35" s="7" t="s">
        <v>36</v>
      </c>
      <c r="Z35" s="7"/>
      <c r="AA35" s="7"/>
      <c r="AB35" s="7" t="s">
        <v>37</v>
      </c>
      <c r="AC35" s="7"/>
      <c r="AD35" s="7"/>
    </row>
    <row r="36" spans="1:30" x14ac:dyDescent="0.25">
      <c r="A36" s="5" t="s">
        <v>26</v>
      </c>
      <c r="B36" s="5" t="s">
        <v>31</v>
      </c>
      <c r="C36" s="5" t="s">
        <v>27</v>
      </c>
      <c r="D36" s="5" t="s">
        <v>26</v>
      </c>
      <c r="E36" s="5" t="s">
        <v>31</v>
      </c>
      <c r="F36" s="5" t="s">
        <v>27</v>
      </c>
      <c r="G36" s="5" t="s">
        <v>26</v>
      </c>
      <c r="H36" s="5" t="s">
        <v>31</v>
      </c>
      <c r="I36" s="5" t="s">
        <v>27</v>
      </c>
      <c r="J36" s="5" t="s">
        <v>26</v>
      </c>
      <c r="K36" s="5" t="s">
        <v>31</v>
      </c>
      <c r="L36" s="5" t="s">
        <v>27</v>
      </c>
      <c r="M36" s="5" t="s">
        <v>26</v>
      </c>
      <c r="N36" s="5" t="s">
        <v>31</v>
      </c>
      <c r="O36" s="5" t="s">
        <v>27</v>
      </c>
      <c r="P36" s="5" t="s">
        <v>26</v>
      </c>
      <c r="Q36" s="5" t="s">
        <v>31</v>
      </c>
      <c r="R36" s="5" t="s">
        <v>27</v>
      </c>
      <c r="S36" s="5" t="s">
        <v>26</v>
      </c>
      <c r="T36" s="5" t="s">
        <v>31</v>
      </c>
      <c r="U36" s="5" t="s">
        <v>27</v>
      </c>
      <c r="V36" s="5" t="s">
        <v>26</v>
      </c>
      <c r="W36" s="5" t="s">
        <v>31</v>
      </c>
      <c r="X36" s="5" t="s">
        <v>27</v>
      </c>
      <c r="Y36" s="5" t="s">
        <v>26</v>
      </c>
      <c r="Z36" s="5" t="s">
        <v>31</v>
      </c>
      <c r="AA36" s="5" t="s">
        <v>27</v>
      </c>
      <c r="AB36" s="5" t="s">
        <v>26</v>
      </c>
      <c r="AC36" s="5" t="s">
        <v>31</v>
      </c>
      <c r="AD36" s="5" t="s">
        <v>27</v>
      </c>
    </row>
    <row r="37" spans="1:30" x14ac:dyDescent="0.25">
      <c r="A37" s="5">
        <v>4</v>
      </c>
      <c r="B37" s="5">
        <f>AVERAGE(A37,C37)</f>
        <v>5.5</v>
      </c>
      <c r="C37" s="5">
        <v>7</v>
      </c>
      <c r="D37" s="5">
        <v>5</v>
      </c>
      <c r="E37" s="5">
        <f>AVERAGE(D37,F37)</f>
        <v>6.5</v>
      </c>
      <c r="F37" s="5">
        <v>8</v>
      </c>
      <c r="G37" s="5">
        <f>A37+4</f>
        <v>8</v>
      </c>
      <c r="H37" s="5">
        <f>AVERAGE(G37,I37)</f>
        <v>11</v>
      </c>
      <c r="I37" s="5">
        <f>C37+7</f>
        <v>14</v>
      </c>
      <c r="J37" s="5">
        <f>D37+5</f>
        <v>10</v>
      </c>
      <c r="K37" s="5">
        <f>AVERAGE(J37,L37)</f>
        <v>13</v>
      </c>
      <c r="L37" s="5">
        <f>F37+8</f>
        <v>16</v>
      </c>
      <c r="M37" s="5">
        <f>G37+5</f>
        <v>13</v>
      </c>
      <c r="N37" s="5">
        <f>AVERAGE(M37,O37)</f>
        <v>17</v>
      </c>
      <c r="O37" s="5">
        <f>I37+7</f>
        <v>21</v>
      </c>
      <c r="P37" s="5">
        <f>J37+5</f>
        <v>15</v>
      </c>
      <c r="Q37" s="5">
        <f>AVERAGE(P37,R37)</f>
        <v>19.5</v>
      </c>
      <c r="R37" s="5">
        <f>L37+8</f>
        <v>24</v>
      </c>
      <c r="S37" s="5">
        <f>M37+5</f>
        <v>18</v>
      </c>
      <c r="T37" s="5">
        <f>AVERAGE(S37,U37)</f>
        <v>23</v>
      </c>
      <c r="U37" s="5">
        <f>O37+7</f>
        <v>28</v>
      </c>
      <c r="V37" s="5">
        <f>P37+5</f>
        <v>20</v>
      </c>
      <c r="W37" s="5">
        <f>AVERAGE(V37,X37)</f>
        <v>26</v>
      </c>
      <c r="X37" s="5">
        <f>R37+8</f>
        <v>32</v>
      </c>
      <c r="Y37" s="5">
        <f>S37+5</f>
        <v>23</v>
      </c>
      <c r="Z37" s="5">
        <f>AVERAGE(Y37,AA37)</f>
        <v>29</v>
      </c>
      <c r="AA37" s="5">
        <f>U37+7</f>
        <v>35</v>
      </c>
      <c r="AB37" s="5">
        <f>V37+5</f>
        <v>25</v>
      </c>
      <c r="AC37" s="5">
        <f>AVERAGE(AB37,AD37)</f>
        <v>32.5</v>
      </c>
      <c r="AD37" s="5">
        <f>X37+8</f>
        <v>40</v>
      </c>
    </row>
    <row r="40" spans="1:30" x14ac:dyDescent="0.25">
      <c r="A40" s="7" t="s">
        <v>59</v>
      </c>
      <c r="B40" s="7"/>
      <c r="C40" s="7"/>
      <c r="D40" s="7"/>
      <c r="E40" s="7"/>
      <c r="F40" s="7"/>
      <c r="G40" s="7" t="s">
        <v>60</v>
      </c>
      <c r="H40" s="7"/>
      <c r="I40" s="7"/>
      <c r="J40" s="7"/>
      <c r="K40" s="7"/>
      <c r="L40" s="7"/>
      <c r="M40" s="7" t="s">
        <v>61</v>
      </c>
      <c r="N40" s="7"/>
      <c r="O40" s="7"/>
      <c r="P40" s="7"/>
      <c r="Q40" s="7"/>
      <c r="R40" s="7"/>
      <c r="S40" s="7"/>
      <c r="T40" s="7"/>
      <c r="U40" s="7"/>
    </row>
    <row r="41" spans="1:30" x14ac:dyDescent="0.25">
      <c r="A41" s="7" t="s">
        <v>28</v>
      </c>
      <c r="B41" s="7"/>
      <c r="C41" s="7" t="s">
        <v>29</v>
      </c>
      <c r="D41" s="7"/>
      <c r="E41" s="7" t="s">
        <v>30</v>
      </c>
      <c r="F41" s="7"/>
      <c r="G41" s="7" t="s">
        <v>28</v>
      </c>
      <c r="H41" s="7"/>
      <c r="I41" s="7" t="s">
        <v>29</v>
      </c>
      <c r="J41" s="7"/>
      <c r="K41" s="7" t="s">
        <v>30</v>
      </c>
      <c r="L41" s="7"/>
      <c r="M41" s="7" t="s">
        <v>28</v>
      </c>
      <c r="N41" s="7"/>
      <c r="O41" s="7"/>
      <c r="P41" s="7" t="s">
        <v>29</v>
      </c>
      <c r="Q41" s="7"/>
      <c r="R41" s="7"/>
      <c r="S41" s="7" t="s">
        <v>30</v>
      </c>
      <c r="T41" s="7"/>
      <c r="U41" s="7"/>
    </row>
    <row r="42" spans="1:30" x14ac:dyDescent="0.25">
      <c r="A42" s="5" t="s">
        <v>26</v>
      </c>
      <c r="B42" s="5" t="s">
        <v>27</v>
      </c>
      <c r="C42" s="5" t="s">
        <v>26</v>
      </c>
      <c r="D42" s="5" t="s">
        <v>27</v>
      </c>
      <c r="E42" s="5" t="s">
        <v>26</v>
      </c>
      <c r="F42" s="5" t="s">
        <v>27</v>
      </c>
      <c r="G42" s="5" t="s">
        <v>26</v>
      </c>
      <c r="H42" s="5" t="s">
        <v>27</v>
      </c>
      <c r="I42" s="5" t="s">
        <v>26</v>
      </c>
      <c r="J42" s="5" t="s">
        <v>27</v>
      </c>
      <c r="K42" s="5" t="s">
        <v>26</v>
      </c>
      <c r="L42" s="5" t="s">
        <v>27</v>
      </c>
      <c r="M42" s="5" t="s">
        <v>26</v>
      </c>
      <c r="N42" s="5" t="s">
        <v>31</v>
      </c>
      <c r="O42" s="5" t="s">
        <v>27</v>
      </c>
      <c r="P42" s="5" t="s">
        <v>26</v>
      </c>
      <c r="Q42" s="5" t="s">
        <v>31</v>
      </c>
      <c r="R42" s="5" t="s">
        <v>27</v>
      </c>
      <c r="S42" s="5" t="s">
        <v>26</v>
      </c>
      <c r="T42" s="5" t="s">
        <v>31</v>
      </c>
      <c r="U42" s="5" t="s">
        <v>27</v>
      </c>
    </row>
    <row r="43" spans="1:30" x14ac:dyDescent="0.25">
      <c r="A43" s="5">
        <v>5</v>
      </c>
      <c r="B43" s="5">
        <v>9</v>
      </c>
      <c r="C43" s="5">
        <v>7</v>
      </c>
      <c r="D43" s="5">
        <v>11</v>
      </c>
      <c r="E43" s="5">
        <v>9</v>
      </c>
      <c r="F43" s="5">
        <v>13</v>
      </c>
      <c r="G43" s="5">
        <v>3</v>
      </c>
      <c r="H43" s="5">
        <v>6</v>
      </c>
      <c r="I43" s="5">
        <v>4</v>
      </c>
      <c r="J43" s="5">
        <v>7</v>
      </c>
      <c r="K43" s="5">
        <v>5</v>
      </c>
      <c r="L43" s="5">
        <v>10</v>
      </c>
      <c r="M43" s="5">
        <f>A43+G43</f>
        <v>8</v>
      </c>
      <c r="N43" s="5">
        <f>AVERAGE(M43,O43)</f>
        <v>11.5</v>
      </c>
      <c r="O43" s="5">
        <f>B43+H43</f>
        <v>15</v>
      </c>
      <c r="P43" s="5">
        <f>C43+I43</f>
        <v>11</v>
      </c>
      <c r="Q43" s="5">
        <f>AVERAGE(P43,R43)</f>
        <v>14.5</v>
      </c>
      <c r="R43" s="5">
        <f>D43+J43</f>
        <v>18</v>
      </c>
      <c r="S43" s="5">
        <f>E43+K43</f>
        <v>14</v>
      </c>
      <c r="T43" s="5">
        <f>AVERAGE(S43,U43)</f>
        <v>18.5</v>
      </c>
      <c r="U43" s="5">
        <f>F43+L43</f>
        <v>23</v>
      </c>
    </row>
    <row r="46" spans="1:30" x14ac:dyDescent="0.25">
      <c r="A46" s="7" t="s">
        <v>62</v>
      </c>
      <c r="B46" s="7"/>
      <c r="C46" s="7"/>
      <c r="D46" s="7"/>
      <c r="E46" s="7"/>
      <c r="F46" s="7"/>
      <c r="G46" s="7" t="s">
        <v>63</v>
      </c>
      <c r="H46" s="7"/>
      <c r="I46" s="7"/>
      <c r="J46" s="7"/>
      <c r="K46" s="7"/>
      <c r="L46" s="7"/>
      <c r="M46" s="7" t="s">
        <v>64</v>
      </c>
      <c r="N46" s="7"/>
      <c r="O46" s="7"/>
      <c r="P46" s="7"/>
      <c r="Q46" s="7"/>
      <c r="R46" s="7"/>
      <c r="S46" s="7" t="s">
        <v>65</v>
      </c>
      <c r="T46" s="7"/>
      <c r="U46" s="7"/>
      <c r="V46" s="7"/>
      <c r="W46" s="7"/>
      <c r="X46" s="7"/>
      <c r="Y46" s="7" t="s">
        <v>66</v>
      </c>
      <c r="Z46" s="7"/>
      <c r="AA46" s="7"/>
      <c r="AB46" s="7"/>
      <c r="AC46" s="7"/>
      <c r="AD46" s="7"/>
    </row>
    <row r="47" spans="1:30" x14ac:dyDescent="0.25">
      <c r="A47" s="7" t="s">
        <v>36</v>
      </c>
      <c r="B47" s="7"/>
      <c r="C47" s="7"/>
      <c r="D47" s="7" t="s">
        <v>37</v>
      </c>
      <c r="E47" s="7"/>
      <c r="F47" s="7"/>
      <c r="G47" s="7" t="s">
        <v>36</v>
      </c>
      <c r="H47" s="7"/>
      <c r="I47" s="7"/>
      <c r="J47" s="7" t="s">
        <v>37</v>
      </c>
      <c r="K47" s="7"/>
      <c r="L47" s="7"/>
      <c r="M47" s="7" t="s">
        <v>36</v>
      </c>
      <c r="N47" s="7"/>
      <c r="O47" s="7"/>
      <c r="P47" s="7" t="s">
        <v>37</v>
      </c>
      <c r="Q47" s="7"/>
      <c r="R47" s="7"/>
      <c r="S47" s="7" t="s">
        <v>36</v>
      </c>
      <c r="T47" s="7"/>
      <c r="U47" s="7"/>
      <c r="V47" s="7" t="s">
        <v>37</v>
      </c>
      <c r="W47" s="7"/>
      <c r="X47" s="7"/>
      <c r="Y47" s="7" t="s">
        <v>36</v>
      </c>
      <c r="Z47" s="7"/>
      <c r="AA47" s="7"/>
      <c r="AB47" s="7" t="s">
        <v>37</v>
      </c>
      <c r="AC47" s="7"/>
      <c r="AD47" s="7"/>
    </row>
    <row r="48" spans="1:30" x14ac:dyDescent="0.25">
      <c r="A48" s="5" t="s">
        <v>26</v>
      </c>
      <c r="B48" s="5" t="s">
        <v>31</v>
      </c>
      <c r="C48" s="5" t="s">
        <v>27</v>
      </c>
      <c r="D48" s="5" t="s">
        <v>26</v>
      </c>
      <c r="E48" s="5" t="s">
        <v>31</v>
      </c>
      <c r="F48" s="5" t="s">
        <v>27</v>
      </c>
      <c r="G48" s="5" t="s">
        <v>26</v>
      </c>
      <c r="H48" s="5" t="s">
        <v>31</v>
      </c>
      <c r="I48" s="5" t="s">
        <v>27</v>
      </c>
      <c r="J48" s="5" t="s">
        <v>26</v>
      </c>
      <c r="K48" s="5" t="s">
        <v>31</v>
      </c>
      <c r="L48" s="5" t="s">
        <v>27</v>
      </c>
      <c r="M48" s="5" t="s">
        <v>26</v>
      </c>
      <c r="N48" s="5" t="s">
        <v>31</v>
      </c>
      <c r="O48" s="5" t="s">
        <v>27</v>
      </c>
      <c r="P48" s="5" t="s">
        <v>26</v>
      </c>
      <c r="Q48" s="5" t="s">
        <v>31</v>
      </c>
      <c r="R48" s="5" t="s">
        <v>27</v>
      </c>
      <c r="S48" s="5" t="s">
        <v>26</v>
      </c>
      <c r="T48" s="5" t="s">
        <v>31</v>
      </c>
      <c r="U48" s="5" t="s">
        <v>27</v>
      </c>
      <c r="V48" s="5" t="s">
        <v>26</v>
      </c>
      <c r="W48" s="5" t="s">
        <v>31</v>
      </c>
      <c r="X48" s="5" t="s">
        <v>27</v>
      </c>
      <c r="Y48" s="5" t="s">
        <v>26</v>
      </c>
      <c r="Z48" s="5" t="s">
        <v>31</v>
      </c>
      <c r="AA48" s="5" t="s">
        <v>27</v>
      </c>
      <c r="AB48" s="5" t="s">
        <v>26</v>
      </c>
      <c r="AC48" s="5" t="s">
        <v>31</v>
      </c>
      <c r="AD48" s="5" t="s">
        <v>27</v>
      </c>
    </row>
    <row r="49" spans="1:30" x14ac:dyDescent="0.25">
      <c r="A49" s="5">
        <v>4</v>
      </c>
      <c r="B49" s="5">
        <f>AVERAGE(A49,C49)</f>
        <v>5.5</v>
      </c>
      <c r="C49" s="5">
        <v>7</v>
      </c>
      <c r="D49" s="5">
        <v>5</v>
      </c>
      <c r="E49" s="5">
        <f>AVERAGE(D49,F49)</f>
        <v>6.5</v>
      </c>
      <c r="F49" s="5">
        <v>8</v>
      </c>
      <c r="G49" s="5">
        <f>A49+4</f>
        <v>8</v>
      </c>
      <c r="H49" s="5">
        <f>AVERAGE(G49,I49)</f>
        <v>11</v>
      </c>
      <c r="I49" s="5">
        <f>C49+7</f>
        <v>14</v>
      </c>
      <c r="J49" s="5">
        <f>D49+5</f>
        <v>10</v>
      </c>
      <c r="K49" s="5">
        <f>AVERAGE(J49,L49)</f>
        <v>13</v>
      </c>
      <c r="L49" s="5">
        <f>F49+8</f>
        <v>16</v>
      </c>
      <c r="M49" s="5">
        <f>G49+5</f>
        <v>13</v>
      </c>
      <c r="N49" s="5">
        <f>AVERAGE(M49,O49)</f>
        <v>17</v>
      </c>
      <c r="O49" s="5">
        <f>I49+7</f>
        <v>21</v>
      </c>
      <c r="P49" s="5">
        <f>J49+5</f>
        <v>15</v>
      </c>
      <c r="Q49" s="5">
        <f>AVERAGE(P49,R49)</f>
        <v>19.5</v>
      </c>
      <c r="R49" s="5">
        <f>L49+8</f>
        <v>24</v>
      </c>
      <c r="S49" s="5">
        <f>M49+5</f>
        <v>18</v>
      </c>
      <c r="T49" s="5">
        <f>AVERAGE(S49,U49)</f>
        <v>23</v>
      </c>
      <c r="U49" s="5">
        <f>O49+7</f>
        <v>28</v>
      </c>
      <c r="V49" s="5">
        <f>P49+5</f>
        <v>20</v>
      </c>
      <c r="W49" s="5">
        <f>AVERAGE(V49,X49)</f>
        <v>26</v>
      </c>
      <c r="X49" s="5">
        <f>R49+8</f>
        <v>32</v>
      </c>
      <c r="Y49" s="5">
        <f>S49+5</f>
        <v>23</v>
      </c>
      <c r="Z49" s="5">
        <f>AVERAGE(Y49,AA49)</f>
        <v>29</v>
      </c>
      <c r="AA49" s="5">
        <f>U49+7</f>
        <v>35</v>
      </c>
      <c r="AB49" s="5">
        <f>V49+5</f>
        <v>25</v>
      </c>
      <c r="AC49" s="5">
        <f>AVERAGE(AB49,AD49)</f>
        <v>32.5</v>
      </c>
      <c r="AD49" s="5">
        <f>X49+8</f>
        <v>40</v>
      </c>
    </row>
  </sheetData>
  <mergeCells count="60">
    <mergeCell ref="W8:Y8"/>
    <mergeCell ref="B2:I2"/>
    <mergeCell ref="S8:U8"/>
    <mergeCell ref="E7:G7"/>
    <mergeCell ref="E9:G9"/>
    <mergeCell ref="K2:N2"/>
    <mergeCell ref="A28:F28"/>
    <mergeCell ref="G28:L28"/>
    <mergeCell ref="M29:O29"/>
    <mergeCell ref="P29:R29"/>
    <mergeCell ref="S29:U29"/>
    <mergeCell ref="M28:U28"/>
    <mergeCell ref="A29:B29"/>
    <mergeCell ref="C29:D29"/>
    <mergeCell ref="E29:F29"/>
    <mergeCell ref="G29:H29"/>
    <mergeCell ref="I29:J29"/>
    <mergeCell ref="K29:L29"/>
    <mergeCell ref="A35:C35"/>
    <mergeCell ref="D35:F35"/>
    <mergeCell ref="G34:L34"/>
    <mergeCell ref="G35:I35"/>
    <mergeCell ref="J35:L35"/>
    <mergeCell ref="A34:F34"/>
    <mergeCell ref="P35:R35"/>
    <mergeCell ref="S34:X34"/>
    <mergeCell ref="S35:U35"/>
    <mergeCell ref="V35:X35"/>
    <mergeCell ref="Y34:AD34"/>
    <mergeCell ref="Y35:AA35"/>
    <mergeCell ref="AB35:AD35"/>
    <mergeCell ref="M34:R34"/>
    <mergeCell ref="M35:O35"/>
    <mergeCell ref="A40:F40"/>
    <mergeCell ref="G40:L40"/>
    <mergeCell ref="M40:U40"/>
    <mergeCell ref="A41:B41"/>
    <mergeCell ref="C41:D41"/>
    <mergeCell ref="E41:F41"/>
    <mergeCell ref="G41:H41"/>
    <mergeCell ref="I41:J41"/>
    <mergeCell ref="K41:L41"/>
    <mergeCell ref="M41:O41"/>
    <mergeCell ref="P41:R41"/>
    <mergeCell ref="S41:U41"/>
    <mergeCell ref="A46:F46"/>
    <mergeCell ref="G46:L46"/>
    <mergeCell ref="M46:R46"/>
    <mergeCell ref="S46:X46"/>
    <mergeCell ref="AB47:AD47"/>
    <mergeCell ref="Y46:AD46"/>
    <mergeCell ref="A47:C47"/>
    <mergeCell ref="D47:F47"/>
    <mergeCell ref="G47:I47"/>
    <mergeCell ref="J47:L47"/>
    <mergeCell ref="M47:O47"/>
    <mergeCell ref="P47:R47"/>
    <mergeCell ref="S47:U47"/>
    <mergeCell ref="V47:X47"/>
    <mergeCell ref="Y47:AA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E18" sqref="E18"/>
    </sheetView>
  </sheetViews>
  <sheetFormatPr baseColWidth="10" defaultRowHeight="15" x14ac:dyDescent="0.25"/>
  <sheetData>
    <row r="1" spans="1:13" ht="45" x14ac:dyDescent="0.25">
      <c r="B1" s="9" t="s">
        <v>67</v>
      </c>
      <c r="C1" s="9" t="s">
        <v>68</v>
      </c>
      <c r="D1" s="9" t="s">
        <v>69</v>
      </c>
      <c r="E1" s="9" t="s">
        <v>11</v>
      </c>
      <c r="F1" s="9" t="s">
        <v>70</v>
      </c>
      <c r="G1" s="9" t="s">
        <v>71</v>
      </c>
      <c r="H1" s="9" t="s">
        <v>15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</row>
    <row r="2" spans="1:13" ht="30" x14ac:dyDescent="0.25">
      <c r="A2" s="11" t="s">
        <v>77</v>
      </c>
      <c r="B2" s="10" t="s">
        <v>78</v>
      </c>
      <c r="C2" s="10">
        <v>4</v>
      </c>
      <c r="D2" s="10">
        <v>40</v>
      </c>
      <c r="E2" s="10">
        <v>8730</v>
      </c>
      <c r="F2" s="10">
        <v>640</v>
      </c>
      <c r="G2" s="10">
        <v>491</v>
      </c>
      <c r="H2" s="10">
        <f>E2*(1000+(G2*3))/1000</f>
        <v>21589.29</v>
      </c>
      <c r="I2" s="10">
        <v>128</v>
      </c>
      <c r="J2" s="10">
        <v>24</v>
      </c>
      <c r="K2" s="10">
        <v>0</v>
      </c>
      <c r="L2" s="10">
        <v>0</v>
      </c>
      <c r="M2" s="10">
        <v>0</v>
      </c>
    </row>
    <row r="3" spans="1:13" ht="30" x14ac:dyDescent="0.25">
      <c r="A3" s="11"/>
      <c r="B3" s="10" t="s">
        <v>78</v>
      </c>
      <c r="C3" s="10">
        <v>4</v>
      </c>
      <c r="D3" s="10">
        <v>40</v>
      </c>
      <c r="E3" s="10">
        <v>8730</v>
      </c>
      <c r="F3" s="10">
        <v>640</v>
      </c>
      <c r="G3" s="10">
        <v>491</v>
      </c>
      <c r="H3" s="10">
        <f t="shared" ref="H3:H14" si="0">E3*(1000+(G3*3))/1000</f>
        <v>21589.29</v>
      </c>
      <c r="I3" s="10">
        <v>128</v>
      </c>
      <c r="J3" s="10">
        <v>24</v>
      </c>
      <c r="K3" s="10">
        <v>0</v>
      </c>
      <c r="L3" s="10">
        <v>0</v>
      </c>
      <c r="M3" s="10">
        <v>0</v>
      </c>
    </row>
    <row r="4" spans="1:13" ht="30" x14ac:dyDescent="0.25">
      <c r="A4" s="11"/>
      <c r="B4" s="10" t="s">
        <v>78</v>
      </c>
      <c r="C4" s="10">
        <v>4</v>
      </c>
      <c r="D4" s="10">
        <v>40</v>
      </c>
      <c r="E4" s="10">
        <v>8730</v>
      </c>
      <c r="F4" s="10">
        <v>640</v>
      </c>
      <c r="G4" s="10">
        <v>491</v>
      </c>
      <c r="H4" s="10">
        <f t="shared" si="0"/>
        <v>21589.29</v>
      </c>
      <c r="I4" s="10">
        <v>128</v>
      </c>
      <c r="J4" s="10">
        <v>24</v>
      </c>
      <c r="K4" s="10">
        <v>0</v>
      </c>
      <c r="L4" s="10">
        <v>0</v>
      </c>
      <c r="M4" s="10">
        <v>0</v>
      </c>
    </row>
    <row r="5" spans="1:13" ht="30" x14ac:dyDescent="0.25">
      <c r="A5" s="11"/>
      <c r="B5" s="10" t="s">
        <v>79</v>
      </c>
      <c r="C5" s="10">
        <v>4</v>
      </c>
      <c r="D5" s="10">
        <v>40</v>
      </c>
      <c r="E5" s="10">
        <v>6495</v>
      </c>
      <c r="F5" s="10">
        <v>707</v>
      </c>
      <c r="G5" s="10">
        <v>400</v>
      </c>
      <c r="H5" s="10">
        <f t="shared" si="0"/>
        <v>14289</v>
      </c>
      <c r="I5" s="10">
        <v>130</v>
      </c>
      <c r="J5" s="10">
        <v>24</v>
      </c>
      <c r="K5" s="10">
        <v>0</v>
      </c>
      <c r="L5" s="10">
        <v>0</v>
      </c>
      <c r="M5" s="10">
        <v>0</v>
      </c>
    </row>
    <row r="6" spans="1:13" ht="30" x14ac:dyDescent="0.25">
      <c r="A6" s="11" t="s">
        <v>80</v>
      </c>
      <c r="B6" s="10" t="s">
        <v>78</v>
      </c>
      <c r="C6" s="10">
        <v>4</v>
      </c>
      <c r="D6" s="10">
        <v>40</v>
      </c>
      <c r="E6" s="10">
        <v>8730</v>
      </c>
      <c r="F6" s="10">
        <v>640</v>
      </c>
      <c r="G6" s="10">
        <v>491</v>
      </c>
      <c r="H6" s="10">
        <f t="shared" si="0"/>
        <v>21589.29</v>
      </c>
      <c r="I6" s="10">
        <v>128</v>
      </c>
      <c r="J6" s="10">
        <v>24</v>
      </c>
      <c r="K6" s="10">
        <v>0</v>
      </c>
      <c r="L6" s="10">
        <v>0</v>
      </c>
      <c r="M6" s="10">
        <v>0</v>
      </c>
    </row>
    <row r="7" spans="1:13" ht="30" x14ac:dyDescent="0.25">
      <c r="A7" s="11"/>
      <c r="B7" s="10" t="s">
        <v>79</v>
      </c>
      <c r="C7" s="10">
        <v>4</v>
      </c>
      <c r="D7" s="10">
        <v>40</v>
      </c>
      <c r="E7" s="10">
        <v>6495</v>
      </c>
      <c r="F7" s="10">
        <v>707</v>
      </c>
      <c r="G7" s="10">
        <v>400</v>
      </c>
      <c r="H7" s="10">
        <f t="shared" si="0"/>
        <v>14289</v>
      </c>
      <c r="I7" s="10">
        <v>130</v>
      </c>
      <c r="J7" s="10">
        <v>24</v>
      </c>
      <c r="K7" s="10">
        <v>0</v>
      </c>
      <c r="L7" s="10">
        <v>0</v>
      </c>
      <c r="M7" s="10">
        <v>0</v>
      </c>
    </row>
    <row r="8" spans="1:13" ht="30" x14ac:dyDescent="0.25">
      <c r="A8" s="11"/>
      <c r="B8" s="10" t="s">
        <v>78</v>
      </c>
      <c r="C8" s="10">
        <v>4</v>
      </c>
      <c r="D8" s="10">
        <v>40</v>
      </c>
      <c r="E8" s="10">
        <v>8730</v>
      </c>
      <c r="F8" s="10">
        <v>640</v>
      </c>
      <c r="G8" s="10">
        <v>491</v>
      </c>
      <c r="H8" s="10">
        <f t="shared" si="0"/>
        <v>21589.29</v>
      </c>
      <c r="I8" s="10">
        <v>128</v>
      </c>
      <c r="J8" s="10">
        <v>24</v>
      </c>
      <c r="K8" s="10">
        <v>0</v>
      </c>
      <c r="L8" s="10">
        <v>0</v>
      </c>
      <c r="M8" s="10">
        <v>0</v>
      </c>
    </row>
    <row r="9" spans="1:13" ht="30" x14ac:dyDescent="0.25">
      <c r="A9" s="11"/>
      <c r="B9" s="10" t="s">
        <v>79</v>
      </c>
      <c r="C9" s="10">
        <v>4</v>
      </c>
      <c r="D9" s="10">
        <v>40</v>
      </c>
      <c r="E9" s="10">
        <v>6495</v>
      </c>
      <c r="F9" s="10">
        <v>707</v>
      </c>
      <c r="G9" s="10">
        <v>400</v>
      </c>
      <c r="H9" s="10">
        <f t="shared" si="0"/>
        <v>14289</v>
      </c>
      <c r="I9" s="10">
        <v>130</v>
      </c>
      <c r="J9" s="10">
        <v>24</v>
      </c>
      <c r="K9" s="10">
        <v>0</v>
      </c>
      <c r="L9" s="10">
        <v>0</v>
      </c>
      <c r="M9" s="10">
        <v>0</v>
      </c>
    </row>
    <row r="10" spans="1:13" ht="30" x14ac:dyDescent="0.25">
      <c r="A10" s="11" t="s">
        <v>81</v>
      </c>
      <c r="B10" s="10" t="s">
        <v>78</v>
      </c>
      <c r="C10" s="10">
        <v>5</v>
      </c>
      <c r="D10" s="10">
        <v>40</v>
      </c>
      <c r="E10" s="10">
        <v>10680</v>
      </c>
      <c r="F10" s="10">
        <v>782</v>
      </c>
      <c r="G10" s="10">
        <v>600</v>
      </c>
      <c r="H10" s="10">
        <f t="shared" si="0"/>
        <v>29904</v>
      </c>
      <c r="I10" s="10">
        <v>128</v>
      </c>
      <c r="J10" s="10">
        <v>24</v>
      </c>
      <c r="K10" s="10">
        <v>0</v>
      </c>
      <c r="L10" s="10">
        <v>0</v>
      </c>
      <c r="M10" s="10">
        <v>0</v>
      </c>
    </row>
    <row r="11" spans="1:13" ht="30" x14ac:dyDescent="0.25">
      <c r="A11" s="11"/>
      <c r="B11" s="10" t="s">
        <v>79</v>
      </c>
      <c r="C11" s="10">
        <v>5</v>
      </c>
      <c r="D11" s="10">
        <v>40</v>
      </c>
      <c r="E11" s="10">
        <v>7965</v>
      </c>
      <c r="F11" s="10">
        <v>865</v>
      </c>
      <c r="G11" s="10">
        <v>488</v>
      </c>
      <c r="H11" s="10">
        <f t="shared" si="0"/>
        <v>19625.759999999998</v>
      </c>
      <c r="I11" s="10">
        <v>130</v>
      </c>
      <c r="J11" s="10">
        <v>24</v>
      </c>
      <c r="K11" s="10">
        <v>0</v>
      </c>
      <c r="L11" s="10">
        <v>0</v>
      </c>
      <c r="M11" s="10">
        <v>0</v>
      </c>
    </row>
    <row r="12" spans="1:13" x14ac:dyDescent="0.25">
      <c r="A12" s="11"/>
      <c r="B12" s="10" t="s">
        <v>82</v>
      </c>
      <c r="C12" s="10">
        <v>6</v>
      </c>
      <c r="D12" s="10">
        <v>40</v>
      </c>
      <c r="E12" s="10">
        <v>11880</v>
      </c>
      <c r="F12" s="10">
        <v>1563</v>
      </c>
      <c r="G12" s="10">
        <v>771</v>
      </c>
      <c r="H12" s="10">
        <f t="shared" si="0"/>
        <v>39358.44</v>
      </c>
      <c r="I12" s="10">
        <v>143</v>
      </c>
      <c r="J12" s="10">
        <v>27</v>
      </c>
      <c r="K12" s="10">
        <v>0</v>
      </c>
      <c r="L12" s="10">
        <v>0</v>
      </c>
      <c r="M12" s="10">
        <v>0</v>
      </c>
    </row>
    <row r="13" spans="1:13" ht="30" x14ac:dyDescent="0.25">
      <c r="A13" s="11"/>
      <c r="B13" s="10" t="s">
        <v>79</v>
      </c>
      <c r="C13" s="10">
        <v>5</v>
      </c>
      <c r="D13" s="10">
        <v>40</v>
      </c>
      <c r="E13" s="10">
        <v>7965</v>
      </c>
      <c r="F13" s="10">
        <v>865</v>
      </c>
      <c r="G13" s="10">
        <v>488</v>
      </c>
      <c r="H13" s="10">
        <f t="shared" si="0"/>
        <v>19625.759999999998</v>
      </c>
      <c r="I13" s="10">
        <v>130</v>
      </c>
      <c r="J13" s="10">
        <v>24</v>
      </c>
      <c r="K13" s="10">
        <v>0</v>
      </c>
      <c r="L13" s="10">
        <v>0</v>
      </c>
      <c r="M13" s="10">
        <v>0</v>
      </c>
    </row>
    <row r="14" spans="1:13" ht="30" x14ac:dyDescent="0.25">
      <c r="A14" s="11"/>
      <c r="B14" s="10" t="s">
        <v>79</v>
      </c>
      <c r="C14" s="10">
        <v>5</v>
      </c>
      <c r="D14" s="10">
        <v>40</v>
      </c>
      <c r="E14" s="10">
        <v>7965</v>
      </c>
      <c r="F14" s="10">
        <v>865</v>
      </c>
      <c r="G14" s="10">
        <v>488</v>
      </c>
      <c r="H14" s="10">
        <f t="shared" si="0"/>
        <v>19625.759999999998</v>
      </c>
      <c r="I14" s="10">
        <v>130</v>
      </c>
      <c r="J14" s="10">
        <v>24</v>
      </c>
      <c r="K14" s="10">
        <v>0</v>
      </c>
      <c r="L14" s="10">
        <v>0</v>
      </c>
      <c r="M14" s="10">
        <v>0</v>
      </c>
    </row>
    <row r="16" spans="1:13" ht="18.75" x14ac:dyDescent="0.25">
      <c r="B16" s="12" t="s">
        <v>90</v>
      </c>
      <c r="C16" s="12"/>
      <c r="D16" s="12"/>
      <c r="E16" s="12"/>
      <c r="F16" s="12"/>
      <c r="G16" s="12"/>
    </row>
    <row r="17" spans="1:20" x14ac:dyDescent="0.25">
      <c r="B17" s="10" t="s">
        <v>10</v>
      </c>
      <c r="C17" t="s">
        <v>85</v>
      </c>
      <c r="D17" s="10" t="s">
        <v>83</v>
      </c>
      <c r="E17" t="s">
        <v>84</v>
      </c>
      <c r="F17" t="s">
        <v>86</v>
      </c>
      <c r="G17" t="s">
        <v>91</v>
      </c>
      <c r="H17" t="s">
        <v>107</v>
      </c>
      <c r="I17" s="10" t="s">
        <v>10</v>
      </c>
      <c r="J17" t="s">
        <v>85</v>
      </c>
      <c r="K17" s="10" t="s">
        <v>83</v>
      </c>
      <c r="L17" t="s">
        <v>84</v>
      </c>
      <c r="M17" t="s">
        <v>86</v>
      </c>
      <c r="N17" t="s">
        <v>91</v>
      </c>
      <c r="O17" t="s">
        <v>107</v>
      </c>
    </row>
    <row r="18" spans="1:20" x14ac:dyDescent="0.25">
      <c r="B18" s="13">
        <f>2397+(878*0.15)</f>
        <v>2528.6999999999998</v>
      </c>
      <c r="C18" s="13">
        <v>154</v>
      </c>
      <c r="D18" t="s">
        <v>87</v>
      </c>
      <c r="E18">
        <v>280</v>
      </c>
      <c r="F18">
        <f>E18*B18/100</f>
        <v>7080.36</v>
      </c>
      <c r="G18">
        <f>F18*(100+C18)/100</f>
        <v>17984.114399999999</v>
      </c>
      <c r="H18">
        <f>F18*(100+C18+30)/100</f>
        <v>20108.222399999999</v>
      </c>
      <c r="I18" s="13">
        <v>2500</v>
      </c>
      <c r="J18" s="13">
        <v>210</v>
      </c>
      <c r="K18" t="s">
        <v>87</v>
      </c>
      <c r="L18">
        <v>280</v>
      </c>
      <c r="M18">
        <f>L18*I18/100</f>
        <v>7000</v>
      </c>
      <c r="N18">
        <f>M18*(100+J18)/100</f>
        <v>21700</v>
      </c>
      <c r="O18">
        <f>M18*(100+J18+30)/100</f>
        <v>23800</v>
      </c>
    </row>
    <row r="19" spans="1:20" x14ac:dyDescent="0.25">
      <c r="B19" s="13">
        <f t="shared" ref="B19:B20" si="1">2397+(878*0.15)</f>
        <v>2528.6999999999998</v>
      </c>
      <c r="C19" s="13">
        <v>154</v>
      </c>
      <c r="D19" t="s">
        <v>88</v>
      </c>
      <c r="E19">
        <v>120</v>
      </c>
      <c r="F19">
        <f>E19*B19*3/100</f>
        <v>9103.32</v>
      </c>
      <c r="G19">
        <f>F19*(100+C19)/100</f>
        <v>23122.432799999999</v>
      </c>
      <c r="I19" s="13">
        <v>2500</v>
      </c>
      <c r="J19" s="13">
        <v>210</v>
      </c>
      <c r="K19" t="s">
        <v>88</v>
      </c>
      <c r="L19">
        <v>120</v>
      </c>
      <c r="M19">
        <f>L19*I19*3/100</f>
        <v>9000</v>
      </c>
      <c r="N19">
        <f>M19*(100+J19)/100</f>
        <v>27900</v>
      </c>
    </row>
    <row r="20" spans="1:20" x14ac:dyDescent="0.25">
      <c r="B20" s="13">
        <f t="shared" si="1"/>
        <v>2528.6999999999998</v>
      </c>
      <c r="C20" s="13">
        <v>154</v>
      </c>
      <c r="D20" t="s">
        <v>89</v>
      </c>
      <c r="E20">
        <v>460</v>
      </c>
      <c r="F20">
        <f>E20*B20/100</f>
        <v>11632.02</v>
      </c>
      <c r="G20">
        <f>F20*(100+C20)/100</f>
        <v>29545.3308</v>
      </c>
      <c r="I20" s="13">
        <v>2500</v>
      </c>
      <c r="J20" s="13">
        <v>210</v>
      </c>
      <c r="K20" t="s">
        <v>89</v>
      </c>
      <c r="L20">
        <v>460</v>
      </c>
      <c r="M20">
        <f>L20*I20/100</f>
        <v>11500</v>
      </c>
      <c r="N20">
        <f>M20*(100+J20)/100</f>
        <v>35650</v>
      </c>
    </row>
    <row r="22" spans="1:20" x14ac:dyDescent="0.25">
      <c r="B22" s="10" t="s">
        <v>10</v>
      </c>
      <c r="C22" t="s">
        <v>85</v>
      </c>
      <c r="D22" s="10" t="s">
        <v>83</v>
      </c>
      <c r="E22" t="s">
        <v>84</v>
      </c>
      <c r="F22" t="s">
        <v>86</v>
      </c>
      <c r="G22" t="s">
        <v>91</v>
      </c>
    </row>
    <row r="23" spans="1:20" x14ac:dyDescent="0.25">
      <c r="B23" s="13">
        <v>3100</v>
      </c>
      <c r="C23" s="13">
        <v>150</v>
      </c>
      <c r="D23" t="s">
        <v>87</v>
      </c>
      <c r="E23">
        <v>280</v>
      </c>
      <c r="F23">
        <f>E23*$B23/100</f>
        <v>8680</v>
      </c>
      <c r="G23">
        <f>F23*(100+$C23)/100</f>
        <v>21700</v>
      </c>
      <c r="H23">
        <f>F23*(100+C23+30)/100</f>
        <v>24304</v>
      </c>
    </row>
    <row r="24" spans="1:20" x14ac:dyDescent="0.25">
      <c r="B24" s="13">
        <v>3100</v>
      </c>
      <c r="C24" s="13">
        <v>150</v>
      </c>
      <c r="D24" t="s">
        <v>88</v>
      </c>
      <c r="E24">
        <v>120</v>
      </c>
      <c r="F24">
        <f>E24*$B24*3/100</f>
        <v>11160</v>
      </c>
      <c r="G24">
        <f t="shared" ref="G24:G25" si="2">F24*(100+$C24)/100</f>
        <v>27900</v>
      </c>
    </row>
    <row r="25" spans="1:20" x14ac:dyDescent="0.25">
      <c r="B25" s="13">
        <v>3100</v>
      </c>
      <c r="C25" s="13">
        <v>150</v>
      </c>
      <c r="D25" t="s">
        <v>89</v>
      </c>
      <c r="E25">
        <v>460</v>
      </c>
      <c r="F25">
        <f>E25*$B$20/100</f>
        <v>11632.02</v>
      </c>
      <c r="G25">
        <f t="shared" si="2"/>
        <v>29080.05</v>
      </c>
    </row>
    <row r="27" spans="1:20" ht="30" x14ac:dyDescent="0.25">
      <c r="B27" s="2" t="s">
        <v>10</v>
      </c>
      <c r="C27" s="2" t="s">
        <v>99</v>
      </c>
      <c r="D27" s="2" t="s">
        <v>94</v>
      </c>
      <c r="E27" s="2" t="s">
        <v>55</v>
      </c>
      <c r="F27" s="2" t="s">
        <v>95</v>
      </c>
      <c r="G27" s="2" t="s">
        <v>96</v>
      </c>
      <c r="H27" s="2" t="s">
        <v>101</v>
      </c>
      <c r="I27" s="2" t="s">
        <v>21</v>
      </c>
      <c r="J27" s="2" t="s">
        <v>102</v>
      </c>
      <c r="K27" s="2" t="s">
        <v>103</v>
      </c>
      <c r="L27" s="2" t="s">
        <v>104</v>
      </c>
      <c r="N27" s="2" t="s">
        <v>93</v>
      </c>
      <c r="O27" s="2" t="s">
        <v>100</v>
      </c>
      <c r="P27" s="2" t="s">
        <v>98</v>
      </c>
      <c r="Q27" s="2" t="s">
        <v>97</v>
      </c>
      <c r="R27" s="2" t="s">
        <v>106</v>
      </c>
      <c r="S27" s="2" t="s">
        <v>21</v>
      </c>
      <c r="T27" s="2" t="s">
        <v>105</v>
      </c>
    </row>
    <row r="28" spans="1:20" x14ac:dyDescent="0.25">
      <c r="A28" t="s">
        <v>92</v>
      </c>
      <c r="B28" s="2">
        <v>878</v>
      </c>
      <c r="C28" s="2">
        <f>63+63</f>
        <v>126</v>
      </c>
      <c r="D28" s="2">
        <v>160</v>
      </c>
      <c r="E28" s="2">
        <f>100*2</f>
        <v>200</v>
      </c>
      <c r="F28" s="4">
        <v>13</v>
      </c>
      <c r="G28" s="2">
        <f>ROUNDUP(B28+D28+(B28*(C28+F28)/100)+E28,0)</f>
        <v>2459</v>
      </c>
      <c r="H28" s="3">
        <f>(L28-G28)/B28</f>
        <v>0.73006833712984054</v>
      </c>
      <c r="I28" s="3">
        <f>H28/4</f>
        <v>0.18251708428246013</v>
      </c>
      <c r="J28" s="2">
        <f>B28*I28</f>
        <v>160.25</v>
      </c>
      <c r="K28" s="2">
        <f>J28/2</f>
        <v>80.125</v>
      </c>
      <c r="L28" s="2">
        <v>3100</v>
      </c>
      <c r="N28" s="2">
        <v>50</v>
      </c>
      <c r="O28" s="2">
        <v>80</v>
      </c>
      <c r="P28" s="4">
        <v>25</v>
      </c>
      <c r="Q28" s="4">
        <f>N28+P28+O28</f>
        <v>155</v>
      </c>
      <c r="R28" s="4">
        <f>T28-Q28</f>
        <v>55</v>
      </c>
      <c r="S28" s="4">
        <f>R28/5</f>
        <v>11</v>
      </c>
      <c r="T28" s="2">
        <v>210</v>
      </c>
    </row>
    <row r="30" spans="1:20" x14ac:dyDescent="0.25">
      <c r="B30" t="s">
        <v>7</v>
      </c>
      <c r="D30" t="s">
        <v>108</v>
      </c>
      <c r="F30" t="s">
        <v>109</v>
      </c>
      <c r="H30" t="s">
        <v>110</v>
      </c>
      <c r="I30" t="s">
        <v>111</v>
      </c>
    </row>
    <row r="31" spans="1:20" x14ac:dyDescent="0.25">
      <c r="A31" t="s">
        <v>92</v>
      </c>
      <c r="B31">
        <v>101</v>
      </c>
      <c r="D31">
        <v>20</v>
      </c>
      <c r="F31">
        <f>MAX(I2:I14)+1</f>
        <v>144</v>
      </c>
      <c r="H31">
        <f>F31-(B31+ROUNDUP(B31*D31/100,0))</f>
        <v>22</v>
      </c>
      <c r="I31">
        <f>B31+H31</f>
        <v>123</v>
      </c>
    </row>
    <row r="38" spans="2:9" x14ac:dyDescent="0.25">
      <c r="B38" t="s">
        <v>112</v>
      </c>
    </row>
    <row r="40" spans="2:9" x14ac:dyDescent="0.25">
      <c r="B40" s="10" t="s">
        <v>10</v>
      </c>
      <c r="C40" t="s">
        <v>85</v>
      </c>
      <c r="D40" s="10" t="s">
        <v>83</v>
      </c>
      <c r="E40" t="s">
        <v>84</v>
      </c>
      <c r="F40" t="s">
        <v>86</v>
      </c>
      <c r="G40" t="s">
        <v>91</v>
      </c>
    </row>
    <row r="41" spans="2:9" x14ac:dyDescent="0.25">
      <c r="B41" s="13">
        <f>878+1506</f>
        <v>2384</v>
      </c>
      <c r="C41" s="13">
        <f>154+68</f>
        <v>222</v>
      </c>
      <c r="D41" t="s">
        <v>87</v>
      </c>
      <c r="E41">
        <v>280</v>
      </c>
      <c r="F41">
        <f>E41*B41/100</f>
        <v>6675.2</v>
      </c>
      <c r="G41">
        <f>F41*(100+C41)/100</f>
        <v>21494.144</v>
      </c>
      <c r="I41" s="10">
        <v>21589.29</v>
      </c>
    </row>
    <row r="42" spans="2:9" x14ac:dyDescent="0.25">
      <c r="B42" s="13">
        <f t="shared" ref="B42:B43" si="3">878+1506</f>
        <v>2384</v>
      </c>
      <c r="C42" s="13">
        <f t="shared" ref="C42:C43" si="4">154+92</f>
        <v>246</v>
      </c>
      <c r="D42" t="s">
        <v>88</v>
      </c>
      <c r="E42">
        <v>120</v>
      </c>
      <c r="F42">
        <f>E42*B42*3/100</f>
        <v>8582.4</v>
      </c>
      <c r="G42">
        <f>F42*(100+C42)/100</f>
        <v>29695.103999999999</v>
      </c>
    </row>
    <row r="43" spans="2:9" x14ac:dyDescent="0.25">
      <c r="B43" s="13">
        <f t="shared" si="3"/>
        <v>2384</v>
      </c>
      <c r="C43" s="13">
        <f t="shared" si="4"/>
        <v>246</v>
      </c>
      <c r="D43" t="s">
        <v>89</v>
      </c>
      <c r="E43">
        <v>460</v>
      </c>
      <c r="F43">
        <f>E43*B43/100</f>
        <v>10966.4</v>
      </c>
      <c r="G43">
        <f>F43*(100+C43)/100</f>
        <v>37943.743999999999</v>
      </c>
    </row>
  </sheetData>
  <mergeCells count="4">
    <mergeCell ref="A2:A5"/>
    <mergeCell ref="A6:A9"/>
    <mergeCell ref="A10:A14"/>
    <mergeCell ref="B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Calcul Homonculus Faimon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2022-10-19T08:22:11Z</dcterms:modified>
</cp:coreProperties>
</file>