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OneDrive - ФГОБУ ВО Финансовый университет при Правительстве РФ\Рабочий стол\Ксюша\Эконометрика\Коэффициент корреляции\"/>
    </mc:Choice>
  </mc:AlternateContent>
  <xr:revisionPtr revIDLastSave="0" documentId="13_ncr:1_{AD8CE652-2759-475D-80EE-2FA65D2D3C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D2" i="1"/>
  <c r="D3" i="1"/>
  <c r="D4" i="1"/>
  <c r="D5" i="1"/>
  <c r="D6" i="1"/>
  <c r="D7" i="1"/>
  <c r="D8" i="1"/>
  <c r="D9" i="1"/>
  <c r="D20" i="1" s="1"/>
  <c r="D10" i="1"/>
  <c r="D11" i="1"/>
  <c r="D12" i="1"/>
  <c r="D13" i="1"/>
  <c r="D14" i="1"/>
  <c r="D15" i="1"/>
  <c r="D16" i="1"/>
  <c r="D17" i="1"/>
  <c r="D18" i="1"/>
  <c r="D19" i="1"/>
  <c r="B21" i="1"/>
  <c r="A21" i="1"/>
  <c r="J2" i="1"/>
  <c r="I2" i="1"/>
  <c r="K2" i="1" s="1"/>
  <c r="A33" i="1"/>
  <c r="A32" i="1"/>
  <c r="A29" i="1"/>
  <c r="K26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I3" i="1"/>
  <c r="I4" i="1"/>
  <c r="I5" i="1"/>
  <c r="K5" i="1" s="1"/>
  <c r="I6" i="1"/>
  <c r="K6" i="1" s="1"/>
  <c r="I7" i="1"/>
  <c r="K7" i="1" s="1"/>
  <c r="I8" i="1"/>
  <c r="I9" i="1"/>
  <c r="I10" i="1"/>
  <c r="I11" i="1"/>
  <c r="I12" i="1"/>
  <c r="I13" i="1"/>
  <c r="K13" i="1" s="1"/>
  <c r="I14" i="1"/>
  <c r="K14" i="1" s="1"/>
  <c r="I15" i="1"/>
  <c r="K15" i="1" s="1"/>
  <c r="I16" i="1"/>
  <c r="I17" i="1"/>
  <c r="I18" i="1"/>
  <c r="I19" i="1"/>
  <c r="K19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20" i="1"/>
  <c r="A20" i="1"/>
  <c r="F32" i="1" l="1"/>
  <c r="M11" i="1"/>
  <c r="M3" i="1"/>
  <c r="M12" i="1"/>
  <c r="M4" i="1"/>
  <c r="M16" i="1"/>
  <c r="M8" i="1"/>
  <c r="J20" i="1"/>
  <c r="G20" i="1"/>
  <c r="I26" i="1" s="1"/>
  <c r="L2" i="1"/>
  <c r="L20" i="1" s="1"/>
  <c r="M18" i="1"/>
  <c r="M10" i="1"/>
  <c r="M2" i="1"/>
  <c r="M17" i="1"/>
  <c r="M9" i="1"/>
  <c r="F20" i="1"/>
  <c r="G26" i="1" s="1"/>
  <c r="H20" i="1"/>
  <c r="K16" i="1"/>
  <c r="K8" i="1"/>
  <c r="K12" i="1"/>
  <c r="K11" i="1"/>
  <c r="K3" i="1"/>
  <c r="M15" i="1"/>
  <c r="M7" i="1"/>
  <c r="K4" i="1"/>
  <c r="K18" i="1"/>
  <c r="K10" i="1"/>
  <c r="M14" i="1"/>
  <c r="M6" i="1"/>
  <c r="K17" i="1"/>
  <c r="K9" i="1"/>
  <c r="M13" i="1"/>
  <c r="M5" i="1"/>
  <c r="I20" i="1"/>
  <c r="M19" i="1"/>
  <c r="A26" i="1" l="1"/>
  <c r="K20" i="1"/>
  <c r="M20" i="1"/>
  <c r="K22" i="1" l="1"/>
  <c r="J22" i="1" s="1"/>
  <c r="A23" i="1"/>
  <c r="C9" i="1" l="1"/>
  <c r="C17" i="1"/>
  <c r="C2" i="1"/>
  <c r="C10" i="1"/>
  <c r="C18" i="1"/>
  <c r="C3" i="1"/>
  <c r="C11" i="1"/>
  <c r="C19" i="1"/>
  <c r="C4" i="1"/>
  <c r="C12" i="1"/>
  <c r="C5" i="1"/>
  <c r="C13" i="1"/>
  <c r="C6" i="1"/>
  <c r="C14" i="1"/>
  <c r="C7" i="1"/>
  <c r="C15" i="1"/>
  <c r="C8" i="1"/>
  <c r="C16" i="1"/>
  <c r="C20" i="1" l="1"/>
</calcChain>
</file>

<file path=xl/sharedStrings.xml><?xml version="1.0" encoding="utf-8"?>
<sst xmlns="http://schemas.openxmlformats.org/spreadsheetml/2006/main" count="19" uniqueCount="19">
  <si>
    <t>X</t>
  </si>
  <si>
    <t>Y</t>
  </si>
  <si>
    <t>X^2</t>
  </si>
  <si>
    <t>Y^2</t>
  </si>
  <si>
    <t>Xi*Yi</t>
  </si>
  <si>
    <t>Xi-Xср</t>
  </si>
  <si>
    <t>Yi-Yср</t>
  </si>
  <si>
    <t>(Xi-Xср)^2</t>
  </si>
  <si>
    <t>(Yi-Yср)^2</t>
  </si>
  <si>
    <t>(Xi-Xср)*(Yi-Yср)</t>
  </si>
  <si>
    <t>ПО ПЕРВОЙ ФОРМУЛЕ</t>
  </si>
  <si>
    <t>ПО ВТОРОЙ ФОРМУЛЕ</t>
  </si>
  <si>
    <t>n</t>
  </si>
  <si>
    <t>1множ числитель</t>
  </si>
  <si>
    <t>2множ числитель</t>
  </si>
  <si>
    <t>ПО ВСТРОЕННОЙ ФУНКЦИИ</t>
  </si>
  <si>
    <t>Столбец1</t>
  </si>
  <si>
    <t>Столбец2</t>
  </si>
  <si>
    <t>Столбец12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</si>
</sst>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Основной</c:formatCode>
                <c:ptCount val="18"/>
                <c:pt idx="0">
                  <c:v>819</c:v>
                </c:pt>
                <c:pt idx="1">
                  <c:v>675</c:v>
                </c:pt>
                <c:pt idx="2">
                  <c:v>716</c:v>
                </c:pt>
                <c:pt idx="3">
                  <c:v>1428</c:v>
                </c:pt>
                <c:pt idx="4">
                  <c:v>518</c:v>
                </c:pt>
                <c:pt idx="5">
                  <c:v>592</c:v>
                </c:pt>
                <c:pt idx="6">
                  <c:v>380</c:v>
                </c:pt>
                <c:pt idx="7">
                  <c:v>659</c:v>
                </c:pt>
                <c:pt idx="8">
                  <c:v>602</c:v>
                </c:pt>
                <c:pt idx="9">
                  <c:v>2207</c:v>
                </c:pt>
                <c:pt idx="10">
                  <c:v>586</c:v>
                </c:pt>
                <c:pt idx="11">
                  <c:v>516</c:v>
                </c:pt>
                <c:pt idx="12">
                  <c:v>924</c:v>
                </c:pt>
                <c:pt idx="13">
                  <c:v>632</c:v>
                </c:pt>
                <c:pt idx="14">
                  <c:v>819</c:v>
                </c:pt>
                <c:pt idx="15">
                  <c:v>610</c:v>
                </c:pt>
                <c:pt idx="16">
                  <c:v>559</c:v>
                </c:pt>
                <c:pt idx="17">
                  <c:v>3617</c:v>
                </c:pt>
              </c:numCache>
            </c:numRef>
          </c:xVal>
          <c:yVal>
            <c:numRef>
              <c:f>Лист1!$B$2:$B$19</c:f>
              <c:numCache>
                <c:formatCode>Основной</c:formatCode>
                <c:ptCount val="18"/>
                <c:pt idx="0">
                  <c:v>72.61</c:v>
                </c:pt>
                <c:pt idx="1">
                  <c:v>70.36</c:v>
                </c:pt>
                <c:pt idx="2">
                  <c:v>69.819999999999993</c:v>
                </c:pt>
                <c:pt idx="3">
                  <c:v>71.67</c:v>
                </c:pt>
                <c:pt idx="4">
                  <c:v>70.62</c:v>
                </c:pt>
                <c:pt idx="5">
                  <c:v>70.73</c:v>
                </c:pt>
                <c:pt idx="6">
                  <c:v>70.38</c:v>
                </c:pt>
                <c:pt idx="7">
                  <c:v>70.8</c:v>
                </c:pt>
                <c:pt idx="8">
                  <c:v>71.069999999999993</c:v>
                </c:pt>
                <c:pt idx="9">
                  <c:v>72.260000000000005</c:v>
                </c:pt>
                <c:pt idx="10">
                  <c:v>70.38</c:v>
                </c:pt>
                <c:pt idx="11">
                  <c:v>71.459999999999994</c:v>
                </c:pt>
                <c:pt idx="12">
                  <c:v>69.739999999999995</c:v>
                </c:pt>
                <c:pt idx="13">
                  <c:v>71.67</c:v>
                </c:pt>
                <c:pt idx="14">
                  <c:v>69.099999999999994</c:v>
                </c:pt>
                <c:pt idx="15">
                  <c:v>70.06</c:v>
                </c:pt>
                <c:pt idx="16">
                  <c:v>70.98</c:v>
                </c:pt>
                <c:pt idx="17">
                  <c:v>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2-4794-B0C3-44709CD7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50016"/>
        <c:axId val="671050344"/>
      </c:scatterChart>
      <c:valAx>
        <c:axId val="6710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344"/>
        <c:crosses val="autoZero"/>
        <c:crossBetween val="midCat"/>
      </c:valAx>
      <c:valAx>
        <c:axId val="6710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1276350</xdr:colOff>
      <xdr:row>0</xdr:row>
      <xdr:rowOff>0</xdr:rowOff>
    </xdr:from>
    <xdr:to>
      <xdr:col>20</xdr:col>
      <xdr:colOff>35278</xdr:colOff>
      <xdr:row>16</xdr:row>
      <xdr:rowOff>21872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3AE2E7-5C64-425E-A26B-A7B0DCB2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19754</xdr:colOff>
      <xdr:row>16</xdr:row>
      <xdr:rowOff>13500</xdr:rowOff>
    </xdr:from>
    <xdr:to>
      <xdr:col>20</xdr:col>
      <xdr:colOff>99554</xdr:colOff>
      <xdr:row>23</xdr:row>
      <xdr:rowOff>155223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9ED9F4B-8243-4769-9C6E-0413CE62F3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6" t="28399" r="4304" b="31561"/>
        <a:stretch/>
      </xdr:blipFill>
      <xdr:spPr bwMode="auto">
        <a:xfrm>
          <a:off x="7879643" y="2948611"/>
          <a:ext cx="4327244" cy="142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17638</xdr:colOff>
      <xdr:row>23</xdr:row>
      <xdr:rowOff>155222</xdr:rowOff>
    </xdr:from>
    <xdr:to>
      <xdr:col>19</xdr:col>
      <xdr:colOff>604041</xdr:colOff>
      <xdr:row>29</xdr:row>
      <xdr:rowOff>129821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A3BD0F5-078B-4079-BAB0-0B9D1D11F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194" y="4374444"/>
          <a:ext cx="4227069" cy="107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B584D-B46A-4B09-9710-0CDA1DBC9891}" name="Таблица1" displayName="Таблица1" ref="A1:M20" totalsRowCount="1" headerRowDxfId="27" dataDxfId="26" totalsRowDxfId="16">
  <autoFilter ref="A1:M19" xr:uid="{654B584D-B46A-4B09-9710-0CDA1DBC9891}"/>
  <tableColumns count="13">
    <tableColumn id="1" xr3:uid="{683A7BB8-C4DC-4333-991B-ADE9A174606F}" name="X" totalsRowFunction="custom" dataDxfId="25" totalsRowDxfId="13">
      <totalsRowFormula>SUM(Таблица1[X])</totalsRowFormula>
    </tableColumn>
    <tableColumn id="2" xr3:uid="{C101E63C-1888-4535-A416-6A7338A92726}" name="Y" totalsRowFunction="custom" dataDxfId="24" totalsRowDxfId="12">
      <totalsRowFormula>SUM(Таблица1[Y])</totalsRowFormula>
    </tableColumn>
    <tableColumn id="11" xr3:uid="{9F575033-2C39-4B1F-8325-80E0803E039D}" name="Столбец1" totalsRowFunction="custom" dataDxfId="15" totalsRowDxfId="11">
      <calculatedColumnFormula>$J$22+$K$22*Таблица1[[#This Row],[X]]</calculatedColumnFormula>
      <totalsRowFormula>SUM(Таблица1[Столбец1])</totalsRowFormula>
    </tableColumn>
    <tableColumn id="13" xr3:uid="{5EA63AFB-C7ED-4369-AD20-5B4BDCCFE080}" name="Столбец12" totalsRowFunction="custom" dataDxfId="0" totalsRowDxfId="10">
      <calculatedColumnFormula>(Таблица1[[#This Row],[Столбец1]]-$B$21)^2</calculatedColumnFormula>
      <totalsRowFormula>SUM(Таблица1[Столбец12])</totalsRowFormula>
    </tableColumn>
    <tableColumn id="12" xr3:uid="{8B2AB07B-189A-4798-ACE8-83033604BCFB}" name="Столбец2" dataDxfId="14" totalsRowDxfId="9"/>
    <tableColumn id="3" xr3:uid="{811FD64C-EDB2-44B6-B956-D9CB33347B26}" name="X^2" totalsRowFunction="custom" dataDxfId="23" totalsRowDxfId="8">
      <calculatedColumnFormula>Таблица1[[#This Row],[X]]^2</calculatedColumnFormula>
      <totalsRowFormula>SUM(Таблица1[X^2])</totalsRowFormula>
    </tableColumn>
    <tableColumn id="4" xr3:uid="{A423B8EF-049B-44C9-A312-2D7C3EE6E230}" name="Y^2" totalsRowFunction="custom" dataDxfId="22" totalsRowDxfId="7">
      <calculatedColumnFormula>Таблица1[[#This Row],[Y]]^2</calculatedColumnFormula>
      <totalsRowFormula>SUM(Таблица1[Y^2])</totalsRowFormula>
    </tableColumn>
    <tableColumn id="5" xr3:uid="{9A113CB2-A4F5-4435-826E-784857B87513}" name="Xi*Yi" totalsRowFunction="custom" dataDxfId="21" totalsRowDxfId="6">
      <calculatedColumnFormula>Таблица1[[#This Row],[X]]*Таблица1[[#This Row],[Y]]</calculatedColumnFormula>
      <totalsRowFormula>SUM(Таблица1[Xi*Yi])</totalsRowFormula>
    </tableColumn>
    <tableColumn id="6" xr3:uid="{3DD0CB9A-9042-426D-A654-A466948FCD06}" name="Xi-Xср" totalsRowFunction="custom" dataDxfId="20" totalsRowDxfId="5">
      <calculatedColumnFormula>Таблица1[[#This Row],[X]]-AVERAGE(Таблица1[X])</calculatedColumnFormula>
      <totalsRowFormula>SUM(Таблица1[Xi-Xср])</totalsRowFormula>
    </tableColumn>
    <tableColumn id="7" xr3:uid="{5ACA2FA9-7E83-4B08-8112-10B7652A4E44}" name="Yi-Yср" totalsRowFunction="custom" totalsRowDxfId="4">
      <calculatedColumnFormula>Таблица1[[#This Row],[Y]]-AVERAGE(Таблица1[Y])</calculatedColumnFormula>
      <totalsRowFormula>SUM(Таблица1[Yi-Yср])</totalsRowFormula>
    </tableColumn>
    <tableColumn id="8" xr3:uid="{59B38752-D7A4-4BA5-B035-E184849DE7FB}" name="(Xi-Xср)^2" totalsRowFunction="custom" dataDxfId="19" totalsRowDxfId="3">
      <calculatedColumnFormula>Таблица1[[#This Row],[Xi-Xср]]^2</calculatedColumnFormula>
      <totalsRowFormula>SUM(Таблица1[(Xi-Xср)^2])</totalsRowFormula>
    </tableColumn>
    <tableColumn id="9" xr3:uid="{38323E11-4F15-4969-B236-FC97CE5F59E0}" name="(Yi-Yср)^2" totalsRowFunction="custom" dataDxfId="18" totalsRowDxfId="2">
      <calculatedColumnFormula>Таблица1[[#This Row],[Yi-Yср]]^2</calculatedColumnFormula>
      <totalsRowFormula>SUM(Таблица1[(Yi-Yср)^2])</totalsRowFormula>
    </tableColumn>
    <tableColumn id="10" xr3:uid="{FB7D05A8-1377-4BE1-9911-4198B6829A01}" name="(Xi-Xср)*(Yi-Yср)" totalsRowFunction="custom" dataDxfId="17" totalsRowDxfId="1">
      <calculatedColumnFormula>Таблица1[[#This Row],[Xi-Xср]]*Таблица1[[#This Row],[Yi-Yср]]</calculatedColumnFormula>
      <totalsRowFormula>SUM(Таблица1[(Xi-Xср)*(Yi-Yср)])</totalsRow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4" zoomScale="90" zoomScaleNormal="90" workbookViewId="0">
      <selection activeCell="J24" sqref="J24"/>
    </sheetView>
  </sheetViews>
  <sheetFormatPr defaultRowHeight="14.5" x14ac:dyDescent="0.35"/>
  <cols>
    <col min="1" max="1" width="11.6328125" style="1" customWidth="1"/>
    <col min="2" max="2" width="8.81640625" style="1" bestFit="1" customWidth="1"/>
    <col min="3" max="5" width="17.26953125" style="4" customWidth="1"/>
    <col min="6" max="6" width="12.08984375" bestFit="1" customWidth="1"/>
    <col min="7" max="7" width="8.81640625" bestFit="1" customWidth="1"/>
    <col min="8" max="8" width="10.453125" bestFit="1" customWidth="1"/>
    <col min="9" max="9" width="12.7265625" bestFit="1" customWidth="1"/>
    <col min="10" max="10" width="14.6328125" customWidth="1"/>
    <col min="11" max="11" width="14.08984375" customWidth="1"/>
    <col min="12" max="12" width="14.36328125" bestFit="1" customWidth="1"/>
    <col min="13" max="13" width="20.6328125" customWidth="1"/>
  </cols>
  <sheetData>
    <row r="1" spans="1:13" x14ac:dyDescent="0.35">
      <c r="A1" s="2" t="s">
        <v>0</v>
      </c>
      <c r="B1" s="2" t="s">
        <v>1</v>
      </c>
      <c r="C1" s="2" t="s">
        <v>16</v>
      </c>
      <c r="D1" s="2" t="s">
        <v>18</v>
      </c>
      <c r="E1" s="2" t="s">
        <v>17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35">
      <c r="A2" s="1">
        <v>819</v>
      </c>
      <c r="B2" s="1">
        <v>72.61</v>
      </c>
      <c r="C2" s="4">
        <f>$J$22+$K$22*Таблица1[[#This Row],[X]]</f>
        <v>70.933594733108407</v>
      </c>
      <c r="D2" s="4">
        <f>(Таблица1[[#This Row],[Столбец1]]-$B$21)^2</f>
        <v>4.1690715730451397E-2</v>
      </c>
      <c r="F2" s="1">
        <f>Таблица1[[#This Row],[X]]^2</f>
        <v>670761</v>
      </c>
      <c r="G2" s="1">
        <f>Таблица1[[#This Row],[Y]]^2</f>
        <v>5272.2120999999997</v>
      </c>
      <c r="H2" s="1">
        <f>Таблица1[[#This Row],[X]]*Таблица1[[#This Row],[Y]]</f>
        <v>59467.59</v>
      </c>
      <c r="I2" s="1">
        <f>Таблица1[[#This Row],[X]]-AVERAGE(Таблица1[X])</f>
        <v>-117.61111111111109</v>
      </c>
      <c r="J2" s="1">
        <f>Таблица1[[#This Row],[Y]]-AVERAGE(Таблица1[Y])</f>
        <v>1.4722222222222285</v>
      </c>
      <c r="K2" s="1">
        <f>Таблица1[[#This Row],[Xi-Xср]]^2</f>
        <v>13832.373456790117</v>
      </c>
      <c r="L2" s="1">
        <f>Таблица1[[#This Row],[Yi-Yср]]^2</f>
        <v>2.1674382716049569</v>
      </c>
      <c r="M2" s="1">
        <f>Таблица1[[#This Row],[Xi-Xср]]*Таблица1[[#This Row],[Yi-Yср]]</f>
        <v>-173.14969135802539</v>
      </c>
    </row>
    <row r="3" spans="1:13" x14ac:dyDescent="0.35">
      <c r="A3" s="1">
        <v>675</v>
      </c>
      <c r="B3" s="1">
        <v>70.36</v>
      </c>
      <c r="C3" s="4">
        <f>$J$22+$K$22*Таблица1[[#This Row],[X]]</f>
        <v>70.680875079742293</v>
      </c>
      <c r="D3" s="4">
        <f>(Таблица1[[#This Row],[Столбец1]]-$B$21)^2</f>
        <v>0.20876007547209899</v>
      </c>
      <c r="F3" s="1">
        <f>Таблица1[[#This Row],[X]]^2</f>
        <v>455625</v>
      </c>
      <c r="G3" s="1">
        <f>Таблица1[[#This Row],[Y]]^2</f>
        <v>4950.5295999999998</v>
      </c>
      <c r="H3" s="1">
        <f>Таблица1[[#This Row],[X]]*Таблица1[[#This Row],[Y]]</f>
        <v>47493</v>
      </c>
      <c r="I3" s="1">
        <f>Таблица1[[#This Row],[X]]-AVERAGE(Таблица1[X])</f>
        <v>-261.61111111111109</v>
      </c>
      <c r="J3" s="1">
        <f>Таблица1[[#This Row],[Y]]-AVERAGE(Таблица1[Y])</f>
        <v>-0.77777777777777146</v>
      </c>
      <c r="K3" s="1">
        <f>Таблица1[[#This Row],[Xi-Xср]]^2</f>
        <v>68440.373456790112</v>
      </c>
      <c r="L3" s="1">
        <f>Таблица1[[#This Row],[Yi-Yср]]^2</f>
        <v>0.60493827160492841</v>
      </c>
      <c r="M3" s="1">
        <f>Таблица1[[#This Row],[Xi-Xср]]*Таблица1[[#This Row],[Yi-Yср]]</f>
        <v>203.47530864197364</v>
      </c>
    </row>
    <row r="4" spans="1:13" x14ac:dyDescent="0.35">
      <c r="A4" s="1">
        <v>716</v>
      </c>
      <c r="B4" s="1">
        <v>69.819999999999993</v>
      </c>
      <c r="C4" s="4">
        <f>$J$22+$K$22*Таблица1[[#This Row],[X]]</f>
        <v>70.752829981047924</v>
      </c>
      <c r="D4" s="4">
        <f>(Таблица1[[#This Row],[Столбец1]]-$B$21)^2</f>
        <v>0.14818480620716354</v>
      </c>
      <c r="F4" s="1">
        <f>Таблица1[[#This Row],[X]]^2</f>
        <v>512656</v>
      </c>
      <c r="G4" s="1">
        <f>Таблица1[[#This Row],[Y]]^2</f>
        <v>4874.8323999999993</v>
      </c>
      <c r="H4" s="1">
        <f>Таблица1[[#This Row],[X]]*Таблица1[[#This Row],[Y]]</f>
        <v>49991.119999999995</v>
      </c>
      <c r="I4" s="1">
        <f>Таблица1[[#This Row],[X]]-AVERAGE(Таблица1[X])</f>
        <v>-220.61111111111109</v>
      </c>
      <c r="J4" s="1">
        <f>Таблица1[[#This Row],[Y]]-AVERAGE(Таблица1[Y])</f>
        <v>-1.3177777777777777</v>
      </c>
      <c r="K4" s="1">
        <f>Таблица1[[#This Row],[Xi-Xср]]^2</f>
        <v>48669.262345679002</v>
      </c>
      <c r="L4" s="1">
        <f>Таблица1[[#This Row],[Yi-Yср]]^2</f>
        <v>1.736538271604938</v>
      </c>
      <c r="M4" s="1">
        <f>Таблица1[[#This Row],[Xi-Xср]]*Таблица1[[#This Row],[Yi-Yср]]</f>
        <v>290.71641975308637</v>
      </c>
    </row>
    <row r="5" spans="1:13" x14ac:dyDescent="0.35">
      <c r="A5" s="1">
        <v>1428</v>
      </c>
      <c r="B5" s="1">
        <v>71.67</v>
      </c>
      <c r="C5" s="4">
        <f>$J$22+$K$22*Таблица1[[#This Row],[X]]</f>
        <v>72.002388267135942</v>
      </c>
      <c r="D5" s="4">
        <f>(Таблица1[[#This Row],[Столбец1]]-$B$21)^2</f>
        <v>0.74755129830817546</v>
      </c>
      <c r="F5" s="1">
        <f>Таблица1[[#This Row],[X]]^2</f>
        <v>2039184</v>
      </c>
      <c r="G5" s="1">
        <f>Таблица1[[#This Row],[Y]]^2</f>
        <v>5136.5889000000006</v>
      </c>
      <c r="H5" s="1">
        <f>Таблица1[[#This Row],[X]]*Таблица1[[#This Row],[Y]]</f>
        <v>102344.76000000001</v>
      </c>
      <c r="I5" s="1">
        <f>Таблица1[[#This Row],[X]]-AVERAGE(Таблица1[X])</f>
        <v>491.38888888888891</v>
      </c>
      <c r="J5" s="1">
        <f>Таблица1[[#This Row],[Y]]-AVERAGE(Таблица1[Y])</f>
        <v>0.53222222222223081</v>
      </c>
      <c r="K5" s="1">
        <f>Таблица1[[#This Row],[Xi-Xср]]^2</f>
        <v>241463.04012345683</v>
      </c>
      <c r="L5" s="1">
        <f>Таблица1[[#This Row],[Yi-Yср]]^2</f>
        <v>0.28326049382716961</v>
      </c>
      <c r="M5" s="1">
        <f>Таблица1[[#This Row],[Xi-Xср]]*Таблица1[[#This Row],[Yi-Yср]]</f>
        <v>261.5280864197573</v>
      </c>
    </row>
    <row r="6" spans="1:13" x14ac:dyDescent="0.35">
      <c r="A6" s="1">
        <v>518</v>
      </c>
      <c r="B6" s="1">
        <v>70.62</v>
      </c>
      <c r="C6" s="4">
        <f>$J$22+$K$22*Таблица1[[#This Row],[X]]</f>
        <v>70.40534045766951</v>
      </c>
      <c r="D6" s="4">
        <f>(Таблица1[[#This Row],[Столбец1]]-$B$21)^2</f>
        <v>0.53646442788737092</v>
      </c>
      <c r="F6" s="1">
        <f>Таблица1[[#This Row],[X]]^2</f>
        <v>268324</v>
      </c>
      <c r="G6" s="1">
        <f>Таблица1[[#This Row],[Y]]^2</f>
        <v>4987.184400000001</v>
      </c>
      <c r="H6" s="1">
        <f>Таблица1[[#This Row],[X]]*Таблица1[[#This Row],[Y]]</f>
        <v>36581.160000000003</v>
      </c>
      <c r="I6" s="1">
        <f>Таблица1[[#This Row],[X]]-AVERAGE(Таблица1[X])</f>
        <v>-418.61111111111109</v>
      </c>
      <c r="J6" s="1">
        <f>Таблица1[[#This Row],[Y]]-AVERAGE(Таблица1[Y])</f>
        <v>-0.51777777777776635</v>
      </c>
      <c r="K6" s="1">
        <f>Таблица1[[#This Row],[Xi-Xср]]^2</f>
        <v>175235.26234567899</v>
      </c>
      <c r="L6" s="1">
        <f>Таблица1[[#This Row],[Yi-Yср]]^2</f>
        <v>0.26809382716048197</v>
      </c>
      <c r="M6" s="1">
        <f>Таблица1[[#This Row],[Xi-Xср]]*Таблица1[[#This Row],[Yi-Yср]]</f>
        <v>216.74753086419273</v>
      </c>
    </row>
    <row r="7" spans="1:13" x14ac:dyDescent="0.35">
      <c r="A7" s="1">
        <v>592</v>
      </c>
      <c r="B7" s="1">
        <v>70.73</v>
      </c>
      <c r="C7" s="4">
        <f>$J$22+$K$22*Таблица1[[#This Row],[X]]</f>
        <v>70.535210279538205</v>
      </c>
      <c r="D7" s="4">
        <f>(Таблица1[[#This Row],[Столбец1]]-$B$21)^2</f>
        <v>0.36308758993468898</v>
      </c>
      <c r="F7" s="1">
        <f>Таблица1[[#This Row],[X]]^2</f>
        <v>350464</v>
      </c>
      <c r="G7" s="1">
        <f>Таблица1[[#This Row],[Y]]^2</f>
        <v>5002.7329000000009</v>
      </c>
      <c r="H7" s="1">
        <f>Таблица1[[#This Row],[X]]*Таблица1[[#This Row],[Y]]</f>
        <v>41872.160000000003</v>
      </c>
      <c r="I7" s="1">
        <f>Таблица1[[#This Row],[X]]-AVERAGE(Таблица1[X])</f>
        <v>-344.61111111111109</v>
      </c>
      <c r="J7" s="1">
        <f>Таблица1[[#This Row],[Y]]-AVERAGE(Таблица1[Y])</f>
        <v>-0.40777777777776691</v>
      </c>
      <c r="K7" s="1">
        <f>Таблица1[[#This Row],[Xi-Xср]]^2</f>
        <v>118756.81790123455</v>
      </c>
      <c r="L7" s="1">
        <f>Таблица1[[#This Row],[Yi-Yср]]^2</f>
        <v>0.16628271604937386</v>
      </c>
      <c r="M7" s="1">
        <f>Таблица1[[#This Row],[Xi-Xср]]*Таблица1[[#This Row],[Yi-Yср]]</f>
        <v>140.52475308641601</v>
      </c>
    </row>
    <row r="8" spans="1:13" x14ac:dyDescent="0.35">
      <c r="A8" s="1">
        <v>380</v>
      </c>
      <c r="B8" s="1">
        <v>70.38</v>
      </c>
      <c r="C8" s="4">
        <f>$J$22+$K$22*Таблица1[[#This Row],[X]]</f>
        <v>70.16315078986031</v>
      </c>
      <c r="D8" s="4">
        <f>(Таблица1[[#This Row],[Столбец1]]-$B$21)^2</f>
        <v>0.94989776557706174</v>
      </c>
      <c r="F8" s="1">
        <f>Таблица1[[#This Row],[X]]^2</f>
        <v>144400</v>
      </c>
      <c r="G8" s="1">
        <f>Таблица1[[#This Row],[Y]]^2</f>
        <v>4953.344399999999</v>
      </c>
      <c r="H8" s="1">
        <f>Таблица1[[#This Row],[X]]*Таблица1[[#This Row],[Y]]</f>
        <v>26744.399999999998</v>
      </c>
      <c r="I8" s="1">
        <f>Таблица1[[#This Row],[X]]-AVERAGE(Таблица1[X])</f>
        <v>-556.61111111111109</v>
      </c>
      <c r="J8" s="1">
        <f>Таблица1[[#This Row],[Y]]-AVERAGE(Таблица1[Y])</f>
        <v>-0.75777777777777544</v>
      </c>
      <c r="K8" s="1">
        <f>Таблица1[[#This Row],[Xi-Xср]]^2</f>
        <v>309815.92901234567</v>
      </c>
      <c r="L8" s="1">
        <f>Таблица1[[#This Row],[Yi-Yср]]^2</f>
        <v>0.57422716049382361</v>
      </c>
      <c r="M8" s="1">
        <f>Таблица1[[#This Row],[Xi-Xср]]*Таблица1[[#This Row],[Yi-Yср]]</f>
        <v>421.78753086419619</v>
      </c>
    </row>
    <row r="9" spans="1:13" x14ac:dyDescent="0.35">
      <c r="A9" s="1">
        <v>659</v>
      </c>
      <c r="B9" s="1">
        <v>70.8</v>
      </c>
      <c r="C9" s="4">
        <f>$J$22+$K$22*Таблица1[[#This Row],[X]]</f>
        <v>70.65279511825716</v>
      </c>
      <c r="D9" s="4">
        <f>(Таблица1[[#This Row],[Столбец1]]-$B$21)^2</f>
        <v>0.23520818003568494</v>
      </c>
      <c r="F9" s="1">
        <f>Таблица1[[#This Row],[X]]^2</f>
        <v>434281</v>
      </c>
      <c r="G9" s="1">
        <f>Таблица1[[#This Row],[Y]]^2</f>
        <v>5012.6399999999994</v>
      </c>
      <c r="H9" s="1">
        <f>Таблица1[[#This Row],[X]]*Таблица1[[#This Row],[Y]]</f>
        <v>46657.2</v>
      </c>
      <c r="I9" s="1">
        <f>Таблица1[[#This Row],[X]]-AVERAGE(Таблица1[X])</f>
        <v>-277.61111111111109</v>
      </c>
      <c r="J9" s="1">
        <f>Таблица1[[#This Row],[Y]]-AVERAGE(Таблица1[Y])</f>
        <v>-0.33777777777777374</v>
      </c>
      <c r="K9" s="1">
        <f>Таблица1[[#This Row],[Xi-Xср]]^2</f>
        <v>77067.929012345659</v>
      </c>
      <c r="L9" s="1">
        <f>Таблица1[[#This Row],[Yi-Yср]]^2</f>
        <v>0.1140938271604911</v>
      </c>
      <c r="M9" s="1">
        <f>Таблица1[[#This Row],[Xi-Xср]]*Таблица1[[#This Row],[Yi-Yср]]</f>
        <v>93.770864197529733</v>
      </c>
    </row>
    <row r="10" spans="1:13" x14ac:dyDescent="0.35">
      <c r="A10" s="1">
        <v>602</v>
      </c>
      <c r="B10" s="1">
        <v>71.069999999999993</v>
      </c>
      <c r="C10" s="4">
        <f>$J$22+$K$22*Таблица1[[#This Row],[X]]</f>
        <v>70.55276025546641</v>
      </c>
      <c r="D10" s="4">
        <f>(Таблица1[[#This Row],[Столбец1]]-$B$21)^2</f>
        <v>0.3422455014113237</v>
      </c>
      <c r="F10" s="1">
        <f>Таблица1[[#This Row],[X]]^2</f>
        <v>362404</v>
      </c>
      <c r="G10" s="1">
        <f>Таблица1[[#This Row],[Y]]^2</f>
        <v>5050.9448999999986</v>
      </c>
      <c r="H10" s="1">
        <f>Таблица1[[#This Row],[X]]*Таблица1[[#This Row],[Y]]</f>
        <v>42784.14</v>
      </c>
      <c r="I10" s="1">
        <f>Таблица1[[#This Row],[X]]-AVERAGE(Таблица1[X])</f>
        <v>-334.61111111111109</v>
      </c>
      <c r="J10" s="1">
        <f>Таблица1[[#This Row],[Y]]-AVERAGE(Таблица1[Y])</f>
        <v>-6.7777777777777715E-2</v>
      </c>
      <c r="K10" s="1">
        <f>Таблица1[[#This Row],[Xi-Xср]]^2</f>
        <v>111964.59567901233</v>
      </c>
      <c r="L10" s="1">
        <f>Таблица1[[#This Row],[Yi-Yср]]^2</f>
        <v>4.5938271604938187E-3</v>
      </c>
      <c r="M10" s="1">
        <f>Таблица1[[#This Row],[Xi-Xср]]*Таблица1[[#This Row],[Yi-Yср]]</f>
        <v>22.679197530864176</v>
      </c>
    </row>
    <row r="11" spans="1:13" x14ac:dyDescent="0.35">
      <c r="A11" s="1">
        <v>2207</v>
      </c>
      <c r="B11" s="1">
        <v>72.260000000000005</v>
      </c>
      <c r="C11" s="4">
        <f>$J$22+$K$22*Таблица1[[#This Row],[X]]</f>
        <v>73.369531391942928</v>
      </c>
      <c r="D11" s="4">
        <f>(Таблица1[[#This Row],[Столбец1]]-$B$21)^2</f>
        <v>4.980724194339242</v>
      </c>
      <c r="F11" s="1">
        <f>Таблица1[[#This Row],[X]]^2</f>
        <v>4870849</v>
      </c>
      <c r="G11" s="1">
        <f>Таблица1[[#This Row],[Y]]^2</f>
        <v>5221.5076000000008</v>
      </c>
      <c r="H11" s="1">
        <f>Таблица1[[#This Row],[X]]*Таблица1[[#This Row],[Y]]</f>
        <v>159477.82</v>
      </c>
      <c r="I11" s="1">
        <f>Таблица1[[#This Row],[X]]-AVERAGE(Таблица1[X])</f>
        <v>1270.3888888888889</v>
      </c>
      <c r="J11" s="1">
        <f>Таблица1[[#This Row],[Y]]-AVERAGE(Таблица1[Y])</f>
        <v>1.1222222222222342</v>
      </c>
      <c r="K11" s="1">
        <f>Таблица1[[#This Row],[Xi-Xср]]^2</f>
        <v>1613887.9290123458</v>
      </c>
      <c r="L11" s="1">
        <f>Таблица1[[#This Row],[Yi-Yср]]^2</f>
        <v>1.2593827160494095</v>
      </c>
      <c r="M11" s="1">
        <f>Таблица1[[#This Row],[Xi-Xср]]*Таблица1[[#This Row],[Yi-Yср]]</f>
        <v>1425.6586419753239</v>
      </c>
    </row>
    <row r="12" spans="1:13" x14ac:dyDescent="0.35">
      <c r="A12" s="1">
        <v>586</v>
      </c>
      <c r="B12" s="1">
        <v>70.38</v>
      </c>
      <c r="C12" s="4">
        <f>$J$22+$K$22*Таблица1[[#This Row],[X]]</f>
        <v>70.524680293981291</v>
      </c>
      <c r="D12" s="4">
        <f>(Таблица1[[#This Row],[Столбец1]]-$B$21)^2</f>
        <v>0.37588852463757505</v>
      </c>
      <c r="F12" s="1">
        <f>Таблица1[[#This Row],[X]]^2</f>
        <v>343396</v>
      </c>
      <c r="G12" s="1">
        <f>Таблица1[[#This Row],[Y]]^2</f>
        <v>4953.344399999999</v>
      </c>
      <c r="H12" s="1">
        <f>Таблица1[[#This Row],[X]]*Таблица1[[#This Row],[Y]]</f>
        <v>41242.68</v>
      </c>
      <c r="I12" s="1">
        <f>Таблица1[[#This Row],[X]]-AVERAGE(Таблица1[X])</f>
        <v>-350.61111111111109</v>
      </c>
      <c r="J12" s="1">
        <f>Таблица1[[#This Row],[Y]]-AVERAGE(Таблица1[Y])</f>
        <v>-0.75777777777777544</v>
      </c>
      <c r="K12" s="1">
        <f>Таблица1[[#This Row],[Xi-Xср]]^2</f>
        <v>122928.15123456788</v>
      </c>
      <c r="L12" s="1">
        <f>Таблица1[[#This Row],[Yi-Yср]]^2</f>
        <v>0.57422716049382361</v>
      </c>
      <c r="M12" s="1">
        <f>Таблица1[[#This Row],[Xi-Xср]]*Таблица1[[#This Row],[Yi-Yср]]</f>
        <v>265.68530864197447</v>
      </c>
    </row>
    <row r="13" spans="1:13" x14ac:dyDescent="0.35">
      <c r="A13" s="1">
        <v>516</v>
      </c>
      <c r="B13" s="1">
        <v>71.459999999999994</v>
      </c>
      <c r="C13" s="4">
        <f>$J$22+$K$22*Таблица1[[#This Row],[X]]</f>
        <v>70.401830462483872</v>
      </c>
      <c r="D13" s="4">
        <f>(Таблица1[[#This Row],[Столбец1]]-$B$21)^2</f>
        <v>0.54161845088829741</v>
      </c>
      <c r="F13" s="1">
        <f>Таблица1[[#This Row],[X]]^2</f>
        <v>266256</v>
      </c>
      <c r="G13" s="1">
        <f>Таблица1[[#This Row],[Y]]^2</f>
        <v>5106.5315999999993</v>
      </c>
      <c r="H13" s="1">
        <f>Таблица1[[#This Row],[X]]*Таблица1[[#This Row],[Y]]</f>
        <v>36873.359999999993</v>
      </c>
      <c r="I13" s="1">
        <f>Таблица1[[#This Row],[X]]-AVERAGE(Таблица1[X])</f>
        <v>-420.61111111111109</v>
      </c>
      <c r="J13" s="1">
        <f>Таблица1[[#This Row],[Y]]-AVERAGE(Таблица1[Y])</f>
        <v>0.32222222222222285</v>
      </c>
      <c r="K13" s="1">
        <f>Таблица1[[#This Row],[Xi-Xср]]^2</f>
        <v>176913.70679012343</v>
      </c>
      <c r="L13" s="1">
        <f>Таблица1[[#This Row],[Yi-Yср]]^2</f>
        <v>0.10382716049382756</v>
      </c>
      <c r="M13" s="1">
        <f>Таблица1[[#This Row],[Xi-Xср]]*Таблица1[[#This Row],[Yi-Yср]]</f>
        <v>-135.5302469135805</v>
      </c>
    </row>
    <row r="14" spans="1:13" x14ac:dyDescent="0.35">
      <c r="A14" s="1">
        <v>924</v>
      </c>
      <c r="B14" s="1">
        <v>69.739999999999995</v>
      </c>
      <c r="C14" s="4">
        <f>$J$22+$K$22*Таблица1[[#This Row],[X]]</f>
        <v>71.117869480354543</v>
      </c>
      <c r="D14" s="4">
        <f>(Таблица1[[#This Row],[Столбец1]]-$B$21)^2</f>
        <v>3.9634030629171878E-4</v>
      </c>
      <c r="F14" s="1">
        <f>Таблица1[[#This Row],[X]]^2</f>
        <v>853776</v>
      </c>
      <c r="G14" s="1">
        <f>Таблица1[[#This Row],[Y]]^2</f>
        <v>4863.6675999999989</v>
      </c>
      <c r="H14" s="1">
        <f>Таблица1[[#This Row],[X]]*Таблица1[[#This Row],[Y]]</f>
        <v>64439.759999999995</v>
      </c>
      <c r="I14" s="1">
        <f>Таблица1[[#This Row],[X]]-AVERAGE(Таблица1[X])</f>
        <v>-12.611111111111086</v>
      </c>
      <c r="J14" s="1">
        <f>Таблица1[[#This Row],[Y]]-AVERAGE(Таблица1[Y])</f>
        <v>-1.397777777777776</v>
      </c>
      <c r="K14" s="1">
        <f>Таблица1[[#This Row],[Xi-Xср]]^2</f>
        <v>159.04012345678947</v>
      </c>
      <c r="L14" s="1">
        <f>Таблица1[[#This Row],[Yi-Yср]]^2</f>
        <v>1.9537827160493777</v>
      </c>
      <c r="M14" s="1">
        <f>Таблица1[[#This Row],[Xi-Xср]]*Таблица1[[#This Row],[Yi-Yср]]</f>
        <v>17.627530864197475</v>
      </c>
    </row>
    <row r="15" spans="1:13" x14ac:dyDescent="0.35">
      <c r="A15" s="1">
        <v>632</v>
      </c>
      <c r="B15" s="1">
        <v>71.67</v>
      </c>
      <c r="C15" s="4">
        <f>$J$22+$K$22*Таблица1[[#This Row],[X]]</f>
        <v>70.605410183251024</v>
      </c>
      <c r="D15" s="4">
        <f>(Таблица1[[#This Row],[Столбец1]]-$B$21)^2</f>
        <v>0.28341525570219467</v>
      </c>
      <c r="F15" s="1">
        <f>Таблица1[[#This Row],[X]]^2</f>
        <v>399424</v>
      </c>
      <c r="G15" s="1">
        <f>Таблица1[[#This Row],[Y]]^2</f>
        <v>5136.5889000000006</v>
      </c>
      <c r="H15" s="1">
        <f>Таблица1[[#This Row],[X]]*Таблица1[[#This Row],[Y]]</f>
        <v>45295.44</v>
      </c>
      <c r="I15" s="1">
        <f>Таблица1[[#This Row],[X]]-AVERAGE(Таблица1[X])</f>
        <v>-304.61111111111109</v>
      </c>
      <c r="J15" s="1">
        <f>Таблица1[[#This Row],[Y]]-AVERAGE(Таблица1[Y])</f>
        <v>0.53222222222223081</v>
      </c>
      <c r="K15" s="1">
        <f>Таблица1[[#This Row],[Xi-Xср]]^2</f>
        <v>92787.929012345659</v>
      </c>
      <c r="L15" s="1">
        <f>Таблица1[[#This Row],[Yi-Yср]]^2</f>
        <v>0.28326049382716961</v>
      </c>
      <c r="M15" s="1">
        <f>Таблица1[[#This Row],[Xi-Xср]]*Таблица1[[#This Row],[Yi-Yср]]</f>
        <v>-162.1208024691384</v>
      </c>
    </row>
    <row r="16" spans="1:13" x14ac:dyDescent="0.35">
      <c r="A16" s="1">
        <v>819</v>
      </c>
      <c r="B16" s="1">
        <v>69.099999999999994</v>
      </c>
      <c r="C16" s="4">
        <f>$J$22+$K$22*Таблица1[[#This Row],[X]]</f>
        <v>70.933594733108407</v>
      </c>
      <c r="D16" s="4">
        <f>(Таблица1[[#This Row],[Столбец1]]-$B$21)^2</f>
        <v>4.1690715730451397E-2</v>
      </c>
      <c r="F16" s="1">
        <f>Таблица1[[#This Row],[X]]^2</f>
        <v>670761</v>
      </c>
      <c r="G16" s="1">
        <f>Таблица1[[#This Row],[Y]]^2</f>
        <v>4774.8099999999995</v>
      </c>
      <c r="H16" s="1">
        <f>Таблица1[[#This Row],[X]]*Таблица1[[#This Row],[Y]]</f>
        <v>56592.899999999994</v>
      </c>
      <c r="I16" s="1">
        <f>Таблица1[[#This Row],[X]]-AVERAGE(Таблица1[X])</f>
        <v>-117.61111111111109</v>
      </c>
      <c r="J16" s="1">
        <f>Таблица1[[#This Row],[Y]]-AVERAGE(Таблица1[Y])</f>
        <v>-2.0377777777777766</v>
      </c>
      <c r="K16" s="1">
        <f>Таблица1[[#This Row],[Xi-Xср]]^2</f>
        <v>13832.373456790117</v>
      </c>
      <c r="L16" s="1">
        <f>Таблица1[[#This Row],[Yi-Yср]]^2</f>
        <v>4.1525382716049331</v>
      </c>
      <c r="M16" s="1">
        <f>Таблица1[[#This Row],[Xi-Xср]]*Таблица1[[#This Row],[Yi-Yср]]</f>
        <v>239.66530864197512</v>
      </c>
    </row>
    <row r="17" spans="1:13" x14ac:dyDescent="0.35">
      <c r="A17" s="1">
        <v>610</v>
      </c>
      <c r="B17" s="1">
        <v>70.06</v>
      </c>
      <c r="C17" s="4">
        <f>$J$22+$K$22*Таблица1[[#This Row],[X]]</f>
        <v>70.566800236208977</v>
      </c>
      <c r="D17" s="4">
        <f>(Таблица1[[#This Row],[Столбец1]]-$B$21)^2</f>
        <v>0.32601535297594425</v>
      </c>
      <c r="F17" s="1">
        <f>Таблица1[[#This Row],[X]]^2</f>
        <v>372100</v>
      </c>
      <c r="G17" s="1">
        <f>Таблица1[[#This Row],[Y]]^2</f>
        <v>4908.4036000000006</v>
      </c>
      <c r="H17" s="1">
        <f>Таблица1[[#This Row],[X]]*Таблица1[[#This Row],[Y]]</f>
        <v>42736.6</v>
      </c>
      <c r="I17" s="1">
        <f>Таблица1[[#This Row],[X]]-AVERAGE(Таблица1[X])</f>
        <v>-326.61111111111109</v>
      </c>
      <c r="J17" s="1">
        <f>Таблица1[[#This Row],[Y]]-AVERAGE(Таблица1[Y])</f>
        <v>-1.0777777777777686</v>
      </c>
      <c r="K17" s="1">
        <f>Таблица1[[#This Row],[Xi-Xср]]^2</f>
        <v>106674.81790123455</v>
      </c>
      <c r="L17" s="1">
        <f>Таблица1[[#This Row],[Yi-Yср]]^2</f>
        <v>1.1616049382715852</v>
      </c>
      <c r="M17" s="1">
        <f>Таблица1[[#This Row],[Xi-Xср]]*Таблица1[[#This Row],[Yi-Yср]]</f>
        <v>352.01419753086117</v>
      </c>
    </row>
    <row r="18" spans="1:13" x14ac:dyDescent="0.35">
      <c r="A18" s="1">
        <v>559</v>
      </c>
      <c r="B18" s="1">
        <v>70.98</v>
      </c>
      <c r="C18" s="4">
        <f>$J$22+$K$22*Таблица1[[#This Row],[X]]</f>
        <v>70.477295358975141</v>
      </c>
      <c r="D18" s="4">
        <f>(Таблица1[[#This Row],[Столбец1]]-$B$21)^2</f>
        <v>0.43623702554737265</v>
      </c>
      <c r="F18" s="1">
        <f>Таблица1[[#This Row],[X]]^2</f>
        <v>312481</v>
      </c>
      <c r="G18" s="1">
        <f>Таблица1[[#This Row],[Y]]^2</f>
        <v>5038.1604000000007</v>
      </c>
      <c r="H18" s="1">
        <f>Таблица1[[#This Row],[X]]*Таблица1[[#This Row],[Y]]</f>
        <v>39677.82</v>
      </c>
      <c r="I18" s="1">
        <f>Таблица1[[#This Row],[X]]-AVERAGE(Таблица1[X])</f>
        <v>-377.61111111111109</v>
      </c>
      <c r="J18" s="1">
        <f>Таблица1[[#This Row],[Y]]-AVERAGE(Таблица1[Y])</f>
        <v>-0.15777777777776691</v>
      </c>
      <c r="K18" s="1">
        <f>Таблица1[[#This Row],[Xi-Xср]]^2</f>
        <v>142590.15123456789</v>
      </c>
      <c r="L18" s="1">
        <f>Таблица1[[#This Row],[Yi-Yср]]^2</f>
        <v>2.4893827160490399E-2</v>
      </c>
      <c r="M18" s="1">
        <f>Таблица1[[#This Row],[Xi-Xср]]*Таблица1[[#This Row],[Yi-Yср]]</f>
        <v>59.578641975304535</v>
      </c>
    </row>
    <row r="19" spans="1:13" x14ac:dyDescent="0.35">
      <c r="A19" s="1">
        <v>3617</v>
      </c>
      <c r="B19" s="1">
        <v>76.77</v>
      </c>
      <c r="C19" s="4">
        <f>$J$22+$K$22*Таблица1[[#This Row],[X]]</f>
        <v>75.844077997819497</v>
      </c>
      <c r="D19" s="4">
        <f>(Таблица1[[#This Row],[Столбец1]]-$B$21)^2</f>
        <v>22.149261761164798</v>
      </c>
      <c r="F19" s="1">
        <f>Таблица1[[#This Row],[X]]^2</f>
        <v>13082689</v>
      </c>
      <c r="G19" s="1">
        <f>Таблица1[[#This Row],[Y]]^2</f>
        <v>5893.6328999999996</v>
      </c>
      <c r="H19" s="1">
        <f>Таблица1[[#This Row],[X]]*Таблица1[[#This Row],[Y]]</f>
        <v>277677.08999999997</v>
      </c>
      <c r="I19" s="1">
        <f>Таблица1[[#This Row],[X]]-AVERAGE(Таблица1[X])</f>
        <v>2680.3888888888887</v>
      </c>
      <c r="J19" s="1">
        <f>Таблица1[[#This Row],[Y]]-AVERAGE(Таблица1[Y])</f>
        <v>5.6322222222222251</v>
      </c>
      <c r="K19" s="1">
        <f>Таблица1[[#This Row],[Xi-Xср]]^2</f>
        <v>7184484.5956790112</v>
      </c>
      <c r="L19" s="1">
        <f>Таблица1[[#This Row],[Yi-Yср]]^2</f>
        <v>31.721927160493859</v>
      </c>
      <c r="M19" s="1">
        <f>Таблица1[[#This Row],[Xi-Xср]]*Таблица1[[#This Row],[Yi-Yср]]</f>
        <v>15096.545864197538</v>
      </c>
    </row>
    <row r="20" spans="1:13" x14ac:dyDescent="0.35">
      <c r="A20" s="11">
        <f>SUM(Таблица1[X])</f>
        <v>16859</v>
      </c>
      <c r="B20" s="11">
        <f>SUM(Таблица1[Y])</f>
        <v>1280.4799999999998</v>
      </c>
      <c r="C20" s="11">
        <f>SUM(Таблица1[Столбец1])</f>
        <v>1280.5200350999519</v>
      </c>
      <c r="D20" s="11">
        <f>SUM(Таблица1[Столбец12])</f>
        <v>32.708337981856189</v>
      </c>
      <c r="E20" s="11"/>
      <c r="F20" s="11">
        <f>SUM(Таблица1[X^2])</f>
        <v>26409831</v>
      </c>
      <c r="G20" s="11">
        <f>SUM(Таблица1[Y^2])</f>
        <v>91137.656600000017</v>
      </c>
      <c r="H20" s="11">
        <f>SUM(Таблица1[Xi*Yi])</f>
        <v>1217949</v>
      </c>
      <c r="I20" s="11">
        <f>SUM(Таблица1[Xi-Xср])</f>
        <v>0</v>
      </c>
      <c r="J20" s="11">
        <f>SUM(Таблица1[Yi-Yср])</f>
        <v>9.9475983006414026E-14</v>
      </c>
      <c r="K20" s="11">
        <f>SUM(Таблица1[(Xi-Xср)^2])</f>
        <v>10619504.277777776</v>
      </c>
      <c r="L20" s="11">
        <f>SUM(Таблица1[(Yi-Yср)^2])</f>
        <v>47.154911111111133</v>
      </c>
      <c r="M20" s="11">
        <f>SUM(Таблица1[(Xi-Xср)*(Yi-Yср)])</f>
        <v>18637.204444444447</v>
      </c>
    </row>
    <row r="21" spans="1:13" x14ac:dyDescent="0.35">
      <c r="A21" s="1">
        <f>AVERAGE(Таблица1[X])</f>
        <v>936.61111111111109</v>
      </c>
      <c r="B21" s="4">
        <f>AVERAGE(Таблица1[Y])</f>
        <v>71.137777777777771</v>
      </c>
    </row>
    <row r="22" spans="1:13" x14ac:dyDescent="0.35">
      <c r="A22" s="9" t="s">
        <v>10</v>
      </c>
      <c r="B22" s="9"/>
      <c r="C22" s="9"/>
      <c r="D22" s="9"/>
      <c r="E22" s="9"/>
      <c r="F22" s="9"/>
      <c r="J22">
        <f>71.14-K22*936.61</f>
        <v>69.496251704588616</v>
      </c>
      <c r="K22">
        <f>Таблица1[[#Totals],[(Xi-Xср)*(Yi-Yср)]]/Таблица1[[#Totals],[(Xi-Xср)^2]]</f>
        <v>1.7549975928202596E-3</v>
      </c>
    </row>
    <row r="23" spans="1:13" x14ac:dyDescent="0.35">
      <c r="A23" s="8">
        <f>Таблица1[[#Totals],[(Xi-Xср)*(Yi-Yср)]]/(SQRT(Таблица1[[#Totals],[(Xi-Xср)^2]]*Таблица1[[#Totals],[(Yi-Yср)^2]]))</f>
        <v>0.83284691609470696</v>
      </c>
      <c r="B23" s="8"/>
      <c r="C23" s="8"/>
      <c r="D23" s="8"/>
      <c r="E23" s="8"/>
      <c r="F23" s="8"/>
      <c r="J23">
        <f>Таблица1[[#Totals],[Столбец12]]/Таблица1[[#Totals],[(Yi-Yср)^2]]</f>
        <v>0.69363587399805549</v>
      </c>
    </row>
    <row r="25" spans="1:13" x14ac:dyDescent="0.35">
      <c r="A25" s="9" t="s">
        <v>11</v>
      </c>
      <c r="B25" s="9"/>
      <c r="C25" s="9"/>
      <c r="D25" s="9"/>
      <c r="E25" s="9"/>
      <c r="F25" s="9"/>
      <c r="G25" s="10" t="s">
        <v>13</v>
      </c>
      <c r="H25" s="10"/>
      <c r="I25" s="10" t="s">
        <v>14</v>
      </c>
      <c r="J25" s="10"/>
      <c r="K25" s="5" t="s">
        <v>12</v>
      </c>
    </row>
    <row r="26" spans="1:13" x14ac:dyDescent="0.35">
      <c r="A26" s="8">
        <f>(K26*Таблица1[[#Totals],[Xi*Yi]]-Таблица1[[#Totals],[X]]*Таблица1[[#Totals],[Y]])/(SQRT(G26*I26))</f>
        <v>0.83284691609427763</v>
      </c>
      <c r="B26" s="8"/>
      <c r="C26" s="8"/>
      <c r="D26" s="8"/>
      <c r="E26" s="8"/>
      <c r="F26" s="8"/>
      <c r="G26" s="7">
        <f>K26*Таблица1[[#Totals],[X^2]]-(Таблица1[[#Totals],[X]])^2</f>
        <v>191151077</v>
      </c>
      <c r="H26" s="7"/>
      <c r="I26" s="7">
        <f>K26*Таблица1[[#Totals],[Y^2]]-(Таблица1[[#Totals],[Y]])^2</f>
        <v>848.78840000089258</v>
      </c>
      <c r="J26" s="7"/>
      <c r="K26" s="3">
        <f>COUNT(Таблица1[X])</f>
        <v>18</v>
      </c>
    </row>
    <row r="27" spans="1:13" x14ac:dyDescent="0.35">
      <c r="A27" s="6"/>
    </row>
    <row r="28" spans="1:13" x14ac:dyDescent="0.35">
      <c r="A28" s="9" t="s">
        <v>15</v>
      </c>
      <c r="B28" s="9"/>
      <c r="C28" s="9"/>
      <c r="D28" s="9"/>
      <c r="E28" s="9"/>
      <c r="F28" s="9"/>
    </row>
    <row r="29" spans="1:13" x14ac:dyDescent="0.35">
      <c r="A29" s="8">
        <f>CORREL(Таблица1[X],Таблица1[Y])</f>
        <v>0.83284691609470696</v>
      </c>
      <c r="B29" s="8"/>
      <c r="C29" s="8"/>
      <c r="D29" s="8"/>
      <c r="E29" s="8"/>
      <c r="F29" s="8"/>
    </row>
    <row r="32" spans="1:13" x14ac:dyDescent="0.35">
      <c r="A32" s="1">
        <f>18*1217949-16859*1280.48</f>
        <v>335469.6799999997</v>
      </c>
      <c r="F32">
        <f>A32/A33</f>
        <v>0.83281689243087498</v>
      </c>
    </row>
    <row r="33" spans="1:1" x14ac:dyDescent="0.35">
      <c r="A33" s="1">
        <f>SQRT((18*26409831-16859^2)*(18*91137.66-1280.48^2))</f>
        <v>402813.2510866957</v>
      </c>
    </row>
  </sheetData>
  <mergeCells count="10">
    <mergeCell ref="A22:F22"/>
    <mergeCell ref="A23:F23"/>
    <mergeCell ref="A25:F25"/>
    <mergeCell ref="G25:H25"/>
    <mergeCell ref="I25:J25"/>
    <mergeCell ref="G26:H26"/>
    <mergeCell ref="I26:J26"/>
    <mergeCell ref="A26:F26"/>
    <mergeCell ref="A28:F28"/>
    <mergeCell ref="A29:F29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AE5-CE98-4CE8-B1AF-8DD7D16BBB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2021-11-22T12:15:04Z</dcterms:modified>
</cp:coreProperties>
</file>