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OneDrive - ФГОБУ ВО Финансовый университет при Правительстве РФ\Рабочий стол\Ксюша\Эконометрика\Нелинейная регрессия\"/>
    </mc:Choice>
  </mc:AlternateContent>
  <xr:revisionPtr revIDLastSave="0" documentId="13_ncr:1_{11D8F6D9-5273-490C-A8F5-2AE8706621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Методичка" sheetId="1" r:id="rId1"/>
    <sheet name="Py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M1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11" i="1"/>
  <c r="L14" i="1"/>
  <c r="C18" i="1"/>
  <c r="L9" i="1" s="1"/>
  <c r="B18" i="1"/>
  <c r="T8" i="1"/>
  <c r="T7" i="1"/>
  <c r="Q7" i="1"/>
  <c r="Q12" i="1" s="1"/>
  <c r="L12" i="1" l="1"/>
  <c r="L8" i="1"/>
  <c r="L7" i="1"/>
  <c r="L6" i="1"/>
  <c r="L16" i="1"/>
  <c r="L4" i="1"/>
  <c r="L15" i="1"/>
  <c r="L3" i="1"/>
  <c r="L13" i="1"/>
  <c r="L5" i="1"/>
  <c r="L10" i="1"/>
  <c r="L2" i="1"/>
  <c r="L17" i="1" l="1"/>
  <c r="C17" i="1"/>
  <c r="O12" i="1" s="1"/>
  <c r="B17" i="1"/>
  <c r="Q11" i="1" s="1"/>
  <c r="P1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I17" i="1" l="1"/>
  <c r="F17" i="1"/>
  <c r="O5" i="1" s="1"/>
  <c r="E17" i="1"/>
  <c r="Q6" i="1"/>
  <c r="P7" i="1" s="1"/>
  <c r="H17" i="1"/>
  <c r="O10" i="1" s="1"/>
  <c r="G17" i="1"/>
  <c r="O11" i="1" s="1"/>
  <c r="P10" i="1"/>
  <c r="P5" i="1"/>
  <c r="O6" i="1" s="1"/>
  <c r="D17" i="1"/>
  <c r="Q10" i="1" l="1"/>
  <c r="Q5" i="1"/>
  <c r="P6" i="1" l="1"/>
  <c r="O7" i="1" s="1"/>
  <c r="P11" i="1"/>
  <c r="T6" i="1" s="1"/>
  <c r="T5" i="1" l="1"/>
  <c r="T10" i="1" s="1"/>
  <c r="T12" i="1" l="1"/>
  <c r="T11" i="1"/>
  <c r="J11" i="1" l="1"/>
  <c r="K11" i="1" s="1"/>
  <c r="J7" i="1"/>
  <c r="K7" i="1" s="1"/>
  <c r="J12" i="1"/>
  <c r="K12" i="1" s="1"/>
  <c r="J14" i="1"/>
  <c r="K14" i="1" s="1"/>
  <c r="J8" i="1"/>
  <c r="K8" i="1" s="1"/>
  <c r="J4" i="1"/>
  <c r="K4" i="1" s="1"/>
  <c r="J2" i="1"/>
  <c r="K2" i="1" s="1"/>
  <c r="J10" i="1"/>
  <c r="K10" i="1" s="1"/>
  <c r="J6" i="1"/>
  <c r="K6" i="1" s="1"/>
  <c r="J9" i="1"/>
  <c r="K9" i="1" s="1"/>
  <c r="J5" i="1"/>
  <c r="K5" i="1" s="1"/>
  <c r="J15" i="1"/>
  <c r="K15" i="1" s="1"/>
  <c r="J13" i="1"/>
  <c r="K13" i="1" s="1"/>
  <c r="J3" i="1"/>
  <c r="K3" i="1" s="1"/>
  <c r="J16" i="1"/>
  <c r="K16" i="1" s="1"/>
  <c r="K17" i="1" l="1"/>
  <c r="T14" i="1" s="1"/>
  <c r="T15" i="1" s="1"/>
  <c r="J17" i="1"/>
</calcChain>
</file>

<file path=xl/sharedStrings.xml><?xml version="1.0" encoding="utf-8"?>
<sst xmlns="http://schemas.openxmlformats.org/spreadsheetml/2006/main" count="29" uniqueCount="27">
  <si>
    <t>№</t>
  </si>
  <si>
    <t>X</t>
  </si>
  <si>
    <t>Y</t>
  </si>
  <si>
    <t>x2</t>
  </si>
  <si>
    <t>x3</t>
  </si>
  <si>
    <t>x4</t>
  </si>
  <si>
    <t>xy</t>
  </si>
  <si>
    <t>x2*y</t>
  </si>
  <si>
    <t>y2</t>
  </si>
  <si>
    <t>Сформируем матрицу A системы, состоящую из коэффициентов при неизвестных в левых частях уравнений.</t>
  </si>
  <si>
    <t>А=</t>
  </si>
  <si>
    <t>А1=</t>
  </si>
  <si>
    <t>А2=</t>
  </si>
  <si>
    <t>А3=</t>
  </si>
  <si>
    <t>d</t>
  </si>
  <si>
    <t>d1</t>
  </si>
  <si>
    <t>d2</t>
  </si>
  <si>
    <t>d3</t>
  </si>
  <si>
    <t>a</t>
  </si>
  <si>
    <t>b</t>
  </si>
  <si>
    <t>c</t>
  </si>
  <si>
    <t>y^</t>
  </si>
  <si>
    <t>(у-у^)^2</t>
  </si>
  <si>
    <t>(у-уmean)^3</t>
  </si>
  <si>
    <t>ro</t>
  </si>
  <si>
    <t>r2</t>
  </si>
  <si>
    <t>abs(A)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</si>
</sst>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0" borderId="0" xfId="1" applyNumberFormat="1" applyFont="1"/>
    <xf numFmtId="10" fontId="0" fillId="2" borderId="0" xfId="1" applyNumberFormat="1" applyFont="1" applyFill="1"/>
    <xf numFmtId="164" fontId="3" fillId="3" borderId="0" xfId="1" applyNumberFormat="1" applyFont="1" applyFill="1"/>
    <xf numFmtId="0" fontId="4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22">
    <dxf>
      <numFmt numFmtId="14" formatCode="0.00%"/>
      <fill>
        <patternFill patternType="solid">
          <fgColor indexed="64"/>
          <bgColor theme="7" tint="0.79998168889431442"/>
        </patternFill>
      </fill>
    </dxf>
    <dxf>
      <numFmt numFmtId="164" formatCode="0.000%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18</xdr:row>
      <xdr:rowOff>38101</xdr:rowOff>
    </xdr:from>
    <xdr:to>
      <xdr:col>8</xdr:col>
      <xdr:colOff>295621</xdr:colOff>
      <xdr:row>31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9FF7BF-E578-48E0-B448-6995E84A0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1" y="3352801"/>
          <a:ext cx="5147020" cy="24066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27A24-AC0F-458B-85BA-F65C7A7AEDAC}" name="Таблица1" displayName="Таблица1" ref="A1:M17" totalsRowCount="1">
  <autoFilter ref="A1:M16" xr:uid="{9A827A24-AC0F-458B-85BA-F65C7A7AEDAC}"/>
  <tableColumns count="13">
    <tableColumn id="1" xr3:uid="{E87EE770-06D6-4EFD-B25D-5A8D8906BA4C}" name="№"/>
    <tableColumn id="2" xr3:uid="{C5FE53A0-7D58-498A-9B9B-A2532B59B48D}" name="X" totalsRowFunction="custom" totalsRowDxfId="21">
      <totalsRowFormula>SUM(Таблица1[X])</totalsRowFormula>
    </tableColumn>
    <tableColumn id="3" xr3:uid="{91AA0547-338D-40C1-A79D-E917C3C6B8E2}" name="Y" totalsRowFunction="custom" totalsRowDxfId="20">
      <totalsRowFormula>SUM(Таблица1[Y])</totalsRowFormula>
    </tableColumn>
    <tableColumn id="4" xr3:uid="{3D7C78AC-FA7F-465A-A25A-6288FB6315EA}" name="x2" totalsRowFunction="custom" dataDxfId="19" totalsRowDxfId="18">
      <calculatedColumnFormula>Таблица1[[#This Row],[X]]^2</calculatedColumnFormula>
      <totalsRowFormula>SUM(Таблица1[x2])</totalsRowFormula>
    </tableColumn>
    <tableColumn id="5" xr3:uid="{B67A317E-48B5-49B0-AC9F-7BC73F18CFBF}" name="x3" totalsRowFunction="custom" dataDxfId="17" totalsRowDxfId="16">
      <calculatedColumnFormula>Таблица1[[#This Row],[X]]^3</calculatedColumnFormula>
      <totalsRowFormula>SUM(Таблица1[x3])</totalsRowFormula>
    </tableColumn>
    <tableColumn id="6" xr3:uid="{352A9116-8B1E-4F8E-98E9-6CBD86D6A482}" name="x4" totalsRowFunction="custom" dataDxfId="15" totalsRowDxfId="14">
      <calculatedColumnFormula>Таблица1[[#This Row],[X]]^4</calculatedColumnFormula>
      <totalsRowFormula>SUM(Таблица1[x4])</totalsRowFormula>
    </tableColumn>
    <tableColumn id="7" xr3:uid="{2FE81F36-B388-4033-9F7D-CCB2021BF6C7}" name="xy" totalsRowFunction="custom" dataDxfId="13" totalsRowDxfId="12">
      <calculatedColumnFormula>Таблица1[[#This Row],[X]]*Таблица1[[#This Row],[Y]]</calculatedColumnFormula>
      <totalsRowFormula>SUM(Таблица1[xy])</totalsRowFormula>
    </tableColumn>
    <tableColumn id="8" xr3:uid="{04C7183C-B33D-445F-8209-82662C9794EF}" name="x2*y" totalsRowFunction="custom" dataDxfId="11" totalsRowDxfId="10">
      <calculatedColumnFormula>Таблица1[[#This Row],[x2]]*Таблица1[[#This Row],[Y]]</calculatedColumnFormula>
      <totalsRowFormula>SUM(Таблица1[x2*y])</totalsRowFormula>
    </tableColumn>
    <tableColumn id="9" xr3:uid="{CFB0D480-6C72-45D8-8D0C-6DDC552871CA}" name="y2" totalsRowFunction="custom" dataDxfId="9" totalsRowDxfId="8">
      <calculatedColumnFormula>Таблица1[[#This Row],[Y]]^2</calculatedColumnFormula>
      <totalsRowFormula>SUM(Таблица1[y2])</totalsRowFormula>
    </tableColumn>
    <tableColumn id="10" xr3:uid="{65E8D542-6C87-464A-97F6-F6F4F789ECFA}" name="y^" totalsRowFunction="custom" dataDxfId="7" totalsRowDxfId="6">
      <calculatedColumnFormula>$T$10*Таблица1[[#This Row],[X]]^2+$T$11*Таблица1[[#This Row],[X]]+$T$12</calculatedColumnFormula>
      <totalsRowFormula>SUM(Таблица1[y^])</totalsRowFormula>
    </tableColumn>
    <tableColumn id="11" xr3:uid="{34B66422-8D46-4177-AF20-AB1A773FC4DC}" name="(у-у^)^2" totalsRowFunction="custom" dataDxfId="5" totalsRowDxfId="4">
      <calculatedColumnFormula>(Таблица1[[#This Row],[Y]]-Таблица1[[#This Row],[y^]])^2</calculatedColumnFormula>
      <totalsRowFormula>SUM(Таблица1[(у-у^)^2])</totalsRowFormula>
    </tableColumn>
    <tableColumn id="12" xr3:uid="{2129FF9F-21CE-4BEE-BC42-570515C131EE}" name="(у-уmean)^3" totalsRowFunction="custom" dataDxfId="3" totalsRowDxfId="2">
      <calculatedColumnFormula>(Таблица1[[#This Row],[Y]]-$C$18)^2</calculatedColumnFormula>
      <totalsRowFormula>SUM(Таблица1[(у-уmean)^3])</totalsRowFormula>
    </tableColumn>
    <tableColumn id="13" xr3:uid="{9B16CB46-BAA9-4979-A55B-293B33419B4E}" name="abs(A)" totalsRowFunction="custom" dataDxfId="1" totalsRowDxfId="0" dataCellStyle="Процентный" totalsRowCellStyle="Процентный">
      <calculatedColumnFormula>ABS((Таблица1[[#This Row],[Y]]-Таблица1[[#This Row],[y^]])/Таблица1[[#This Row],[Y]])</calculatedColumnFormula>
      <totalsRowFormula>SUM(Таблица1[abs(A)])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B1" workbookViewId="0">
      <selection activeCell="K27" sqref="K27"/>
    </sheetView>
  </sheetViews>
  <sheetFormatPr defaultRowHeight="14.5" x14ac:dyDescent="0.35"/>
  <cols>
    <col min="11" max="11" width="9.81640625" customWidth="1"/>
    <col min="20" max="20" width="9.81640625" bestFit="1" customWidth="1"/>
  </cols>
  <sheetData>
    <row r="1" spans="1:20" ht="14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22</v>
      </c>
      <c r="L1" t="s">
        <v>23</v>
      </c>
      <c r="M1" t="s">
        <v>26</v>
      </c>
      <c r="N1" s="9" t="s">
        <v>9</v>
      </c>
      <c r="O1" s="9"/>
      <c r="P1" s="9"/>
      <c r="Q1" s="9"/>
      <c r="R1" s="9"/>
      <c r="S1" s="9"/>
    </row>
    <row r="2" spans="1:20" x14ac:dyDescent="0.35">
      <c r="A2">
        <v>1</v>
      </c>
      <c r="B2">
        <v>1</v>
      </c>
      <c r="C2">
        <v>7</v>
      </c>
      <c r="D2">
        <f>Таблица1[[#This Row],[X]]^2</f>
        <v>1</v>
      </c>
      <c r="E2">
        <f>Таблица1[[#This Row],[X]]^3</f>
        <v>1</v>
      </c>
      <c r="F2">
        <f>Таблица1[[#This Row],[X]]^4</f>
        <v>1</v>
      </c>
      <c r="G2">
        <f>Таблица1[[#This Row],[X]]*Таблица1[[#This Row],[Y]]</f>
        <v>7</v>
      </c>
      <c r="H2">
        <f>Таблица1[[#This Row],[x2]]*Таблица1[[#This Row],[Y]]</f>
        <v>7</v>
      </c>
      <c r="I2" s="1">
        <f>Таблица1[[#This Row],[Y]]^2</f>
        <v>49</v>
      </c>
      <c r="J2" s="1">
        <f>$T$10*Таблица1[[#This Row],[X]]^2+$T$11*Таблица1[[#This Row],[X]]+$T$12</f>
        <v>8.600000000000021</v>
      </c>
      <c r="K2" s="1">
        <f>(Таблица1[[#This Row],[Y]]-Таблица1[[#This Row],[y^]])^2</f>
        <v>2.5600000000000671</v>
      </c>
      <c r="L2" s="1">
        <f>(Таблица1[[#This Row],[Y]]-$C$18)^2</f>
        <v>112.36000000000003</v>
      </c>
      <c r="M2" s="3">
        <f>ABS((Таблица1[[#This Row],[Y]]-Таблица1[[#This Row],[y^]])/Таблица1[[#This Row],[Y]])</f>
        <v>0.22857142857143156</v>
      </c>
      <c r="N2" s="9"/>
      <c r="O2" s="9"/>
      <c r="P2" s="9"/>
      <c r="Q2" s="9"/>
      <c r="R2" s="9"/>
      <c r="S2" s="9"/>
    </row>
    <row r="3" spans="1:20" x14ac:dyDescent="0.35">
      <c r="A3">
        <v>2</v>
      </c>
      <c r="B3">
        <v>2</v>
      </c>
      <c r="C3">
        <v>12</v>
      </c>
      <c r="D3">
        <f>Таблица1[[#This Row],[X]]^2</f>
        <v>4</v>
      </c>
      <c r="E3">
        <f>Таблица1[[#This Row],[X]]^3</f>
        <v>8</v>
      </c>
      <c r="F3">
        <f>Таблица1[[#This Row],[X]]^4</f>
        <v>16</v>
      </c>
      <c r="G3">
        <f>Таблица1[[#This Row],[X]]*Таблица1[[#This Row],[Y]]</f>
        <v>24</v>
      </c>
      <c r="H3">
        <f>Таблица1[[#This Row],[x2]]*Таблица1[[#This Row],[Y]]</f>
        <v>48</v>
      </c>
      <c r="I3" s="1">
        <f>Таблица1[[#This Row],[Y]]^2</f>
        <v>144</v>
      </c>
      <c r="J3" s="1">
        <f>$T$10*Таблица1[[#This Row],[X]]^2+$T$11*Таблица1[[#This Row],[X]]+$T$12</f>
        <v>10.528571428571443</v>
      </c>
      <c r="K3" s="1">
        <f>(Таблица1[[#This Row],[Y]]-Таблица1[[#This Row],[y^]])^2</f>
        <v>2.1651020408162851</v>
      </c>
      <c r="L3" s="1">
        <f>(Таблица1[[#This Row],[Y]]-$C$18)^2</f>
        <v>31.360000000000017</v>
      </c>
      <c r="M3" s="3">
        <f>ABS((Таблица1[[#This Row],[Y]]-Таблица1[[#This Row],[y^]])/Таблица1[[#This Row],[Y]])</f>
        <v>0.12261904761904645</v>
      </c>
      <c r="N3" s="9"/>
      <c r="O3" s="9"/>
      <c r="P3" s="9"/>
      <c r="Q3" s="9"/>
      <c r="R3" s="9"/>
      <c r="S3" s="9"/>
    </row>
    <row r="4" spans="1:20" x14ac:dyDescent="0.35">
      <c r="A4">
        <v>3</v>
      </c>
      <c r="B4">
        <v>3</v>
      </c>
      <c r="C4">
        <v>11</v>
      </c>
      <c r="D4">
        <f>Таблица1[[#This Row],[X]]^2</f>
        <v>9</v>
      </c>
      <c r="E4">
        <f>Таблица1[[#This Row],[X]]^3</f>
        <v>27</v>
      </c>
      <c r="F4">
        <f>Таблица1[[#This Row],[X]]^4</f>
        <v>81</v>
      </c>
      <c r="G4">
        <f>Таблица1[[#This Row],[X]]*Таблица1[[#This Row],[Y]]</f>
        <v>33</v>
      </c>
      <c r="H4">
        <f>Таблица1[[#This Row],[x2]]*Таблица1[[#This Row],[Y]]</f>
        <v>99</v>
      </c>
      <c r="I4" s="1">
        <f>Таблица1[[#This Row],[Y]]^2</f>
        <v>121</v>
      </c>
      <c r="J4" s="1">
        <f>$T$10*Таблица1[[#This Row],[X]]^2+$T$11*Таблица1[[#This Row],[X]]+$T$12</f>
        <v>12.308791208791217</v>
      </c>
      <c r="K4" s="1">
        <f>(Таблица1[[#This Row],[Y]]-Таблица1[[#This Row],[y^]])^2</f>
        <v>1.7129344282091739</v>
      </c>
      <c r="L4" s="1">
        <f>(Таблица1[[#This Row],[Y]]-$C$18)^2</f>
        <v>43.560000000000016</v>
      </c>
      <c r="M4" s="3">
        <f>ABS((Таблица1[[#This Row],[Y]]-Таблица1[[#This Row],[y^]])/Таблица1[[#This Row],[Y]])</f>
        <v>0.11898101898101969</v>
      </c>
    </row>
    <row r="5" spans="1:20" x14ac:dyDescent="0.35">
      <c r="A5">
        <v>4</v>
      </c>
      <c r="B5">
        <v>4</v>
      </c>
      <c r="C5">
        <v>16</v>
      </c>
      <c r="D5">
        <f>Таблица1[[#This Row],[X]]^2</f>
        <v>16</v>
      </c>
      <c r="E5">
        <f>Таблица1[[#This Row],[X]]^3</f>
        <v>64</v>
      </c>
      <c r="F5">
        <f>Таблица1[[#This Row],[X]]^4</f>
        <v>256</v>
      </c>
      <c r="G5">
        <f>Таблица1[[#This Row],[X]]*Таблица1[[#This Row],[Y]]</f>
        <v>64</v>
      </c>
      <c r="H5">
        <f>Таблица1[[#This Row],[x2]]*Таблица1[[#This Row],[Y]]</f>
        <v>256</v>
      </c>
      <c r="I5" s="1">
        <f>Таблица1[[#This Row],[Y]]^2</f>
        <v>256</v>
      </c>
      <c r="J5" s="1">
        <f>$T$10*Таблица1[[#This Row],[X]]^2+$T$11*Таблица1[[#This Row],[X]]+$T$12</f>
        <v>13.940659340659344</v>
      </c>
      <c r="K5" s="1">
        <f>(Таблица1[[#This Row],[Y]]-Таблица1[[#This Row],[y^]])^2</f>
        <v>4.2408839512136058</v>
      </c>
      <c r="L5" s="1">
        <f>(Таблица1[[#This Row],[Y]]-$C$18)^2</f>
        <v>2.5600000000000045</v>
      </c>
      <c r="M5" s="3">
        <f>ABS((Таблица1[[#This Row],[Y]]-Таблица1[[#This Row],[y^]])/Таблица1[[#This Row],[Y]])</f>
        <v>0.12870879120879097</v>
      </c>
      <c r="O5">
        <f>Таблица1[[#Totals],[x4]]</f>
        <v>178312</v>
      </c>
      <c r="P5">
        <f>Таблица1[[#Totals],[x3]]</f>
        <v>14400</v>
      </c>
      <c r="Q5">
        <f>Таблица1[[#Totals],[x2]]</f>
        <v>1240</v>
      </c>
      <c r="S5" t="s">
        <v>14</v>
      </c>
      <c r="T5">
        <f>MDETERM(O5:Q7)</f>
        <v>17326399.999999918</v>
      </c>
    </row>
    <row r="6" spans="1:20" x14ac:dyDescent="0.35">
      <c r="A6">
        <v>5</v>
      </c>
      <c r="B6">
        <v>5</v>
      </c>
      <c r="C6">
        <v>17</v>
      </c>
      <c r="D6">
        <f>Таблица1[[#This Row],[X]]^2</f>
        <v>25</v>
      </c>
      <c r="E6">
        <f>Таблица1[[#This Row],[X]]^3</f>
        <v>125</v>
      </c>
      <c r="F6">
        <f>Таблица1[[#This Row],[X]]^4</f>
        <v>625</v>
      </c>
      <c r="G6">
        <f>Таблица1[[#This Row],[X]]*Таблица1[[#This Row],[Y]]</f>
        <v>85</v>
      </c>
      <c r="H6">
        <f>Таблица1[[#This Row],[x2]]*Таблица1[[#This Row],[Y]]</f>
        <v>425</v>
      </c>
      <c r="I6" s="1">
        <f>Таблица1[[#This Row],[Y]]^2</f>
        <v>289</v>
      </c>
      <c r="J6" s="1">
        <f>$T$10*Таблица1[[#This Row],[X]]^2+$T$11*Таблица1[[#This Row],[X]]+$T$12</f>
        <v>15.424175824175823</v>
      </c>
      <c r="K6" s="1">
        <f>(Таблица1[[#This Row],[Y]]-Таблица1[[#This Row],[y^]])^2</f>
        <v>2.4832218331119478</v>
      </c>
      <c r="L6" s="1">
        <f>(Таблица1[[#This Row],[Y]]-$C$18)^2</f>
        <v>0.36000000000000171</v>
      </c>
      <c r="M6" s="3">
        <f>ABS((Таблица1[[#This Row],[Y]]-Таблица1[[#This Row],[y^]])/Таблица1[[#This Row],[Y]])</f>
        <v>9.2695539754363371E-2</v>
      </c>
      <c r="N6" t="s">
        <v>10</v>
      </c>
      <c r="O6">
        <f>P5</f>
        <v>14400</v>
      </c>
      <c r="P6">
        <f>Q5</f>
        <v>1240</v>
      </c>
      <c r="Q6">
        <f>Таблица1[[#Totals],[X]]</f>
        <v>120</v>
      </c>
      <c r="S6" t="s">
        <v>15</v>
      </c>
      <c r="T6">
        <f>MDETERM(O10:Q12)</f>
        <v>-1285199.9999999916</v>
      </c>
    </row>
    <row r="7" spans="1:20" x14ac:dyDescent="0.35">
      <c r="A7">
        <v>6</v>
      </c>
      <c r="B7">
        <v>6</v>
      </c>
      <c r="C7">
        <v>15</v>
      </c>
      <c r="D7">
        <f>Таблица1[[#This Row],[X]]^2</f>
        <v>36</v>
      </c>
      <c r="E7">
        <f>Таблица1[[#This Row],[X]]^3</f>
        <v>216</v>
      </c>
      <c r="F7">
        <f>Таблица1[[#This Row],[X]]^4</f>
        <v>1296</v>
      </c>
      <c r="G7">
        <f>Таблица1[[#This Row],[X]]*Таблица1[[#This Row],[Y]]</f>
        <v>90</v>
      </c>
      <c r="H7">
        <f>Таблица1[[#This Row],[x2]]*Таблица1[[#This Row],[Y]]</f>
        <v>540</v>
      </c>
      <c r="I7" s="1">
        <f>Таблица1[[#This Row],[Y]]^2</f>
        <v>225</v>
      </c>
      <c r="J7" s="1">
        <f>$T$10*Таблица1[[#This Row],[X]]^2+$T$11*Таблица1[[#This Row],[X]]+$T$12</f>
        <v>16.759340659340651</v>
      </c>
      <c r="K7" s="1">
        <f>(Таблица1[[#This Row],[Y]]-Таблица1[[#This Row],[y^]])^2</f>
        <v>3.0952795556091979</v>
      </c>
      <c r="L7" s="1">
        <f>(Таблица1[[#This Row],[Y]]-$C$18)^2</f>
        <v>6.7600000000000078</v>
      </c>
      <c r="M7" s="3">
        <f>ABS((Таблица1[[#This Row],[Y]]-Таблица1[[#This Row],[y^]])/Таблица1[[#This Row],[Y]])</f>
        <v>0.11728937728937676</v>
      </c>
      <c r="O7">
        <f>P6</f>
        <v>1240</v>
      </c>
      <c r="P7">
        <f>Q6</f>
        <v>120</v>
      </c>
      <c r="Q7">
        <f>A16</f>
        <v>15</v>
      </c>
      <c r="S7" t="s">
        <v>16</v>
      </c>
      <c r="T7">
        <f>MDETERM(O15:Q17)</f>
        <v>37270799.999999709</v>
      </c>
    </row>
    <row r="8" spans="1:20" x14ac:dyDescent="0.35">
      <c r="A8">
        <v>7</v>
      </c>
      <c r="B8">
        <v>7</v>
      </c>
      <c r="C8">
        <v>19</v>
      </c>
      <c r="D8">
        <f>Таблица1[[#This Row],[X]]^2</f>
        <v>49</v>
      </c>
      <c r="E8">
        <f>Таблица1[[#This Row],[X]]^3</f>
        <v>343</v>
      </c>
      <c r="F8">
        <f>Таблица1[[#This Row],[X]]^4</f>
        <v>2401</v>
      </c>
      <c r="G8">
        <f>Таблица1[[#This Row],[X]]*Таблица1[[#This Row],[Y]]</f>
        <v>133</v>
      </c>
      <c r="H8">
        <f>Таблица1[[#This Row],[x2]]*Таблица1[[#This Row],[Y]]</f>
        <v>931</v>
      </c>
      <c r="I8" s="1">
        <f>Таблица1[[#This Row],[Y]]^2</f>
        <v>361</v>
      </c>
      <c r="J8" s="1">
        <f>$T$10*Таблица1[[#This Row],[X]]^2+$T$11*Таблица1[[#This Row],[X]]+$T$12</f>
        <v>17.946153846153834</v>
      </c>
      <c r="K8" s="1">
        <f>(Таблица1[[#This Row],[Y]]-Таблица1[[#This Row],[y^]])^2</f>
        <v>1.1105917159763572</v>
      </c>
      <c r="L8" s="1">
        <f>(Таблица1[[#This Row],[Y]]-$C$18)^2</f>
        <v>1.959999999999996</v>
      </c>
      <c r="M8" s="3">
        <f>ABS((Таблица1[[#This Row],[Y]]-Таблица1[[#This Row],[y^]])/Таблица1[[#This Row],[Y]])</f>
        <v>5.546558704453506E-2</v>
      </c>
      <c r="S8" t="s">
        <v>17</v>
      </c>
      <c r="T8">
        <f>MDETERM(O20:Q22)</f>
        <v>113021439.99999994</v>
      </c>
    </row>
    <row r="9" spans="1:20" x14ac:dyDescent="0.35">
      <c r="A9">
        <v>8</v>
      </c>
      <c r="B9">
        <v>8</v>
      </c>
      <c r="C9">
        <v>18</v>
      </c>
      <c r="D9">
        <f>Таблица1[[#This Row],[X]]^2</f>
        <v>64</v>
      </c>
      <c r="E9">
        <f>Таблица1[[#This Row],[X]]^3</f>
        <v>512</v>
      </c>
      <c r="F9">
        <f>Таблица1[[#This Row],[X]]^4</f>
        <v>4096</v>
      </c>
      <c r="G9">
        <f>Таблица1[[#This Row],[X]]*Таблица1[[#This Row],[Y]]</f>
        <v>144</v>
      </c>
      <c r="H9">
        <f>Таблица1[[#This Row],[x2]]*Таблица1[[#This Row],[Y]]</f>
        <v>1152</v>
      </c>
      <c r="I9" s="1">
        <f>Таблица1[[#This Row],[Y]]^2</f>
        <v>324</v>
      </c>
      <c r="J9" s="1">
        <f>$T$10*Таблица1[[#This Row],[X]]^2+$T$11*Таблица1[[#This Row],[X]]+$T$12</f>
        <v>18.984615384615367</v>
      </c>
      <c r="K9" s="1">
        <f>(Таблица1[[#This Row],[Y]]-Таблица1[[#This Row],[y^]])^2</f>
        <v>0.9694674556212669</v>
      </c>
      <c r="L9" s="1">
        <f>(Таблица1[[#This Row],[Y]]-$C$18)^2</f>
        <v>0.15999999999999887</v>
      </c>
      <c r="M9" s="3">
        <f>ABS((Таблица1[[#This Row],[Y]]-Таблица1[[#This Row],[y^]])/Таблица1[[#This Row],[Y]])</f>
        <v>5.4700854700853715E-2</v>
      </c>
    </row>
    <row r="10" spans="1:20" x14ac:dyDescent="0.35">
      <c r="A10">
        <v>9</v>
      </c>
      <c r="B10">
        <v>9</v>
      </c>
      <c r="C10">
        <v>20</v>
      </c>
      <c r="D10">
        <f>Таблица1[[#This Row],[X]]^2</f>
        <v>81</v>
      </c>
      <c r="E10">
        <f>Таблица1[[#This Row],[X]]^3</f>
        <v>729</v>
      </c>
      <c r="F10">
        <f>Таблица1[[#This Row],[X]]^4</f>
        <v>6561</v>
      </c>
      <c r="G10">
        <f>Таблица1[[#This Row],[X]]*Таблица1[[#This Row],[Y]]</f>
        <v>180</v>
      </c>
      <c r="H10">
        <f>Таблица1[[#This Row],[x2]]*Таблица1[[#This Row],[Y]]</f>
        <v>1620</v>
      </c>
      <c r="I10" s="1">
        <f>Таблица1[[#This Row],[Y]]^2</f>
        <v>400</v>
      </c>
      <c r="J10" s="1">
        <f>$T$10*Таблица1[[#This Row],[X]]^2+$T$11*Таблица1[[#This Row],[X]]+$T$12</f>
        <v>19.874725274725254</v>
      </c>
      <c r="K10" s="1">
        <f>(Таблица1[[#This Row],[Y]]-Таблица1[[#This Row],[y^]])^2</f>
        <v>1.5693756792663122E-2</v>
      </c>
      <c r="L10" s="1">
        <f>(Таблица1[[#This Row],[Y]]-$C$18)^2</f>
        <v>5.7599999999999936</v>
      </c>
      <c r="M10" s="3">
        <f>ABS((Таблица1[[#This Row],[Y]]-Таблица1[[#This Row],[y^]])/Таблица1[[#This Row],[Y]])</f>
        <v>6.263736263737307E-3</v>
      </c>
      <c r="O10">
        <f>Таблица1[[#Totals],[x2*y]]</f>
        <v>25838</v>
      </c>
      <c r="P10">
        <f>Таблица1[[#Totals],[x3]]</f>
        <v>14400</v>
      </c>
      <c r="Q10">
        <f>Таблица1[[#Totals],[x2]]</f>
        <v>1240</v>
      </c>
      <c r="S10" t="s">
        <v>18</v>
      </c>
      <c r="T10">
        <f>T6/T5</f>
        <v>-7.4175824175824037E-2</v>
      </c>
    </row>
    <row r="11" spans="1:20" x14ac:dyDescent="0.35">
      <c r="A11">
        <v>10</v>
      </c>
      <c r="B11">
        <v>10</v>
      </c>
      <c r="C11">
        <v>19</v>
      </c>
      <c r="D11">
        <f>Таблица1[[#This Row],[X]]^2</f>
        <v>100</v>
      </c>
      <c r="E11">
        <f>Таблица1[[#This Row],[X]]^3</f>
        <v>1000</v>
      </c>
      <c r="F11">
        <f>Таблица1[[#This Row],[X]]^4</f>
        <v>10000</v>
      </c>
      <c r="G11">
        <f>Таблица1[[#This Row],[X]]*Таблица1[[#This Row],[Y]]</f>
        <v>190</v>
      </c>
      <c r="H11">
        <f>Таблица1[[#This Row],[x2]]*Таблица1[[#This Row],[Y]]</f>
        <v>1900</v>
      </c>
      <c r="I11" s="1">
        <f>Таблица1[[#This Row],[Y]]^2</f>
        <v>361</v>
      </c>
      <c r="J11" s="1">
        <f>$T$10*Таблица1[[#This Row],[X]]^2+$T$11*Таблица1[[#This Row],[X]]+$T$12</f>
        <v>20.616483516483491</v>
      </c>
      <c r="K11" s="1">
        <f>(Таблица1[[#This Row],[Y]]-Таблица1[[#This Row],[y^]])^2</f>
        <v>2.6130189590628334</v>
      </c>
      <c r="L11" s="1">
        <f>(Таблица1[[#This Row],[Y]]-$C$18)^2</f>
        <v>1.959999999999996</v>
      </c>
      <c r="M11" s="3">
        <f>ABS((Таблица1[[#This Row],[Y]]-Таблица1[[#This Row],[y^]])/Таблица1[[#This Row],[Y]])</f>
        <v>8.507807981492059E-2</v>
      </c>
      <c r="N11" t="s">
        <v>11</v>
      </c>
      <c r="O11">
        <f>Таблица1[[#Totals],[xy]]</f>
        <v>2382</v>
      </c>
      <c r="P11">
        <f>Q10</f>
        <v>1240</v>
      </c>
      <c r="Q11">
        <f>Таблица1[[#Totals],[X]]</f>
        <v>120</v>
      </c>
      <c r="S11" t="s">
        <v>19</v>
      </c>
      <c r="T11">
        <f>T7/T5</f>
        <v>2.1510989010988943</v>
      </c>
    </row>
    <row r="12" spans="1:20" x14ac:dyDescent="0.35">
      <c r="A12">
        <v>11</v>
      </c>
      <c r="B12">
        <v>11</v>
      </c>
      <c r="C12">
        <v>21</v>
      </c>
      <c r="D12">
        <f>Таблица1[[#This Row],[X]]^2</f>
        <v>121</v>
      </c>
      <c r="E12">
        <f>Таблица1[[#This Row],[X]]^3</f>
        <v>1331</v>
      </c>
      <c r="F12">
        <f>Таблица1[[#This Row],[X]]^4</f>
        <v>14641</v>
      </c>
      <c r="G12">
        <f>Таблица1[[#This Row],[X]]*Таблица1[[#This Row],[Y]]</f>
        <v>231</v>
      </c>
      <c r="H12">
        <f>Таблица1[[#This Row],[x2]]*Таблица1[[#This Row],[Y]]</f>
        <v>2541</v>
      </c>
      <c r="I12" s="1">
        <f>Таблица1[[#This Row],[Y]]^2</f>
        <v>441</v>
      </c>
      <c r="J12" s="1">
        <f>$T$10*Таблица1[[#This Row],[X]]^2+$T$11*Таблица1[[#This Row],[X]]+$T$12</f>
        <v>21.209890109890079</v>
      </c>
      <c r="K12" s="1">
        <f>(Таблица1[[#This Row],[Y]]-Таблица1[[#This Row],[y^]])^2</f>
        <v>4.4053858229669417E-2</v>
      </c>
      <c r="L12" s="1">
        <f>(Таблица1[[#This Row],[Y]]-$C$18)^2</f>
        <v>11.55999999999999</v>
      </c>
      <c r="M12" s="3">
        <f>ABS((Таблица1[[#This Row],[Y]]-Таблица1[[#This Row],[y^]])/Таблица1[[#This Row],[Y]])</f>
        <v>9.9947671376228071E-3</v>
      </c>
      <c r="O12">
        <f>Таблица1[[#Totals],[Y]]</f>
        <v>264</v>
      </c>
      <c r="P12">
        <f>Q11</f>
        <v>120</v>
      </c>
      <c r="Q12">
        <f>Q7</f>
        <v>15</v>
      </c>
      <c r="S12" t="s">
        <v>20</v>
      </c>
      <c r="T12">
        <f>T8/T5</f>
        <v>6.5230769230769505</v>
      </c>
    </row>
    <row r="13" spans="1:20" x14ac:dyDescent="0.35">
      <c r="A13">
        <v>12</v>
      </c>
      <c r="B13">
        <v>12</v>
      </c>
      <c r="C13">
        <v>23</v>
      </c>
      <c r="D13">
        <f>Таблица1[[#This Row],[X]]^2</f>
        <v>144</v>
      </c>
      <c r="E13">
        <f>Таблица1[[#This Row],[X]]^3</f>
        <v>1728</v>
      </c>
      <c r="F13">
        <f>Таблица1[[#This Row],[X]]^4</f>
        <v>20736</v>
      </c>
      <c r="G13">
        <f>Таблица1[[#This Row],[X]]*Таблица1[[#This Row],[Y]]</f>
        <v>276</v>
      </c>
      <c r="H13">
        <f>Таблица1[[#This Row],[x2]]*Таблица1[[#This Row],[Y]]</f>
        <v>3312</v>
      </c>
      <c r="I13" s="1">
        <f>Таблица1[[#This Row],[Y]]^2</f>
        <v>529</v>
      </c>
      <c r="J13" s="1">
        <f>$T$10*Таблица1[[#This Row],[X]]^2+$T$11*Таблица1[[#This Row],[X]]+$T$12</f>
        <v>21.654945054945021</v>
      </c>
      <c r="K13" s="1">
        <f>(Таблица1[[#This Row],[Y]]-Таблица1[[#This Row],[y^]])^2</f>
        <v>1.8091728052168536</v>
      </c>
      <c r="L13" s="1">
        <f>(Таблица1[[#This Row],[Y]]-$C$18)^2</f>
        <v>29.159999999999986</v>
      </c>
      <c r="M13" s="3">
        <f>ABS((Таблица1[[#This Row],[Y]]-Таблица1[[#This Row],[y^]])/Таблица1[[#This Row],[Y]])</f>
        <v>5.8480649784999103E-2</v>
      </c>
    </row>
    <row r="14" spans="1:20" x14ac:dyDescent="0.35">
      <c r="A14">
        <v>13</v>
      </c>
      <c r="B14">
        <v>13</v>
      </c>
      <c r="C14">
        <v>21</v>
      </c>
      <c r="D14">
        <f>Таблица1[[#This Row],[X]]^2</f>
        <v>169</v>
      </c>
      <c r="E14">
        <f>Таблица1[[#This Row],[X]]^3</f>
        <v>2197</v>
      </c>
      <c r="F14">
        <f>Таблица1[[#This Row],[X]]^4</f>
        <v>28561</v>
      </c>
      <c r="G14">
        <f>Таблица1[[#This Row],[X]]*Таблица1[[#This Row],[Y]]</f>
        <v>273</v>
      </c>
      <c r="H14">
        <f>Таблица1[[#This Row],[x2]]*Таблица1[[#This Row],[Y]]</f>
        <v>3549</v>
      </c>
      <c r="I14" s="1">
        <f>Таблица1[[#This Row],[Y]]^2</f>
        <v>441</v>
      </c>
      <c r="J14" s="1">
        <f>$T$10*Таблица1[[#This Row],[X]]^2+$T$11*Таблица1[[#This Row],[X]]+$T$12</f>
        <v>21.951648351648316</v>
      </c>
      <c r="K14" s="1">
        <f>(Таблица1[[#This Row],[Y]]-Таблица1[[#This Row],[y^]])^2</f>
        <v>0.90563458519495743</v>
      </c>
      <c r="L14" s="1">
        <f>(Таблица1[[#This Row],[Y]]-$C$18)^2</f>
        <v>11.55999999999999</v>
      </c>
      <c r="M14" s="3">
        <f>ABS((Таблица1[[#This Row],[Y]]-Таблица1[[#This Row],[y^]])/Таблица1[[#This Row],[Y]])</f>
        <v>4.5316588173729348E-2</v>
      </c>
      <c r="S14" t="s">
        <v>24</v>
      </c>
      <c r="T14">
        <f>SQRT(1-Таблица1[[#Totals],[(у-у^)^2]]/Таблица1[[#Totals],[(у-уmean)^3]])</f>
        <v>0.95927297096208075</v>
      </c>
    </row>
    <row r="15" spans="1:20" x14ac:dyDescent="0.35">
      <c r="A15">
        <v>14</v>
      </c>
      <c r="B15">
        <v>14</v>
      </c>
      <c r="C15">
        <v>23</v>
      </c>
      <c r="D15">
        <f>Таблица1[[#This Row],[X]]^2</f>
        <v>196</v>
      </c>
      <c r="E15">
        <f>Таблица1[[#This Row],[X]]^3</f>
        <v>2744</v>
      </c>
      <c r="F15">
        <f>Таблица1[[#This Row],[X]]^4</f>
        <v>38416</v>
      </c>
      <c r="G15">
        <f>Таблица1[[#This Row],[X]]*Таблица1[[#This Row],[Y]]</f>
        <v>322</v>
      </c>
      <c r="H15">
        <f>Таблица1[[#This Row],[x2]]*Таблица1[[#This Row],[Y]]</f>
        <v>4508</v>
      </c>
      <c r="I15" s="1">
        <f>Таблица1[[#This Row],[Y]]^2</f>
        <v>529</v>
      </c>
      <c r="J15" s="1">
        <f>$T$10*Таблица1[[#This Row],[X]]^2+$T$11*Таблица1[[#This Row],[X]]+$T$12</f>
        <v>22.099999999999959</v>
      </c>
      <c r="K15" s="1">
        <f>(Таблица1[[#This Row],[Y]]-Таблица1[[#This Row],[y^]])^2</f>
        <v>0.81000000000007422</v>
      </c>
      <c r="L15" s="1">
        <f>(Таблица1[[#This Row],[Y]]-$C$18)^2</f>
        <v>29.159999999999986</v>
      </c>
      <c r="M15" s="3">
        <f>ABS((Таблица1[[#This Row],[Y]]-Таблица1[[#This Row],[y^]])/Таблица1[[#This Row],[Y]])</f>
        <v>3.9130434782610489E-2</v>
      </c>
      <c r="O15">
        <v>178312</v>
      </c>
      <c r="P15">
        <v>25838</v>
      </c>
      <c r="Q15">
        <v>1240</v>
      </c>
      <c r="S15" t="s">
        <v>25</v>
      </c>
      <c r="T15">
        <f>T14*T14</f>
        <v>0.92020463281841702</v>
      </c>
    </row>
    <row r="16" spans="1:20" x14ac:dyDescent="0.35">
      <c r="A16">
        <v>15</v>
      </c>
      <c r="B16">
        <v>15</v>
      </c>
      <c r="C16">
        <v>22</v>
      </c>
      <c r="D16">
        <f>Таблица1[[#This Row],[X]]^2</f>
        <v>225</v>
      </c>
      <c r="E16">
        <f>Таблица1[[#This Row],[X]]^3</f>
        <v>3375</v>
      </c>
      <c r="F16">
        <f>Таблица1[[#This Row],[X]]^4</f>
        <v>50625</v>
      </c>
      <c r="G16">
        <f>Таблица1[[#This Row],[X]]*Таблица1[[#This Row],[Y]]</f>
        <v>330</v>
      </c>
      <c r="H16">
        <f>Таблица1[[#This Row],[x2]]*Таблица1[[#This Row],[Y]]</f>
        <v>4950</v>
      </c>
      <c r="I16" s="1">
        <f>Таблица1[[#This Row],[Y]]^2</f>
        <v>484</v>
      </c>
      <c r="J16" s="1">
        <f>$T$10*Таблица1[[#This Row],[X]]^2+$T$11*Таблица1[[#This Row],[X]]+$T$12</f>
        <v>22.099999999999959</v>
      </c>
      <c r="K16" s="1">
        <f>(Таблица1[[#This Row],[Y]]-Таблица1[[#This Row],[y^]])^2</f>
        <v>9.9999999999917585E-3</v>
      </c>
      <c r="L16" s="1">
        <f>(Таблица1[[#This Row],[Y]]-$C$18)^2</f>
        <v>19.359999999999989</v>
      </c>
      <c r="M16" s="3">
        <f>ABS((Таблица1[[#This Row],[Y]]-Таблица1[[#This Row],[y^]])/Таблица1[[#This Row],[Y]])</f>
        <v>4.5454545454526726E-3</v>
      </c>
      <c r="N16" t="s">
        <v>12</v>
      </c>
      <c r="O16">
        <v>14400</v>
      </c>
      <c r="P16">
        <v>2382</v>
      </c>
      <c r="Q16">
        <v>120</v>
      </c>
    </row>
    <row r="17" spans="2:17" x14ac:dyDescent="0.35">
      <c r="B17" s="2">
        <f>SUM(Таблица1[X])</f>
        <v>120</v>
      </c>
      <c r="C17" s="2">
        <f>SUM(Таблица1[Y])</f>
        <v>264</v>
      </c>
      <c r="D17" s="2">
        <f>SUM(Таблица1[x2])</f>
        <v>1240</v>
      </c>
      <c r="E17" s="2">
        <f>SUM(Таблица1[x3])</f>
        <v>14400</v>
      </c>
      <c r="F17" s="2">
        <f>SUM(Таблица1[x4])</f>
        <v>178312</v>
      </c>
      <c r="G17" s="2">
        <f>SUM(Таблица1[xy])</f>
        <v>2382</v>
      </c>
      <c r="H17" s="2">
        <f>SUM(Таблица1[x2*y])</f>
        <v>25838</v>
      </c>
      <c r="I17" s="2">
        <f>SUM(Таблица1[y2])</f>
        <v>4954</v>
      </c>
      <c r="J17" s="2">
        <f>SUM(Таблица1[y^])</f>
        <v>263.99999999999977</v>
      </c>
      <c r="K17" s="2">
        <f>SUM(Таблица1[(у-у^)^2])</f>
        <v>24.545054945054947</v>
      </c>
      <c r="L17" s="2">
        <f>SUM(Таблица1[(у-уmean)^3])</f>
        <v>307.60000000000008</v>
      </c>
      <c r="M17" s="4">
        <f>SUM(Таблица1[abs(A)])</f>
        <v>1.1678413556724898</v>
      </c>
      <c r="O17">
        <v>1240</v>
      </c>
      <c r="P17">
        <v>264</v>
      </c>
      <c r="Q17">
        <v>15</v>
      </c>
    </row>
    <row r="18" spans="2:17" x14ac:dyDescent="0.35">
      <c r="B18">
        <f>AVERAGE(Таблица1[X])</f>
        <v>8</v>
      </c>
      <c r="C18">
        <f>AVERAGE(Таблица1[Y])</f>
        <v>17.600000000000001</v>
      </c>
      <c r="D18">
        <f>AVERAGE(Таблица1[x2])</f>
        <v>82.666666666666671</v>
      </c>
      <c r="E18">
        <f>AVERAGE(Таблица1[x3])</f>
        <v>960</v>
      </c>
      <c r="F18">
        <f>AVERAGE(Таблица1[x4])</f>
        <v>11887.466666666667</v>
      </c>
      <c r="G18">
        <f>AVERAGE(Таблица1[xy])</f>
        <v>158.80000000000001</v>
      </c>
      <c r="H18">
        <f>AVERAGE(Таблица1[x2*y])</f>
        <v>1722.5333333333333</v>
      </c>
      <c r="I18">
        <f>AVERAGE(Таблица1[y2])</f>
        <v>330.26666666666665</v>
      </c>
      <c r="J18">
        <f>AVERAGE(Таблица1[y^])</f>
        <v>17.599999999999984</v>
      </c>
      <c r="K18">
        <f>AVERAGE(Таблица1[(у-у^)^2])</f>
        <v>1.6363369963369965</v>
      </c>
      <c r="L18">
        <f>AVERAGE(Таблица1[(у-уmean)^3])</f>
        <v>20.506666666666671</v>
      </c>
      <c r="M18" s="5">
        <f>AVERAGE(Таблица1[abs(A)])</f>
        <v>7.7856090378165987E-2</v>
      </c>
    </row>
    <row r="20" spans="2:17" x14ac:dyDescent="0.35">
      <c r="O20">
        <v>178312</v>
      </c>
      <c r="P20">
        <v>14400</v>
      </c>
      <c r="Q20">
        <v>25838</v>
      </c>
    </row>
    <row r="21" spans="2:17" x14ac:dyDescent="0.35">
      <c r="N21" t="s">
        <v>13</v>
      </c>
      <c r="O21">
        <v>14400</v>
      </c>
      <c r="P21">
        <v>1240</v>
      </c>
      <c r="Q21">
        <v>2382</v>
      </c>
    </row>
    <row r="22" spans="2:17" x14ac:dyDescent="0.35">
      <c r="O22">
        <v>1240</v>
      </c>
      <c r="P22">
        <v>120</v>
      </c>
      <c r="Q22">
        <v>264</v>
      </c>
    </row>
  </sheetData>
  <mergeCells count="1">
    <mergeCell ref="N1:S3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E7BF-F99A-464C-9BCE-D910CB1DE47F}">
  <dimension ref="A1:B16"/>
  <sheetViews>
    <sheetView workbookViewId="0">
      <selection activeCell="G10" sqref="G10"/>
    </sheetView>
  </sheetViews>
  <sheetFormatPr defaultRowHeight="14.5" x14ac:dyDescent="0.35"/>
  <sheetData>
    <row r="1" spans="1:2" x14ac:dyDescent="0.35">
      <c r="A1" s="6" t="s">
        <v>1</v>
      </c>
      <c r="B1" s="6" t="s">
        <v>2</v>
      </c>
    </row>
    <row r="2" spans="1:2" x14ac:dyDescent="0.35">
      <c r="A2" s="7">
        <v>1</v>
      </c>
      <c r="B2" s="7">
        <v>7</v>
      </c>
    </row>
    <row r="3" spans="1:2" x14ac:dyDescent="0.35">
      <c r="A3" s="8">
        <v>2</v>
      </c>
      <c r="B3" s="8">
        <v>12</v>
      </c>
    </row>
    <row r="4" spans="1:2" x14ac:dyDescent="0.35">
      <c r="A4" s="7">
        <v>3</v>
      </c>
      <c r="B4" s="7">
        <v>11</v>
      </c>
    </row>
    <row r="5" spans="1:2" x14ac:dyDescent="0.35">
      <c r="A5" s="8">
        <v>4</v>
      </c>
      <c r="B5" s="8">
        <v>16</v>
      </c>
    </row>
    <row r="6" spans="1:2" x14ac:dyDescent="0.35">
      <c r="A6" s="7">
        <v>5</v>
      </c>
      <c r="B6" s="7">
        <v>17</v>
      </c>
    </row>
    <row r="7" spans="1:2" x14ac:dyDescent="0.35">
      <c r="A7" s="8">
        <v>6</v>
      </c>
      <c r="B7" s="8">
        <v>15</v>
      </c>
    </row>
    <row r="8" spans="1:2" x14ac:dyDescent="0.35">
      <c r="A8" s="7">
        <v>7</v>
      </c>
      <c r="B8" s="7">
        <v>19</v>
      </c>
    </row>
    <row r="9" spans="1:2" x14ac:dyDescent="0.35">
      <c r="A9" s="8">
        <v>8</v>
      </c>
      <c r="B9" s="8">
        <v>18</v>
      </c>
    </row>
    <row r="10" spans="1:2" x14ac:dyDescent="0.35">
      <c r="A10" s="7">
        <v>9</v>
      </c>
      <c r="B10" s="7">
        <v>20</v>
      </c>
    </row>
    <row r="11" spans="1:2" x14ac:dyDescent="0.35">
      <c r="A11" s="8">
        <v>10</v>
      </c>
      <c r="B11" s="8">
        <v>19</v>
      </c>
    </row>
    <row r="12" spans="1:2" x14ac:dyDescent="0.35">
      <c r="A12" s="7">
        <v>11</v>
      </c>
      <c r="B12" s="7">
        <v>21</v>
      </c>
    </row>
    <row r="13" spans="1:2" x14ac:dyDescent="0.35">
      <c r="A13" s="8">
        <v>12</v>
      </c>
      <c r="B13" s="8">
        <v>23</v>
      </c>
    </row>
    <row r="14" spans="1:2" x14ac:dyDescent="0.35">
      <c r="A14" s="7">
        <v>13</v>
      </c>
      <c r="B14" s="7">
        <v>21</v>
      </c>
    </row>
    <row r="15" spans="1:2" x14ac:dyDescent="0.35">
      <c r="A15" s="8">
        <v>14</v>
      </c>
      <c r="B15" s="8">
        <v>23</v>
      </c>
    </row>
    <row r="16" spans="1:2" x14ac:dyDescent="0.35">
      <c r="A16" s="7">
        <v>15</v>
      </c>
      <c r="B16" s="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Методичка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2021-11-29T11:09:37Z</dcterms:modified>
</cp:coreProperties>
</file>