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/>
  </bookViews>
  <sheets>
    <sheet name="6月" sheetId="1" r:id="rId1"/>
    <sheet name="Sheet2" sheetId="2" r:id="rId2"/>
    <sheet name="Sheet3" sheetId="3" r:id="rId3"/>
  </sheets>
  <definedNames>
    <definedName name="_xlnm.Print_Titles" localSheetId="0">'6月'!$A:$B</definedName>
    <definedName name="_xlnm.Print_Area" localSheetId="0">'6月'!$A$1:$V$8</definedName>
  </definedNames>
  <calcPr calcId="144525" concurrentCalc="0"/>
</workbook>
</file>

<file path=xl/sharedStrings.xml><?xml version="1.0" encoding="utf-8"?>
<sst xmlns="http://schemas.openxmlformats.org/spreadsheetml/2006/main" count="28">
  <si>
    <t>渗滤液项目收入、成本、毛利确认表</t>
  </si>
  <si>
    <t>收入类别</t>
  </si>
  <si>
    <t>性能测试合格时间</t>
  </si>
  <si>
    <t>合同总价款（最初）</t>
  </si>
  <si>
    <t>合同洽商变更价款（过程中合计）</t>
  </si>
  <si>
    <t>最新合同价款/完工项目结算价款合计</t>
  </si>
  <si>
    <t>最新合同价款/完工项目结算价款（不含税）</t>
  </si>
  <si>
    <t>最新预算总成本/完工项目实际成本（不含税）</t>
  </si>
  <si>
    <t>预算毛利率</t>
  </si>
  <si>
    <t>止2017.05.31累计</t>
  </si>
  <si>
    <t>5-6月实际成本</t>
  </si>
  <si>
    <t>5-6月工程进度及收入、毛利</t>
  </si>
  <si>
    <t>止2018.6.30累计</t>
  </si>
  <si>
    <t>合同进度</t>
  </si>
  <si>
    <t>合同收入</t>
  </si>
  <si>
    <t>合同成本</t>
  </si>
  <si>
    <t>合同毛利</t>
  </si>
  <si>
    <t>工程施工合同成本（540101）</t>
  </si>
  <si>
    <t>膜系统生产成本（500103）</t>
  </si>
  <si>
    <t>小计</t>
  </si>
  <si>
    <t>本月进度</t>
  </si>
  <si>
    <t>本月收入</t>
  </si>
  <si>
    <t>本月毛利</t>
  </si>
  <si>
    <t>建安</t>
  </si>
  <si>
    <t>无</t>
  </si>
  <si>
    <t>设备</t>
  </si>
  <si>
    <t>设计</t>
  </si>
  <si>
    <t>合计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</si>
</sst>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  <numFmt numFmtId="177" formatCode="#,##0.00_ "/>
    <numFmt numFmtId="178" formatCode="0.00_ "/>
  </numFmts>
  <fonts count="26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rgb="FF000000"/>
      <name val="Arial Unicode MS"/>
      <charset val="134"/>
    </font>
    <font>
      <sz val="11"/>
      <name val="Arial Unicode MS"/>
      <charset val="134"/>
    </font>
    <font>
      <sz val="11"/>
      <color theme="1"/>
      <name val="Arial Unicode MS"/>
      <charset val="134"/>
    </font>
    <font>
      <b/>
      <sz val="11"/>
      <color theme="1"/>
      <name val="宋体"/>
      <charset val="134"/>
      <scheme val="minor"/>
    </font>
    <font>
      <sz val="11"/>
      <color rgb="FF000000"/>
      <name val="Arial Unicode MS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20" fillId="9" borderId="5" applyNumberFormat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1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43" fontId="3" fillId="0" borderId="1" xfId="8" applyFont="1" applyFill="1" applyBorder="1" applyAlignment="1">
      <alignment vertical="center"/>
    </xf>
    <xf numFmtId="49" fontId="3" fillId="0" borderId="1" xfId="11" applyNumberFormat="1" applyFont="1" applyFill="1" applyBorder="1" applyAlignment="1">
      <alignment horizontal="center" vertical="center"/>
    </xf>
    <xf numFmtId="177" fontId="4" fillId="0" borderId="1" xfId="8" applyNumberFormat="1" applyFont="1" applyFill="1" applyBorder="1" applyAlignment="1">
      <alignment horizontal="center" vertical="center" wrapText="1"/>
    </xf>
    <xf numFmtId="9" fontId="4" fillId="0" borderId="1" xfId="1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10" fontId="2" fillId="0" borderId="2" xfId="0" applyNumberFormat="1" applyFont="1" applyFill="1" applyBorder="1" applyAlignment="1">
      <alignment horizontal="center" vertical="center" wrapText="1"/>
    </xf>
    <xf numFmtId="10" fontId="2" fillId="0" borderId="3" xfId="0" applyNumberFormat="1" applyFont="1" applyFill="1" applyBorder="1" applyAlignment="1">
      <alignment horizontal="center" vertical="center" wrapText="1"/>
    </xf>
    <xf numFmtId="10" fontId="2" fillId="0" borderId="4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5" fillId="0" borderId="2" xfId="0" applyNumberFormat="1" applyFont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10" fontId="4" fillId="0" borderId="1" xfId="8" applyNumberFormat="1" applyFont="1" applyFill="1" applyBorder="1" applyAlignment="1">
      <alignment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43" fontId="0" fillId="0" borderId="1" xfId="0" applyNumberFormat="1" applyFill="1" applyBorder="1">
      <alignment vertical="center"/>
    </xf>
    <xf numFmtId="10" fontId="5" fillId="0" borderId="3" xfId="0" applyNumberFormat="1" applyFont="1" applyBorder="1" applyAlignment="1">
      <alignment horizontal="center" vertical="center" wrapText="1"/>
    </xf>
    <xf numFmtId="10" fontId="5" fillId="0" borderId="4" xfId="0" applyNumberFormat="1" applyFont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8"/>
  <sheetViews>
    <sheetView tabSelected="1" workbookViewId="0">
      <pane xSplit="2" ySplit="4" topLeftCell="L5" activePane="bottomRight" state="frozen"/>
      <selection/>
      <selection pane="topRight"/>
      <selection pane="bottomLeft"/>
      <selection pane="bottomRight" activeCell="S16" sqref="S16"/>
    </sheetView>
  </sheetViews>
  <sheetFormatPr defaultColWidth="9" defaultRowHeight="13.5" outlineLevelRow="7"/>
  <cols>
    <col min="1" max="1" width="6.625" customWidth="1"/>
    <col min="2" max="2" width="6" customWidth="1"/>
    <col min="3" max="3" width="17.25" customWidth="1"/>
    <col min="4" max="4" width="7.5" customWidth="1"/>
    <col min="5" max="7" width="17.25" customWidth="1"/>
    <col min="8" max="8" width="8" customWidth="1"/>
    <col min="9" max="9" width="8.375" style="1" customWidth="1"/>
    <col min="10" max="10" width="13.875" style="2" customWidth="1"/>
    <col min="11" max="11" width="12.5" style="2" customWidth="1"/>
    <col min="12" max="12" width="12.625" style="2" customWidth="1"/>
    <col min="13" max="13" width="16.25" customWidth="1"/>
    <col min="14" max="14" width="14.375" customWidth="1"/>
    <col min="15" max="15" width="16" customWidth="1"/>
    <col min="16" max="16" width="9.75" customWidth="1"/>
    <col min="17" max="17" width="14.625" customWidth="1"/>
    <col min="18" max="18" width="13.5" customWidth="1"/>
    <col min="19" max="19" width="9.625" customWidth="1"/>
    <col min="20" max="20" width="14.625" customWidth="1"/>
    <col min="21" max="21" width="14.375" customWidth="1"/>
    <col min="22" max="22" width="13.125" customWidth="1"/>
  </cols>
  <sheetData>
    <row r="2" ht="70" hidden="1" customHeight="1" spans="1:2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85.5" customHeight="1" spans="1:2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12" t="s">
        <v>9</v>
      </c>
      <c r="J3" s="13"/>
      <c r="K3" s="13"/>
      <c r="L3" s="14"/>
      <c r="M3" s="15" t="s">
        <v>10</v>
      </c>
      <c r="N3" s="16"/>
      <c r="O3" s="17"/>
      <c r="P3" s="18" t="s">
        <v>11</v>
      </c>
      <c r="Q3" s="28"/>
      <c r="R3" s="29"/>
      <c r="S3" s="15" t="s">
        <v>12</v>
      </c>
      <c r="T3" s="16"/>
      <c r="U3" s="16"/>
      <c r="V3" s="17"/>
    </row>
    <row r="4" ht="35.25" customHeight="1" spans="1:22">
      <c r="A4" s="4"/>
      <c r="B4" s="4"/>
      <c r="C4" s="4"/>
      <c r="D4" s="4"/>
      <c r="E4" s="4"/>
      <c r="F4" s="4"/>
      <c r="G4" s="4"/>
      <c r="H4" s="4"/>
      <c r="I4" s="19" t="s">
        <v>13</v>
      </c>
      <c r="J4" s="20" t="s">
        <v>14</v>
      </c>
      <c r="K4" s="20" t="s">
        <v>15</v>
      </c>
      <c r="L4" s="20" t="s">
        <v>16</v>
      </c>
      <c r="M4" s="21" t="s">
        <v>17</v>
      </c>
      <c r="N4" s="21" t="s">
        <v>18</v>
      </c>
      <c r="O4" s="22" t="s">
        <v>19</v>
      </c>
      <c r="P4" s="23" t="s">
        <v>20</v>
      </c>
      <c r="Q4" s="22" t="s">
        <v>21</v>
      </c>
      <c r="R4" s="30" t="s">
        <v>22</v>
      </c>
      <c r="S4" s="22" t="s">
        <v>13</v>
      </c>
      <c r="T4" s="22" t="s">
        <v>14</v>
      </c>
      <c r="U4" s="22" t="s">
        <v>15</v>
      </c>
      <c r="V4" s="22" t="s">
        <v>16</v>
      </c>
    </row>
    <row r="5" ht="30" customHeight="1" spans="1:22">
      <c r="A5" s="5" t="s">
        <v>23</v>
      </c>
      <c r="B5" s="6" t="s">
        <v>24</v>
      </c>
      <c r="C5" s="5">
        <v>1773800</v>
      </c>
      <c r="D5" s="5"/>
      <c r="E5" s="7">
        <f t="shared" ref="E5:E7" si="0">C5+D5</f>
        <v>1773800</v>
      </c>
      <c r="F5" s="7">
        <f>E5/1.1</f>
        <v>1612545.45454545</v>
      </c>
      <c r="G5" s="5">
        <f>F5*0.97</f>
        <v>1564169.09090909</v>
      </c>
      <c r="H5" s="8">
        <f t="shared" ref="H5:H7" si="1">(F5-G5)/F5</f>
        <v>0.0300000000000001</v>
      </c>
      <c r="I5" s="24">
        <v>0</v>
      </c>
      <c r="J5" s="25">
        <v>0</v>
      </c>
      <c r="K5" s="25">
        <v>0</v>
      </c>
      <c r="L5" s="25">
        <f t="shared" ref="L5:L7" si="2">J5-K5</f>
        <v>0</v>
      </c>
      <c r="M5" s="26"/>
      <c r="N5" s="26"/>
      <c r="O5" s="26">
        <f t="shared" ref="O5:O7" si="3">M5+N5</f>
        <v>0</v>
      </c>
      <c r="P5" s="11">
        <f t="shared" ref="P5:P8" si="4">O5/$G5</f>
        <v>0</v>
      </c>
      <c r="Q5" s="26">
        <f t="shared" ref="Q5:Q7" si="5">$F5*P5</f>
        <v>0</v>
      </c>
      <c r="R5" s="26">
        <f t="shared" ref="R5:R7" si="6">Q5-O5</f>
        <v>0</v>
      </c>
      <c r="S5" s="11">
        <f>U5/G5</f>
        <v>0</v>
      </c>
      <c r="T5" s="26">
        <f>J5+Q5</f>
        <v>0</v>
      </c>
      <c r="U5" s="26">
        <f>K5+O5</f>
        <v>0</v>
      </c>
      <c r="V5" s="26">
        <f t="shared" ref="V5:V7" si="7">T5-U5</f>
        <v>0</v>
      </c>
    </row>
    <row r="6" ht="30" customHeight="1" spans="1:22">
      <c r="A6" s="5" t="s">
        <v>25</v>
      </c>
      <c r="B6" s="6"/>
      <c r="C6" s="5">
        <f>9706200+150000</f>
        <v>9856200</v>
      </c>
      <c r="D6" s="5"/>
      <c r="E6" s="7">
        <f t="shared" si="0"/>
        <v>9856200</v>
      </c>
      <c r="F6" s="7">
        <f>E6/1.16</f>
        <v>8496724.13793104</v>
      </c>
      <c r="G6" s="5">
        <f>F6*0.8</f>
        <v>6797379.31034483</v>
      </c>
      <c r="H6" s="8">
        <f t="shared" si="1"/>
        <v>0.2</v>
      </c>
      <c r="I6" s="24">
        <v>0</v>
      </c>
      <c r="J6" s="25">
        <v>0</v>
      </c>
      <c r="K6" s="25">
        <v>0</v>
      </c>
      <c r="L6" s="25">
        <f t="shared" si="2"/>
        <v>0</v>
      </c>
      <c r="M6" s="26">
        <v>4137.93</v>
      </c>
      <c r="N6" s="26">
        <f>2139923.47+1135294.21</f>
        <v>3275217.68</v>
      </c>
      <c r="O6" s="26">
        <f t="shared" si="3"/>
        <v>3279355.61</v>
      </c>
      <c r="P6" s="11">
        <f t="shared" si="4"/>
        <v>0.482444109748179</v>
      </c>
      <c r="Q6" s="26">
        <f>Q8-Q5-Q7</f>
        <v>3963152.43872153</v>
      </c>
      <c r="R6" s="26">
        <f t="shared" si="6"/>
        <v>683796.828721532</v>
      </c>
      <c r="S6" s="11">
        <f>U6/G6</f>
        <v>0.482444109748179</v>
      </c>
      <c r="T6" s="26">
        <f>J6+Q6</f>
        <v>3963152.43872153</v>
      </c>
      <c r="U6" s="26">
        <f>K6+O6</f>
        <v>3279355.61</v>
      </c>
      <c r="V6" s="26">
        <f t="shared" si="7"/>
        <v>683796.828721532</v>
      </c>
    </row>
    <row r="7" ht="30" customHeight="1" spans="1:22">
      <c r="A7" s="5" t="s">
        <v>26</v>
      </c>
      <c r="B7" s="6"/>
      <c r="C7" s="5">
        <v>200000</v>
      </c>
      <c r="D7" s="5"/>
      <c r="E7" s="7">
        <f t="shared" si="0"/>
        <v>200000</v>
      </c>
      <c r="F7" s="7">
        <f>E7/1.06</f>
        <v>188679.245283019</v>
      </c>
      <c r="G7" s="5">
        <f>F7*0.85</f>
        <v>160377.358490566</v>
      </c>
      <c r="H7" s="8">
        <f t="shared" si="1"/>
        <v>0.15</v>
      </c>
      <c r="I7" s="24">
        <v>0</v>
      </c>
      <c r="J7" s="25">
        <v>0</v>
      </c>
      <c r="K7" s="25">
        <v>0</v>
      </c>
      <c r="L7" s="25">
        <f t="shared" si="2"/>
        <v>0</v>
      </c>
      <c r="M7" s="26">
        <v>11223.67</v>
      </c>
      <c r="N7" s="26"/>
      <c r="O7" s="26">
        <f t="shared" si="3"/>
        <v>11223.67</v>
      </c>
      <c r="P7" s="11">
        <f t="shared" si="4"/>
        <v>0.0699828835294118</v>
      </c>
      <c r="Q7" s="26">
        <f t="shared" si="5"/>
        <v>13204.3176470588</v>
      </c>
      <c r="R7" s="26">
        <f t="shared" si="6"/>
        <v>1980.64764705882</v>
      </c>
      <c r="S7" s="11">
        <f>U7/G7</f>
        <v>0.0699828835294118</v>
      </c>
      <c r="T7" s="26">
        <f>J7+Q7</f>
        <v>13204.3176470588</v>
      </c>
      <c r="U7" s="26">
        <f>K7+O7</f>
        <v>11223.67</v>
      </c>
      <c r="V7" s="26">
        <f t="shared" si="7"/>
        <v>1980.64764705882</v>
      </c>
    </row>
    <row r="8" ht="30" customHeight="1" spans="1:25">
      <c r="A8" s="9" t="s">
        <v>27</v>
      </c>
      <c r="B8" s="9"/>
      <c r="C8" s="10">
        <f>SUM(C5:C7)</f>
        <v>11830000</v>
      </c>
      <c r="D8" s="10">
        <f t="shared" ref="D8:O8" si="8">SUM(D5:D7)</f>
        <v>0</v>
      </c>
      <c r="E8" s="10">
        <f t="shared" si="8"/>
        <v>11830000</v>
      </c>
      <c r="F8" s="10">
        <f t="shared" si="8"/>
        <v>10297948.8377595</v>
      </c>
      <c r="G8" s="10">
        <f t="shared" si="8"/>
        <v>8521925.75974449</v>
      </c>
      <c r="H8" s="11">
        <f>1-G8/F8</f>
        <v>0.172463769824033</v>
      </c>
      <c r="I8" s="24">
        <f>K8/G8</f>
        <v>0</v>
      </c>
      <c r="J8" s="27">
        <f t="shared" si="8"/>
        <v>0</v>
      </c>
      <c r="K8" s="27">
        <f t="shared" si="8"/>
        <v>0</v>
      </c>
      <c r="L8" s="27">
        <f t="shared" si="8"/>
        <v>0</v>
      </c>
      <c r="M8" s="10">
        <f t="shared" si="8"/>
        <v>15361.6</v>
      </c>
      <c r="N8" s="10">
        <f t="shared" si="8"/>
        <v>3275217.68</v>
      </c>
      <c r="O8" s="10">
        <f t="shared" si="8"/>
        <v>3290579.28</v>
      </c>
      <c r="P8" s="11">
        <f t="shared" si="4"/>
        <v>0.386130948892315</v>
      </c>
      <c r="Q8" s="10">
        <f>O8/(1-$H$8)</f>
        <v>3976356.75636859</v>
      </c>
      <c r="R8" s="10">
        <f>SUM(R5:R7)</f>
        <v>685777.476368591</v>
      </c>
      <c r="S8" s="11">
        <f>U8/G8</f>
        <v>0.386130948892315</v>
      </c>
      <c r="T8" s="10">
        <f>SUM(T5:T7)</f>
        <v>3976356.75636859</v>
      </c>
      <c r="U8" s="10">
        <f>SUM(U5:U7)</f>
        <v>3290579.28</v>
      </c>
      <c r="V8" s="10">
        <f>SUM(V5:V7)</f>
        <v>685777.476368591</v>
      </c>
      <c r="X8">
        <f>U8/(1-H8)</f>
        <v>3976356.75636859</v>
      </c>
      <c r="Y8">
        <f>T8-X8</f>
        <v>0</v>
      </c>
    </row>
  </sheetData>
  <mergeCells count="15">
    <mergeCell ref="A2:V2"/>
    <mergeCell ref="I3:L3"/>
    <mergeCell ref="M3:O3"/>
    <mergeCell ref="P3:R3"/>
    <mergeCell ref="S3:V3"/>
    <mergeCell ref="A8:B8"/>
    <mergeCell ref="A3:A4"/>
    <mergeCell ref="B3:B4"/>
    <mergeCell ref="B5:B7"/>
    <mergeCell ref="C3:C4"/>
    <mergeCell ref="D3:D4"/>
    <mergeCell ref="E3:E4"/>
    <mergeCell ref="F3:F4"/>
    <mergeCell ref="G3:G4"/>
    <mergeCell ref="H3:H4"/>
  </mergeCells>
  <printOptions horizontalCentered="1"/>
  <pageMargins left="0.0784722222222222" right="0" top="1.53541666666667" bottom="0.751388888888889" header="0.944444444444444" footer="0.298611111111111"/>
  <pageSetup paperSize="9" orientation="landscape" horizontalDpi="600"/>
  <headerFooter>
    <oddHeader>&amp;C&amp;22&amp;B六安市垃圾填埋场渗滤液应急处理工程收入、成本、毛利确认表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6月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dcterms:created xsi:type="dcterms:W3CDTF">2017-06-27T03:16:00Z</dcterms:created>
  <dcterms:modified xsi:type="dcterms:W3CDTF">2018-07-01T06:35:50Z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