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0500"/>
  </bookViews>
  <sheets>
    <sheet name="6月" sheetId="1" r:id="rId1"/>
    <sheet name="Sheet2" sheetId="2" r:id="rId2"/>
    <sheet name="Sheet3" sheetId="3" r:id="rId3"/>
  </sheets>
  <definedNames>
    <definedName name="_xlnm.Print_Titles" localSheetId="0">'6月'!$A:$B</definedName>
  </definedNames>
  <calcPr calcId="145621"/>
</workbook>
</file>

<file path=xl/calcChain.xml><?xml version="1.0" encoding="utf-8"?>
<calcChain xmlns="http://schemas.openxmlformats.org/spreadsheetml/2006/main">
  <c r="V8" i="1"/>
  <c r="S8"/>
  <c r="R8"/>
  <c r="P8"/>
  <c r="O8"/>
  <c r="M8"/>
  <c r="L8"/>
  <c r="J8"/>
  <c r="I8"/>
  <c r="D8"/>
  <c r="C8"/>
  <c r="W7"/>
  <c r="T7"/>
  <c r="Q7"/>
  <c r="N7"/>
  <c r="K7"/>
  <c r="E7"/>
  <c r="F7" s="1"/>
  <c r="U6"/>
  <c r="U8" s="1"/>
  <c r="T6"/>
  <c r="T8" s="1"/>
  <c r="Q6"/>
  <c r="N6"/>
  <c r="K6"/>
  <c r="E6"/>
  <c r="F6" s="1"/>
  <c r="W5"/>
  <c r="T5"/>
  <c r="Q5"/>
  <c r="Q8" s="1"/>
  <c r="N5"/>
  <c r="K5"/>
  <c r="E5"/>
  <c r="E8" l="1"/>
  <c r="AO7"/>
  <c r="AM7" s="1"/>
  <c r="F5"/>
  <c r="N8"/>
  <c r="W6"/>
  <c r="W8" s="1"/>
  <c r="K8"/>
  <c r="G7"/>
  <c r="H7" s="1"/>
  <c r="AR7" s="1"/>
  <c r="AG7"/>
  <c r="AH7" s="1"/>
  <c r="AI7" s="1"/>
  <c r="G6"/>
  <c r="X6" s="1"/>
  <c r="Y6" s="1"/>
  <c r="AO5"/>
  <c r="F8"/>
  <c r="G5"/>
  <c r="X5" s="1"/>
  <c r="Y5" s="1"/>
  <c r="AA7" l="1"/>
  <c r="AB7" s="1"/>
  <c r="AC7" s="1"/>
  <c r="AJ6"/>
  <c r="AK6" s="1"/>
  <c r="AL6" s="1"/>
  <c r="AO6"/>
  <c r="Z5"/>
  <c r="Z6"/>
  <c r="G8"/>
  <c r="AG5"/>
  <c r="AH5" s="1"/>
  <c r="AA5"/>
  <c r="AB5" s="1"/>
  <c r="AG6"/>
  <c r="AH6" s="1"/>
  <c r="AI6" s="1"/>
  <c r="H5"/>
  <c r="AR5" s="1"/>
  <c r="AM6"/>
  <c r="AM5"/>
  <c r="AO8"/>
  <c r="AM8" s="1"/>
  <c r="H6"/>
  <c r="AR6" s="1"/>
  <c r="AJ7"/>
  <c r="AK7" s="1"/>
  <c r="AL7" s="1"/>
  <c r="X7"/>
  <c r="Y7" s="1"/>
  <c r="AD7"/>
  <c r="AE7" s="1"/>
  <c r="AF7" s="1"/>
  <c r="AJ5"/>
  <c r="AK5" s="1"/>
  <c r="AA6"/>
  <c r="AB6" s="1"/>
  <c r="AC6" s="1"/>
  <c r="AD5"/>
  <c r="AE5" s="1"/>
  <c r="AD6"/>
  <c r="AE6" s="1"/>
  <c r="AF6" s="1"/>
  <c r="AN6" l="1"/>
  <c r="AR8"/>
  <c r="AK8"/>
  <c r="AL5"/>
  <c r="AL8" s="1"/>
  <c r="AS6"/>
  <c r="AP6"/>
  <c r="AH8"/>
  <c r="AI5"/>
  <c r="AI8" s="1"/>
  <c r="AB8"/>
  <c r="AC5"/>
  <c r="AC8" s="1"/>
  <c r="AE8"/>
  <c r="AF5"/>
  <c r="AF8" s="1"/>
  <c r="AN7"/>
  <c r="Z7"/>
  <c r="Z8" s="1"/>
  <c r="H8"/>
  <c r="X8"/>
  <c r="AD8"/>
  <c r="AJ8"/>
  <c r="AG8"/>
  <c r="AA8"/>
  <c r="Y8"/>
  <c r="AN5"/>
  <c r="AS7" l="1"/>
  <c r="AP7"/>
  <c r="AS5"/>
  <c r="AP5"/>
  <c r="AP8" s="1"/>
  <c r="AN8"/>
  <c r="AS8" l="1"/>
</calcChain>
</file>

<file path=xl/sharedStrings.xml><?xml version="1.0" encoding="utf-8"?>
<sst xmlns="http://schemas.openxmlformats.org/spreadsheetml/2006/main" count="59" uniqueCount="35">
  <si>
    <t>安庆皖能渗滤液项目收入、成本、毛利确认表</t>
  </si>
  <si>
    <t>收入类别</t>
  </si>
  <si>
    <t>性能测试合格时间</t>
  </si>
  <si>
    <t>合同总价款（最初）</t>
  </si>
  <si>
    <t>合同洽商变更价款（过程中合计）</t>
  </si>
  <si>
    <t>最新合同价款/完工项目结算价款合计</t>
  </si>
  <si>
    <t>最新合同价款/完工项目结算价款（不含税）</t>
  </si>
  <si>
    <t>最新预算总成本/完工项目实际成本（不含税）</t>
  </si>
  <si>
    <t>预算毛利率</t>
  </si>
  <si>
    <t>7-8月实际成本</t>
  </si>
  <si>
    <t>9月实际成本</t>
  </si>
  <si>
    <t>10月实际成本</t>
  </si>
  <si>
    <t>11月实际成本</t>
  </si>
  <si>
    <t>12月实际成本</t>
  </si>
  <si>
    <t>7-8月工程进度及收入、毛利</t>
  </si>
  <si>
    <t>9月工程进度及收入、毛利</t>
  </si>
  <si>
    <t>10月工程进度及收入、毛利</t>
  </si>
  <si>
    <t>11月工程进度及收入、毛利</t>
  </si>
  <si>
    <t>12月工程进度及收入、毛利</t>
  </si>
  <si>
    <t>止2017.12.31累计</t>
  </si>
  <si>
    <t>合同进度</t>
  </si>
  <si>
    <t>合同收入</t>
  </si>
  <si>
    <t>合同成本</t>
  </si>
  <si>
    <t>合同毛利</t>
  </si>
  <si>
    <t>工程施工合同成本（540101）</t>
  </si>
  <si>
    <t>膜系统生产成本（500103）</t>
  </si>
  <si>
    <t>小计</t>
  </si>
  <si>
    <t>本月进度</t>
  </si>
  <si>
    <t>本月收入</t>
  </si>
  <si>
    <t>本月毛利</t>
  </si>
  <si>
    <t>建安</t>
  </si>
  <si>
    <t>无</t>
  </si>
  <si>
    <t>设备</t>
  </si>
  <si>
    <t>设计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</si>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</sst>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 "/>
    <numFmt numFmtId="177" formatCode="_ * #,##0_ ;_ * \-#,##0_ ;_ * &quot;-&quot;??_ ;_ @_ "/>
    <numFmt numFmtId="178" formatCode="#,##0.00_ "/>
  </numFmts>
  <fonts count="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rgb="FF000000"/>
      <name val="Arial Unicode MS"/>
      <charset val="134"/>
    </font>
    <font>
      <sz val="11"/>
      <name val="Arial Unicode MS"/>
      <charset val="134"/>
    </font>
    <font>
      <sz val="11"/>
      <color theme="1"/>
      <name val="Arial Unicode MS"/>
      <charset val="134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43" fontId="3" fillId="0" borderId="1" xfId="1" applyFont="1" applyFill="1" applyBorder="1" applyAlignment="1">
      <alignment vertical="center"/>
    </xf>
    <xf numFmtId="178" fontId="4" fillId="0" borderId="1" xfId="1" applyNumberFormat="1" applyFont="1" applyFill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43" fontId="0" fillId="0" borderId="1" xfId="0" applyNumberForma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4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10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S8"/>
  <sheetViews>
    <sheetView tabSelected="1" workbookViewId="0">
      <selection activeCell="G14" sqref="G14"/>
    </sheetView>
  </sheetViews>
  <sheetFormatPr defaultColWidth="9" defaultRowHeight="13.5"/>
  <cols>
    <col min="1" max="1" width="6.625" customWidth="1"/>
    <col min="2" max="2" width="6" customWidth="1"/>
    <col min="3" max="3" width="17.25" customWidth="1"/>
    <col min="4" max="4" width="7.5" customWidth="1"/>
    <col min="5" max="7" width="17.25" customWidth="1"/>
    <col min="8" max="8" width="8" customWidth="1"/>
    <col min="9" max="9" width="16.25" hidden="1" customWidth="1"/>
    <col min="10" max="10" width="14.375" hidden="1" customWidth="1"/>
    <col min="11" max="11" width="12.5" hidden="1" customWidth="1"/>
    <col min="12" max="12" width="16.25" hidden="1" customWidth="1"/>
    <col min="13" max="13" width="14.375" hidden="1" customWidth="1"/>
    <col min="14" max="14" width="15" hidden="1" customWidth="1"/>
    <col min="15" max="15" width="16.25" hidden="1" customWidth="1"/>
    <col min="16" max="16" width="14.375" hidden="1" customWidth="1"/>
    <col min="17" max="17" width="15" hidden="1" customWidth="1"/>
    <col min="18" max="18" width="16.25" hidden="1" customWidth="1"/>
    <col min="19" max="19" width="14.375" hidden="1" customWidth="1"/>
    <col min="20" max="20" width="15" hidden="1" customWidth="1"/>
    <col min="21" max="21" width="16.25" customWidth="1"/>
    <col min="22" max="22" width="14.375" customWidth="1"/>
    <col min="23" max="23" width="15" customWidth="1"/>
    <col min="24" max="24" width="9.75" hidden="1" customWidth="1"/>
    <col min="25" max="25" width="14.625" hidden="1" customWidth="1"/>
    <col min="26" max="26" width="13.5" hidden="1" customWidth="1"/>
    <col min="27" max="27" width="9.75" hidden="1" customWidth="1"/>
    <col min="28" max="28" width="14.625" hidden="1" customWidth="1"/>
    <col min="29" max="29" width="13.5" hidden="1" customWidth="1"/>
    <col min="30" max="30" width="9.75" hidden="1" customWidth="1"/>
    <col min="31" max="31" width="14.625" hidden="1" customWidth="1"/>
    <col min="32" max="32" width="13.5" hidden="1" customWidth="1"/>
    <col min="33" max="33" width="9.75" hidden="1" customWidth="1"/>
    <col min="34" max="34" width="14.625" hidden="1" customWidth="1"/>
    <col min="35" max="35" width="13.5" hidden="1" customWidth="1"/>
    <col min="36" max="36" width="9.75" customWidth="1"/>
    <col min="37" max="37" width="14.625" customWidth="1"/>
    <col min="38" max="38" width="13.5" customWidth="1"/>
    <col min="39" max="39" width="8.75" customWidth="1"/>
    <col min="40" max="41" width="14.375" customWidth="1"/>
    <col min="42" max="42" width="14.75" customWidth="1"/>
    <col min="44" max="45" width="12.625" style="1"/>
  </cols>
  <sheetData>
    <row r="2" spans="1:45" ht="69.95" customHeight="1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5" ht="85.5" customHeight="1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7" t="s">
        <v>9</v>
      </c>
      <c r="J3" s="18"/>
      <c r="K3" s="19"/>
      <c r="L3" s="17" t="s">
        <v>10</v>
      </c>
      <c r="M3" s="18"/>
      <c r="N3" s="19"/>
      <c r="O3" s="17" t="s">
        <v>11</v>
      </c>
      <c r="P3" s="18"/>
      <c r="Q3" s="19"/>
      <c r="R3" s="17" t="s">
        <v>12</v>
      </c>
      <c r="S3" s="18"/>
      <c r="T3" s="19"/>
      <c r="U3" s="17" t="s">
        <v>13</v>
      </c>
      <c r="V3" s="18"/>
      <c r="W3" s="19"/>
      <c r="X3" s="20" t="s">
        <v>14</v>
      </c>
      <c r="Y3" s="21"/>
      <c r="Z3" s="22"/>
      <c r="AA3" s="20" t="s">
        <v>15</v>
      </c>
      <c r="AB3" s="21"/>
      <c r="AC3" s="22"/>
      <c r="AD3" s="20" t="s">
        <v>16</v>
      </c>
      <c r="AE3" s="21"/>
      <c r="AF3" s="22"/>
      <c r="AG3" s="20" t="s">
        <v>17</v>
      </c>
      <c r="AH3" s="21"/>
      <c r="AI3" s="22"/>
      <c r="AJ3" s="20" t="s">
        <v>18</v>
      </c>
      <c r="AK3" s="21"/>
      <c r="AL3" s="22"/>
      <c r="AM3" s="17" t="s">
        <v>19</v>
      </c>
      <c r="AN3" s="18"/>
      <c r="AO3" s="18"/>
      <c r="AP3" s="19"/>
    </row>
    <row r="4" spans="1:45" ht="35.25" customHeight="1">
      <c r="A4" s="13"/>
      <c r="B4" s="13"/>
      <c r="C4" s="13"/>
      <c r="D4" s="13"/>
      <c r="E4" s="13"/>
      <c r="F4" s="13"/>
      <c r="G4" s="13"/>
      <c r="H4" s="13"/>
      <c r="I4" s="6" t="s">
        <v>24</v>
      </c>
      <c r="J4" s="6" t="s">
        <v>25</v>
      </c>
      <c r="K4" s="7" t="s">
        <v>26</v>
      </c>
      <c r="L4" s="6" t="s">
        <v>24</v>
      </c>
      <c r="M4" s="6" t="s">
        <v>25</v>
      </c>
      <c r="N4" s="7" t="s">
        <v>26</v>
      </c>
      <c r="O4" s="6" t="s">
        <v>24</v>
      </c>
      <c r="P4" s="6" t="s">
        <v>25</v>
      </c>
      <c r="Q4" s="7" t="s">
        <v>26</v>
      </c>
      <c r="R4" s="6" t="s">
        <v>24</v>
      </c>
      <c r="S4" s="6" t="s">
        <v>25</v>
      </c>
      <c r="T4" s="7" t="s">
        <v>26</v>
      </c>
      <c r="U4" s="6" t="s">
        <v>24</v>
      </c>
      <c r="V4" s="6" t="s">
        <v>25</v>
      </c>
      <c r="W4" s="7" t="s">
        <v>26</v>
      </c>
      <c r="X4" s="10" t="s">
        <v>27</v>
      </c>
      <c r="Y4" s="7" t="s">
        <v>28</v>
      </c>
      <c r="Z4" s="11" t="s">
        <v>29</v>
      </c>
      <c r="AA4" s="10" t="s">
        <v>27</v>
      </c>
      <c r="AB4" s="7" t="s">
        <v>28</v>
      </c>
      <c r="AC4" s="11" t="s">
        <v>29</v>
      </c>
      <c r="AD4" s="10" t="s">
        <v>27</v>
      </c>
      <c r="AE4" s="7" t="s">
        <v>28</v>
      </c>
      <c r="AF4" s="11" t="s">
        <v>29</v>
      </c>
      <c r="AG4" s="10" t="s">
        <v>27</v>
      </c>
      <c r="AH4" s="7" t="s">
        <v>28</v>
      </c>
      <c r="AI4" s="11" t="s">
        <v>29</v>
      </c>
      <c r="AJ4" s="10" t="s">
        <v>27</v>
      </c>
      <c r="AK4" s="7" t="s">
        <v>28</v>
      </c>
      <c r="AL4" s="11" t="s">
        <v>29</v>
      </c>
      <c r="AM4" s="7" t="s">
        <v>20</v>
      </c>
      <c r="AN4" s="7" t="s">
        <v>21</v>
      </c>
      <c r="AO4" s="7" t="s">
        <v>22</v>
      </c>
      <c r="AP4" s="7" t="s">
        <v>23</v>
      </c>
    </row>
    <row r="5" spans="1:45" ht="30" customHeight="1">
      <c r="A5" s="2" t="s">
        <v>30</v>
      </c>
      <c r="B5" s="15" t="s">
        <v>31</v>
      </c>
      <c r="C5" s="2">
        <v>7173509</v>
      </c>
      <c r="D5" s="2"/>
      <c r="E5" s="3">
        <f t="shared" ref="E5:E7" si="0">C5+D5</f>
        <v>7173509</v>
      </c>
      <c r="F5" s="3">
        <f>E5/1.11</f>
        <v>6462620.7207207205</v>
      </c>
      <c r="G5" s="2">
        <f>F5*0.9</f>
        <v>5816358.6486486485</v>
      </c>
      <c r="H5" s="4">
        <f t="shared" ref="H5:H7" si="1">(F5-G5)/F5</f>
        <v>9.9999999999999992E-2</v>
      </c>
      <c r="I5" s="8"/>
      <c r="J5" s="8"/>
      <c r="K5" s="8">
        <f t="shared" ref="K5:K7" si="2">I5+J5</f>
        <v>0</v>
      </c>
      <c r="L5" s="8">
        <v>1126126.1299999999</v>
      </c>
      <c r="M5" s="8"/>
      <c r="N5" s="8">
        <f t="shared" ref="N5:N7" si="3">L5+M5</f>
        <v>1126126.1299999999</v>
      </c>
      <c r="O5" s="9">
        <v>1113387.81</v>
      </c>
      <c r="P5" s="8"/>
      <c r="Q5" s="8">
        <f t="shared" ref="Q5:Q7" si="4">O5+P5</f>
        <v>1113387.81</v>
      </c>
      <c r="R5" s="9">
        <v>942472.5</v>
      </c>
      <c r="S5" s="8"/>
      <c r="T5" s="8">
        <f t="shared" ref="T5:T7" si="5">R5+S5</f>
        <v>942472.5</v>
      </c>
      <c r="U5" s="9">
        <v>974238.45</v>
      </c>
      <c r="V5" s="8"/>
      <c r="W5" s="8">
        <f t="shared" ref="W5:W7" si="6">U5+V5</f>
        <v>974238.45</v>
      </c>
      <c r="X5" s="12">
        <f t="shared" ref="X5:X8" si="7">K5/$G5</f>
        <v>0</v>
      </c>
      <c r="Y5" s="8">
        <f t="shared" ref="Y5:Y7" si="8">$F5*X5</f>
        <v>0</v>
      </c>
      <c r="Z5" s="8">
        <f t="shared" ref="Z5:Z7" si="9">Y5-K5</f>
        <v>0</v>
      </c>
      <c r="AA5" s="12">
        <f t="shared" ref="AA5:AA8" si="10">N5/$G5</f>
        <v>0.19361359882125562</v>
      </c>
      <c r="AB5" s="8">
        <f t="shared" ref="AB5:AB7" si="11">$F5*AA5</f>
        <v>1251251.2555555555</v>
      </c>
      <c r="AC5" s="8">
        <f t="shared" ref="AC5:AC7" si="12">AB5-N5</f>
        <v>125125.12555555557</v>
      </c>
      <c r="AD5" s="12">
        <f t="shared" ref="AD5:AD8" si="13">Q5/$G5</f>
        <v>0.19142351379220407</v>
      </c>
      <c r="AE5" s="8">
        <f t="shared" ref="AE5:AE7" si="14">$F5*AD5</f>
        <v>1237097.5666666667</v>
      </c>
      <c r="AF5" s="8">
        <f t="shared" ref="AF5:AF7" si="15">AE5-Q5</f>
        <v>123709.7566666666</v>
      </c>
      <c r="AG5" s="12">
        <f t="shared" ref="AG5:AG8" si="16">T5/$G5</f>
        <v>0.16203823679596693</v>
      </c>
      <c r="AH5" s="8">
        <f t="shared" ref="AH5:AH7" si="17">$F5*AG5</f>
        <v>1047191.6666666666</v>
      </c>
      <c r="AI5" s="8">
        <f t="shared" ref="AI5:AI7" si="18">AH5-T5</f>
        <v>104719.16666666663</v>
      </c>
      <c r="AJ5" s="12">
        <f t="shared" ref="AJ5:AJ8" si="19">W5/$G5</f>
        <v>0.16749972084791417</v>
      </c>
      <c r="AK5" s="8">
        <f t="shared" ref="AK5:AK6" si="20">$F5*AJ5</f>
        <v>1082487.1666666665</v>
      </c>
      <c r="AL5" s="8">
        <f t="shared" ref="AL5:AL7" si="21">AK5-W5</f>
        <v>108248.71666666656</v>
      </c>
      <c r="AM5" s="12" t="e">
        <f>AO5/G5</f>
        <v>#REF!</v>
      </c>
      <c r="AN5" s="8" t="e">
        <f>#REF!+Y5+AB5+AE5+0.01+AH5+AK5</f>
        <v>#REF!</v>
      </c>
      <c r="AO5" s="8" t="e">
        <f>#REF!+K5+N5+Q5+T5+W5</f>
        <v>#REF!</v>
      </c>
      <c r="AP5" s="8" t="e">
        <f t="shared" ref="AP5:AP7" si="22">AN5-AO5</f>
        <v>#REF!</v>
      </c>
      <c r="AR5" s="1" t="e">
        <f>AO5/(1-H5)</f>
        <v>#REF!</v>
      </c>
      <c r="AS5" s="1" t="e">
        <f>AN5-AR5</f>
        <v>#REF!</v>
      </c>
    </row>
    <row r="6" spans="1:45" ht="30" customHeight="1">
      <c r="A6" s="2" t="s">
        <v>32</v>
      </c>
      <c r="B6" s="15"/>
      <c r="C6" s="2">
        <v>9857771</v>
      </c>
      <c r="D6" s="2"/>
      <c r="E6" s="3">
        <f t="shared" si="0"/>
        <v>9857771</v>
      </c>
      <c r="F6" s="3">
        <f>E6/1.17</f>
        <v>8425445.2991452999</v>
      </c>
      <c r="G6" s="2">
        <f>F6*0.75</f>
        <v>6319083.974358975</v>
      </c>
      <c r="H6" s="4">
        <f t="shared" si="1"/>
        <v>0.25</v>
      </c>
      <c r="I6" s="8">
        <v>15897.44</v>
      </c>
      <c r="J6" s="8"/>
      <c r="K6" s="8">
        <f t="shared" si="2"/>
        <v>15897.44</v>
      </c>
      <c r="L6" s="8">
        <v>4786.32</v>
      </c>
      <c r="M6" s="8"/>
      <c r="N6" s="8">
        <f t="shared" si="3"/>
        <v>4786.32</v>
      </c>
      <c r="O6" s="9">
        <v>27350.43</v>
      </c>
      <c r="P6" s="8"/>
      <c r="Q6" s="8">
        <f t="shared" si="4"/>
        <v>27350.43</v>
      </c>
      <c r="R6" s="9">
        <v>460388.89</v>
      </c>
      <c r="S6" s="8">
        <v>1281522.06</v>
      </c>
      <c r="T6" s="8">
        <f t="shared" si="5"/>
        <v>1741910.9500000002</v>
      </c>
      <c r="U6" s="9">
        <f>1164170.94+456082.74</f>
        <v>1620253.68</v>
      </c>
      <c r="V6" s="8"/>
      <c r="W6" s="8">
        <f t="shared" si="6"/>
        <v>1620253.68</v>
      </c>
      <c r="X6" s="12">
        <f t="shared" si="7"/>
        <v>2.5157823609414337E-3</v>
      </c>
      <c r="Y6" s="8">
        <f t="shared" si="8"/>
        <v>21196.586666666666</v>
      </c>
      <c r="Z6" s="8">
        <f t="shared" si="9"/>
        <v>5299.1466666666656</v>
      </c>
      <c r="AA6" s="12">
        <f t="shared" si="10"/>
        <v>7.5743889769806978E-4</v>
      </c>
      <c r="AB6" s="8">
        <f t="shared" si="11"/>
        <v>6381.7599999999993</v>
      </c>
      <c r="AC6" s="8">
        <f t="shared" si="12"/>
        <v>1595.4399999999996</v>
      </c>
      <c r="AD6" s="12">
        <f t="shared" si="13"/>
        <v>4.3282270200839515E-3</v>
      </c>
      <c r="AE6" s="8">
        <f t="shared" si="14"/>
        <v>36467.24</v>
      </c>
      <c r="AF6" s="8">
        <f t="shared" si="15"/>
        <v>9116.8099999999977</v>
      </c>
      <c r="AG6" s="12">
        <f t="shared" si="16"/>
        <v>0.27565877539658812</v>
      </c>
      <c r="AH6" s="8">
        <f t="shared" si="17"/>
        <v>2322547.9333333336</v>
      </c>
      <c r="AI6" s="8">
        <f t="shared" si="18"/>
        <v>580636.9833333334</v>
      </c>
      <c r="AJ6" s="12">
        <f t="shared" si="19"/>
        <v>0.25640641690702692</v>
      </c>
      <c r="AK6" s="8">
        <f t="shared" si="20"/>
        <v>2160338.2399999998</v>
      </c>
      <c r="AL6" s="8">
        <f t="shared" si="21"/>
        <v>540084.55999999982</v>
      </c>
      <c r="AM6" s="12" t="e">
        <f>AO6/G6</f>
        <v>#REF!</v>
      </c>
      <c r="AN6" s="8" t="e">
        <f>#REF!+Y6+AB6+AE6+AH6+AK6</f>
        <v>#REF!</v>
      </c>
      <c r="AO6" s="8" t="e">
        <f>#REF!+K6+N6+Q6+T6+W6</f>
        <v>#REF!</v>
      </c>
      <c r="AP6" s="8" t="e">
        <f t="shared" si="22"/>
        <v>#REF!</v>
      </c>
      <c r="AR6" s="1" t="e">
        <f>AO6/(1-H6)</f>
        <v>#REF!</v>
      </c>
      <c r="AS6" s="1" t="e">
        <f>AN6-AR6</f>
        <v>#REF!</v>
      </c>
    </row>
    <row r="7" spans="1:45" ht="30" customHeight="1">
      <c r="A7" s="2" t="s">
        <v>33</v>
      </c>
      <c r="B7" s="15"/>
      <c r="C7" s="2">
        <v>272402</v>
      </c>
      <c r="D7" s="2"/>
      <c r="E7" s="3">
        <f t="shared" si="0"/>
        <v>272402</v>
      </c>
      <c r="F7" s="3">
        <f>E7/1.06</f>
        <v>256983.01886792452</v>
      </c>
      <c r="G7" s="2">
        <f>F7*0.7</f>
        <v>179888.11320754714</v>
      </c>
      <c r="H7" s="4">
        <f t="shared" si="1"/>
        <v>0.3000000000000001</v>
      </c>
      <c r="I7" s="8">
        <v>17928.810000000001</v>
      </c>
      <c r="J7" s="8"/>
      <c r="K7" s="8">
        <f t="shared" si="2"/>
        <v>17928.810000000001</v>
      </c>
      <c r="L7" s="8">
        <v>35297.440000000002</v>
      </c>
      <c r="M7" s="8"/>
      <c r="N7" s="8">
        <f t="shared" si="3"/>
        <v>35297.440000000002</v>
      </c>
      <c r="O7" s="8">
        <v>55900.35</v>
      </c>
      <c r="P7" s="8"/>
      <c r="Q7" s="8">
        <f t="shared" si="4"/>
        <v>55900.35</v>
      </c>
      <c r="R7" s="8">
        <v>50204.7</v>
      </c>
      <c r="S7" s="8"/>
      <c r="T7" s="8">
        <f t="shared" si="5"/>
        <v>50204.7</v>
      </c>
      <c r="U7" s="8">
        <v>20556.810000000001</v>
      </c>
      <c r="V7" s="8"/>
      <c r="W7" s="8">
        <f t="shared" si="6"/>
        <v>20556.810000000001</v>
      </c>
      <c r="X7" s="12">
        <f t="shared" si="7"/>
        <v>9.9666451997940039E-2</v>
      </c>
      <c r="Y7" s="8">
        <f t="shared" si="8"/>
        <v>25612.585714285717</v>
      </c>
      <c r="Z7" s="8">
        <f t="shared" si="9"/>
        <v>7683.7757142857154</v>
      </c>
      <c r="AA7" s="12">
        <f t="shared" si="10"/>
        <v>0.19621885721418034</v>
      </c>
      <c r="AB7" s="8">
        <f t="shared" si="11"/>
        <v>50424.914285714294</v>
      </c>
      <c r="AC7" s="8">
        <f t="shared" si="12"/>
        <v>15127.474285714292</v>
      </c>
      <c r="AD7" s="12">
        <f t="shared" si="13"/>
        <v>0.31075066052588246</v>
      </c>
      <c r="AE7" s="8">
        <f t="shared" si="14"/>
        <v>79857.642857142855</v>
      </c>
      <c r="AF7" s="8">
        <f t="shared" si="15"/>
        <v>23957.292857142857</v>
      </c>
      <c r="AG7" s="12">
        <f t="shared" si="16"/>
        <v>0.27908847952658206</v>
      </c>
      <c r="AH7" s="8">
        <f t="shared" si="17"/>
        <v>71721</v>
      </c>
      <c r="AI7" s="8">
        <f t="shared" si="18"/>
        <v>21516.300000000003</v>
      </c>
      <c r="AJ7" s="12">
        <f>W7/$G7</f>
        <v>0.11427553290462523</v>
      </c>
      <c r="AK7" s="8">
        <f>$F7*AJ7+0.01</f>
        <v>29366.881428571432</v>
      </c>
      <c r="AL7" s="8">
        <f t="shared" si="21"/>
        <v>8810.0714285714312</v>
      </c>
      <c r="AM7" s="12" t="e">
        <f>AO7/G7</f>
        <v>#REF!</v>
      </c>
      <c r="AN7" s="8" t="e">
        <f>#REF!+Y7+AB7+AE7+AH7+AK7</f>
        <v>#REF!</v>
      </c>
      <c r="AO7" s="8" t="e">
        <f>#REF!+K7+N7+Q7+T7+W7</f>
        <v>#REF!</v>
      </c>
      <c r="AP7" s="8" t="e">
        <f t="shared" si="22"/>
        <v>#REF!</v>
      </c>
      <c r="AR7" s="1" t="e">
        <f>AO7/(1-H7)</f>
        <v>#REF!</v>
      </c>
      <c r="AS7" s="1" t="e">
        <f>AN7-AR7</f>
        <v>#REF!</v>
      </c>
    </row>
    <row r="8" spans="1:45" ht="30" customHeight="1">
      <c r="A8" s="14" t="s">
        <v>34</v>
      </c>
      <c r="B8" s="14"/>
      <c r="C8" s="5">
        <f>SUM(C5:C7)</f>
        <v>17303682</v>
      </c>
      <c r="D8" s="5">
        <f t="shared" ref="D8:W8" si="23">SUM(D5:D7)</f>
        <v>0</v>
      </c>
      <c r="E8" s="5">
        <f t="shared" si="23"/>
        <v>17303682</v>
      </c>
      <c r="F8" s="5">
        <f t="shared" si="23"/>
        <v>15145049.038733944</v>
      </c>
      <c r="G8" s="5">
        <f t="shared" si="23"/>
        <v>12315330.73621517</v>
      </c>
      <c r="H8" s="4">
        <f>1-G8/F8</f>
        <v>0.18684114493665083</v>
      </c>
      <c r="I8" s="5">
        <f t="shared" si="23"/>
        <v>33826.25</v>
      </c>
      <c r="J8" s="5">
        <f t="shared" si="23"/>
        <v>0</v>
      </c>
      <c r="K8" s="5">
        <f t="shared" si="23"/>
        <v>33826.25</v>
      </c>
      <c r="L8" s="5">
        <f t="shared" si="23"/>
        <v>1166209.8899999999</v>
      </c>
      <c r="M8" s="5">
        <f t="shared" si="23"/>
        <v>0</v>
      </c>
      <c r="N8" s="5">
        <f t="shared" si="23"/>
        <v>1166209.8899999999</v>
      </c>
      <c r="O8" s="5">
        <f t="shared" si="23"/>
        <v>1196638.5900000001</v>
      </c>
      <c r="P8" s="5">
        <f t="shared" si="23"/>
        <v>0</v>
      </c>
      <c r="Q8" s="5">
        <f t="shared" si="23"/>
        <v>1196638.5900000001</v>
      </c>
      <c r="R8" s="5">
        <f t="shared" si="23"/>
        <v>1453066.09</v>
      </c>
      <c r="S8" s="5">
        <f t="shared" si="23"/>
        <v>1281522.06</v>
      </c>
      <c r="T8" s="5">
        <f t="shared" si="23"/>
        <v>2734588.1500000004</v>
      </c>
      <c r="U8" s="5">
        <f t="shared" si="23"/>
        <v>2615048.94</v>
      </c>
      <c r="V8" s="5">
        <f t="shared" si="23"/>
        <v>0</v>
      </c>
      <c r="W8" s="5">
        <f t="shared" si="23"/>
        <v>2615048.94</v>
      </c>
      <c r="X8" s="12">
        <f t="shared" si="7"/>
        <v>2.7466781627332655E-3</v>
      </c>
      <c r="Y8" s="5">
        <f t="shared" ref="Y8:Z8" si="24">SUM(Y5:Y7)+0.01</f>
        <v>46809.182380952385</v>
      </c>
      <c r="Z8" s="5">
        <f t="shared" si="24"/>
        <v>12982.932380952381</v>
      </c>
      <c r="AA8" s="12">
        <f t="shared" si="10"/>
        <v>9.4695783246045995E-2</v>
      </c>
      <c r="AB8" s="5">
        <f t="shared" ref="AB8:AF8" si="25">SUM(AB5:AB7)</f>
        <v>1308057.9298412697</v>
      </c>
      <c r="AC8" s="5">
        <f t="shared" si="25"/>
        <v>141848.03984126987</v>
      </c>
      <c r="AD8" s="12">
        <f t="shared" si="13"/>
        <v>9.7166581688390694E-2</v>
      </c>
      <c r="AE8" s="5">
        <f t="shared" si="25"/>
        <v>1353422.4495238096</v>
      </c>
      <c r="AF8" s="5">
        <f t="shared" si="25"/>
        <v>156783.85952380946</v>
      </c>
      <c r="AG8" s="12">
        <f t="shared" si="16"/>
        <v>0.22204747956614052</v>
      </c>
      <c r="AH8" s="5">
        <f t="shared" ref="AH8:AL8" si="26">SUM(AH5:AH7)</f>
        <v>3441460.6</v>
      </c>
      <c r="AI8" s="5">
        <f t="shared" si="26"/>
        <v>706872.45000000007</v>
      </c>
      <c r="AJ8" s="12">
        <f t="shared" si="19"/>
        <v>0.21234094284695387</v>
      </c>
      <c r="AK8" s="5">
        <f t="shared" si="26"/>
        <v>3272192.2880952377</v>
      </c>
      <c r="AL8" s="5">
        <f t="shared" si="26"/>
        <v>657143.34809523786</v>
      </c>
      <c r="AM8" s="12" t="e">
        <f>AO8/G8</f>
        <v>#REF!</v>
      </c>
      <c r="AN8" s="5" t="e">
        <f>SUM(AN5:AN7)+0.01-0.01</f>
        <v>#REF!</v>
      </c>
      <c r="AO8" s="5" t="e">
        <f>SUM(AO5:AO7)</f>
        <v>#REF!</v>
      </c>
      <c r="AP8" s="5" t="e">
        <f>SUM(AP5:AP7)+0.01-0.01</f>
        <v>#REF!</v>
      </c>
      <c r="AR8" s="1" t="e">
        <f>SUM(AR5:AR7)</f>
        <v>#REF!</v>
      </c>
      <c r="AS8" s="1" t="e">
        <f>SUM(AS5:AS7)</f>
        <v>#REF!</v>
      </c>
    </row>
  </sheetData>
  <mergeCells count="22">
    <mergeCell ref="A2:AP2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P3"/>
    <mergeCell ref="D3:D4"/>
    <mergeCell ref="E3:E4"/>
    <mergeCell ref="F3:F4"/>
    <mergeCell ref="G3:G4"/>
    <mergeCell ref="H3:H4"/>
    <mergeCell ref="A8:B8"/>
    <mergeCell ref="A3:A4"/>
    <mergeCell ref="B3:B4"/>
    <mergeCell ref="B5:B7"/>
    <mergeCell ref="C3:C4"/>
  </mergeCells>
  <phoneticPr fontId="8" type="noConversion"/>
  <printOptions horizontalCentered="1"/>
  <pageMargins left="7.7777777777777807E-2" right="0" top="1.53541666666667" bottom="0.75138888888888899" header="0.94374999999999998" footer="0.297916666666667"/>
  <pageSetup paperSize="9" orientation="landscape" r:id="rId1"/>
  <headerFooter>
    <oddHeader>&amp;C&amp;20&amp;B安庆皖能渗滤液项目收入、成本、毛利确认表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6月</vt:lpstr>
      <vt:lpstr>Sheet2</vt:lpstr>
      <vt:lpstr>Sheet3</vt:lpstr>
      <vt:lpstr>'6月'!Print_Titles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金晓勇</cp:lastModifiedBy>
  <dcterms:created xsi:type="dcterms:W3CDTF">2017-06-27T03:16:00Z</dcterms:created>
  <dcterms:modified xsi:type="dcterms:W3CDTF">2018-07-03T00:50:13Z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