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7890" tabRatio="829" activeTab="2"/>
  </bookViews>
  <sheets>
    <sheet name="封面" sheetId="16" r:id="rId1"/>
    <sheet name="汇总表" sheetId="17" r:id="rId2"/>
    <sheet name="合同执行情况明细汇总" sheetId="18" r:id="rId3"/>
    <sheet name="EPC合同" sheetId="10" r:id="rId4"/>
    <sheet name="设备合同" sheetId="9" r:id="rId5"/>
    <sheet name="工程合同" sheetId="8" r:id="rId6"/>
    <sheet name="材料合同" sheetId="6" r:id="rId7"/>
    <sheet name="服务合同" sheetId="5" r:id="rId8"/>
    <sheet name="行政合同" sheetId="4" r:id="rId9"/>
    <sheet name="其他合同" sheetId="3" r:id="rId10"/>
    <sheet name="HSE保证金" sheetId="11" r:id="rId11"/>
    <sheet name="电费" sheetId="12" r:id="rId12"/>
    <sheet name="水费" sheetId="14" r:id="rId13"/>
    <sheet name="采购员" sheetId="13" r:id="rId14"/>
    <sheet name="分包承包" sheetId="15" r:id="rId15"/>
  </sheets>
  <definedNames>
    <definedName name="_xlnm._FilterDatabase" localSheetId="3" hidden="1">EPC合同!$A$5:$CJ$79</definedName>
    <definedName name="_xlnm._FilterDatabase" localSheetId="2" hidden="1">合同执行情况明细汇总!$A$5:$CJ$349</definedName>
    <definedName name="_xlnm._FilterDatabase" localSheetId="7" hidden="1">服务合同!$A$5:$CJ$62</definedName>
    <definedName name="_xlnm._FilterDatabase" localSheetId="8" hidden="1">行政合同!$A$5:$CJ$56</definedName>
    <definedName name="_xlnm._FilterDatabase" localSheetId="6" hidden="1">材料合同!$A$5:$CJ$127</definedName>
    <definedName name="_xlnm._FilterDatabase" localSheetId="4" hidden="1">设备合同!$A$5:$CJ$152</definedName>
    <definedName name="_xlnm._FilterDatabase" localSheetId="5" hidden="1">工程合同!$A$5:$CK$91</definedName>
    <definedName name="_xlnm._FilterDatabase" localSheetId="9" hidden="1">其他合同!$A$5:$CJ$5</definedName>
  </definedNames>
  <calcPr calcId="144525" concurrentCalc="0"/>
</workbook>
</file>

<file path=xl/comments1.xml><?xml version="1.0" encoding="utf-8"?>
<comments xmlns="http://schemas.openxmlformats.org/spreadsheetml/2006/main">
  <authors>
    <author>永荣科技</author>
  </authors>
  <commentList>
    <comment ref="Y6" authorId="0">
      <text>
        <r>
          <rPr>
            <b/>
            <sz val="9"/>
            <rFont val="宋体"/>
            <charset val="134"/>
          </rPr>
          <t>永荣科技:</t>
        </r>
        <r>
          <rPr>
            <sz val="9"/>
            <rFont val="宋体"/>
            <charset val="134"/>
          </rPr>
          <t xml:space="preserve">
1、17.5记109/120，电汇2294.51188万元
</t>
        </r>
      </text>
    </comment>
    <comment ref="AC6" authorId="0">
      <text>
        <r>
          <rPr>
            <b/>
            <sz val="9"/>
            <rFont val="宋体"/>
            <charset val="134"/>
          </rPr>
          <t>永荣科技:</t>
        </r>
        <r>
          <rPr>
            <sz val="9"/>
            <rFont val="宋体"/>
            <charset val="134"/>
          </rPr>
          <t xml:space="preserve">
2、17.7记169，承兑汇654.4839万元（共733.5339万元，扣HSE保证金78.8万元，公司少汇0.25万元）
</t>
        </r>
      </text>
    </comment>
    <comment ref="Y7" authorId="0">
      <text>
        <r>
          <rPr>
            <b/>
            <sz val="9"/>
            <rFont val="宋体"/>
            <charset val="134"/>
          </rPr>
          <t>永荣科技:</t>
        </r>
        <r>
          <rPr>
            <sz val="9"/>
            <rFont val="宋体"/>
            <charset val="134"/>
          </rPr>
          <t xml:space="preserve">
1、17.5记109/120，电汇2294.51188万元</t>
        </r>
      </text>
    </comment>
    <comment ref="AG7" authorId="0">
      <text>
        <r>
          <rPr>
            <b/>
            <sz val="9"/>
            <rFont val="宋体"/>
            <charset val="134"/>
          </rPr>
          <t>永荣科技:</t>
        </r>
        <r>
          <rPr>
            <sz val="9"/>
            <rFont val="宋体"/>
            <charset val="134"/>
          </rPr>
          <t xml:space="preserve">
3、17.8记199，电汇7549407元（本次完工量9174668元，截止上次累计完工量30377958.1元）
</t>
        </r>
      </text>
    </comment>
    <comment ref="AK7" authorId="0">
      <text>
        <r>
          <rPr>
            <b/>
            <sz val="9"/>
            <rFont val="宋体"/>
            <charset val="134"/>
          </rPr>
          <t>永荣科技:</t>
        </r>
        <r>
          <rPr>
            <sz val="9"/>
            <rFont val="宋体"/>
            <charset val="134"/>
          </rPr>
          <t xml:space="preserve">
4、17.9记208，电汇6935904元（共6993231元，扣水电费57327元；本次11229425元）
</t>
        </r>
      </text>
    </comment>
    <comment ref="AO7" authorId="0">
      <text>
        <r>
          <rPr>
            <b/>
            <sz val="9"/>
            <rFont val="宋体"/>
            <charset val="134"/>
          </rPr>
          <t>永荣科技:</t>
        </r>
        <r>
          <rPr>
            <sz val="9"/>
            <rFont val="宋体"/>
            <charset val="134"/>
          </rPr>
          <t xml:space="preserve">
5、17.10记156，承兑汇16431598.7元（共16504290元，扣水电费68111元；本次完工22549739元，累计50682050.3元）
</t>
        </r>
      </text>
    </comment>
    <comment ref="AG8" authorId="0">
      <text>
        <r>
          <rPr>
            <b/>
            <sz val="9"/>
            <rFont val="宋体"/>
            <charset val="134"/>
          </rPr>
          <t>永荣科技:</t>
        </r>
        <r>
          <rPr>
            <sz val="9"/>
            <rFont val="宋体"/>
            <charset val="134"/>
          </rPr>
          <t xml:space="preserve">
3、17.8记199，电汇7549407元（本次完工量9174668元，截止上次累计完工量30377958.1元）
</t>
        </r>
      </text>
    </comment>
    <comment ref="AK8" authorId="0">
      <text>
        <r>
          <rPr>
            <b/>
            <sz val="9"/>
            <rFont val="宋体"/>
            <charset val="134"/>
          </rPr>
          <t>永荣科技:</t>
        </r>
        <r>
          <rPr>
            <sz val="9"/>
            <rFont val="宋体"/>
            <charset val="134"/>
          </rPr>
          <t xml:space="preserve">
4、17.9记208，电汇6935904元（共6993231元，扣水电费57327元；本次11229425元）
</t>
        </r>
      </text>
    </comment>
    <comment ref="AO8" authorId="0">
      <text>
        <r>
          <rPr>
            <b/>
            <sz val="9"/>
            <rFont val="宋体"/>
            <charset val="134"/>
          </rPr>
          <t>永荣科技:</t>
        </r>
        <r>
          <rPr>
            <sz val="9"/>
            <rFont val="宋体"/>
            <charset val="134"/>
          </rPr>
          <t xml:space="preserve">
5、17.10记156，承兑汇16431598.7元（共16504290元，扣水电费68111元；本次完工22549739元，累计50682050.3元）
</t>
        </r>
      </text>
    </comment>
    <comment ref="AC10" authorId="0">
      <text>
        <r>
          <rPr>
            <b/>
            <sz val="9"/>
            <rFont val="宋体"/>
            <charset val="134"/>
          </rPr>
          <t>永荣科技:</t>
        </r>
        <r>
          <rPr>
            <sz val="9"/>
            <rFont val="宋体"/>
            <charset val="134"/>
          </rPr>
          <t xml:space="preserve">
2、17.7记169，承兑汇654.4839万元（共733.5339万元，扣HSE保证金78.8万元，公司少汇0.25万元）
</t>
        </r>
      </text>
    </comment>
    <comment ref="AC11" authorId="0">
      <text>
        <r>
          <rPr>
            <b/>
            <sz val="9"/>
            <rFont val="宋体"/>
            <charset val="134"/>
          </rPr>
          <t>永荣科技:</t>
        </r>
        <r>
          <rPr>
            <sz val="9"/>
            <rFont val="宋体"/>
            <charset val="134"/>
          </rPr>
          <t xml:space="preserve">
2、17.7记169，承兑汇654.4839万元（共733.5339万元，扣HSE保证金78.8万元，公司少汇0.25万元）
</t>
        </r>
      </text>
    </comment>
    <comment ref="J12" authorId="0">
      <text>
        <r>
          <rPr>
            <b/>
            <sz val="9"/>
            <rFont val="宋体"/>
            <charset val="134"/>
          </rPr>
          <t>永荣科技:</t>
        </r>
        <r>
          <rPr>
            <sz val="9"/>
            <rFont val="宋体"/>
            <charset val="134"/>
          </rPr>
          <t xml:space="preserve">
1、17.5记109/120，电汇2294.51188万元
2、17.7记169，承兑汇654.4839万元（共733.5339万元，扣HSE保证金78.8万元，</t>
        </r>
        <r>
          <rPr>
            <b/>
            <sz val="9"/>
            <rFont val="宋体"/>
            <charset val="134"/>
          </rPr>
          <t>公司少汇0.25万元</t>
        </r>
        <r>
          <rPr>
            <sz val="9"/>
            <rFont val="宋体"/>
            <charset val="134"/>
          </rPr>
          <t>）
3、17.8记199，电汇7549407元（本次完工量9174668元，截止上次累计完工量30377958.1元）
4、17.9记208，电汇6935904元（共6993231元，扣水电费57327元；本次11229425元）
5、17.10记156，承兑汇16418179元（共16504290元，扣水电费68111元；本次完工22549739元，累计50682050.3元）
6、17.10.23申请27515874元（待扣。。。。。。。。。。）</t>
        </r>
      </text>
    </comment>
    <comment ref="Y13" authorId="0">
      <text>
        <r>
          <rPr>
            <b/>
            <sz val="9"/>
            <rFont val="宋体"/>
            <charset val="134"/>
          </rPr>
          <t xml:space="preserve">永荣科技:
1、17.5记121，电汇579.905万元（预付款；本次完工量579.905万元）
</t>
        </r>
      </text>
    </comment>
    <comment ref="AC13" authorId="0">
      <text>
        <r>
          <rPr>
            <b/>
            <sz val="9"/>
            <rFont val="宋体"/>
            <charset val="134"/>
          </rPr>
          <t>永荣科技:</t>
        </r>
        <r>
          <rPr>
            <sz val="9"/>
            <rFont val="宋体"/>
            <charset val="134"/>
          </rPr>
          <t xml:space="preserve">
2、17.6记154/147，承兑汇341.301425万元（共390万元，扣第一次反贴息8.698575万元，扣HSE保证金40万元；本次完工390万元，累计969.905万元）
</t>
        </r>
      </text>
    </comment>
    <comment ref="Y14" authorId="0">
      <text>
        <r>
          <rPr>
            <b/>
            <sz val="9"/>
            <rFont val="宋体"/>
            <charset val="134"/>
          </rPr>
          <t>永荣科技:</t>
        </r>
        <r>
          <rPr>
            <sz val="9"/>
            <rFont val="宋体"/>
            <charset val="134"/>
          </rPr>
          <t xml:space="preserve">
1、17.5记121，电汇579.905万元（预付款；本次完工量579.905万元）
</t>
        </r>
      </text>
    </comment>
    <comment ref="J34" authorId="0">
      <text>
        <r>
          <rPr>
            <b/>
            <sz val="9"/>
            <rFont val="宋体"/>
            <charset val="134"/>
          </rPr>
          <t>永荣科技:</t>
        </r>
        <r>
          <rPr>
            <sz val="9"/>
            <rFont val="宋体"/>
            <charset val="134"/>
          </rPr>
          <t xml:space="preserve">
1、17.5记121，电汇579.905万元（预付款；本次完工量579.905万元）
2、17.6记154/147，承兑汇341.301425万元（共390万元，扣第一次反贴息8.698575万元，扣HSE保证金40万元；本次完工390万元，累计969.905万元）
3、17.8记201，承兑汇3610300.5元（共366.77026万元，少汇5.74021万元；本次完工475.745866万元，累计1445.650866万元）
4、17.9记221，承兑汇6607710.1元（共655.0308万元，补上次少汇5.74021万元；本次完工7570171元，累计2202.667966万元）
5、17.10记209/17.11记207，承兑汇7470078.9+16361.7元（待查凭证）</t>
        </r>
      </text>
    </comment>
    <comment ref="R34" authorId="0">
      <text>
        <r>
          <rPr>
            <b/>
            <sz val="9"/>
            <rFont val="宋体"/>
            <charset val="134"/>
          </rPr>
          <t>永荣科技:</t>
        </r>
        <r>
          <rPr>
            <sz val="9"/>
            <rFont val="宋体"/>
            <charset val="134"/>
          </rPr>
          <t xml:space="preserve">
第一次： 
2017年5月记121，转汇579.905万（第二次扣掉贴息1.5%）
第二次：
2017年6月记154，共390万元，实汇341.301425万元（承兑305万+35万+转汇1.301425万）+（扣第一次贴息8.698575万+扣安全保证金40万）
</t>
        </r>
      </text>
    </comment>
    <comment ref="J40" authorId="0">
      <text>
        <r>
          <rPr>
            <b/>
            <sz val="9"/>
            <rFont val="宋体"/>
            <charset val="134"/>
          </rPr>
          <t>永荣科技:</t>
        </r>
        <r>
          <rPr>
            <sz val="9"/>
            <rFont val="宋体"/>
            <charset val="134"/>
          </rPr>
          <t xml:space="preserve">
1、17.5记114，汇585.06万元（15%预付款，共597万元，扣2%反贴息11.94万元）
2、17年11月8日，承兑汇7655546.68元（共7915588.68元，扣HSE253800元，水电费6242元）</t>
        </r>
      </text>
    </comment>
    <comment ref="Y40" authorId="0">
      <text>
        <r>
          <rPr>
            <b/>
            <sz val="9"/>
            <rFont val="宋体"/>
            <charset val="134"/>
          </rPr>
          <t>永荣科技:</t>
        </r>
        <r>
          <rPr>
            <sz val="9"/>
            <rFont val="宋体"/>
            <charset val="134"/>
          </rPr>
          <t xml:space="preserve">
1、17.5记114，汇585.06万元（15%预付款，共597万元，扣2%反贴息11.94万元）
</t>
        </r>
      </text>
    </comment>
    <comment ref="AC40" authorId="0">
      <text>
        <r>
          <rPr>
            <b/>
            <sz val="9"/>
            <rFont val="宋体"/>
            <charset val="134"/>
          </rPr>
          <t>永荣科技:</t>
        </r>
        <r>
          <rPr>
            <sz val="9"/>
            <rFont val="宋体"/>
            <charset val="134"/>
          </rPr>
          <t xml:space="preserve">
2、17年11月8日，承兑汇7655546.68元（共7915588.68元，扣HSE253800元，水电费6242元）
</t>
        </r>
      </text>
    </comment>
    <comment ref="J48" authorId="0">
      <text>
        <r>
          <rPr>
            <b/>
            <sz val="9"/>
            <rFont val="宋体"/>
            <charset val="134"/>
          </rPr>
          <t>永荣科技:</t>
        </r>
        <r>
          <rPr>
            <sz val="9"/>
            <rFont val="宋体"/>
            <charset val="134"/>
          </rPr>
          <t xml:space="preserve">
1、17.7记151，承兑汇163.5万元（15%预付款）</t>
        </r>
      </text>
    </comment>
    <comment ref="Y48" authorId="0">
      <text>
        <r>
          <rPr>
            <b/>
            <sz val="9"/>
            <rFont val="宋体"/>
            <charset val="134"/>
          </rPr>
          <t>永荣科技:</t>
        </r>
        <r>
          <rPr>
            <sz val="9"/>
            <rFont val="宋体"/>
            <charset val="134"/>
          </rPr>
          <t xml:space="preserve">
1、17.7记151，承兑汇163.5万元（15%预付款）
</t>
        </r>
      </text>
    </comment>
    <comment ref="J55" authorId="0">
      <text>
        <r>
          <rPr>
            <b/>
            <sz val="9"/>
            <rFont val="宋体"/>
            <charset val="134"/>
          </rPr>
          <t>永荣科技:</t>
        </r>
        <r>
          <rPr>
            <sz val="9"/>
            <rFont val="宋体"/>
            <charset val="134"/>
          </rPr>
          <t xml:space="preserve">
未申请
</t>
        </r>
      </text>
    </comment>
    <comment ref="J62" authorId="0">
      <text>
        <r>
          <rPr>
            <b/>
            <sz val="9"/>
            <rFont val="宋体"/>
            <charset val="134"/>
          </rPr>
          <t>永荣科技:</t>
        </r>
        <r>
          <rPr>
            <sz val="9"/>
            <rFont val="宋体"/>
            <charset val="134"/>
          </rPr>
          <t xml:space="preserve">
1、17.11.8申请483.4万元（待扣HE40万元，水电费4124元，本次蓝图8072998元）</t>
        </r>
      </text>
    </comment>
    <comment ref="J64" authorId="0">
      <text>
        <r>
          <rPr>
            <b/>
            <sz val="9"/>
            <rFont val="宋体"/>
            <charset val="134"/>
          </rPr>
          <t>永荣科技:</t>
        </r>
        <r>
          <rPr>
            <sz val="9"/>
            <rFont val="宋体"/>
            <charset val="134"/>
          </rPr>
          <t xml:space="preserve">
未申请</t>
        </r>
      </text>
    </comment>
  </commentList>
</comments>
</file>

<file path=xl/comments2.xml><?xml version="1.0" encoding="utf-8"?>
<comments xmlns="http://schemas.openxmlformats.org/spreadsheetml/2006/main">
  <authors>
    <author>永荣科技</author>
  </authors>
  <commentList>
    <comment ref="J6" authorId="0">
      <text>
        <r>
          <rPr>
            <b/>
            <sz val="9"/>
            <rFont val="宋体"/>
            <charset val="134"/>
          </rPr>
          <t>永荣科技:</t>
        </r>
        <r>
          <rPr>
            <sz val="9"/>
            <rFont val="宋体"/>
            <charset val="134"/>
          </rPr>
          <t xml:space="preserve">
15.9记76,10万
15.9记90,8735元
</t>
        </r>
      </text>
    </comment>
    <comment ref="Y6" authorId="0">
      <text>
        <r>
          <rPr>
            <b/>
            <sz val="9"/>
            <rFont val="宋体"/>
            <charset val="134"/>
          </rPr>
          <t>永荣科技:</t>
        </r>
        <r>
          <rPr>
            <sz val="9"/>
            <rFont val="宋体"/>
            <charset val="134"/>
          </rPr>
          <t xml:space="preserve">
15.9记76,10万
15.9记90,8735元</t>
        </r>
      </text>
    </comment>
    <comment ref="J7" authorId="0">
      <text>
        <r>
          <rPr>
            <b/>
            <sz val="9"/>
            <rFont val="宋体"/>
            <charset val="134"/>
          </rPr>
          <t>永荣科技:</t>
        </r>
        <r>
          <rPr>
            <sz val="9"/>
            <rFont val="宋体"/>
            <charset val="134"/>
          </rPr>
          <t xml:space="preserve">
16.1记57,5198.6元
16.1记61,383636.4元
</t>
        </r>
      </text>
    </comment>
    <comment ref="Y7" authorId="0">
      <text>
        <r>
          <rPr>
            <b/>
            <sz val="9"/>
            <rFont val="宋体"/>
            <charset val="134"/>
          </rPr>
          <t>永荣科技:</t>
        </r>
        <r>
          <rPr>
            <sz val="9"/>
            <rFont val="宋体"/>
            <charset val="134"/>
          </rPr>
          <t xml:space="preserve">
16.1记57,5198.6元
16.1记61,383636.4元</t>
        </r>
      </text>
    </comment>
    <comment ref="J8" authorId="0">
      <text>
        <r>
          <rPr>
            <b/>
            <sz val="9"/>
            <rFont val="宋体"/>
            <charset val="134"/>
          </rPr>
          <t>永荣科技:</t>
        </r>
        <r>
          <rPr>
            <sz val="9"/>
            <rFont val="宋体"/>
            <charset val="134"/>
          </rPr>
          <t xml:space="preserve">
1、16.1记19，电汇16569元
2、16.1记60，承兑汇3万元</t>
        </r>
      </text>
    </comment>
    <comment ref="Y8" authorId="0">
      <text>
        <r>
          <rPr>
            <b/>
            <sz val="9"/>
            <rFont val="宋体"/>
            <charset val="134"/>
          </rPr>
          <t>永荣科技:</t>
        </r>
        <r>
          <rPr>
            <sz val="9"/>
            <rFont val="宋体"/>
            <charset val="134"/>
          </rPr>
          <t xml:space="preserve">
1、16.1记19，电汇16569元
2、16.1记60，承兑汇3万元
</t>
        </r>
      </text>
    </comment>
    <comment ref="J10" authorId="0">
      <text>
        <r>
          <rPr>
            <b/>
            <sz val="9"/>
            <rFont val="宋体"/>
            <charset val="134"/>
          </rPr>
          <t>永荣科技:</t>
        </r>
        <r>
          <rPr>
            <sz val="9"/>
            <rFont val="宋体"/>
            <charset val="134"/>
          </rPr>
          <t xml:space="preserve">
16.7记46,31709元
</t>
        </r>
      </text>
    </comment>
    <comment ref="Y10" authorId="0">
      <text>
        <r>
          <rPr>
            <b/>
            <sz val="9"/>
            <rFont val="宋体"/>
            <charset val="134"/>
          </rPr>
          <t>永荣科技:</t>
        </r>
        <r>
          <rPr>
            <sz val="9"/>
            <rFont val="宋体"/>
            <charset val="134"/>
          </rPr>
          <t xml:space="preserve">
16.7记46,31709元</t>
        </r>
      </text>
    </comment>
    <comment ref="J11" authorId="0">
      <text>
        <r>
          <rPr>
            <b/>
            <sz val="9"/>
            <rFont val="宋体"/>
            <charset val="134"/>
          </rPr>
          <t>永荣科技:</t>
        </r>
        <r>
          <rPr>
            <sz val="9"/>
            <rFont val="宋体"/>
            <charset val="134"/>
          </rPr>
          <t xml:space="preserve">
同锦江香港合同一份，锦江香港汇款到安德里</t>
        </r>
      </text>
    </comment>
    <comment ref="Q11" authorId="0">
      <text>
        <r>
          <rPr>
            <b/>
            <sz val="9"/>
            <rFont val="宋体"/>
            <charset val="134"/>
          </rPr>
          <t>永荣科技:</t>
        </r>
        <r>
          <rPr>
            <sz val="9"/>
            <rFont val="宋体"/>
            <charset val="134"/>
          </rPr>
          <t xml:space="preserve">
45.8万欧元</t>
        </r>
      </text>
    </comment>
    <comment ref="J12" authorId="0">
      <text>
        <r>
          <rPr>
            <b/>
            <sz val="9"/>
            <rFont val="宋体"/>
            <charset val="134"/>
          </rPr>
          <t>永荣科技:</t>
        </r>
        <r>
          <rPr>
            <sz val="9"/>
            <rFont val="宋体"/>
            <charset val="134"/>
          </rPr>
          <t xml:space="preserve">
1、17.7记192，承兑汇1152000元</t>
        </r>
      </text>
    </comment>
    <comment ref="Y12" authorId="0">
      <text>
        <r>
          <rPr>
            <b/>
            <sz val="9"/>
            <rFont val="宋体"/>
            <charset val="134"/>
          </rPr>
          <t>永荣科技:</t>
        </r>
        <r>
          <rPr>
            <sz val="9"/>
            <rFont val="宋体"/>
            <charset val="134"/>
          </rPr>
          <t xml:space="preserve">
1、17.7记192，承兑汇1152000元
</t>
        </r>
      </text>
    </comment>
    <comment ref="J13" authorId="0">
      <text>
        <r>
          <rPr>
            <b/>
            <sz val="9"/>
            <rFont val="宋体"/>
            <charset val="134"/>
          </rPr>
          <t>永荣科技:</t>
        </r>
        <r>
          <rPr>
            <sz val="9"/>
            <rFont val="宋体"/>
            <charset val="134"/>
          </rPr>
          <t xml:space="preserve">
1、17.2记43，承兑汇226万元（20%预付款）
2、17.9记188，承兑汇565万元（50%发货款）</t>
        </r>
      </text>
    </comment>
    <comment ref="Y13" authorId="0">
      <text>
        <r>
          <rPr>
            <b/>
            <sz val="9"/>
            <rFont val="宋体"/>
            <charset val="134"/>
          </rPr>
          <t>永荣科技:</t>
        </r>
        <r>
          <rPr>
            <sz val="9"/>
            <rFont val="宋体"/>
            <charset val="134"/>
          </rPr>
          <t xml:space="preserve">
1、17.2记43，承兑汇226万元（20%预付款）
</t>
        </r>
      </text>
    </comment>
    <comment ref="AC13" authorId="0">
      <text>
        <r>
          <rPr>
            <b/>
            <sz val="9"/>
            <rFont val="宋体"/>
            <charset val="134"/>
          </rPr>
          <t>永荣科技:</t>
        </r>
        <r>
          <rPr>
            <sz val="9"/>
            <rFont val="宋体"/>
            <charset val="134"/>
          </rPr>
          <t xml:space="preserve">
2、17.9记188，承兑汇565万元（50%发货款）
</t>
        </r>
      </text>
    </comment>
    <comment ref="J14" authorId="0">
      <text>
        <r>
          <rPr>
            <b/>
            <sz val="9"/>
            <rFont val="宋体"/>
            <charset val="134"/>
          </rPr>
          <t>永荣科技:</t>
        </r>
        <r>
          <rPr>
            <sz val="9"/>
            <rFont val="宋体"/>
            <charset val="134"/>
          </rPr>
          <t xml:space="preserve">
1、17.4记85，承兑汇82.4万元（20%预付款）</t>
        </r>
      </text>
    </comment>
    <comment ref="Y14" authorId="0">
      <text>
        <r>
          <rPr>
            <b/>
            <sz val="9"/>
            <rFont val="宋体"/>
            <charset val="134"/>
          </rPr>
          <t>永荣科技:</t>
        </r>
        <r>
          <rPr>
            <sz val="9"/>
            <rFont val="宋体"/>
            <charset val="134"/>
          </rPr>
          <t xml:space="preserve">
1、17.4记85，承兑汇82.4万元（20%预付款）
</t>
        </r>
      </text>
    </comment>
    <comment ref="J16" authorId="0">
      <text>
        <r>
          <rPr>
            <b/>
            <sz val="9"/>
            <rFont val="宋体"/>
            <charset val="134"/>
          </rPr>
          <t>永荣科技:</t>
        </r>
        <r>
          <rPr>
            <sz val="9"/>
            <rFont val="宋体"/>
            <charset val="134"/>
          </rPr>
          <t xml:space="preserve">
1、17.5记97，电汇27.96万元
2、17年11月17日，电汇97.86万元</t>
        </r>
      </text>
    </comment>
    <comment ref="Y16" authorId="0">
      <text>
        <r>
          <rPr>
            <b/>
            <sz val="9"/>
            <rFont val="宋体"/>
            <charset val="134"/>
          </rPr>
          <t>永荣科技:</t>
        </r>
        <r>
          <rPr>
            <sz val="9"/>
            <rFont val="宋体"/>
            <charset val="134"/>
          </rPr>
          <t xml:space="preserve">
1、17.5记97，电汇27.96万元
</t>
        </r>
      </text>
    </comment>
    <comment ref="AC16" authorId="0">
      <text>
        <r>
          <rPr>
            <b/>
            <sz val="9"/>
            <rFont val="宋体"/>
            <charset val="134"/>
          </rPr>
          <t>永荣科技:</t>
        </r>
        <r>
          <rPr>
            <sz val="9"/>
            <rFont val="宋体"/>
            <charset val="134"/>
          </rPr>
          <t xml:space="preserve">
2、17年11月17日，电汇97.86万元
</t>
        </r>
      </text>
    </comment>
    <comment ref="J17" authorId="0">
      <text>
        <r>
          <rPr>
            <b/>
            <sz val="9"/>
            <rFont val="宋体"/>
            <charset val="134"/>
          </rPr>
          <t>永荣科技:</t>
        </r>
        <r>
          <rPr>
            <sz val="9"/>
            <rFont val="宋体"/>
            <charset val="134"/>
          </rPr>
          <t xml:space="preserve">
1、17.5记111，承兑汇89900元</t>
        </r>
      </text>
    </comment>
    <comment ref="Y17" authorId="0">
      <text>
        <r>
          <rPr>
            <b/>
            <sz val="9"/>
            <rFont val="宋体"/>
            <charset val="134"/>
          </rPr>
          <t>永荣科技:</t>
        </r>
        <r>
          <rPr>
            <sz val="9"/>
            <rFont val="宋体"/>
            <charset val="134"/>
          </rPr>
          <t xml:space="preserve">
1、17.5记111，承兑汇89900元
</t>
        </r>
      </text>
    </comment>
    <comment ref="J18" authorId="0">
      <text>
        <r>
          <rPr>
            <b/>
            <sz val="9"/>
            <rFont val="宋体"/>
            <charset val="134"/>
          </rPr>
          <t>永荣科技:</t>
        </r>
        <r>
          <rPr>
            <sz val="9"/>
            <rFont val="宋体"/>
            <charset val="134"/>
          </rPr>
          <t xml:space="preserve">
1、17.7记185，承兑汇39万元</t>
        </r>
      </text>
    </comment>
    <comment ref="Y18" authorId="0">
      <text>
        <r>
          <rPr>
            <b/>
            <sz val="9"/>
            <rFont val="宋体"/>
            <charset val="134"/>
          </rPr>
          <t>永荣科技:</t>
        </r>
        <r>
          <rPr>
            <sz val="9"/>
            <rFont val="宋体"/>
            <charset val="134"/>
          </rPr>
          <t xml:space="preserve">
1、17.7记185，承兑汇39万元
</t>
        </r>
      </text>
    </comment>
    <comment ref="J19" authorId="0">
      <text>
        <r>
          <rPr>
            <b/>
            <sz val="9"/>
            <rFont val="宋体"/>
            <charset val="134"/>
          </rPr>
          <t>永荣科技:</t>
        </r>
        <r>
          <rPr>
            <sz val="9"/>
            <rFont val="宋体"/>
            <charset val="134"/>
          </rPr>
          <t xml:space="preserve">
未申请</t>
        </r>
      </text>
    </comment>
    <comment ref="J20" authorId="0">
      <text>
        <r>
          <rPr>
            <b/>
            <sz val="9"/>
            <rFont val="宋体"/>
            <charset val="134"/>
          </rPr>
          <t>永荣科技:</t>
        </r>
        <r>
          <rPr>
            <sz val="9"/>
            <rFont val="宋体"/>
            <charset val="134"/>
          </rPr>
          <t xml:space="preserve">
未申请</t>
        </r>
      </text>
    </comment>
    <comment ref="J21" authorId="0">
      <text>
        <r>
          <rPr>
            <b/>
            <sz val="9"/>
            <rFont val="宋体"/>
            <charset val="134"/>
          </rPr>
          <t>永荣科技:</t>
        </r>
        <r>
          <rPr>
            <sz val="9"/>
            <rFont val="宋体"/>
            <charset val="134"/>
          </rPr>
          <t xml:space="preserve">
1、17.6记171，承兑汇97.8万元</t>
        </r>
      </text>
    </comment>
    <comment ref="Y21" authorId="0">
      <text>
        <r>
          <rPr>
            <b/>
            <sz val="9"/>
            <rFont val="宋体"/>
            <charset val="134"/>
          </rPr>
          <t>永荣科技:</t>
        </r>
        <r>
          <rPr>
            <sz val="9"/>
            <rFont val="宋体"/>
            <charset val="134"/>
          </rPr>
          <t xml:space="preserve">
1、17.6记171，承兑汇97.8万元
</t>
        </r>
      </text>
    </comment>
    <comment ref="Y22" authorId="0">
      <text>
        <r>
          <rPr>
            <b/>
            <sz val="9"/>
            <rFont val="宋体"/>
            <charset val="134"/>
          </rPr>
          <t>永荣科技:</t>
        </r>
        <r>
          <rPr>
            <sz val="9"/>
            <rFont val="宋体"/>
            <charset val="134"/>
          </rPr>
          <t xml:space="preserve">
1、17.4记92，电汇849.8万元
</t>
        </r>
      </text>
    </comment>
    <comment ref="Y23" authorId="0">
      <text>
        <r>
          <rPr>
            <b/>
            <sz val="9"/>
            <rFont val="宋体"/>
            <charset val="134"/>
          </rPr>
          <t>永荣科技:</t>
        </r>
        <r>
          <rPr>
            <sz val="9"/>
            <rFont val="宋体"/>
            <charset val="134"/>
          </rPr>
          <t xml:space="preserve">
1、17.4记92，电汇849.8万元
</t>
        </r>
      </text>
    </comment>
    <comment ref="J26" authorId="0">
      <text>
        <r>
          <rPr>
            <b/>
            <sz val="9"/>
            <rFont val="宋体"/>
            <charset val="134"/>
          </rPr>
          <t>永荣科技:</t>
        </r>
        <r>
          <rPr>
            <sz val="9"/>
            <rFont val="宋体"/>
            <charset val="134"/>
          </rPr>
          <t xml:space="preserve">
1、17.4记92，电汇849.8万元</t>
        </r>
      </text>
    </comment>
    <comment ref="J27" authorId="0">
      <text>
        <r>
          <rPr>
            <b/>
            <sz val="9"/>
            <rFont val="宋体"/>
            <charset val="134"/>
          </rPr>
          <t>永荣科技:</t>
        </r>
        <r>
          <rPr>
            <sz val="9"/>
            <rFont val="宋体"/>
            <charset val="134"/>
          </rPr>
          <t xml:space="preserve">
1、17.6记157，承兑汇16.6万元</t>
        </r>
      </text>
    </comment>
    <comment ref="Y27" authorId="0">
      <text>
        <r>
          <rPr>
            <b/>
            <sz val="9"/>
            <rFont val="宋体"/>
            <charset val="134"/>
          </rPr>
          <t>永荣科技:</t>
        </r>
        <r>
          <rPr>
            <sz val="9"/>
            <rFont val="宋体"/>
            <charset val="134"/>
          </rPr>
          <t xml:space="preserve">
1、17.6记157，承兑汇16.6万元
</t>
        </r>
      </text>
    </comment>
    <comment ref="J28" authorId="0">
      <text>
        <r>
          <rPr>
            <b/>
            <sz val="9"/>
            <rFont val="宋体"/>
            <charset val="134"/>
          </rPr>
          <t>永荣科技:</t>
        </r>
        <r>
          <rPr>
            <sz val="9"/>
            <rFont val="宋体"/>
            <charset val="134"/>
          </rPr>
          <t xml:space="preserve">
未申请</t>
        </r>
      </text>
    </comment>
    <comment ref="J29" authorId="0">
      <text>
        <r>
          <rPr>
            <b/>
            <sz val="9"/>
            <rFont val="宋体"/>
            <charset val="134"/>
          </rPr>
          <t>永荣科技:</t>
        </r>
        <r>
          <rPr>
            <sz val="9"/>
            <rFont val="宋体"/>
            <charset val="134"/>
          </rPr>
          <t xml:space="preserve">
1、17.10.11申请31.2万元</t>
        </r>
      </text>
    </comment>
    <comment ref="J30" authorId="0">
      <text>
        <r>
          <rPr>
            <b/>
            <sz val="9"/>
            <rFont val="宋体"/>
            <charset val="134"/>
          </rPr>
          <t>永荣科技:</t>
        </r>
        <r>
          <rPr>
            <sz val="9"/>
            <rFont val="宋体"/>
            <charset val="134"/>
          </rPr>
          <t xml:space="preserve">
未申请</t>
        </r>
      </text>
    </comment>
    <comment ref="J31" authorId="0">
      <text>
        <r>
          <rPr>
            <b/>
            <sz val="9"/>
            <rFont val="宋体"/>
            <charset val="134"/>
          </rPr>
          <t>永荣科技:</t>
        </r>
        <r>
          <rPr>
            <sz val="9"/>
            <rFont val="宋体"/>
            <charset val="134"/>
          </rPr>
          <t xml:space="preserve">
1、17.6记153，电汇369.2万元（20%预付款）</t>
        </r>
      </text>
    </comment>
    <comment ref="Y31" authorId="0">
      <text>
        <r>
          <rPr>
            <b/>
            <sz val="9"/>
            <rFont val="宋体"/>
            <charset val="134"/>
          </rPr>
          <t>永荣科技:</t>
        </r>
        <r>
          <rPr>
            <sz val="9"/>
            <rFont val="宋体"/>
            <charset val="134"/>
          </rPr>
          <t xml:space="preserve">
1、17.6记153，电汇369.2万元（20%预付款）
</t>
        </r>
      </text>
    </comment>
    <comment ref="J32" authorId="0">
      <text>
        <r>
          <rPr>
            <b/>
            <sz val="9"/>
            <rFont val="宋体"/>
            <charset val="134"/>
          </rPr>
          <t>永荣科技:</t>
        </r>
        <r>
          <rPr>
            <sz val="9"/>
            <rFont val="宋体"/>
            <charset val="134"/>
          </rPr>
          <t xml:space="preserve">
1、17.5记119，电汇1196万元（20%预付款）
2、17.9记165，电汇2392万元（40%进度款）</t>
        </r>
      </text>
    </comment>
    <comment ref="Y32" authorId="0">
      <text>
        <r>
          <rPr>
            <b/>
            <sz val="9"/>
            <rFont val="宋体"/>
            <charset val="134"/>
          </rPr>
          <t>永荣科技:</t>
        </r>
        <r>
          <rPr>
            <sz val="9"/>
            <rFont val="宋体"/>
            <charset val="134"/>
          </rPr>
          <t xml:space="preserve">
1、17.5记119，电汇1196万元（20%预付款）
</t>
        </r>
      </text>
    </comment>
    <comment ref="AC32" authorId="0">
      <text>
        <r>
          <rPr>
            <b/>
            <sz val="9"/>
            <rFont val="宋体"/>
            <charset val="134"/>
          </rPr>
          <t>永荣科技:</t>
        </r>
        <r>
          <rPr>
            <sz val="9"/>
            <rFont val="宋体"/>
            <charset val="134"/>
          </rPr>
          <t xml:space="preserve">
2、17.9记165，电汇2392万元（40%进度款）
</t>
        </r>
      </text>
    </comment>
    <comment ref="J33" authorId="0">
      <text>
        <r>
          <rPr>
            <b/>
            <sz val="9"/>
            <rFont val="宋体"/>
            <charset val="134"/>
          </rPr>
          <t>永荣科技:</t>
        </r>
        <r>
          <rPr>
            <sz val="9"/>
            <rFont val="宋体"/>
            <charset val="134"/>
          </rPr>
          <t xml:space="preserve">
未申请</t>
        </r>
      </text>
    </comment>
    <comment ref="J34" authorId="0">
      <text>
        <r>
          <rPr>
            <b/>
            <sz val="9"/>
            <rFont val="宋体"/>
            <charset val="134"/>
          </rPr>
          <t>永荣科技:</t>
        </r>
        <r>
          <rPr>
            <sz val="9"/>
            <rFont val="宋体"/>
            <charset val="134"/>
          </rPr>
          <t xml:space="preserve">
未申请</t>
        </r>
      </text>
    </comment>
    <comment ref="J35" authorId="0">
      <text>
        <r>
          <rPr>
            <b/>
            <sz val="9"/>
            <rFont val="宋体"/>
            <charset val="134"/>
          </rPr>
          <t>永荣科技:</t>
        </r>
        <r>
          <rPr>
            <sz val="9"/>
            <rFont val="宋体"/>
            <charset val="134"/>
          </rPr>
          <t xml:space="preserve">
1、17.7记184，承兑汇284万元</t>
        </r>
      </text>
    </comment>
    <comment ref="Y35" authorId="0">
      <text>
        <r>
          <rPr>
            <b/>
            <sz val="9"/>
            <rFont val="宋体"/>
            <charset val="134"/>
          </rPr>
          <t>永荣科技:</t>
        </r>
        <r>
          <rPr>
            <sz val="9"/>
            <rFont val="宋体"/>
            <charset val="134"/>
          </rPr>
          <t xml:space="preserve">
1、17.7记184，承兑汇284万元
</t>
        </r>
      </text>
    </comment>
    <comment ref="J36" authorId="0">
      <text>
        <r>
          <rPr>
            <b/>
            <sz val="9"/>
            <rFont val="宋体"/>
            <charset val="134"/>
          </rPr>
          <t>永荣科技:</t>
        </r>
        <r>
          <rPr>
            <sz val="9"/>
            <rFont val="宋体"/>
            <charset val="134"/>
          </rPr>
          <t xml:space="preserve">
1、17.8记194，承兑汇58万元</t>
        </r>
      </text>
    </comment>
    <comment ref="Y36" authorId="0">
      <text>
        <r>
          <rPr>
            <b/>
            <sz val="9"/>
            <rFont val="宋体"/>
            <charset val="134"/>
          </rPr>
          <t>永荣科技:</t>
        </r>
        <r>
          <rPr>
            <sz val="9"/>
            <rFont val="宋体"/>
            <charset val="134"/>
          </rPr>
          <t xml:space="preserve">
1、17.8记194，承兑汇58万元
</t>
        </r>
      </text>
    </comment>
    <comment ref="J37" authorId="0">
      <text>
        <r>
          <rPr>
            <b/>
            <sz val="9"/>
            <rFont val="宋体"/>
            <charset val="134"/>
          </rPr>
          <t>永荣科技:</t>
        </r>
        <r>
          <rPr>
            <sz val="9"/>
            <rFont val="宋体"/>
            <charset val="134"/>
          </rPr>
          <t xml:space="preserve">
1、17.8记177，承兑汇71万元</t>
        </r>
      </text>
    </comment>
    <comment ref="Y37" authorId="0">
      <text>
        <r>
          <rPr>
            <b/>
            <sz val="9"/>
            <rFont val="宋体"/>
            <charset val="134"/>
          </rPr>
          <t>永荣科技:</t>
        </r>
        <r>
          <rPr>
            <sz val="9"/>
            <rFont val="宋体"/>
            <charset val="134"/>
          </rPr>
          <t xml:space="preserve">
1、17.8记177，承兑汇71万元
</t>
        </r>
      </text>
    </comment>
    <comment ref="J38" authorId="0">
      <text>
        <r>
          <rPr>
            <b/>
            <sz val="9"/>
            <rFont val="宋体"/>
            <charset val="134"/>
          </rPr>
          <t>永荣科技:</t>
        </r>
        <r>
          <rPr>
            <sz val="9"/>
            <rFont val="宋体"/>
            <charset val="134"/>
          </rPr>
          <t xml:space="preserve">
1、17.8记229，承兑汇70万元；17.9记167，承兑汇35万。共105万元</t>
        </r>
      </text>
    </comment>
    <comment ref="Y38" authorId="0">
      <text>
        <r>
          <rPr>
            <b/>
            <sz val="9"/>
            <rFont val="宋体"/>
            <charset val="134"/>
          </rPr>
          <t>永荣科技:</t>
        </r>
        <r>
          <rPr>
            <sz val="9"/>
            <rFont val="宋体"/>
            <charset val="134"/>
          </rPr>
          <t xml:space="preserve">
1、17.8记229，承兑汇70万元；17.9记167，承兑汇35万。共105万元
</t>
        </r>
      </text>
    </comment>
    <comment ref="J39" authorId="0">
      <text>
        <r>
          <rPr>
            <b/>
            <sz val="9"/>
            <rFont val="宋体"/>
            <charset val="134"/>
          </rPr>
          <t>永荣科技:</t>
        </r>
        <r>
          <rPr>
            <sz val="9"/>
            <rFont val="宋体"/>
            <charset val="134"/>
          </rPr>
          <t xml:space="preserve">
1、17.8记216，承兑汇72万元（20%预付款）</t>
        </r>
      </text>
    </comment>
    <comment ref="Y39" authorId="0">
      <text>
        <r>
          <rPr>
            <b/>
            <sz val="9"/>
            <rFont val="宋体"/>
            <charset val="134"/>
          </rPr>
          <t>永荣科技:</t>
        </r>
        <r>
          <rPr>
            <sz val="9"/>
            <rFont val="宋体"/>
            <charset val="134"/>
          </rPr>
          <t xml:space="preserve">
1、17.8记216，承兑汇72万元（20%预付款）
</t>
        </r>
      </text>
    </comment>
    <comment ref="J40" authorId="0">
      <text>
        <r>
          <rPr>
            <b/>
            <sz val="9"/>
            <rFont val="宋体"/>
            <charset val="134"/>
          </rPr>
          <t>永荣科技:</t>
        </r>
        <r>
          <rPr>
            <sz val="9"/>
            <rFont val="宋体"/>
            <charset val="134"/>
          </rPr>
          <t xml:space="preserve">
1、17.9记155，承兑汇67万元（20%预付款）</t>
        </r>
      </text>
    </comment>
    <comment ref="Y40" authorId="0">
      <text>
        <r>
          <rPr>
            <b/>
            <sz val="9"/>
            <rFont val="宋体"/>
            <charset val="134"/>
          </rPr>
          <t>永荣科技:</t>
        </r>
        <r>
          <rPr>
            <sz val="9"/>
            <rFont val="宋体"/>
            <charset val="134"/>
          </rPr>
          <t xml:space="preserve">
1、17.9记155，承兑汇67万元（20%预付款）
</t>
        </r>
      </text>
    </comment>
    <comment ref="J41" authorId="0">
      <text>
        <r>
          <rPr>
            <b/>
            <sz val="9"/>
            <rFont val="宋体"/>
            <charset val="134"/>
          </rPr>
          <t>永荣科技:</t>
        </r>
        <r>
          <rPr>
            <sz val="9"/>
            <rFont val="宋体"/>
            <charset val="134"/>
          </rPr>
          <t xml:space="preserve">
未申请</t>
        </r>
      </text>
    </comment>
    <comment ref="J42" authorId="0">
      <text>
        <r>
          <rPr>
            <b/>
            <sz val="9"/>
            <rFont val="宋体"/>
            <charset val="134"/>
          </rPr>
          <t>永荣科技:</t>
        </r>
        <r>
          <rPr>
            <sz val="9"/>
            <rFont val="宋体"/>
            <charset val="134"/>
          </rPr>
          <t xml:space="preserve">
未申请</t>
        </r>
      </text>
    </comment>
    <comment ref="J43" authorId="0">
      <text>
        <r>
          <rPr>
            <b/>
            <sz val="9"/>
            <rFont val="宋体"/>
            <charset val="134"/>
          </rPr>
          <t>永荣科技:</t>
        </r>
        <r>
          <rPr>
            <sz val="9"/>
            <rFont val="宋体"/>
            <charset val="134"/>
          </rPr>
          <t xml:space="preserve">
未申请</t>
        </r>
      </text>
    </comment>
    <comment ref="J44" authorId="0">
      <text>
        <r>
          <rPr>
            <b/>
            <sz val="9"/>
            <rFont val="宋体"/>
            <charset val="134"/>
          </rPr>
          <t>永荣科技:</t>
        </r>
        <r>
          <rPr>
            <sz val="9"/>
            <rFont val="宋体"/>
            <charset val="134"/>
          </rPr>
          <t xml:space="preserve">
1、17.8记219，承兑汇275万元（20%预付款）
</t>
        </r>
      </text>
    </comment>
    <comment ref="Y44" authorId="0">
      <text>
        <r>
          <rPr>
            <b/>
            <sz val="9"/>
            <rFont val="宋体"/>
            <charset val="134"/>
          </rPr>
          <t>永荣科技:</t>
        </r>
        <r>
          <rPr>
            <sz val="9"/>
            <rFont val="宋体"/>
            <charset val="134"/>
          </rPr>
          <t xml:space="preserve">
1、17.8记219，承兑汇275万元（20%预付款）
</t>
        </r>
      </text>
    </comment>
    <comment ref="J45" authorId="0">
      <text>
        <r>
          <rPr>
            <b/>
            <sz val="9"/>
            <rFont val="宋体"/>
            <charset val="134"/>
          </rPr>
          <t>永荣科技:</t>
        </r>
        <r>
          <rPr>
            <sz val="9"/>
            <rFont val="宋体"/>
            <charset val="134"/>
          </rPr>
          <t xml:space="preserve">
1、17年11月9日，承兑汇953300元（到货955349.76元）</t>
        </r>
      </text>
    </comment>
    <comment ref="Y45" authorId="0">
      <text>
        <r>
          <rPr>
            <b/>
            <sz val="9"/>
            <rFont val="宋体"/>
            <charset val="134"/>
          </rPr>
          <t>永荣科技:</t>
        </r>
        <r>
          <rPr>
            <sz val="9"/>
            <rFont val="宋体"/>
            <charset val="134"/>
          </rPr>
          <t xml:space="preserve">
1、17年11月9日，承兑汇953300元（到货955349.76元）
</t>
        </r>
      </text>
    </comment>
    <comment ref="J46" authorId="0">
      <text>
        <r>
          <rPr>
            <b/>
            <sz val="9"/>
            <rFont val="宋体"/>
            <charset val="134"/>
          </rPr>
          <t>永荣科技:</t>
        </r>
        <r>
          <rPr>
            <sz val="9"/>
            <rFont val="宋体"/>
            <charset val="134"/>
          </rPr>
          <t xml:space="preserve">
未申请</t>
        </r>
      </text>
    </comment>
    <comment ref="J48" authorId="0">
      <text>
        <r>
          <rPr>
            <b/>
            <sz val="9"/>
            <rFont val="宋体"/>
            <charset val="134"/>
          </rPr>
          <t>永荣科技:</t>
        </r>
        <r>
          <rPr>
            <sz val="9"/>
            <rFont val="宋体"/>
            <charset val="134"/>
          </rPr>
          <t xml:space="preserve">
未申请</t>
        </r>
      </text>
    </comment>
    <comment ref="J49" authorId="0">
      <text>
        <r>
          <rPr>
            <b/>
            <sz val="9"/>
            <rFont val="宋体"/>
            <charset val="134"/>
          </rPr>
          <t>永荣科技:</t>
        </r>
        <r>
          <rPr>
            <sz val="9"/>
            <rFont val="宋体"/>
            <charset val="134"/>
          </rPr>
          <t xml:space="preserve">
未申请</t>
        </r>
      </text>
    </comment>
    <comment ref="J50" authorId="0">
      <text>
        <r>
          <rPr>
            <b/>
            <sz val="9"/>
            <rFont val="宋体"/>
            <charset val="134"/>
          </rPr>
          <t>永荣科技:</t>
        </r>
        <r>
          <rPr>
            <sz val="9"/>
            <rFont val="宋体"/>
            <charset val="134"/>
          </rPr>
          <t xml:space="preserve">
未申请</t>
        </r>
      </text>
    </comment>
    <comment ref="J51" authorId="0">
      <text>
        <r>
          <rPr>
            <b/>
            <sz val="9"/>
            <rFont val="宋体"/>
            <charset val="134"/>
          </rPr>
          <t>永荣科技:</t>
        </r>
        <r>
          <rPr>
            <sz val="9"/>
            <rFont val="宋体"/>
            <charset val="134"/>
          </rPr>
          <t xml:space="preserve">
1、17.7记174，电汇30900元（30%预付款）
2、17.9记150，电汇72100（尾款）
本单已清
</t>
        </r>
      </text>
    </comment>
    <comment ref="Y51" authorId="0">
      <text>
        <r>
          <rPr>
            <b/>
            <sz val="9"/>
            <rFont val="宋体"/>
            <charset val="134"/>
          </rPr>
          <t>永荣科技:</t>
        </r>
        <r>
          <rPr>
            <sz val="9"/>
            <rFont val="宋体"/>
            <charset val="134"/>
          </rPr>
          <t xml:space="preserve">
1、17.7记174，电汇30900元（30%预付款）
</t>
        </r>
      </text>
    </comment>
    <comment ref="AC51" authorId="0">
      <text>
        <r>
          <rPr>
            <b/>
            <sz val="9"/>
            <rFont val="宋体"/>
            <charset val="134"/>
          </rPr>
          <t>永荣科技:</t>
        </r>
        <r>
          <rPr>
            <sz val="9"/>
            <rFont val="宋体"/>
            <charset val="134"/>
          </rPr>
          <t xml:space="preserve">
2、17.9记150，电汇72100（尾款）
本单已清
</t>
        </r>
      </text>
    </comment>
    <comment ref="J52" authorId="0">
      <text>
        <r>
          <rPr>
            <b/>
            <sz val="9"/>
            <rFont val="宋体"/>
            <charset val="134"/>
          </rPr>
          <t>永荣科技:</t>
        </r>
        <r>
          <rPr>
            <sz val="9"/>
            <rFont val="宋体"/>
            <charset val="134"/>
          </rPr>
          <t xml:space="preserve">
1、17.6记132，电汇91600*7.6472=700483.52元（20%预付款）
2、17.8.18申请370064欧元*7.9631元（80%合同金额） 未付</t>
        </r>
      </text>
    </comment>
    <comment ref="Q52" authorId="0">
      <text>
        <r>
          <rPr>
            <b/>
            <sz val="9"/>
            <rFont val="宋体"/>
            <charset val="134"/>
          </rPr>
          <t>永荣科技:</t>
        </r>
        <r>
          <rPr>
            <sz val="9"/>
            <rFont val="宋体"/>
            <charset val="134"/>
          </rPr>
          <t xml:space="preserve">
单位欧元
462580*7.9631</t>
        </r>
      </text>
    </comment>
    <comment ref="Y52" authorId="0">
      <text>
        <r>
          <rPr>
            <b/>
            <sz val="9"/>
            <rFont val="宋体"/>
            <charset val="134"/>
          </rPr>
          <t>永荣科技:</t>
        </r>
        <r>
          <rPr>
            <sz val="9"/>
            <rFont val="宋体"/>
            <charset val="134"/>
          </rPr>
          <t xml:space="preserve">
1、17.6记132，电汇91600*7.6472=700483.52元（20%预付款）</t>
        </r>
      </text>
    </comment>
    <comment ref="J53" authorId="0">
      <text>
        <r>
          <rPr>
            <b/>
            <sz val="9"/>
            <rFont val="宋体"/>
            <charset val="134"/>
          </rPr>
          <t xml:space="preserve">永荣科技:  </t>
        </r>
        <r>
          <rPr>
            <sz val="9"/>
            <rFont val="宋体"/>
            <charset val="134"/>
          </rPr>
          <t xml:space="preserve">
1、17.7记197，电汇200万元（预付款，保证金）
2、17.9记172，电汇161070.9元
3、17年11月3日，电汇22928118.25元</t>
        </r>
      </text>
    </comment>
    <comment ref="Y53" authorId="0">
      <text>
        <r>
          <rPr>
            <b/>
            <sz val="9"/>
            <rFont val="宋体"/>
            <charset val="134"/>
          </rPr>
          <t>永荣科技:</t>
        </r>
        <r>
          <rPr>
            <sz val="9"/>
            <rFont val="宋体"/>
            <charset val="134"/>
          </rPr>
          <t xml:space="preserve">
1、17.7记197，电汇200万元（预付款，保证金）
</t>
        </r>
      </text>
    </comment>
    <comment ref="AC53" authorId="0">
      <text>
        <r>
          <rPr>
            <b/>
            <sz val="9"/>
            <rFont val="宋体"/>
            <charset val="134"/>
          </rPr>
          <t>永荣科技:</t>
        </r>
        <r>
          <rPr>
            <sz val="9"/>
            <rFont val="宋体"/>
            <charset val="134"/>
          </rPr>
          <t xml:space="preserve">
2、17.9记172，电汇161070.9元
3、17年11月3日，电汇22928118.25元
</t>
        </r>
      </text>
    </comment>
    <comment ref="J54" authorId="0">
      <text>
        <r>
          <rPr>
            <b/>
            <sz val="9"/>
            <rFont val="宋体"/>
            <charset val="134"/>
          </rPr>
          <t>永荣科技:</t>
        </r>
        <r>
          <rPr>
            <sz val="9"/>
            <rFont val="宋体"/>
            <charset val="134"/>
          </rPr>
          <t xml:space="preserve">
1、17.9记190，电汇393.842万元（共405.6万元，扣贴息117580元）
</t>
        </r>
      </text>
    </comment>
    <comment ref="Y54" authorId="0">
      <text>
        <r>
          <rPr>
            <b/>
            <sz val="9"/>
            <rFont val="宋体"/>
            <charset val="134"/>
          </rPr>
          <t>永荣科技:</t>
        </r>
        <r>
          <rPr>
            <sz val="9"/>
            <rFont val="宋体"/>
            <charset val="134"/>
          </rPr>
          <t xml:space="preserve">
1、17.9记190，电汇393.842万元（共405.6万元，扣贴息117580元）
</t>
        </r>
      </text>
    </comment>
    <comment ref="J55" authorId="0">
      <text>
        <r>
          <rPr>
            <b/>
            <sz val="9"/>
            <rFont val="宋体"/>
            <charset val="134"/>
          </rPr>
          <t>永荣科技:</t>
        </r>
        <r>
          <rPr>
            <sz val="9"/>
            <rFont val="宋体"/>
            <charset val="134"/>
          </rPr>
          <t xml:space="preserve">
1、17.9记190，电汇393.842万元（共405.6万元，扣贴息117580元）</t>
        </r>
      </text>
    </comment>
    <comment ref="Y55" authorId="0">
      <text>
        <r>
          <rPr>
            <b/>
            <sz val="9"/>
            <rFont val="宋体"/>
            <charset val="134"/>
          </rPr>
          <t>永荣科技:</t>
        </r>
        <r>
          <rPr>
            <sz val="9"/>
            <rFont val="宋体"/>
            <charset val="134"/>
          </rPr>
          <t xml:space="preserve">
1、17.9记190，电汇393.842万元（共405.6万元，扣贴息117580元）
</t>
        </r>
      </text>
    </comment>
    <comment ref="J56" authorId="0">
      <text>
        <r>
          <rPr>
            <b/>
            <sz val="9"/>
            <rFont val="宋体"/>
            <charset val="134"/>
          </rPr>
          <t>永荣科技:</t>
        </r>
        <r>
          <rPr>
            <sz val="9"/>
            <rFont val="宋体"/>
            <charset val="134"/>
          </rPr>
          <t xml:space="preserve">
未申请</t>
        </r>
      </text>
    </comment>
    <comment ref="J57" authorId="0">
      <text>
        <r>
          <rPr>
            <b/>
            <sz val="9"/>
            <rFont val="宋体"/>
            <charset val="134"/>
          </rPr>
          <t>永荣科技:</t>
        </r>
        <r>
          <rPr>
            <sz val="9"/>
            <rFont val="宋体"/>
            <charset val="134"/>
          </rPr>
          <t xml:space="preserve">
未申请</t>
        </r>
      </text>
    </comment>
    <comment ref="J58" authorId="0">
      <text>
        <r>
          <rPr>
            <b/>
            <sz val="9"/>
            <rFont val="宋体"/>
            <charset val="134"/>
          </rPr>
          <t>永荣科技:</t>
        </r>
        <r>
          <rPr>
            <sz val="9"/>
            <rFont val="宋体"/>
            <charset val="134"/>
          </rPr>
          <t xml:space="preserve">
未申请</t>
        </r>
      </text>
    </comment>
    <comment ref="J59" authorId="0">
      <text>
        <r>
          <rPr>
            <b/>
            <sz val="9"/>
            <rFont val="宋体"/>
            <charset val="134"/>
          </rPr>
          <t>永荣科技:</t>
        </r>
        <r>
          <rPr>
            <sz val="9"/>
            <rFont val="宋体"/>
            <charset val="134"/>
          </rPr>
          <t xml:space="preserve">
未申请</t>
        </r>
      </text>
    </comment>
    <comment ref="J60" authorId="0">
      <text>
        <r>
          <rPr>
            <b/>
            <sz val="9"/>
            <rFont val="宋体"/>
            <charset val="134"/>
          </rPr>
          <t>永荣科技:</t>
        </r>
        <r>
          <rPr>
            <sz val="9"/>
            <rFont val="宋体"/>
            <charset val="134"/>
          </rPr>
          <t xml:space="preserve">
未申请</t>
        </r>
      </text>
    </comment>
    <comment ref="J61" authorId="0">
      <text>
        <r>
          <rPr>
            <b/>
            <sz val="9"/>
            <rFont val="宋体"/>
            <charset val="134"/>
          </rPr>
          <t>永荣科技:</t>
        </r>
        <r>
          <rPr>
            <sz val="9"/>
            <rFont val="宋体"/>
            <charset val="134"/>
          </rPr>
          <t xml:space="preserve">
1、17.10记203，承兑汇70500元（30%预付款）</t>
        </r>
      </text>
    </comment>
    <comment ref="Y61" authorId="0">
      <text>
        <r>
          <rPr>
            <b/>
            <sz val="9"/>
            <rFont val="宋体"/>
            <charset val="134"/>
          </rPr>
          <t>永荣科技:</t>
        </r>
        <r>
          <rPr>
            <sz val="9"/>
            <rFont val="宋体"/>
            <charset val="134"/>
          </rPr>
          <t xml:space="preserve">
1、17.10记203，承兑汇70500元（30%预付款）
</t>
        </r>
      </text>
    </comment>
    <comment ref="J62" authorId="0">
      <text>
        <r>
          <rPr>
            <b/>
            <sz val="9"/>
            <rFont val="宋体"/>
            <charset val="134"/>
          </rPr>
          <t>永荣科技:</t>
        </r>
        <r>
          <rPr>
            <sz val="9"/>
            <rFont val="宋体"/>
            <charset val="134"/>
          </rPr>
          <t xml:space="preserve">
1、17.9记173，电汇31万元（20%预付款）</t>
        </r>
      </text>
    </comment>
    <comment ref="Y62" authorId="0">
      <text>
        <r>
          <rPr>
            <b/>
            <sz val="9"/>
            <rFont val="宋体"/>
            <charset val="134"/>
          </rPr>
          <t>永荣科技:</t>
        </r>
        <r>
          <rPr>
            <sz val="9"/>
            <rFont val="宋体"/>
            <charset val="134"/>
          </rPr>
          <t xml:space="preserve">
1、17.9记173，电汇31万元（20%预付款）
</t>
        </r>
      </text>
    </comment>
    <comment ref="J63" authorId="0">
      <text>
        <r>
          <rPr>
            <b/>
            <sz val="9"/>
            <rFont val="宋体"/>
            <charset val="134"/>
          </rPr>
          <t>永荣科技:</t>
        </r>
        <r>
          <rPr>
            <sz val="9"/>
            <rFont val="宋体"/>
            <charset val="134"/>
          </rPr>
          <t xml:space="preserve">
未申请</t>
        </r>
      </text>
    </comment>
    <comment ref="J64" authorId="0">
      <text>
        <r>
          <rPr>
            <b/>
            <sz val="9"/>
            <rFont val="宋体"/>
            <charset val="134"/>
          </rPr>
          <t>永荣科技:</t>
        </r>
        <r>
          <rPr>
            <sz val="9"/>
            <rFont val="宋体"/>
            <charset val="134"/>
          </rPr>
          <t xml:space="preserve">
1、17.10记196，电汇3.6万元（20%预付款）</t>
        </r>
      </text>
    </comment>
    <comment ref="Y64" authorId="0">
      <text>
        <r>
          <rPr>
            <b/>
            <sz val="9"/>
            <rFont val="宋体"/>
            <charset val="134"/>
          </rPr>
          <t>永荣科技:</t>
        </r>
        <r>
          <rPr>
            <sz val="9"/>
            <rFont val="宋体"/>
            <charset val="134"/>
          </rPr>
          <t xml:space="preserve">
1、17.10记196，电汇3.6万元（20%预付款）
</t>
        </r>
      </text>
    </comment>
    <comment ref="J65" authorId="0">
      <text>
        <r>
          <rPr>
            <b/>
            <sz val="9"/>
            <rFont val="宋体"/>
            <charset val="134"/>
          </rPr>
          <t>永荣科技:</t>
        </r>
        <r>
          <rPr>
            <sz val="9"/>
            <rFont val="宋体"/>
            <charset val="134"/>
          </rPr>
          <t xml:space="preserve">
未申请</t>
        </r>
      </text>
    </comment>
    <comment ref="J66" authorId="0">
      <text>
        <r>
          <rPr>
            <b/>
            <sz val="9"/>
            <rFont val="宋体"/>
            <charset val="134"/>
          </rPr>
          <t>永荣科技:</t>
        </r>
        <r>
          <rPr>
            <sz val="9"/>
            <rFont val="宋体"/>
            <charset val="134"/>
          </rPr>
          <t xml:space="preserve">
未申请</t>
        </r>
      </text>
    </comment>
    <comment ref="J68" authorId="0">
      <text>
        <r>
          <rPr>
            <b/>
            <sz val="9"/>
            <rFont val="宋体"/>
            <charset val="134"/>
          </rPr>
          <t>永荣科技:</t>
        </r>
        <r>
          <rPr>
            <sz val="9"/>
            <rFont val="宋体"/>
            <charset val="134"/>
          </rPr>
          <t xml:space="preserve">
1、17.10记212，电汇130969.75元（10%预付款）
</t>
        </r>
      </text>
    </comment>
    <comment ref="Q68" authorId="0">
      <text>
        <r>
          <rPr>
            <b/>
            <sz val="9"/>
            <rFont val="宋体"/>
            <charset val="134"/>
          </rPr>
          <t>永荣科技:</t>
        </r>
        <r>
          <rPr>
            <sz val="9"/>
            <rFont val="宋体"/>
            <charset val="134"/>
          </rPr>
          <t xml:space="preserve">
单位欧元
167000*7.9631</t>
        </r>
      </text>
    </comment>
    <comment ref="Y68" authorId="0">
      <text>
        <r>
          <rPr>
            <b/>
            <sz val="9"/>
            <rFont val="宋体"/>
            <charset val="134"/>
          </rPr>
          <t>永荣科技:</t>
        </r>
        <r>
          <rPr>
            <sz val="9"/>
            <rFont val="宋体"/>
            <charset val="134"/>
          </rPr>
          <t xml:space="preserve">
1、17.10记212，电汇130969.75元（10%预付款）</t>
        </r>
      </text>
    </comment>
    <comment ref="J69" authorId="0">
      <text>
        <r>
          <rPr>
            <b/>
            <sz val="9"/>
            <rFont val="宋体"/>
            <charset val="134"/>
          </rPr>
          <t>永荣科技:</t>
        </r>
        <r>
          <rPr>
            <sz val="9"/>
            <rFont val="宋体"/>
            <charset val="134"/>
          </rPr>
          <t xml:space="preserve">
1、17.9记227，承兑汇35万元（20%预付款）</t>
        </r>
      </text>
    </comment>
    <comment ref="Y69" authorId="0">
      <text>
        <r>
          <rPr>
            <b/>
            <sz val="9"/>
            <rFont val="宋体"/>
            <charset val="134"/>
          </rPr>
          <t>永荣科技:</t>
        </r>
        <r>
          <rPr>
            <sz val="9"/>
            <rFont val="宋体"/>
            <charset val="134"/>
          </rPr>
          <t xml:space="preserve">
1、17.9记227，承兑汇35万元（20%预付款）
</t>
        </r>
      </text>
    </comment>
    <comment ref="J70" authorId="0">
      <text>
        <r>
          <rPr>
            <b/>
            <sz val="9"/>
            <rFont val="宋体"/>
            <charset val="134"/>
          </rPr>
          <t>永荣科技:</t>
        </r>
        <r>
          <rPr>
            <sz val="9"/>
            <rFont val="宋体"/>
            <charset val="134"/>
          </rPr>
          <t xml:space="preserve">
1、17.7记160，承兑汇50.6万元</t>
        </r>
      </text>
    </comment>
    <comment ref="Y70" authorId="0">
      <text>
        <r>
          <rPr>
            <b/>
            <sz val="9"/>
            <rFont val="宋体"/>
            <charset val="134"/>
          </rPr>
          <t>永荣科技:</t>
        </r>
        <r>
          <rPr>
            <sz val="9"/>
            <rFont val="宋体"/>
            <charset val="134"/>
          </rPr>
          <t xml:space="preserve">
1、17.7记160，承兑汇50.6万元
</t>
        </r>
      </text>
    </comment>
    <comment ref="J71" authorId="0">
      <text>
        <r>
          <rPr>
            <b/>
            <sz val="9"/>
            <rFont val="宋体"/>
            <charset val="134"/>
          </rPr>
          <t>永荣科技:</t>
        </r>
        <r>
          <rPr>
            <sz val="9"/>
            <rFont val="宋体"/>
            <charset val="134"/>
          </rPr>
          <t xml:space="preserve">
未申请</t>
        </r>
      </text>
    </comment>
    <comment ref="J72" authorId="0">
      <text>
        <r>
          <rPr>
            <b/>
            <sz val="9"/>
            <rFont val="宋体"/>
            <charset val="134"/>
          </rPr>
          <t>永荣科技:</t>
        </r>
        <r>
          <rPr>
            <sz val="9"/>
            <rFont val="宋体"/>
            <charset val="134"/>
          </rPr>
          <t xml:space="preserve">
1、17.9记181，电汇27.58万元（20%预付款)</t>
        </r>
      </text>
    </comment>
    <comment ref="Y72" authorId="0">
      <text>
        <r>
          <rPr>
            <b/>
            <sz val="9"/>
            <rFont val="宋体"/>
            <charset val="134"/>
          </rPr>
          <t>永荣科技:</t>
        </r>
        <r>
          <rPr>
            <sz val="9"/>
            <rFont val="宋体"/>
            <charset val="134"/>
          </rPr>
          <t xml:space="preserve">
1、17.9记181，电汇27.58万元（20%预付款)
</t>
        </r>
      </text>
    </comment>
    <comment ref="J73" authorId="0">
      <text>
        <r>
          <rPr>
            <b/>
            <sz val="9"/>
            <rFont val="宋体"/>
            <charset val="134"/>
          </rPr>
          <t>永荣科技:</t>
        </r>
        <r>
          <rPr>
            <sz val="9"/>
            <rFont val="宋体"/>
            <charset val="134"/>
          </rPr>
          <t xml:space="preserve">
1、17.10记165，电汇436500元（10%预付款）</t>
        </r>
      </text>
    </comment>
    <comment ref="Y73" authorId="0">
      <text>
        <r>
          <rPr>
            <b/>
            <sz val="9"/>
            <rFont val="宋体"/>
            <charset val="134"/>
          </rPr>
          <t>永荣科技:</t>
        </r>
        <r>
          <rPr>
            <sz val="9"/>
            <rFont val="宋体"/>
            <charset val="134"/>
          </rPr>
          <t xml:space="preserve">
1、17.10记165，电汇436500元（10%预付款）
</t>
        </r>
      </text>
    </comment>
    <comment ref="J74" authorId="0">
      <text>
        <r>
          <rPr>
            <b/>
            <sz val="9"/>
            <rFont val="宋体"/>
            <charset val="134"/>
          </rPr>
          <t>永荣科技:</t>
        </r>
        <r>
          <rPr>
            <sz val="9"/>
            <rFont val="宋体"/>
            <charset val="134"/>
          </rPr>
          <t xml:space="preserve">
未申请</t>
        </r>
      </text>
    </comment>
    <comment ref="J75" authorId="0">
      <text>
        <r>
          <rPr>
            <b/>
            <sz val="9"/>
            <rFont val="宋体"/>
            <charset val="134"/>
          </rPr>
          <t>永荣科技:</t>
        </r>
        <r>
          <rPr>
            <sz val="9"/>
            <rFont val="宋体"/>
            <charset val="134"/>
          </rPr>
          <t xml:space="preserve">
1、17.10记173，电汇350万元（20%预付款）</t>
        </r>
      </text>
    </comment>
    <comment ref="Y75" authorId="0">
      <text>
        <r>
          <rPr>
            <b/>
            <sz val="9"/>
            <rFont val="宋体"/>
            <charset val="134"/>
          </rPr>
          <t>永荣科技:</t>
        </r>
        <r>
          <rPr>
            <sz val="9"/>
            <rFont val="宋体"/>
            <charset val="134"/>
          </rPr>
          <t xml:space="preserve">
1、17.10记173，电汇350万元（20%预付款）
</t>
        </r>
      </text>
    </comment>
    <comment ref="J76" authorId="0">
      <text>
        <r>
          <rPr>
            <b/>
            <sz val="9"/>
            <rFont val="宋体"/>
            <charset val="134"/>
          </rPr>
          <t>永荣科技:</t>
        </r>
        <r>
          <rPr>
            <sz val="9"/>
            <rFont val="宋体"/>
            <charset val="134"/>
          </rPr>
          <t xml:space="preserve">
1、17.9记210，电汇184万元（20%预付款）</t>
        </r>
      </text>
    </comment>
    <comment ref="Y76" authorId="0">
      <text>
        <r>
          <rPr>
            <b/>
            <sz val="9"/>
            <rFont val="宋体"/>
            <charset val="134"/>
          </rPr>
          <t>永荣科技:</t>
        </r>
        <r>
          <rPr>
            <sz val="9"/>
            <rFont val="宋体"/>
            <charset val="134"/>
          </rPr>
          <t xml:space="preserve">
1、17.9记210，电汇184万元（20%预付款）
</t>
        </r>
      </text>
    </comment>
    <comment ref="J77" authorId="0">
      <text>
        <r>
          <rPr>
            <b/>
            <sz val="9"/>
            <rFont val="宋体"/>
            <charset val="134"/>
          </rPr>
          <t>永荣科技:</t>
        </r>
        <r>
          <rPr>
            <sz val="9"/>
            <rFont val="宋体"/>
            <charset val="134"/>
          </rPr>
          <t xml:space="preserve">
1、17.9记184，承兑27万元（20%预付款）</t>
        </r>
      </text>
    </comment>
    <comment ref="Y77" authorId="0">
      <text>
        <r>
          <rPr>
            <b/>
            <sz val="9"/>
            <rFont val="宋体"/>
            <charset val="134"/>
          </rPr>
          <t>永荣科技:</t>
        </r>
        <r>
          <rPr>
            <sz val="9"/>
            <rFont val="宋体"/>
            <charset val="134"/>
          </rPr>
          <t xml:space="preserve">
1、17.9记184，承兑27万元（20%预付款）
</t>
        </r>
      </text>
    </comment>
    <comment ref="J78" authorId="0">
      <text>
        <r>
          <rPr>
            <b/>
            <sz val="9"/>
            <rFont val="宋体"/>
            <charset val="134"/>
          </rPr>
          <t>永荣科技:</t>
        </r>
        <r>
          <rPr>
            <sz val="9"/>
            <rFont val="宋体"/>
            <charset val="134"/>
          </rPr>
          <t xml:space="preserve">
1、17.9记164，承兑43万元（20%预付款）</t>
        </r>
      </text>
    </comment>
    <comment ref="Y78" authorId="0">
      <text>
        <r>
          <rPr>
            <b/>
            <sz val="9"/>
            <rFont val="宋体"/>
            <charset val="134"/>
          </rPr>
          <t>永荣科技:</t>
        </r>
        <r>
          <rPr>
            <sz val="9"/>
            <rFont val="宋体"/>
            <charset val="134"/>
          </rPr>
          <t xml:space="preserve">
1、17.9记164，承兑43万元（20%预付款）
</t>
        </r>
      </text>
    </comment>
    <comment ref="J79" authorId="0">
      <text>
        <r>
          <rPr>
            <b/>
            <sz val="9"/>
            <rFont val="宋体"/>
            <charset val="134"/>
          </rPr>
          <t>永荣科技:</t>
        </r>
        <r>
          <rPr>
            <sz val="9"/>
            <rFont val="宋体"/>
            <charset val="134"/>
          </rPr>
          <t xml:space="preserve">
未申请</t>
        </r>
      </text>
    </comment>
    <comment ref="J81" authorId="0">
      <text>
        <r>
          <rPr>
            <b/>
            <sz val="9"/>
            <rFont val="宋体"/>
            <charset val="134"/>
          </rPr>
          <t>永荣科技:</t>
        </r>
        <r>
          <rPr>
            <sz val="9"/>
            <rFont val="宋体"/>
            <charset val="134"/>
          </rPr>
          <t xml:space="preserve">
1、17.9记151，电汇19.4万元（共20万元，扣贴息3%，6000元）</t>
        </r>
      </text>
    </comment>
    <comment ref="Y81" authorId="0">
      <text>
        <r>
          <rPr>
            <b/>
            <sz val="9"/>
            <rFont val="宋体"/>
            <charset val="134"/>
          </rPr>
          <t>永荣科技:</t>
        </r>
        <r>
          <rPr>
            <sz val="9"/>
            <rFont val="宋体"/>
            <charset val="134"/>
          </rPr>
          <t xml:space="preserve">
1、17.9记151，电汇19.4万元（共20万元，扣贴息3%，6000元）
</t>
        </r>
      </text>
    </comment>
    <comment ref="J82" authorId="0">
      <text>
        <r>
          <rPr>
            <b/>
            <sz val="9"/>
            <rFont val="宋体"/>
            <charset val="134"/>
          </rPr>
          <t>永荣科技:</t>
        </r>
        <r>
          <rPr>
            <sz val="9"/>
            <rFont val="宋体"/>
            <charset val="134"/>
          </rPr>
          <t xml:space="preserve">
未申请</t>
        </r>
      </text>
    </comment>
    <comment ref="J84" authorId="0">
      <text>
        <r>
          <rPr>
            <b/>
            <sz val="9"/>
            <rFont val="宋体"/>
            <charset val="134"/>
          </rPr>
          <t>永荣科技:</t>
        </r>
        <r>
          <rPr>
            <sz val="9"/>
            <rFont val="宋体"/>
            <charset val="134"/>
          </rPr>
          <t xml:space="preserve">
1、17.9记148，电汇16.2万元（20%预付款）</t>
        </r>
      </text>
    </comment>
    <comment ref="Y84" authorId="0">
      <text>
        <r>
          <rPr>
            <sz val="9"/>
            <rFont val="宋体"/>
            <charset val="134"/>
          </rPr>
          <t xml:space="preserve">1、17.9记148，电汇16.2万元（20%预付款）
</t>
        </r>
      </text>
    </comment>
    <comment ref="J85" authorId="0">
      <text>
        <r>
          <rPr>
            <b/>
            <sz val="9"/>
            <rFont val="宋体"/>
            <charset val="134"/>
          </rPr>
          <t>永荣科技:</t>
        </r>
        <r>
          <rPr>
            <sz val="9"/>
            <rFont val="宋体"/>
            <charset val="134"/>
          </rPr>
          <t xml:space="preserve">
未申请</t>
        </r>
      </text>
    </comment>
    <comment ref="J86" authorId="0">
      <text>
        <r>
          <rPr>
            <b/>
            <sz val="9"/>
            <rFont val="宋体"/>
            <charset val="134"/>
          </rPr>
          <t>永荣科技:</t>
        </r>
        <r>
          <rPr>
            <sz val="9"/>
            <rFont val="宋体"/>
            <charset val="134"/>
          </rPr>
          <t xml:space="preserve">
1、17年11月13日，承兑汇79.6万元（20%预付款）</t>
        </r>
      </text>
    </comment>
    <comment ref="Y86" authorId="0">
      <text>
        <r>
          <rPr>
            <b/>
            <sz val="9"/>
            <rFont val="宋体"/>
            <charset val="134"/>
          </rPr>
          <t>永荣科技:</t>
        </r>
        <r>
          <rPr>
            <sz val="9"/>
            <rFont val="宋体"/>
            <charset val="134"/>
          </rPr>
          <t xml:space="preserve">
1、17年11月13日，承兑汇79.6万元（20%预付款）
</t>
        </r>
      </text>
    </comment>
    <comment ref="J87" authorId="0">
      <text>
        <r>
          <rPr>
            <b/>
            <sz val="9"/>
            <rFont val="宋体"/>
            <charset val="134"/>
          </rPr>
          <t>永荣科技:</t>
        </r>
        <r>
          <rPr>
            <sz val="9"/>
            <rFont val="宋体"/>
            <charset val="134"/>
          </rPr>
          <t xml:space="preserve">
未申请</t>
        </r>
      </text>
    </comment>
    <comment ref="J88" authorId="0">
      <text>
        <r>
          <rPr>
            <b/>
            <sz val="9"/>
            <rFont val="宋体"/>
            <charset val="134"/>
          </rPr>
          <t>永荣科技:</t>
        </r>
        <r>
          <rPr>
            <sz val="9"/>
            <rFont val="宋体"/>
            <charset val="134"/>
          </rPr>
          <t xml:space="preserve">
未申请</t>
        </r>
      </text>
    </comment>
    <comment ref="J89" authorId="0">
      <text>
        <r>
          <rPr>
            <b/>
            <sz val="9"/>
            <rFont val="宋体"/>
            <charset val="134"/>
          </rPr>
          <t>永荣科技:</t>
        </r>
        <r>
          <rPr>
            <sz val="9"/>
            <rFont val="宋体"/>
            <charset val="134"/>
          </rPr>
          <t xml:space="preserve">
1、17.10.16申请8.4万元（30%预付款）</t>
        </r>
      </text>
    </comment>
    <comment ref="J90" authorId="0">
      <text>
        <r>
          <rPr>
            <b/>
            <sz val="9"/>
            <rFont val="宋体"/>
            <charset val="134"/>
          </rPr>
          <t>永荣科技:</t>
        </r>
        <r>
          <rPr>
            <sz val="9"/>
            <rFont val="宋体"/>
            <charset val="134"/>
          </rPr>
          <t xml:space="preserve">
未申请</t>
        </r>
      </text>
    </comment>
    <comment ref="J91" authorId="0">
      <text>
        <r>
          <rPr>
            <b/>
            <sz val="9"/>
            <rFont val="宋体"/>
            <charset val="134"/>
          </rPr>
          <t>永荣科技:</t>
        </r>
        <r>
          <rPr>
            <sz val="9"/>
            <rFont val="宋体"/>
            <charset val="134"/>
          </rPr>
          <t xml:space="preserve">
1、17.9记226，承兑汇30万元（20%预付款）</t>
        </r>
      </text>
    </comment>
    <comment ref="Y91" authorId="0">
      <text>
        <r>
          <rPr>
            <b/>
            <sz val="9"/>
            <rFont val="宋体"/>
            <charset val="134"/>
          </rPr>
          <t>永荣科技:</t>
        </r>
        <r>
          <rPr>
            <sz val="9"/>
            <rFont val="宋体"/>
            <charset val="134"/>
          </rPr>
          <t xml:space="preserve">
1、17.9记226，承兑汇30万元（20%预付款）
</t>
        </r>
      </text>
    </comment>
    <comment ref="J92" authorId="0">
      <text>
        <r>
          <rPr>
            <b/>
            <sz val="9"/>
            <rFont val="宋体"/>
            <charset val="134"/>
          </rPr>
          <t>永荣科技:</t>
        </r>
        <r>
          <rPr>
            <sz val="9"/>
            <rFont val="宋体"/>
            <charset val="134"/>
          </rPr>
          <t xml:space="preserve">
1、17.10记197，电汇4.4万元（20%预付款）</t>
        </r>
      </text>
    </comment>
    <comment ref="Q92" authorId="0">
      <text>
        <r>
          <rPr>
            <b/>
            <sz val="9"/>
            <rFont val="宋体"/>
            <charset val="134"/>
          </rPr>
          <t>永荣科技:</t>
        </r>
        <r>
          <rPr>
            <sz val="9"/>
            <rFont val="宋体"/>
            <charset val="134"/>
          </rPr>
          <t xml:space="preserve">
原22万元追加1.8万元</t>
        </r>
      </text>
    </comment>
    <comment ref="Y92" authorId="0">
      <text>
        <r>
          <rPr>
            <b/>
            <sz val="9"/>
            <rFont val="宋体"/>
            <charset val="134"/>
          </rPr>
          <t>永荣科技:</t>
        </r>
        <r>
          <rPr>
            <sz val="9"/>
            <rFont val="宋体"/>
            <charset val="134"/>
          </rPr>
          <t xml:space="preserve">
1、17.10记197，电汇4.4万元（20%预付款）
</t>
        </r>
      </text>
    </comment>
    <comment ref="J95" authorId="0">
      <text>
        <r>
          <rPr>
            <b/>
            <sz val="9"/>
            <rFont val="宋体"/>
            <charset val="134"/>
          </rPr>
          <t>永荣科技:</t>
        </r>
        <r>
          <rPr>
            <sz val="9"/>
            <rFont val="宋体"/>
            <charset val="134"/>
          </rPr>
          <t xml:space="preserve">
1、17.11.15申请25.6万元（20%预付款）</t>
        </r>
      </text>
    </comment>
    <comment ref="J96" authorId="0">
      <text>
        <r>
          <rPr>
            <b/>
            <sz val="9"/>
            <rFont val="宋体"/>
            <charset val="134"/>
          </rPr>
          <t>永荣科技:</t>
        </r>
        <r>
          <rPr>
            <sz val="9"/>
            <rFont val="宋体"/>
            <charset val="134"/>
          </rPr>
          <t xml:space="preserve">
1、17.9记223，承兑汇230万元；17.10记148，承兑5万；17.9记215，退4000元。合计234.6万元</t>
        </r>
      </text>
    </comment>
    <comment ref="Y96" authorId="0">
      <text>
        <r>
          <rPr>
            <b/>
            <sz val="9"/>
            <rFont val="宋体"/>
            <charset val="134"/>
          </rPr>
          <t>永荣科技:</t>
        </r>
        <r>
          <rPr>
            <sz val="9"/>
            <rFont val="宋体"/>
            <charset val="134"/>
          </rPr>
          <t xml:space="preserve">
1、17.9记223，承兑汇230万元；17.10记148，承兑5万；17.9记215，退4000元。合计234.6万元
</t>
        </r>
      </text>
    </comment>
    <comment ref="J97" authorId="0">
      <text>
        <r>
          <rPr>
            <b/>
            <sz val="9"/>
            <rFont val="宋体"/>
            <charset val="134"/>
          </rPr>
          <t>永荣科技:</t>
        </r>
        <r>
          <rPr>
            <sz val="9"/>
            <rFont val="宋体"/>
            <charset val="134"/>
          </rPr>
          <t xml:space="preserve">
1、17.10记205，承兑汇69万元（60%发货款）</t>
        </r>
      </text>
    </comment>
    <comment ref="Y97" authorId="0">
      <text>
        <r>
          <rPr>
            <b/>
            <sz val="9"/>
            <rFont val="宋体"/>
            <charset val="134"/>
          </rPr>
          <t>永荣科技:</t>
        </r>
        <r>
          <rPr>
            <sz val="9"/>
            <rFont val="宋体"/>
            <charset val="134"/>
          </rPr>
          <t xml:space="preserve">
1、17.10记205，承兑汇69万元（60%发货款）
</t>
        </r>
      </text>
    </comment>
    <comment ref="J98" authorId="0">
      <text>
        <r>
          <rPr>
            <b/>
            <sz val="9"/>
            <rFont val="宋体"/>
            <charset val="134"/>
          </rPr>
          <t>永荣科技:</t>
        </r>
        <r>
          <rPr>
            <sz val="9"/>
            <rFont val="宋体"/>
            <charset val="134"/>
          </rPr>
          <t xml:space="preserve">
1、17.9记224，承兑汇30.4万元（20%预付款）</t>
        </r>
      </text>
    </comment>
    <comment ref="Y98" authorId="0">
      <text>
        <r>
          <rPr>
            <b/>
            <sz val="9"/>
            <rFont val="宋体"/>
            <charset val="134"/>
          </rPr>
          <t>永荣科技:</t>
        </r>
        <r>
          <rPr>
            <sz val="9"/>
            <rFont val="宋体"/>
            <charset val="134"/>
          </rPr>
          <t xml:space="preserve">
1、17.9记224，承兑汇30.4万元（20%预付款）
</t>
        </r>
      </text>
    </comment>
    <comment ref="J99" authorId="0">
      <text>
        <r>
          <rPr>
            <b/>
            <sz val="9"/>
            <rFont val="宋体"/>
            <charset val="134"/>
          </rPr>
          <t>永荣科技:</t>
        </r>
        <r>
          <rPr>
            <sz val="9"/>
            <rFont val="宋体"/>
            <charset val="134"/>
          </rPr>
          <t xml:space="preserve">
1、17.9记217，承兑汇446万元（20%预付款)</t>
        </r>
      </text>
    </comment>
    <comment ref="Y99" authorId="0">
      <text>
        <r>
          <rPr>
            <b/>
            <sz val="9"/>
            <rFont val="宋体"/>
            <charset val="134"/>
          </rPr>
          <t>永荣科技:</t>
        </r>
        <r>
          <rPr>
            <sz val="9"/>
            <rFont val="宋体"/>
            <charset val="134"/>
          </rPr>
          <t xml:space="preserve">
1、17.9记217，承兑汇446万元（20%预付款)
</t>
        </r>
      </text>
    </comment>
    <comment ref="J100" authorId="0">
      <text>
        <r>
          <rPr>
            <b/>
            <sz val="9"/>
            <rFont val="宋体"/>
            <charset val="134"/>
          </rPr>
          <t>永荣科技:</t>
        </r>
        <r>
          <rPr>
            <sz val="9"/>
            <rFont val="宋体"/>
            <charset val="134"/>
          </rPr>
          <t xml:space="preserve">
1、17.10记217，承兑汇139.6万元（20%预付款）</t>
        </r>
      </text>
    </comment>
    <comment ref="Y100" authorId="0">
      <text>
        <r>
          <rPr>
            <b/>
            <sz val="9"/>
            <rFont val="宋体"/>
            <charset val="134"/>
          </rPr>
          <t>永荣科技:</t>
        </r>
        <r>
          <rPr>
            <sz val="9"/>
            <rFont val="宋体"/>
            <charset val="134"/>
          </rPr>
          <t xml:space="preserve">
1、17.10记217，承兑汇139.6万元（20%预付款）
</t>
        </r>
      </text>
    </comment>
    <comment ref="J101" authorId="0">
      <text>
        <r>
          <rPr>
            <b/>
            <sz val="9"/>
            <rFont val="宋体"/>
            <charset val="134"/>
          </rPr>
          <t>永荣科技:</t>
        </r>
        <r>
          <rPr>
            <sz val="9"/>
            <rFont val="宋体"/>
            <charset val="134"/>
          </rPr>
          <t xml:space="preserve">
1、17.11.21申请107万元（20%预付款）</t>
        </r>
      </text>
    </comment>
    <comment ref="J102" authorId="0">
      <text>
        <r>
          <rPr>
            <b/>
            <sz val="9"/>
            <rFont val="宋体"/>
            <charset val="134"/>
          </rPr>
          <t>永荣科技:</t>
        </r>
        <r>
          <rPr>
            <sz val="9"/>
            <rFont val="宋体"/>
            <charset val="134"/>
          </rPr>
          <t xml:space="preserve">
未申请</t>
        </r>
      </text>
    </comment>
    <comment ref="J103" authorId="0">
      <text>
        <r>
          <rPr>
            <b/>
            <sz val="9"/>
            <rFont val="宋体"/>
            <charset val="134"/>
          </rPr>
          <t>永荣科技:</t>
        </r>
        <r>
          <rPr>
            <sz val="9"/>
            <rFont val="宋体"/>
            <charset val="134"/>
          </rPr>
          <t xml:space="preserve">
2、17.10.23申请85200元</t>
        </r>
      </text>
    </comment>
    <comment ref="J104" authorId="0">
      <text>
        <r>
          <rPr>
            <b/>
            <sz val="9"/>
            <rFont val="宋体"/>
            <charset val="134"/>
          </rPr>
          <t>永荣科技:</t>
        </r>
        <r>
          <rPr>
            <sz val="9"/>
            <rFont val="宋体"/>
            <charset val="134"/>
          </rPr>
          <t xml:space="preserve">
1、17年11月4日，电汇30万元（押金）</t>
        </r>
      </text>
    </comment>
    <comment ref="Y104" authorId="0">
      <text>
        <r>
          <rPr>
            <b/>
            <sz val="9"/>
            <rFont val="宋体"/>
            <charset val="134"/>
          </rPr>
          <t>永荣科技:</t>
        </r>
        <r>
          <rPr>
            <sz val="9"/>
            <rFont val="宋体"/>
            <charset val="134"/>
          </rPr>
          <t xml:space="preserve">
1、17年11月4日，电汇30万元（押金）
</t>
        </r>
      </text>
    </comment>
    <comment ref="J106" authorId="0">
      <text>
        <r>
          <rPr>
            <b/>
            <sz val="9"/>
            <rFont val="宋体"/>
            <charset val="134"/>
          </rPr>
          <t>永荣科技:</t>
        </r>
        <r>
          <rPr>
            <sz val="9"/>
            <rFont val="宋体"/>
            <charset val="134"/>
          </rPr>
          <t xml:space="preserve">
1、17年11月1日，承兑汇218万元（20%预付款）</t>
        </r>
      </text>
    </comment>
    <comment ref="Y106" authorId="0">
      <text>
        <r>
          <rPr>
            <b/>
            <sz val="9"/>
            <rFont val="宋体"/>
            <charset val="134"/>
          </rPr>
          <t>永荣科技:</t>
        </r>
        <r>
          <rPr>
            <sz val="9"/>
            <rFont val="宋体"/>
            <charset val="134"/>
          </rPr>
          <t xml:space="preserve">
1、17年11月1日，承兑汇218万元（20%预付款）
</t>
        </r>
      </text>
    </comment>
    <comment ref="J107" authorId="0">
      <text>
        <r>
          <rPr>
            <b/>
            <sz val="9"/>
            <rFont val="宋体"/>
            <charset val="134"/>
          </rPr>
          <t>永荣科技:</t>
        </r>
        <r>
          <rPr>
            <sz val="9"/>
            <rFont val="宋体"/>
            <charset val="134"/>
          </rPr>
          <t xml:space="preserve">
1、17.10记203，电汇208万元（20%预付款）</t>
        </r>
      </text>
    </comment>
    <comment ref="Y107" authorId="0">
      <text>
        <r>
          <rPr>
            <b/>
            <sz val="9"/>
            <rFont val="宋体"/>
            <charset val="134"/>
          </rPr>
          <t>永荣科技:</t>
        </r>
        <r>
          <rPr>
            <sz val="9"/>
            <rFont val="宋体"/>
            <charset val="134"/>
          </rPr>
          <t xml:space="preserve">
1、17.10记203，电汇208万元（20%预付款）
</t>
        </r>
      </text>
    </comment>
    <comment ref="J108" authorId="0">
      <text>
        <r>
          <rPr>
            <b/>
            <sz val="9"/>
            <rFont val="宋体"/>
            <charset val="134"/>
          </rPr>
          <t>永荣科技:</t>
        </r>
        <r>
          <rPr>
            <sz val="9"/>
            <rFont val="宋体"/>
            <charset val="134"/>
          </rPr>
          <t xml:space="preserve">
未申请</t>
        </r>
      </text>
    </comment>
    <comment ref="J109" authorId="0">
      <text>
        <r>
          <rPr>
            <b/>
            <sz val="9"/>
            <rFont val="宋体"/>
            <charset val="134"/>
          </rPr>
          <t>永荣科技:</t>
        </r>
        <r>
          <rPr>
            <sz val="9"/>
            <rFont val="宋体"/>
            <charset val="134"/>
          </rPr>
          <t xml:space="preserve">
1、17.9记194，电汇1222200元（20%预付款，电汇-下浮3%），发票开1222200元</t>
        </r>
      </text>
    </comment>
    <comment ref="Q109" authorId="0">
      <text>
        <r>
          <rPr>
            <b/>
            <sz val="9"/>
            <rFont val="宋体"/>
            <charset val="134"/>
          </rPr>
          <t>永荣科技:</t>
        </r>
        <r>
          <rPr>
            <sz val="9"/>
            <rFont val="宋体"/>
            <charset val="134"/>
          </rPr>
          <t xml:space="preserve">
合同承兑630万，转账下浮3%</t>
        </r>
      </text>
    </comment>
    <comment ref="Y109" authorId="0">
      <text>
        <r>
          <rPr>
            <b/>
            <sz val="9"/>
            <rFont val="宋体"/>
            <charset val="134"/>
          </rPr>
          <t>永荣科技:</t>
        </r>
        <r>
          <rPr>
            <sz val="9"/>
            <rFont val="宋体"/>
            <charset val="134"/>
          </rPr>
          <t xml:space="preserve">
1、17.9记194，电汇1222200元（20%预付款，电汇-下浮3%），发票开1222200元
</t>
        </r>
      </text>
    </comment>
    <comment ref="J110" authorId="0">
      <text>
        <r>
          <rPr>
            <b/>
            <sz val="9"/>
            <rFont val="宋体"/>
            <charset val="134"/>
          </rPr>
          <t>永荣科技:</t>
        </r>
        <r>
          <rPr>
            <sz val="9"/>
            <rFont val="宋体"/>
            <charset val="134"/>
          </rPr>
          <t xml:space="preserve">
1、17.10记211，电汇210万元（20%预付款）</t>
        </r>
      </text>
    </comment>
    <comment ref="Y110" authorId="0">
      <text>
        <r>
          <rPr>
            <b/>
            <sz val="9"/>
            <rFont val="宋体"/>
            <charset val="134"/>
          </rPr>
          <t>永荣科技:</t>
        </r>
        <r>
          <rPr>
            <sz val="9"/>
            <rFont val="宋体"/>
            <charset val="134"/>
          </rPr>
          <t xml:space="preserve">
1、17.10记211，电汇210万元（20%预付款）
</t>
        </r>
      </text>
    </comment>
    <comment ref="J111" authorId="0">
      <text>
        <r>
          <rPr>
            <b/>
            <sz val="9"/>
            <rFont val="宋体"/>
            <charset val="134"/>
          </rPr>
          <t>永荣科技:</t>
        </r>
        <r>
          <rPr>
            <sz val="9"/>
            <rFont val="宋体"/>
            <charset val="134"/>
          </rPr>
          <t xml:space="preserve">
未申请</t>
        </r>
      </text>
    </comment>
    <comment ref="J112" authorId="0">
      <text>
        <r>
          <rPr>
            <b/>
            <sz val="9"/>
            <rFont val="宋体"/>
            <charset val="134"/>
          </rPr>
          <t>永荣科技:</t>
        </r>
        <r>
          <rPr>
            <sz val="9"/>
            <rFont val="宋体"/>
            <charset val="134"/>
          </rPr>
          <t xml:space="preserve">
未申请</t>
        </r>
      </text>
    </comment>
    <comment ref="J113" authorId="0">
      <text>
        <r>
          <rPr>
            <b/>
            <sz val="9"/>
            <rFont val="宋体"/>
            <charset val="134"/>
          </rPr>
          <t>永荣科技:</t>
        </r>
        <r>
          <rPr>
            <sz val="9"/>
            <rFont val="宋体"/>
            <charset val="134"/>
          </rPr>
          <t xml:space="preserve">
1、17.10记172，承兑汇220万元（20%预付款）</t>
        </r>
      </text>
    </comment>
    <comment ref="Y113" authorId="0">
      <text>
        <r>
          <rPr>
            <b/>
            <sz val="9"/>
            <rFont val="宋体"/>
            <charset val="134"/>
          </rPr>
          <t>永荣科技:</t>
        </r>
        <r>
          <rPr>
            <sz val="9"/>
            <rFont val="宋体"/>
            <charset val="134"/>
          </rPr>
          <t xml:space="preserve">
1、17.10记172，承兑汇220万元（20%预付款）
</t>
        </r>
      </text>
    </comment>
    <comment ref="J114" authorId="0">
      <text>
        <r>
          <rPr>
            <b/>
            <sz val="9"/>
            <rFont val="宋体"/>
            <charset val="134"/>
          </rPr>
          <t>永荣科技:</t>
        </r>
        <r>
          <rPr>
            <sz val="9"/>
            <rFont val="宋体"/>
            <charset val="134"/>
          </rPr>
          <t xml:space="preserve">
未申请</t>
        </r>
      </text>
    </comment>
    <comment ref="J115" authorId="0">
      <text>
        <r>
          <rPr>
            <b/>
            <sz val="9"/>
            <rFont val="宋体"/>
            <charset val="134"/>
          </rPr>
          <t>永荣科技:</t>
        </r>
        <r>
          <rPr>
            <sz val="9"/>
            <rFont val="宋体"/>
            <charset val="134"/>
          </rPr>
          <t xml:space="preserve">
1、17.9记222，承兑汇26.92万元（20%预付款）</t>
        </r>
      </text>
    </comment>
    <comment ref="Y115" authorId="0">
      <text>
        <r>
          <rPr>
            <b/>
            <sz val="9"/>
            <rFont val="宋体"/>
            <charset val="134"/>
          </rPr>
          <t>永荣科技:</t>
        </r>
        <r>
          <rPr>
            <sz val="9"/>
            <rFont val="宋体"/>
            <charset val="134"/>
          </rPr>
          <t xml:space="preserve">
1、17.9记222，承兑汇26.92万元（20%预付款）
</t>
        </r>
      </text>
    </comment>
    <comment ref="J116" authorId="0">
      <text>
        <r>
          <rPr>
            <b/>
            <sz val="9"/>
            <rFont val="宋体"/>
            <charset val="134"/>
          </rPr>
          <t>永荣科技:</t>
        </r>
        <r>
          <rPr>
            <sz val="9"/>
            <rFont val="宋体"/>
            <charset val="134"/>
          </rPr>
          <t xml:space="preserve">
1、17.11.21申请120万元（20%预付款）</t>
        </r>
      </text>
    </comment>
    <comment ref="J117" authorId="0">
      <text>
        <r>
          <rPr>
            <b/>
            <sz val="9"/>
            <rFont val="宋体"/>
            <charset val="134"/>
          </rPr>
          <t>永荣科技:</t>
        </r>
        <r>
          <rPr>
            <sz val="9"/>
            <rFont val="宋体"/>
            <charset val="134"/>
          </rPr>
          <t xml:space="preserve">
1、17年11月7日，电汇194000元（20%预付款）</t>
        </r>
      </text>
    </comment>
    <comment ref="Y117" authorId="0">
      <text>
        <r>
          <rPr>
            <b/>
            <sz val="9"/>
            <rFont val="宋体"/>
            <charset val="134"/>
          </rPr>
          <t>永荣科技:</t>
        </r>
        <r>
          <rPr>
            <sz val="9"/>
            <rFont val="宋体"/>
            <charset val="134"/>
          </rPr>
          <t xml:space="preserve">
1、17年11月7日，电汇194000元（20%预付款）
</t>
        </r>
      </text>
    </comment>
    <comment ref="J118" authorId="0">
      <text>
        <r>
          <rPr>
            <b/>
            <sz val="9"/>
            <rFont val="宋体"/>
            <charset val="134"/>
          </rPr>
          <t>永荣科技:</t>
        </r>
        <r>
          <rPr>
            <sz val="9"/>
            <rFont val="宋体"/>
            <charset val="134"/>
          </rPr>
          <t xml:space="preserve">
1、17年11月10日，电汇15.2万元</t>
        </r>
      </text>
    </comment>
    <comment ref="Y118" authorId="0">
      <text>
        <r>
          <rPr>
            <b/>
            <sz val="9"/>
            <rFont val="宋体"/>
            <charset val="134"/>
          </rPr>
          <t>永荣科技:</t>
        </r>
        <r>
          <rPr>
            <sz val="9"/>
            <rFont val="宋体"/>
            <charset val="134"/>
          </rPr>
          <t xml:space="preserve">
1、17年11月10日，电汇15.2万元
</t>
        </r>
      </text>
    </comment>
    <comment ref="J119" authorId="0">
      <text>
        <r>
          <rPr>
            <b/>
            <sz val="9"/>
            <rFont val="宋体"/>
            <charset val="134"/>
          </rPr>
          <t>永荣科技:</t>
        </r>
        <r>
          <rPr>
            <sz val="9"/>
            <rFont val="宋体"/>
            <charset val="134"/>
          </rPr>
          <t xml:space="preserve">
未申请</t>
        </r>
      </text>
    </comment>
    <comment ref="J120" authorId="0">
      <text>
        <r>
          <rPr>
            <b/>
            <sz val="9"/>
            <rFont val="宋体"/>
            <charset val="134"/>
          </rPr>
          <t>永荣科技:</t>
        </r>
        <r>
          <rPr>
            <sz val="9"/>
            <rFont val="宋体"/>
            <charset val="134"/>
          </rPr>
          <t xml:space="preserve">
1、17年11月14日，电汇35万元（20%预付款）</t>
        </r>
      </text>
    </comment>
    <comment ref="Y120" authorId="0">
      <text>
        <r>
          <rPr>
            <b/>
            <sz val="9"/>
            <rFont val="宋体"/>
            <charset val="134"/>
          </rPr>
          <t>永荣科技:</t>
        </r>
        <r>
          <rPr>
            <sz val="9"/>
            <rFont val="宋体"/>
            <charset val="134"/>
          </rPr>
          <t xml:space="preserve">
1、17年11月14日，电汇35万元（20%预付款）
</t>
        </r>
      </text>
    </comment>
    <comment ref="J121" authorId="0">
      <text>
        <r>
          <rPr>
            <b/>
            <sz val="9"/>
            <rFont val="宋体"/>
            <charset val="134"/>
          </rPr>
          <t>永荣科技:</t>
        </r>
        <r>
          <rPr>
            <sz val="9"/>
            <rFont val="宋体"/>
            <charset val="134"/>
          </rPr>
          <t xml:space="preserve">
未申请</t>
        </r>
      </text>
    </comment>
    <comment ref="J122" authorId="0">
      <text>
        <r>
          <rPr>
            <b/>
            <sz val="9"/>
            <rFont val="宋体"/>
            <charset val="134"/>
          </rPr>
          <t>永荣科技:</t>
        </r>
        <r>
          <rPr>
            <sz val="9"/>
            <rFont val="宋体"/>
            <charset val="134"/>
          </rPr>
          <t xml:space="preserve">
未申请</t>
        </r>
      </text>
    </comment>
    <comment ref="J123" authorId="0">
      <text>
        <r>
          <rPr>
            <b/>
            <sz val="9"/>
            <rFont val="宋体"/>
            <charset val="134"/>
          </rPr>
          <t>永荣科技:</t>
        </r>
        <r>
          <rPr>
            <sz val="9"/>
            <rFont val="宋体"/>
            <charset val="134"/>
          </rPr>
          <t xml:space="preserve">
未申请</t>
        </r>
      </text>
    </comment>
    <comment ref="J124" authorId="0">
      <text>
        <r>
          <rPr>
            <b/>
            <sz val="9"/>
            <rFont val="宋体"/>
            <charset val="134"/>
          </rPr>
          <t>永荣科技:</t>
        </r>
        <r>
          <rPr>
            <sz val="9"/>
            <rFont val="宋体"/>
            <charset val="134"/>
          </rPr>
          <t xml:space="preserve">
未申请</t>
        </r>
      </text>
    </comment>
    <comment ref="J125" authorId="0">
      <text>
        <r>
          <rPr>
            <b/>
            <sz val="9"/>
            <rFont val="宋体"/>
            <charset val="134"/>
          </rPr>
          <t>永荣科技:</t>
        </r>
        <r>
          <rPr>
            <sz val="9"/>
            <rFont val="宋体"/>
            <charset val="134"/>
          </rPr>
          <t xml:space="preserve">
未申请</t>
        </r>
      </text>
    </comment>
    <comment ref="J126" authorId="0">
      <text>
        <r>
          <rPr>
            <b/>
            <sz val="9"/>
            <rFont val="宋体"/>
            <charset val="134"/>
          </rPr>
          <t>永荣科技:</t>
        </r>
        <r>
          <rPr>
            <sz val="9"/>
            <rFont val="宋体"/>
            <charset val="134"/>
          </rPr>
          <t xml:space="preserve">
1、17.11.6申请1071800元（20%预付款）</t>
        </r>
      </text>
    </comment>
    <comment ref="J127" authorId="0">
      <text>
        <r>
          <rPr>
            <b/>
            <sz val="9"/>
            <rFont val="宋体"/>
            <charset val="134"/>
          </rPr>
          <t>永荣科技:</t>
        </r>
        <r>
          <rPr>
            <sz val="9"/>
            <rFont val="宋体"/>
            <charset val="134"/>
          </rPr>
          <t xml:space="preserve">
1、17.11.6申请223800元（20%预付款）</t>
        </r>
      </text>
    </comment>
    <comment ref="J128" authorId="0">
      <text>
        <r>
          <rPr>
            <b/>
            <sz val="9"/>
            <rFont val="宋体"/>
            <charset val="134"/>
          </rPr>
          <t>永荣科技:</t>
        </r>
        <r>
          <rPr>
            <sz val="9"/>
            <rFont val="宋体"/>
            <charset val="134"/>
          </rPr>
          <t xml:space="preserve">
1、17.11.11申请130万元（20%预付款）</t>
        </r>
      </text>
    </comment>
    <comment ref="J129" authorId="0">
      <text>
        <r>
          <rPr>
            <b/>
            <sz val="9"/>
            <rFont val="宋体"/>
            <charset val="134"/>
          </rPr>
          <t>永荣科技:</t>
        </r>
        <r>
          <rPr>
            <sz val="9"/>
            <rFont val="宋体"/>
            <charset val="134"/>
          </rPr>
          <t xml:space="preserve">
1、17年11月14日，电汇393万元（20%预付款）</t>
        </r>
      </text>
    </comment>
    <comment ref="Y129" authorId="0">
      <text>
        <r>
          <rPr>
            <b/>
            <sz val="9"/>
            <rFont val="宋体"/>
            <charset val="134"/>
          </rPr>
          <t>永荣科技:</t>
        </r>
        <r>
          <rPr>
            <sz val="9"/>
            <rFont val="宋体"/>
            <charset val="134"/>
          </rPr>
          <t xml:space="preserve">
1、17年11月14日，电汇393万元（20%预付款）
</t>
        </r>
      </text>
    </comment>
    <comment ref="J140" authorId="0">
      <text>
        <r>
          <rPr>
            <b/>
            <sz val="9"/>
            <rFont val="宋体"/>
            <charset val="134"/>
          </rPr>
          <t>永荣科技:</t>
        </r>
        <r>
          <rPr>
            <sz val="9"/>
            <rFont val="宋体"/>
            <charset val="134"/>
          </rPr>
          <t xml:space="preserve">
1、17.11.20申请185932.1元（95%发货款）</t>
        </r>
      </text>
    </comment>
  </commentList>
</comments>
</file>

<file path=xl/comments3.xml><?xml version="1.0" encoding="utf-8"?>
<comments xmlns="http://schemas.openxmlformats.org/spreadsheetml/2006/main">
  <authors>
    <author>永荣科技</author>
  </authors>
  <commentList>
    <comment ref="J6" authorId="0">
      <text>
        <r>
          <rPr>
            <b/>
            <sz val="9"/>
            <rFont val="宋体"/>
            <charset val="134"/>
          </rPr>
          <t>永荣科技:</t>
        </r>
        <r>
          <rPr>
            <sz val="9"/>
            <rFont val="宋体"/>
            <charset val="134"/>
          </rPr>
          <t xml:space="preserve">
15.7记27,500万
15.9记30,2324万
15.12记133,2180万
16.12记187,564.3141万
</t>
        </r>
      </text>
    </comment>
    <comment ref="Y6" authorId="0">
      <text>
        <r>
          <rPr>
            <b/>
            <sz val="9"/>
            <rFont val="宋体"/>
            <charset val="134"/>
          </rPr>
          <t>永荣科技:</t>
        </r>
        <r>
          <rPr>
            <sz val="9"/>
            <rFont val="宋体"/>
            <charset val="134"/>
          </rPr>
          <t xml:space="preserve">
15.7记27,500万
15.9记30,2324万
15.12记133,2180万
16.12记187,564.3141万</t>
        </r>
      </text>
    </comment>
    <comment ref="J7" authorId="0">
      <text>
        <r>
          <rPr>
            <b/>
            <sz val="9"/>
            <rFont val="宋体"/>
            <charset val="134"/>
          </rPr>
          <t>永荣科技:</t>
        </r>
        <r>
          <rPr>
            <sz val="9"/>
            <rFont val="宋体"/>
            <charset val="134"/>
          </rPr>
          <t xml:space="preserve">
15.7记96,1200万
15.7记97,400万
15.9记73,2192万
15.10记66,608.6万
16.5记69,5702970.32元
16.12记185,586940元
</t>
        </r>
      </text>
    </comment>
    <comment ref="Y7" authorId="0">
      <text>
        <r>
          <rPr>
            <b/>
            <sz val="9"/>
            <rFont val="宋体"/>
            <charset val="134"/>
          </rPr>
          <t>永荣科技:</t>
        </r>
        <r>
          <rPr>
            <sz val="9"/>
            <rFont val="宋体"/>
            <charset val="134"/>
          </rPr>
          <t xml:space="preserve">
15.7记96,1200万
15.7记97,400万
15.9记73,2192万
15.10记66,608.6万
16.5记69,5702970.32元
16.12记185,586940元</t>
        </r>
      </text>
    </comment>
    <comment ref="J8" authorId="0">
      <text>
        <r>
          <rPr>
            <b/>
            <sz val="9"/>
            <rFont val="宋体"/>
            <charset val="134"/>
          </rPr>
          <t>永荣科技:</t>
        </r>
        <r>
          <rPr>
            <sz val="9"/>
            <rFont val="宋体"/>
            <charset val="134"/>
          </rPr>
          <t xml:space="preserve">
15.8记29,5400万
15.8记174,5000万
15.12记130,348.277029万
15.12记131,1851.722971万
16.8记77,9426239.8元
16年12记186,5250110元
</t>
        </r>
      </text>
    </comment>
    <comment ref="Y8" authorId="0">
      <text>
        <r>
          <rPr>
            <b/>
            <sz val="9"/>
            <rFont val="宋体"/>
            <charset val="134"/>
          </rPr>
          <t>永荣科技:</t>
        </r>
        <r>
          <rPr>
            <sz val="9"/>
            <rFont val="宋体"/>
            <charset val="134"/>
          </rPr>
          <t xml:space="preserve">
15.8记29,5400万
15.8记174,5000万
15.12记130,348.277029万
15.12记131,1851.722971万
16.8记77,9426239.8元
16年12记186,5250110元
</t>
        </r>
      </text>
    </comment>
    <comment ref="J9" authorId="0">
      <text>
        <r>
          <rPr>
            <b/>
            <sz val="9"/>
            <rFont val="宋体"/>
            <charset val="134"/>
          </rPr>
          <t>永荣科技:</t>
        </r>
        <r>
          <rPr>
            <sz val="9"/>
            <rFont val="宋体"/>
            <charset val="134"/>
          </rPr>
          <t xml:space="preserve">
15.11记2600万
15.12记3200万
16.5记48,697.7万
</t>
        </r>
      </text>
    </comment>
    <comment ref="Y9" authorId="0">
      <text>
        <r>
          <rPr>
            <b/>
            <sz val="9"/>
            <rFont val="宋体"/>
            <charset val="134"/>
          </rPr>
          <t>永荣科技:</t>
        </r>
        <r>
          <rPr>
            <sz val="9"/>
            <rFont val="宋体"/>
            <charset val="134"/>
          </rPr>
          <t xml:space="preserve">
15.11记2600万
15.12记3200万
16.5记48,697.7万</t>
        </r>
      </text>
    </comment>
    <comment ref="J11" authorId="0">
      <text>
        <r>
          <rPr>
            <b/>
            <sz val="9"/>
            <rFont val="宋体"/>
            <charset val="134"/>
          </rPr>
          <t>永荣科技:</t>
        </r>
        <r>
          <rPr>
            <sz val="9"/>
            <rFont val="宋体"/>
            <charset val="134"/>
          </rPr>
          <t xml:space="preserve">
1、17.1记46，承兑汇9.2万元（本次工程115097元）
2、17.9记162，承兑汇7.6万元（共76000元，实付76000元；本次工程95813元，累计210910元）
</t>
        </r>
      </text>
    </comment>
    <comment ref="Y11" authorId="0">
      <text>
        <r>
          <rPr>
            <b/>
            <sz val="9"/>
            <rFont val="宋体"/>
            <charset val="134"/>
          </rPr>
          <t>永荣科技:</t>
        </r>
        <r>
          <rPr>
            <sz val="9"/>
            <rFont val="宋体"/>
            <charset val="134"/>
          </rPr>
          <t xml:space="preserve">
1、17.1记46，承兑汇9.2万元（本次工程115097元）
2、17.9记162，承兑汇7.6万元（共76000元，实付76000元；本次工程95813元，累计210910元）
</t>
        </r>
      </text>
    </comment>
    <comment ref="J12" authorId="0">
      <text>
        <r>
          <rPr>
            <b/>
            <sz val="9"/>
            <rFont val="宋体"/>
            <charset val="134"/>
          </rPr>
          <t>永荣科技:</t>
        </r>
        <r>
          <rPr>
            <sz val="9"/>
            <rFont val="宋体"/>
            <charset val="134"/>
          </rPr>
          <t xml:space="preserve">
16.3记94,297.54万
16.4记53,2700万
16.7记78,3590.46万
</t>
        </r>
      </text>
    </comment>
    <comment ref="Y12" authorId="0">
      <text>
        <r>
          <rPr>
            <b/>
            <sz val="9"/>
            <rFont val="宋体"/>
            <charset val="134"/>
          </rPr>
          <t>永荣科技:</t>
        </r>
        <r>
          <rPr>
            <sz val="9"/>
            <rFont val="宋体"/>
            <charset val="134"/>
          </rPr>
          <t xml:space="preserve">
16.3记94,297.54万
16.4记53,2700万
16.7记78,3590.46万</t>
        </r>
      </text>
    </comment>
    <comment ref="J13" authorId="0">
      <text>
        <r>
          <rPr>
            <b/>
            <sz val="9"/>
            <rFont val="宋体"/>
            <charset val="134"/>
          </rPr>
          <t>永荣科技:</t>
        </r>
        <r>
          <rPr>
            <sz val="9"/>
            <rFont val="宋体"/>
            <charset val="134"/>
          </rPr>
          <t xml:space="preserve">
1、16.07记49，共261万元（实付253.17万，扣7.83万反向贴息）
2、16.09记68，共198万元（实付197.93万元，扣700罚款） 
3、16.12记179，共251万元（251万，对方发票多开5万）
4、17.05记86，共167万元（付167万元）
5、17.9记154，承兑汇1711588元（共171.8万元，扣17年水电费2220元，16年水电费4192元，5-7月抄表），本期工程款2148696元，累计12466645元
6、17年11月1日，承兑汇41.3万元（本次工程517448元，累计工程12984093元） 
7、17.11.6申请377.4万元（待扣水电费7-9月29268元，罚款1万元；本次工程4717522元，累计17701615元）</t>
        </r>
      </text>
    </comment>
    <comment ref="Y13" authorId="0">
      <text>
        <r>
          <rPr>
            <b/>
            <sz val="9"/>
            <rFont val="宋体"/>
            <charset val="134"/>
          </rPr>
          <t>永荣科技:</t>
        </r>
        <r>
          <rPr>
            <sz val="9"/>
            <rFont val="宋体"/>
            <charset val="134"/>
          </rPr>
          <t xml:space="preserve">
1、16.07记49，共261万元（实付253.17万，扣7.83万反向贴息）
2、16.09记68，共198万元（实付197.93万元，扣700罚款） 
3、16.12记179，共251万元（251万，对方发票多开5万）
4、17.05记86，共167万元（付167万元）
5、17.9记154，承兑汇1711588元（共171.8万元，扣17年水电费2220元，16年水电费4192元，5-7月抄表），本期工程款2148696元，累计12466645元
6、17年11月1日，承兑汇41.3万元（本次工程517448元，累计工程12984093元） 
7、17.11.6申请377.4万元（待扣水电费7-9月29268元，罚款1万元；本次工程4717522元，累计17701615元）
</t>
        </r>
      </text>
    </comment>
    <comment ref="J14" authorId="0">
      <text>
        <r>
          <rPr>
            <b/>
            <sz val="9"/>
            <rFont val="宋体"/>
            <charset val="134"/>
          </rPr>
          <t>永荣科技:</t>
        </r>
        <r>
          <rPr>
            <sz val="9"/>
            <rFont val="宋体"/>
            <charset val="134"/>
          </rPr>
          <t xml:space="preserve">
16.3记1,426.8万
16.6记40,437万
17.1记43,208.6万
</t>
        </r>
      </text>
    </comment>
    <comment ref="Y14" authorId="0">
      <text>
        <r>
          <rPr>
            <b/>
            <sz val="9"/>
            <rFont val="宋体"/>
            <charset val="134"/>
          </rPr>
          <t>永荣科技:</t>
        </r>
        <r>
          <rPr>
            <sz val="9"/>
            <rFont val="宋体"/>
            <charset val="134"/>
          </rPr>
          <t xml:space="preserve">
16.3记1,426.8万
16.6记40,437万</t>
        </r>
      </text>
    </comment>
    <comment ref="AC14" authorId="0">
      <text>
        <r>
          <rPr>
            <b/>
            <sz val="9"/>
            <rFont val="宋体"/>
            <charset val="134"/>
          </rPr>
          <t>永荣科技:</t>
        </r>
        <r>
          <rPr>
            <sz val="9"/>
            <rFont val="宋体"/>
            <charset val="134"/>
          </rPr>
          <t xml:space="preserve">
17.1记43,208.6万</t>
        </r>
      </text>
    </comment>
    <comment ref="J15" authorId="0">
      <text>
        <r>
          <rPr>
            <b/>
            <sz val="9"/>
            <rFont val="宋体"/>
            <charset val="134"/>
          </rPr>
          <t>永荣科技:</t>
        </r>
        <r>
          <rPr>
            <sz val="9"/>
            <rFont val="宋体"/>
            <charset val="134"/>
          </rPr>
          <t xml:space="preserve">
第1次：2016年9月记69，付159.9万元（实付155.103万元，扣贴息4.797万元）
第2次：16.12记174，付159万
第3次：2017年1月记32，付159万元（实付1516208.16元，扣反向贴息46893.04元，违规、水电费26898.8元）
第4次：2017年1月记31，付100万元
第5次：2017年6月记151，付59万元
</t>
        </r>
      </text>
    </comment>
    <comment ref="Y15" authorId="0">
      <text>
        <r>
          <rPr>
            <b/>
            <sz val="9"/>
            <rFont val="宋体"/>
            <charset val="134"/>
          </rPr>
          <t>永荣科技:</t>
        </r>
        <r>
          <rPr>
            <sz val="9"/>
            <rFont val="宋体"/>
            <charset val="134"/>
          </rPr>
          <t xml:space="preserve">
第1次：2016年9月记69付159.9万元（实付155.103万元，4.797万元未反向贴息）</t>
        </r>
      </text>
    </comment>
    <comment ref="AC15" authorId="0">
      <text>
        <r>
          <rPr>
            <b/>
            <sz val="9"/>
            <rFont val="宋体"/>
            <charset val="134"/>
          </rPr>
          <t>永荣科技:</t>
        </r>
        <r>
          <rPr>
            <sz val="9"/>
            <rFont val="宋体"/>
            <charset val="134"/>
          </rPr>
          <t xml:space="preserve">
第2次：16.12记174,159万</t>
        </r>
      </text>
    </comment>
    <comment ref="AG15" authorId="0">
      <text>
        <r>
          <rPr>
            <b/>
            <sz val="9"/>
            <rFont val="宋体"/>
            <charset val="134"/>
          </rPr>
          <t>永荣科技:</t>
        </r>
        <r>
          <rPr>
            <sz val="9"/>
            <rFont val="宋体"/>
            <charset val="134"/>
          </rPr>
          <t xml:space="preserve">
第3次：
2017年1月记32付159万元（实付1516208.16元，扣反向贴息46893.04元，违规、水电费26898.8元）
</t>
        </r>
      </text>
    </comment>
    <comment ref="AK15" authorId="0">
      <text>
        <r>
          <rPr>
            <b/>
            <sz val="9"/>
            <rFont val="宋体"/>
            <charset val="134"/>
          </rPr>
          <t>永荣科技:</t>
        </r>
        <r>
          <rPr>
            <sz val="9"/>
            <rFont val="宋体"/>
            <charset val="134"/>
          </rPr>
          <t xml:space="preserve">
第4次：2017年1月记31付100万元
第5次：2017年6月记151付59万元</t>
        </r>
      </text>
    </comment>
    <comment ref="J16" authorId="0">
      <text>
        <r>
          <rPr>
            <b/>
            <sz val="9"/>
            <rFont val="宋体"/>
            <charset val="134"/>
          </rPr>
          <t>永荣科技:</t>
        </r>
        <r>
          <rPr>
            <sz val="9"/>
            <rFont val="宋体"/>
            <charset val="134"/>
          </rPr>
          <t xml:space="preserve">
1、17.1记46，承兑汇19.4万元
2、17.8记229，电汇7.4万元（共104400元，扣HSE保证金3万元，少汇400元）</t>
        </r>
      </text>
    </comment>
    <comment ref="Y16" authorId="0">
      <text>
        <r>
          <rPr>
            <b/>
            <sz val="9"/>
            <rFont val="宋体"/>
            <charset val="134"/>
          </rPr>
          <t>永荣科技:</t>
        </r>
        <r>
          <rPr>
            <sz val="9"/>
            <rFont val="宋体"/>
            <charset val="134"/>
          </rPr>
          <t xml:space="preserve">
1、17.1记46，承兑汇19.4万元
2、17.8记229，电汇7.4万元（共104400元，扣HSE保证金3万元，少汇400元）
</t>
        </r>
      </text>
    </comment>
    <comment ref="J17" authorId="0">
      <text>
        <r>
          <rPr>
            <b/>
            <sz val="9"/>
            <rFont val="宋体"/>
            <charset val="134"/>
          </rPr>
          <t>永荣科技:</t>
        </r>
        <r>
          <rPr>
            <sz val="9"/>
            <rFont val="宋体"/>
            <charset val="134"/>
          </rPr>
          <t xml:space="preserve">
1、待查（付80%货款）
2、17.8.18申请15770.5元（10%验收款）
</t>
        </r>
      </text>
    </comment>
    <comment ref="Y17" authorId="0">
      <text>
        <r>
          <rPr>
            <b/>
            <sz val="9"/>
            <rFont val="宋体"/>
            <charset val="134"/>
          </rPr>
          <t>永荣科技:</t>
        </r>
        <r>
          <rPr>
            <sz val="9"/>
            <rFont val="宋体"/>
            <charset val="134"/>
          </rPr>
          <t xml:space="preserve">
1</t>
        </r>
      </text>
    </comment>
    <comment ref="AC17" authorId="0">
      <text>
        <r>
          <rPr>
            <b/>
            <sz val="9"/>
            <rFont val="宋体"/>
            <charset val="134"/>
          </rPr>
          <t>永荣科技:</t>
        </r>
        <r>
          <rPr>
            <sz val="9"/>
            <rFont val="宋体"/>
            <charset val="134"/>
          </rPr>
          <t xml:space="preserve">
2</t>
        </r>
      </text>
    </comment>
    <comment ref="J18" authorId="0">
      <text>
        <r>
          <rPr>
            <b/>
            <sz val="9"/>
            <rFont val="宋体"/>
            <charset val="134"/>
          </rPr>
          <t xml:space="preserve">永荣科技:     工程款80%支付
</t>
        </r>
        <r>
          <rPr>
            <sz val="9"/>
            <rFont val="宋体"/>
            <charset val="134"/>
          </rPr>
          <t>1、17.9记162，承兑汇45.6万元（共471600元，实付45600元，扣HSE保证金0.8万元，扣水电费3180元，材料浪费3650元，少汇770元；本次工程589502元）</t>
        </r>
      </text>
    </comment>
    <comment ref="Y18" authorId="0">
      <text>
        <r>
          <rPr>
            <b/>
            <sz val="9"/>
            <rFont val="宋体"/>
            <charset val="134"/>
          </rPr>
          <t>永荣科技:</t>
        </r>
        <r>
          <rPr>
            <sz val="9"/>
            <rFont val="宋体"/>
            <charset val="134"/>
          </rPr>
          <t xml:space="preserve">
1、17.9记162，承兑汇45.6万元（共471600元，实付45600元，扣HSE保证金0.8万元，扣水电费3180元，材料浪费3650元，少汇770元；本次工程589502元</t>
        </r>
      </text>
    </comment>
    <comment ref="J19" authorId="0">
      <text>
        <r>
          <rPr>
            <b/>
            <sz val="9"/>
            <rFont val="宋体"/>
            <charset val="134"/>
          </rPr>
          <t>永荣科技:</t>
        </r>
        <r>
          <rPr>
            <sz val="9"/>
            <rFont val="宋体"/>
            <charset val="134"/>
          </rPr>
          <t xml:space="preserve">
1、17.7记228，电汇13.58万元（共14万元，扣贴息4200元；工程款总量177693.95元）</t>
        </r>
      </text>
    </comment>
    <comment ref="Q19" authorId="0">
      <text>
        <r>
          <rPr>
            <b/>
            <sz val="9"/>
            <rFont val="宋体"/>
            <charset val="134"/>
          </rPr>
          <t>永荣科技:</t>
        </r>
        <r>
          <rPr>
            <sz val="9"/>
            <rFont val="宋体"/>
            <charset val="134"/>
          </rPr>
          <t xml:space="preserve">
合同暂定金额187451元
</t>
        </r>
      </text>
    </comment>
    <comment ref="Y19" authorId="0">
      <text>
        <r>
          <rPr>
            <b/>
            <sz val="9"/>
            <rFont val="宋体"/>
            <charset val="134"/>
          </rPr>
          <t>永荣科技:</t>
        </r>
        <r>
          <rPr>
            <sz val="9"/>
            <rFont val="宋体"/>
            <charset val="134"/>
          </rPr>
          <t xml:space="preserve">
1、17.7记228，电汇13.58万元（共14万元，扣贴息4200元；工程款总量177693.95元）
</t>
        </r>
      </text>
    </comment>
    <comment ref="AC20" authorId="0">
      <text>
        <r>
          <rPr>
            <b/>
            <sz val="9"/>
            <rFont val="宋体"/>
            <charset val="134"/>
          </rPr>
          <t>永荣科技:</t>
        </r>
        <r>
          <rPr>
            <sz val="9"/>
            <rFont val="宋体"/>
            <charset val="134"/>
          </rPr>
          <t xml:space="preserve">
2、17.8记183，承兑汇4025695.18元（共428.2万元，扣HSE保证金18万元，扣罚款100元，扣水电费38043元，尾差573.28元放着；本次完工535.32166万元，累计完工985.86476万元）</t>
        </r>
      </text>
    </comment>
    <comment ref="AK20" authorId="0">
      <text>
        <r>
          <rPr>
            <b/>
            <sz val="9"/>
            <rFont val="宋体"/>
            <charset val="134"/>
          </rPr>
          <t>永荣科技:</t>
        </r>
        <r>
          <rPr>
            <sz val="9"/>
            <rFont val="宋体"/>
            <charset val="134"/>
          </rPr>
          <t xml:space="preserve">
4、17年11月6日，承兑汇435万元（共4428990元，待扣水电费47417元；本次完工55536238元，累计17657182.8元）
</t>
        </r>
      </text>
    </comment>
    <comment ref="AC21" authorId="0">
      <text>
        <r>
          <rPr>
            <b/>
            <sz val="9"/>
            <rFont val="宋体"/>
            <charset val="134"/>
          </rPr>
          <t>永荣科技:</t>
        </r>
        <r>
          <rPr>
            <sz val="9"/>
            <rFont val="宋体"/>
            <charset val="134"/>
          </rPr>
          <t xml:space="preserve">
2、17.8记183，承兑汇4025695.18元（共428.2万元，扣HSE保证金18万元，扣罚款100元，扣水电费38043元，尾差573.28元放着；本次完工535.32166万元，累计完工985.86476万元）</t>
        </r>
      </text>
    </comment>
    <comment ref="AK21" authorId="0">
      <text>
        <r>
          <rPr>
            <b/>
            <sz val="9"/>
            <rFont val="宋体"/>
            <charset val="134"/>
          </rPr>
          <t>永荣科技:</t>
        </r>
        <r>
          <rPr>
            <sz val="9"/>
            <rFont val="宋体"/>
            <charset val="134"/>
          </rPr>
          <t xml:space="preserve">
4、17年11月6日，承兑汇435万元（共4428990元，待扣水电费47417元；本次完工55536238元，累计17657182.8元）
</t>
        </r>
      </text>
    </comment>
    <comment ref="AK22" authorId="0">
      <text>
        <r>
          <rPr>
            <b/>
            <sz val="9"/>
            <rFont val="宋体"/>
            <charset val="134"/>
          </rPr>
          <t>永荣科技:</t>
        </r>
        <r>
          <rPr>
            <sz val="9"/>
            <rFont val="宋体"/>
            <charset val="134"/>
          </rPr>
          <t xml:space="preserve">
4、17年11月6日，承兑汇435万元（共4428990元，待扣水电费47417元；本次完工55536238元，累计17657182.8元）
</t>
        </r>
      </text>
    </comment>
    <comment ref="AK23" authorId="0">
      <text>
        <r>
          <rPr>
            <b/>
            <sz val="9"/>
            <rFont val="宋体"/>
            <charset val="134"/>
          </rPr>
          <t>永荣科技:</t>
        </r>
        <r>
          <rPr>
            <sz val="9"/>
            <rFont val="宋体"/>
            <charset val="134"/>
          </rPr>
          <t xml:space="preserve">
4、17年11月6日，承兑汇435万元（共4428990元，待扣水电费47417元；本次完工55536238元，累计17657182.8元）
</t>
        </r>
      </text>
    </comment>
    <comment ref="AC24" authorId="0">
      <text>
        <r>
          <rPr>
            <b/>
            <sz val="9"/>
            <rFont val="宋体"/>
            <charset val="134"/>
          </rPr>
          <t>永荣科技:</t>
        </r>
        <r>
          <rPr>
            <sz val="9"/>
            <rFont val="宋体"/>
            <charset val="134"/>
          </rPr>
          <t xml:space="preserve">
2、17.8记183，承兑汇4025695.18元（共428.2万元，扣HSE保证金18万元，扣罚款100元，扣水电费38043元，尾差573.28元放着；本次完工535.32166万元，累计完工985.86476万元）</t>
        </r>
      </text>
    </comment>
    <comment ref="AK24" authorId="0">
      <text>
        <r>
          <rPr>
            <b/>
            <sz val="9"/>
            <rFont val="宋体"/>
            <charset val="134"/>
          </rPr>
          <t>永荣科技:</t>
        </r>
        <r>
          <rPr>
            <sz val="9"/>
            <rFont val="宋体"/>
            <charset val="134"/>
          </rPr>
          <t xml:space="preserve">
4、17年11月6日，承兑汇435万元（共4428990元，待扣水电费47417元；本次完工55536238元，累计17657182.8元）
</t>
        </r>
      </text>
    </comment>
    <comment ref="J28" authorId="0">
      <text>
        <r>
          <rPr>
            <b/>
            <sz val="9"/>
            <rFont val="宋体"/>
            <charset val="134"/>
          </rPr>
          <t>永荣科技:</t>
        </r>
        <r>
          <rPr>
            <sz val="9"/>
            <rFont val="宋体"/>
            <charset val="134"/>
          </rPr>
          <t xml:space="preserve">
1、17.6记156，承兑汇360万元（共360万元，实汇360万元；本次完工450.5431万元，累计完工450.5431万元）
2、17.8记183，承兑汇4025695.18元（共428.2万元，扣HSE保证金18万元</t>
        </r>
        <r>
          <rPr>
            <b/>
            <sz val="9"/>
            <rFont val="宋体"/>
            <charset val="134"/>
          </rPr>
          <t>（罚款100元待退保证金抵扣）</t>
        </r>
        <r>
          <rPr>
            <sz val="9"/>
            <rFont val="宋体"/>
            <charset val="134"/>
          </rPr>
          <t>，扣水电费38043元，余38261.92下次付；本次完工535.32166万元，累计完工985.86476万元）
3、17.8记224，电汇1773413.96元（共1809531元，扣水电费19531元，（</t>
        </r>
        <r>
          <rPr>
            <b/>
            <sz val="9"/>
            <rFont val="宋体"/>
            <charset val="134"/>
          </rPr>
          <t>发票少开19531元）</t>
        </r>
        <r>
          <rPr>
            <sz val="9"/>
            <rFont val="宋体"/>
            <charset val="134"/>
          </rPr>
          <t>，扣贴息54847.86元，补上次少汇38261.92元；本次完工226.22972万元，累计完工1212.09448万元）
4、17年11月6日，承兑汇435万元（共4428990元，扣水电费47417元，余31573元此次付款；本次完工55536238元，累计17657182.8元</t>
        </r>
      </text>
    </comment>
    <comment ref="R28" authorId="0">
      <text>
        <r>
          <rPr>
            <b/>
            <sz val="9"/>
            <rFont val="宋体"/>
            <charset val="134"/>
          </rPr>
          <t>永荣科技:</t>
        </r>
        <r>
          <rPr>
            <sz val="9"/>
            <rFont val="宋体"/>
            <charset val="134"/>
          </rPr>
          <t xml:space="preserve">
1、17.6记156，付360万元
2、17.7.27审批428.2万元
3、17.8.15申请付179万元（本次工程款2262297.2元，扣水电费19531元）</t>
        </r>
      </text>
    </comment>
    <comment ref="Y28" authorId="0">
      <text>
        <r>
          <rPr>
            <b/>
            <sz val="9"/>
            <rFont val="宋体"/>
            <charset val="134"/>
          </rPr>
          <t>永荣科技:</t>
        </r>
        <r>
          <rPr>
            <sz val="9"/>
            <rFont val="宋体"/>
            <charset val="134"/>
          </rPr>
          <t xml:space="preserve">
1、17.6记156，承兑汇360万元（共360万元，实汇360万元；本次完工450.5431万元，累计完工450.5431万元）</t>
        </r>
      </text>
    </comment>
    <comment ref="AC28" authorId="0">
      <text>
        <r>
          <rPr>
            <b/>
            <sz val="9"/>
            <rFont val="宋体"/>
            <charset val="134"/>
          </rPr>
          <t>永荣科技:</t>
        </r>
        <r>
          <rPr>
            <sz val="9"/>
            <rFont val="宋体"/>
            <charset val="134"/>
          </rPr>
          <t xml:space="preserve">
2、17.8记183，承兑汇4025695.18元（共428.2万元，扣HSE保证金18万元（罚款100元待退保证金抵扣），扣水电费38043元，余38261.92下次付；本次完工535.32166万元，累计完工985.86476万元）</t>
        </r>
      </text>
    </comment>
    <comment ref="AG28" authorId="0">
      <text>
        <r>
          <rPr>
            <b/>
            <sz val="9"/>
            <rFont val="宋体"/>
            <charset val="134"/>
          </rPr>
          <t>永荣科技:</t>
        </r>
        <r>
          <rPr>
            <sz val="9"/>
            <rFont val="宋体"/>
            <charset val="134"/>
          </rPr>
          <t xml:space="preserve">
3、17.8记224，电汇1773413.96元（共1809531元，扣水电费19531元，（发票少开19531元），扣贴息54847.86元，补上次少汇38261.92元；本次完工226.22972万元，累计完工1212.09448万元）
</t>
        </r>
      </text>
    </comment>
    <comment ref="AK28" authorId="0">
      <text>
        <r>
          <rPr>
            <b/>
            <sz val="9"/>
            <rFont val="宋体"/>
            <charset val="134"/>
          </rPr>
          <t>永荣科技:</t>
        </r>
        <r>
          <rPr>
            <sz val="9"/>
            <rFont val="宋体"/>
            <charset val="134"/>
          </rPr>
          <t xml:space="preserve">
4、17年11月6日，承兑汇435万元（共4428990元，扣水电费47417元，余31573元此次付款；本次完工55536238元，累计17657182.8元
</t>
        </r>
      </text>
    </comment>
    <comment ref="J29" authorId="0">
      <text>
        <r>
          <rPr>
            <b/>
            <sz val="9"/>
            <rFont val="宋体"/>
            <charset val="134"/>
          </rPr>
          <t xml:space="preserve">永荣科技:                        80%
</t>
        </r>
        <r>
          <rPr>
            <sz val="9"/>
            <rFont val="宋体"/>
            <charset val="134"/>
          </rPr>
          <t>1、17.7记164，承兑汇77.8432万元（共85.6万元，扣HSE保证金5万，扣罚款500元，水电费27068元；本次工程总价1071226.56元）
2、17.8记230，电汇712804元（共75.5万元，扣水电费21056元，扣贴息21140元；本次工程总价943725元，累计2014951.56元）
3、17.9记204，电汇735947.86元（共77.86万元，扣水电费21452元，扣贴息21200.14元；本次工程总价973338元，累计2988289.56元）
4、17.10记278，电汇386856元（共39.8万元，扣贴息11144元，</t>
        </r>
        <r>
          <rPr>
            <b/>
            <sz val="9"/>
            <rFont val="宋体"/>
            <charset val="134"/>
          </rPr>
          <t>未扣水电费15540元</t>
        </r>
        <r>
          <rPr>
            <sz val="9"/>
            <rFont val="宋体"/>
            <charset val="134"/>
          </rPr>
          <t>，</t>
        </r>
        <r>
          <rPr>
            <b/>
            <sz val="9"/>
            <rFont val="宋体"/>
            <charset val="134"/>
          </rPr>
          <t>扣主材扣款86952元</t>
        </r>
        <r>
          <rPr>
            <sz val="9"/>
            <rFont val="宋体"/>
            <charset val="134"/>
          </rPr>
          <t>；本次工程总价606573元，累计3594862.56元）</t>
        </r>
      </text>
    </comment>
    <comment ref="Y29" authorId="0">
      <text>
        <r>
          <rPr>
            <b/>
            <sz val="9"/>
            <rFont val="宋体"/>
            <charset val="134"/>
          </rPr>
          <t>永荣科技:</t>
        </r>
        <r>
          <rPr>
            <sz val="9"/>
            <rFont val="宋体"/>
            <charset val="134"/>
          </rPr>
          <t xml:space="preserve">
1、17.7记164，承兑汇77.8432万元（共85.6万元，扣HSE保证金5万，扣罚款500元，水电费27068元；本次工程总价1071226.56元）
2、17.8记230，电汇712804元（共75.5万元，扣水电费21056元，扣贴息21140元；本次工程总价943725元，累计2014951.56元）
3、17.9记204，电汇735947.86元（共77.86万元，扣水电费21452元，扣贴息21200.14元；本次工程总价973338元，累计2988289.56元）
4、17.10记278，电汇386856元（共39.8万元，扣贴息11144元，未扣水电费15540元，扣主材扣款86952元；本次工程总价606573元，累计3594862.56元）
</t>
        </r>
      </text>
    </comment>
    <comment ref="J30" authorId="0">
      <text>
        <r>
          <rPr>
            <b/>
            <sz val="9"/>
            <rFont val="宋体"/>
            <charset val="134"/>
          </rPr>
          <t>永荣科技:</t>
        </r>
        <r>
          <rPr>
            <sz val="9"/>
            <rFont val="宋体"/>
            <charset val="134"/>
          </rPr>
          <t xml:space="preserve">
1、17.7记194，承兑汇115万元（此次工程量价款1437774元）
2、17.9记186，承兑汇1837398元（共194.3万元，扣HSE6.8万元，扣水电费37602元；本次工程量2430036.67元，累计工程量3867810.67元）
3、17.10.17申请380.7万元（待扣水电费51262元；本次工程4759073.06元，累计8626883.73元）</t>
        </r>
      </text>
    </comment>
    <comment ref="Q30" authorId="0">
      <text>
        <r>
          <rPr>
            <b/>
            <sz val="9"/>
            <rFont val="宋体"/>
            <charset val="134"/>
          </rPr>
          <t>永荣科技:</t>
        </r>
        <r>
          <rPr>
            <sz val="9"/>
            <rFont val="宋体"/>
            <charset val="134"/>
          </rPr>
          <t xml:space="preserve">
合同暂定金额340万元</t>
        </r>
      </text>
    </comment>
    <comment ref="Y30" authorId="0">
      <text>
        <r>
          <rPr>
            <b/>
            <sz val="9"/>
            <rFont val="宋体"/>
            <charset val="134"/>
          </rPr>
          <t xml:space="preserve">永荣科技:
</t>
        </r>
        <r>
          <rPr>
            <sz val="9"/>
            <rFont val="宋体"/>
            <charset val="134"/>
          </rPr>
          <t xml:space="preserve">1、17.7记194，承兑汇115万元（此次工程量价款1437774元）
2、17.9记186，承兑汇1837398元（共194.3万元，扣HSE6.8万元，扣水电费37602元；本次工程量2430036.67元，累计工程量3867810.67元）
3、17.10.17申请380.7万元（待扣水电费51262元；本次工程4759073.06元，累计8626883.73元）
</t>
        </r>
      </text>
    </comment>
    <comment ref="Q31" authorId="0">
      <text>
        <r>
          <rPr>
            <b/>
            <sz val="9"/>
            <rFont val="宋体"/>
            <charset val="134"/>
          </rPr>
          <t>永荣科技:</t>
        </r>
        <r>
          <rPr>
            <sz val="9"/>
            <rFont val="宋体"/>
            <charset val="134"/>
          </rPr>
          <t xml:space="preserve">
合同金额175万元</t>
        </r>
      </text>
    </comment>
    <comment ref="R31" authorId="0">
      <text>
        <r>
          <rPr>
            <b/>
            <sz val="9"/>
            <rFont val="宋体"/>
            <charset val="134"/>
          </rPr>
          <t>永荣科技:</t>
        </r>
        <r>
          <rPr>
            <sz val="9"/>
            <rFont val="宋体"/>
            <charset val="134"/>
          </rPr>
          <t xml:space="preserve">
水电费乙方承担：水费4元/吨，电费1元/度</t>
        </r>
      </text>
    </comment>
    <comment ref="J52" authorId="0">
      <text>
        <r>
          <rPr>
            <b/>
            <sz val="9"/>
            <rFont val="宋体"/>
            <charset val="134"/>
          </rPr>
          <t>永荣科技:</t>
        </r>
        <r>
          <rPr>
            <sz val="9"/>
            <rFont val="宋体"/>
            <charset val="134"/>
          </rPr>
          <t xml:space="preserve">
1、17.9记228，承兑汇248.4万元（</t>
        </r>
        <r>
          <rPr>
            <b/>
            <sz val="9"/>
            <rFont val="宋体"/>
            <charset val="134"/>
          </rPr>
          <t>未扣HSE保证金17万元，未扣水电费5036元</t>
        </r>
        <r>
          <rPr>
            <sz val="9"/>
            <rFont val="宋体"/>
            <charset val="134"/>
          </rPr>
          <t>；本次工程3105356.04元）  
2、17.10.17申请357.2万元（待扣HSE保证金17万元，待扣上次水电费5036元，本次水电费35468元；本次工程4465994元，累计7571350.04元）</t>
        </r>
      </text>
    </comment>
    <comment ref="Y52" authorId="0">
      <text>
        <r>
          <rPr>
            <b/>
            <sz val="9"/>
            <rFont val="宋体"/>
            <charset val="134"/>
          </rPr>
          <t>永荣科技:</t>
        </r>
        <r>
          <rPr>
            <sz val="9"/>
            <rFont val="宋体"/>
            <charset val="134"/>
          </rPr>
          <t xml:space="preserve">
1</t>
        </r>
      </text>
    </comment>
    <comment ref="AC52" authorId="0">
      <text>
        <r>
          <rPr>
            <b/>
            <sz val="9"/>
            <rFont val="宋体"/>
            <charset val="134"/>
          </rPr>
          <t>永荣科技:</t>
        </r>
        <r>
          <rPr>
            <sz val="9"/>
            <rFont val="宋体"/>
            <charset val="134"/>
          </rPr>
          <t xml:space="preserve">
2、17.10.17申请357.2万元（待扣HSE保证金17万元，待扣上次水电费5036元，本次水电费35468元；本次工程4465994元，累计7571350.04元）
</t>
        </r>
      </text>
    </comment>
    <comment ref="J68" authorId="0">
      <text>
        <r>
          <rPr>
            <b/>
            <sz val="9"/>
            <rFont val="宋体"/>
            <charset val="134"/>
          </rPr>
          <t>永荣科技:</t>
        </r>
        <r>
          <rPr>
            <sz val="9"/>
            <rFont val="宋体"/>
            <charset val="134"/>
          </rPr>
          <t xml:space="preserve">
1/2合并付款：17.9记229、17.10记143，承兑汇446.6533万元（1、共156.3万元，扣HSE保证金17万元，扣水电费7602元；本次蓝图1954393元，累计1954393元；2、共313.5万元，扣水电费53865元</t>
        </r>
        <r>
          <rPr>
            <b/>
            <sz val="9"/>
            <rFont val="宋体"/>
            <charset val="134"/>
          </rPr>
          <t>；</t>
        </r>
        <r>
          <rPr>
            <sz val="9"/>
            <rFont val="宋体"/>
            <charset val="134"/>
          </rPr>
          <t>本次蓝图3919004元，累计5873397元）
3、17年11月6日，承兑汇370万元（共379.4万元，待扣水电费47997元；本次蓝图4742917元，累计10616314元）</t>
        </r>
      </text>
    </comment>
    <comment ref="Y68" authorId="0">
      <text>
        <r>
          <rPr>
            <sz val="9"/>
            <rFont val="宋体"/>
            <charset val="134"/>
          </rPr>
          <t>1/2合并付款：17.9记229、17.10记143，承兑汇446.6533万元（1、共156.3万元，扣HSE保证金17万元，扣水电费7602元；本次蓝图1954393元，累计1954393元；2、共313.5万元，扣水电费53865元；本次蓝图3919004元，累计5873397元）</t>
        </r>
      </text>
    </comment>
    <comment ref="AC68" authorId="0">
      <text>
        <r>
          <rPr>
            <b/>
            <sz val="9"/>
            <rFont val="宋体"/>
            <charset val="134"/>
          </rPr>
          <t>永荣科技:</t>
        </r>
        <r>
          <rPr>
            <sz val="9"/>
            <rFont val="宋体"/>
            <charset val="134"/>
          </rPr>
          <t xml:space="preserve">
1/2合并付款：17.9记229、17.10记143，承兑汇446.6533万元（1、共156.3万元，扣HSE保证金17万元，扣水电费7602元；本次蓝图1954393元，累计1954393元；2、共313.5万元，扣水电费53865元；本次蓝图3919004元，累计5873397元）</t>
        </r>
      </text>
    </comment>
    <comment ref="AG68" authorId="0">
      <text>
        <r>
          <rPr>
            <b/>
            <sz val="9"/>
            <rFont val="宋体"/>
            <charset val="134"/>
          </rPr>
          <t>永荣科技:</t>
        </r>
        <r>
          <rPr>
            <sz val="9"/>
            <rFont val="宋体"/>
            <charset val="134"/>
          </rPr>
          <t xml:space="preserve">
3、17年11月6日，承兑汇370万元（共379.4万元，待扣水电费47997元；本次蓝图4742917元，累计10616314元）
</t>
        </r>
      </text>
    </comment>
    <comment ref="J81" authorId="0">
      <text>
        <r>
          <rPr>
            <b/>
            <sz val="9"/>
            <rFont val="宋体"/>
            <charset val="134"/>
          </rPr>
          <t xml:space="preserve">永荣科技:             工程价款80%支付
</t>
        </r>
        <r>
          <rPr>
            <sz val="9"/>
            <rFont val="宋体"/>
            <charset val="134"/>
          </rPr>
          <t xml:space="preserve">1、2合计付：2017年11月8日，承兑汇4221630元；（1、共57.8万元，扣水电费8624元，扣HSE保证金21万元；本次工程723247元，累计723247元），（2、共388.7万元，扣水电费24746元；本次工程4859131元，累计5582378元）
</t>
        </r>
      </text>
    </comment>
    <comment ref="Y81" authorId="0">
      <text>
        <r>
          <rPr>
            <b/>
            <sz val="9"/>
            <rFont val="宋体"/>
            <charset val="134"/>
          </rPr>
          <t>永荣科技:</t>
        </r>
        <r>
          <rPr>
            <sz val="9"/>
            <rFont val="宋体"/>
            <charset val="134"/>
          </rPr>
          <t xml:space="preserve">
1、2合计付：2017年11月8日，承兑汇4221630元；（1、共57.8万元，扣水电费8624元，扣HSE保证金21万元；本次工程723247元，累计723247元），（2、共388.7万元，扣水电费24746元；本次工程4859131元，累计5582378元）
</t>
        </r>
      </text>
    </comment>
    <comment ref="AC81" authorId="0">
      <text>
        <r>
          <rPr>
            <b/>
            <sz val="9"/>
            <rFont val="宋体"/>
            <charset val="134"/>
          </rPr>
          <t>永荣科技:</t>
        </r>
        <r>
          <rPr>
            <sz val="9"/>
            <rFont val="宋体"/>
            <charset val="134"/>
          </rPr>
          <t xml:space="preserve">
1、2合计付：2017年11月8日，承兑汇4221630元；（1、共57.8万元，扣水电费8624元，扣HSE保证金21万元；本次工程723247元，累计723247元），（2、共388.7万元，扣水电费24746元；本次工程4859131元，累计5582378元）
</t>
        </r>
      </text>
    </comment>
    <comment ref="J82" authorId="0">
      <text>
        <r>
          <rPr>
            <b/>
            <sz val="9"/>
            <rFont val="宋体"/>
            <charset val="134"/>
          </rPr>
          <t>永荣科技:</t>
        </r>
        <r>
          <rPr>
            <sz val="9"/>
            <rFont val="宋体"/>
            <charset val="134"/>
          </rPr>
          <t xml:space="preserve">
未申请</t>
        </r>
      </text>
    </comment>
    <comment ref="J83" authorId="0">
      <text>
        <r>
          <rPr>
            <b/>
            <sz val="9"/>
            <rFont val="宋体"/>
            <charset val="134"/>
          </rPr>
          <t>永荣科技:</t>
        </r>
        <r>
          <rPr>
            <sz val="9"/>
            <rFont val="宋体"/>
            <charset val="134"/>
          </rPr>
          <t xml:space="preserve">
1、17.9记228,17.11记207：承兑汇1866647.3+1468.7元（共205.1万元，扣HSE18万元，水电费2884元；本次工程2563693.21元）
2、2017年11月7日，承兑汇847178元（共85.4万元，扣水电费6822元；本次工程1068088.35元，累计3631781.56元）
3、17.11.15申请313.6万元（申请313.6万元，待扣水电费24589元；本次工程3919867元，累计7551648.56元）</t>
        </r>
      </text>
    </comment>
    <comment ref="Y83" authorId="0">
      <text>
        <r>
          <rPr>
            <b/>
            <sz val="9"/>
            <rFont val="宋体"/>
            <charset val="134"/>
          </rPr>
          <t>永荣科技:</t>
        </r>
        <r>
          <rPr>
            <sz val="9"/>
            <rFont val="宋体"/>
            <charset val="134"/>
          </rPr>
          <t xml:space="preserve">
1、17.9记228,17.11记207：承兑汇1866647.3+1468.7元（共205.1万元，扣HSE18万元，水电费2884元；本次工程2563693.21元）
2、17.10.17申请85.4万元（申请85.4万元，待扣水电费6822元；本次工程1068088.35元，累计3631781.56元）
</t>
        </r>
      </text>
    </comment>
    <comment ref="AC83" authorId="0">
      <text>
        <r>
          <rPr>
            <b/>
            <sz val="9"/>
            <rFont val="宋体"/>
            <charset val="134"/>
          </rPr>
          <t>永荣科技:</t>
        </r>
        <r>
          <rPr>
            <sz val="9"/>
            <rFont val="宋体"/>
            <charset val="134"/>
          </rPr>
          <t xml:space="preserve">
2、2017年11月7日，承兑汇847178元（共85.4万元，扣水电费6822元；本次工程1068088.35元，累计3631781.56元）
</t>
        </r>
      </text>
    </comment>
    <comment ref="J84" authorId="0">
      <text>
        <r>
          <rPr>
            <b/>
            <sz val="9"/>
            <rFont val="宋体"/>
            <charset val="134"/>
          </rPr>
          <t>永荣科技:</t>
        </r>
        <r>
          <rPr>
            <sz val="9"/>
            <rFont val="宋体"/>
            <charset val="134"/>
          </rPr>
          <t xml:space="preserve">
未申请</t>
        </r>
      </text>
    </comment>
    <comment ref="J85" authorId="0">
      <text>
        <r>
          <rPr>
            <b/>
            <sz val="9"/>
            <rFont val="宋体"/>
            <charset val="134"/>
          </rPr>
          <t>永荣科技:</t>
        </r>
        <r>
          <rPr>
            <sz val="9"/>
            <rFont val="宋体"/>
            <charset val="134"/>
          </rPr>
          <t xml:space="preserve">
未申请</t>
        </r>
      </text>
    </comment>
    <comment ref="J86" authorId="0">
      <text>
        <r>
          <rPr>
            <b/>
            <sz val="9"/>
            <rFont val="宋体"/>
            <charset val="134"/>
          </rPr>
          <t>永荣科技:</t>
        </r>
        <r>
          <rPr>
            <sz val="9"/>
            <rFont val="宋体"/>
            <charset val="134"/>
          </rPr>
          <t xml:space="preserve">
1、17.11.14申请3万元（20%预付款）</t>
        </r>
      </text>
    </comment>
  </commentList>
</comments>
</file>

<file path=xl/comments4.xml><?xml version="1.0" encoding="utf-8"?>
<comments xmlns="http://schemas.openxmlformats.org/spreadsheetml/2006/main">
  <authors>
    <author>永荣科技</author>
  </authors>
  <commentList>
    <comment ref="J6" authorId="0">
      <text>
        <r>
          <rPr>
            <b/>
            <sz val="9"/>
            <rFont val="宋体"/>
            <charset val="134"/>
          </rPr>
          <t>永荣科技:</t>
        </r>
        <r>
          <rPr>
            <sz val="9"/>
            <rFont val="宋体"/>
            <charset val="134"/>
          </rPr>
          <t xml:space="preserve">
1、15.10记65,12.5万
2、15.11记20,12.5万
3、15.11记60,13万
4、15.11记85,12.25万
5、15.12记2,0.25万
6、15.12记16,2.77万
7、15.10账号错误退0.5万
</t>
        </r>
      </text>
    </comment>
    <comment ref="Y6" authorId="0">
      <text>
        <r>
          <rPr>
            <b/>
            <sz val="9"/>
            <rFont val="宋体"/>
            <charset val="134"/>
          </rPr>
          <t>永荣科技:</t>
        </r>
        <r>
          <rPr>
            <sz val="9"/>
            <rFont val="宋体"/>
            <charset val="134"/>
          </rPr>
          <t xml:space="preserve">
1、15.10记65,12.5万
2、15.11记20,12.5万
3、15.11记60,13万
4、15.11记85,12.25万
5、15.12记2,0.25万
6、15.12记16,2.77万
7、15.10账号错误退0.5万
</t>
        </r>
      </text>
    </comment>
    <comment ref="Y7" authorId="0">
      <text>
        <r>
          <rPr>
            <b/>
            <sz val="9"/>
            <rFont val="宋体"/>
            <charset val="134"/>
          </rPr>
          <t>永荣科技:</t>
        </r>
        <r>
          <rPr>
            <sz val="9"/>
            <rFont val="宋体"/>
            <charset val="134"/>
          </rPr>
          <t xml:space="preserve">
16.11记70,10万
16.6记102,127675.4元
17.1记35,30706.55元</t>
        </r>
      </text>
    </comment>
    <comment ref="Y8" authorId="0">
      <text>
        <r>
          <rPr>
            <b/>
            <sz val="9"/>
            <rFont val="宋体"/>
            <charset val="134"/>
          </rPr>
          <t>永荣科技:</t>
        </r>
        <r>
          <rPr>
            <sz val="9"/>
            <rFont val="宋体"/>
            <charset val="134"/>
          </rPr>
          <t xml:space="preserve">
16.3记84,39144</t>
        </r>
      </text>
    </comment>
    <comment ref="AC8" authorId="0">
      <text>
        <r>
          <rPr>
            <b/>
            <sz val="9"/>
            <rFont val="宋体"/>
            <charset val="134"/>
          </rPr>
          <t>永荣科技:</t>
        </r>
        <r>
          <rPr>
            <sz val="9"/>
            <rFont val="宋体"/>
            <charset val="134"/>
          </rPr>
          <t xml:space="preserve">
16.11记65,8000元</t>
        </r>
      </text>
    </comment>
    <comment ref="Y9" authorId="0">
      <text>
        <r>
          <rPr>
            <b/>
            <sz val="9"/>
            <rFont val="宋体"/>
            <charset val="134"/>
          </rPr>
          <t>永荣科技:</t>
        </r>
        <r>
          <rPr>
            <sz val="9"/>
            <rFont val="宋体"/>
            <charset val="134"/>
          </rPr>
          <t xml:space="preserve">
16.8记45,2572.8元</t>
        </r>
      </text>
    </comment>
    <comment ref="AC9" authorId="0">
      <text>
        <r>
          <rPr>
            <b/>
            <sz val="9"/>
            <rFont val="宋体"/>
            <charset val="134"/>
          </rPr>
          <t>永荣科技:</t>
        </r>
        <r>
          <rPr>
            <sz val="9"/>
            <rFont val="宋体"/>
            <charset val="134"/>
          </rPr>
          <t xml:space="preserve">
16.8记46,23155.2元</t>
        </r>
      </text>
    </comment>
    <comment ref="J10" authorId="0">
      <text>
        <r>
          <rPr>
            <b/>
            <sz val="9"/>
            <rFont val="宋体"/>
            <charset val="134"/>
          </rPr>
          <t>永荣科技:</t>
        </r>
        <r>
          <rPr>
            <sz val="9"/>
            <rFont val="宋体"/>
            <charset val="134"/>
          </rPr>
          <t xml:space="preserve">
16.9记67，30万
16.10记45,30万
16.12记170,14.6355万
</t>
        </r>
      </text>
    </comment>
    <comment ref="Q10" authorId="0">
      <text>
        <r>
          <rPr>
            <b/>
            <sz val="9"/>
            <rFont val="宋体"/>
            <charset val="134"/>
          </rPr>
          <t>永荣科技:</t>
        </r>
        <r>
          <rPr>
            <sz val="9"/>
            <rFont val="宋体"/>
            <charset val="134"/>
          </rPr>
          <t xml:space="preserve">
合同金额2076000</t>
        </r>
      </text>
    </comment>
    <comment ref="Y10" authorId="0">
      <text>
        <r>
          <rPr>
            <b/>
            <sz val="9"/>
            <rFont val="宋体"/>
            <charset val="134"/>
          </rPr>
          <t>永荣科技:</t>
        </r>
        <r>
          <rPr>
            <sz val="9"/>
            <rFont val="宋体"/>
            <charset val="134"/>
          </rPr>
          <t xml:space="preserve">
16.9记67，30万
16.10记45,30万
16.12记170,14.6355万
</t>
        </r>
      </text>
    </comment>
    <comment ref="J11" authorId="0">
      <text>
        <r>
          <rPr>
            <b/>
            <sz val="9"/>
            <rFont val="宋体"/>
            <charset val="134"/>
          </rPr>
          <t>永荣科技:</t>
        </r>
        <r>
          <rPr>
            <sz val="9"/>
            <rFont val="宋体"/>
            <charset val="134"/>
          </rPr>
          <t xml:space="preserve">
1、按老叶记录
本单已清
</t>
        </r>
      </text>
    </comment>
    <comment ref="Q11" authorId="0">
      <text>
        <r>
          <rPr>
            <b/>
            <sz val="9"/>
            <rFont val="宋体"/>
            <charset val="134"/>
          </rPr>
          <t>永荣科技:</t>
        </r>
        <r>
          <rPr>
            <sz val="9"/>
            <rFont val="宋体"/>
            <charset val="134"/>
          </rPr>
          <t xml:space="preserve">
合同金额53340</t>
        </r>
      </text>
    </comment>
    <comment ref="Y11" authorId="0">
      <text>
        <r>
          <rPr>
            <b/>
            <sz val="9"/>
            <rFont val="宋体"/>
            <charset val="134"/>
          </rPr>
          <t>永荣科技:</t>
        </r>
        <r>
          <rPr>
            <sz val="9"/>
            <rFont val="宋体"/>
            <charset val="134"/>
          </rPr>
          <t xml:space="preserve">
按老叶记录
</t>
        </r>
      </text>
    </comment>
    <comment ref="J12" authorId="0">
      <text>
        <r>
          <rPr>
            <b/>
            <sz val="9"/>
            <rFont val="宋体"/>
            <charset val="134"/>
          </rPr>
          <t>永荣科技:</t>
        </r>
        <r>
          <rPr>
            <sz val="9"/>
            <rFont val="宋体"/>
            <charset val="134"/>
          </rPr>
          <t xml:space="preserve">
按老叶记录
</t>
        </r>
      </text>
    </comment>
    <comment ref="Q12" authorId="0">
      <text>
        <r>
          <rPr>
            <b/>
            <sz val="9"/>
            <rFont val="宋体"/>
            <charset val="134"/>
          </rPr>
          <t>永荣科技:</t>
        </r>
        <r>
          <rPr>
            <sz val="9"/>
            <rFont val="宋体"/>
            <charset val="134"/>
          </rPr>
          <t xml:space="preserve">
合同金额947400元</t>
        </r>
      </text>
    </comment>
    <comment ref="Y12" authorId="0">
      <text>
        <r>
          <rPr>
            <b/>
            <sz val="9"/>
            <rFont val="宋体"/>
            <charset val="134"/>
          </rPr>
          <t>永荣科技:</t>
        </r>
        <r>
          <rPr>
            <sz val="9"/>
            <rFont val="宋体"/>
            <charset val="134"/>
          </rPr>
          <t xml:space="preserve">
按老叶记录</t>
        </r>
      </text>
    </comment>
    <comment ref="AC12" authorId="0">
      <text>
        <r>
          <rPr>
            <b/>
            <sz val="9"/>
            <rFont val="宋体"/>
            <charset val="134"/>
          </rPr>
          <t>永荣科技:</t>
        </r>
        <r>
          <rPr>
            <sz val="9"/>
            <rFont val="宋体"/>
            <charset val="134"/>
          </rPr>
          <t xml:space="preserve">
按老叶记录</t>
        </r>
      </text>
    </comment>
    <comment ref="J13" authorId="0">
      <text>
        <r>
          <rPr>
            <b/>
            <sz val="9"/>
            <rFont val="宋体"/>
            <charset val="134"/>
          </rPr>
          <t>永荣科技:</t>
        </r>
        <r>
          <rPr>
            <sz val="9"/>
            <rFont val="宋体"/>
            <charset val="134"/>
          </rPr>
          <t xml:space="preserve">
17.1记34,51万
17.2记44,43.86万
</t>
        </r>
      </text>
    </comment>
    <comment ref="Y13" authorId="0">
      <text>
        <r>
          <rPr>
            <b/>
            <sz val="9"/>
            <rFont val="宋体"/>
            <charset val="134"/>
          </rPr>
          <t>永荣科技:</t>
        </r>
        <r>
          <rPr>
            <sz val="9"/>
            <rFont val="宋体"/>
            <charset val="134"/>
          </rPr>
          <t xml:space="preserve">
17.1记34,51万
17.2记44,43.86万</t>
        </r>
      </text>
    </comment>
    <comment ref="J14" authorId="0">
      <text>
        <r>
          <rPr>
            <b/>
            <sz val="9"/>
            <rFont val="宋体"/>
            <charset val="134"/>
          </rPr>
          <t>永荣科技:</t>
        </r>
        <r>
          <rPr>
            <sz val="9"/>
            <rFont val="宋体"/>
            <charset val="134"/>
          </rPr>
          <t xml:space="preserve">
16.12记169,41.4万
16.12记171,41.4万
16.12记172,41.4万
17.1记33,57.96万
</t>
        </r>
      </text>
    </comment>
    <comment ref="Y14" authorId="0">
      <text>
        <r>
          <rPr>
            <b/>
            <sz val="9"/>
            <rFont val="宋体"/>
            <charset val="134"/>
          </rPr>
          <t>永荣科技:</t>
        </r>
        <r>
          <rPr>
            <sz val="9"/>
            <rFont val="宋体"/>
            <charset val="134"/>
          </rPr>
          <t xml:space="preserve">
16.12记169,41.4万
16.12记171,41.4万
16.12记172,41.4万
17.1记33,57.96万</t>
        </r>
      </text>
    </comment>
    <comment ref="Y15" authorId="0">
      <text>
        <r>
          <rPr>
            <b/>
            <sz val="9"/>
            <rFont val="宋体"/>
            <charset val="134"/>
          </rPr>
          <t>永荣科技:</t>
        </r>
        <r>
          <rPr>
            <sz val="9"/>
            <rFont val="宋体"/>
            <charset val="134"/>
          </rPr>
          <t xml:space="preserve">
2017年5月记99付200850元
2017年6月记113付2960元
合计共付203810元
</t>
        </r>
      </text>
    </comment>
    <comment ref="Y17" authorId="0">
      <text>
        <r>
          <rPr>
            <b/>
            <sz val="9"/>
            <rFont val="宋体"/>
            <charset val="134"/>
          </rPr>
          <t>永荣科技:</t>
        </r>
        <r>
          <rPr>
            <sz val="9"/>
            <rFont val="宋体"/>
            <charset val="134"/>
          </rPr>
          <t xml:space="preserve">
17.1记41,149369.16元</t>
        </r>
      </text>
    </comment>
    <comment ref="Y18" authorId="0">
      <text>
        <r>
          <rPr>
            <b/>
            <sz val="9"/>
            <rFont val="宋体"/>
            <charset val="134"/>
          </rPr>
          <t>永荣科技:</t>
        </r>
        <r>
          <rPr>
            <sz val="9"/>
            <rFont val="宋体"/>
            <charset val="134"/>
          </rPr>
          <t xml:space="preserve">
17.2记28付39507元（反贴息收入1222.92元）
</t>
        </r>
      </text>
    </comment>
    <comment ref="Y19" authorId="0">
      <text>
        <r>
          <rPr>
            <b/>
            <sz val="9"/>
            <rFont val="宋体"/>
            <charset val="134"/>
          </rPr>
          <t>永荣科技:</t>
        </r>
        <r>
          <rPr>
            <sz val="9"/>
            <rFont val="宋体"/>
            <charset val="134"/>
          </rPr>
          <t xml:space="preserve">
17.4记81,64425.44元</t>
        </r>
      </text>
    </comment>
    <comment ref="J20" authorId="0">
      <text>
        <r>
          <rPr>
            <b/>
            <sz val="9"/>
            <rFont val="宋体"/>
            <charset val="134"/>
          </rPr>
          <t>永荣科技:</t>
        </r>
        <r>
          <rPr>
            <sz val="9"/>
            <rFont val="宋体"/>
            <charset val="134"/>
          </rPr>
          <t xml:space="preserve">
1、17.5记112/17.6记135，承兑汇25万+1.4万元
2、17.7记170，承兑汇27.4万元</t>
        </r>
      </text>
    </comment>
    <comment ref="Y20" authorId="0">
      <text>
        <r>
          <rPr>
            <b/>
            <sz val="9"/>
            <rFont val="宋体"/>
            <charset val="134"/>
          </rPr>
          <t>永荣科技:
1、17.5记112/17.6记135，承兑汇25万+1.4万元</t>
        </r>
      </text>
    </comment>
    <comment ref="AC20" authorId="0">
      <text>
        <r>
          <rPr>
            <b/>
            <sz val="9"/>
            <rFont val="宋体"/>
            <charset val="134"/>
          </rPr>
          <t>永荣科技:</t>
        </r>
        <r>
          <rPr>
            <sz val="9"/>
            <rFont val="宋体"/>
            <charset val="134"/>
          </rPr>
          <t xml:space="preserve">
2、17.7记170，承兑汇27.4万元
</t>
        </r>
      </text>
    </comment>
    <comment ref="J21" authorId="0">
      <text>
        <r>
          <rPr>
            <b/>
            <sz val="9"/>
            <rFont val="宋体"/>
            <charset val="134"/>
          </rPr>
          <t>永荣科技:</t>
        </r>
        <r>
          <rPr>
            <sz val="9"/>
            <rFont val="宋体"/>
            <charset val="134"/>
          </rPr>
          <t xml:space="preserve">
1、17年4月记90，付150万元
2、17年4月记94，付75万元
3、17年5月记96，付217万元
4、17年6月记170，付108.5万元
5、17年7月记173，付154.484036万元
本单已清
</t>
        </r>
      </text>
    </comment>
    <comment ref="Q21" authorId="0">
      <text>
        <r>
          <rPr>
            <b/>
            <sz val="9"/>
            <rFont val="宋体"/>
            <charset val="134"/>
          </rPr>
          <t>永荣科技:</t>
        </r>
        <r>
          <rPr>
            <sz val="9"/>
            <rFont val="宋体"/>
            <charset val="134"/>
          </rPr>
          <t xml:space="preserve">
合同金额7675000元</t>
        </r>
      </text>
    </comment>
    <comment ref="Y21" authorId="0">
      <text>
        <r>
          <rPr>
            <b/>
            <sz val="9"/>
            <rFont val="宋体"/>
            <charset val="134"/>
          </rPr>
          <t>永荣科技:</t>
        </r>
        <r>
          <rPr>
            <sz val="9"/>
            <rFont val="宋体"/>
            <charset val="134"/>
          </rPr>
          <t xml:space="preserve">
1、17年4月记90，付150万元
2、17年4月记94，付75万元
3、17年5月记96，付217万元
4、17年6月记170，付108.5万元
5、17年7月记237，付154.484036万元
</t>
        </r>
      </text>
    </comment>
    <comment ref="J22" authorId="0">
      <text>
        <r>
          <rPr>
            <b/>
            <sz val="9"/>
            <rFont val="宋体"/>
            <charset val="134"/>
          </rPr>
          <t>永荣科技:</t>
        </r>
        <r>
          <rPr>
            <sz val="9"/>
            <rFont val="宋体"/>
            <charset val="134"/>
          </rPr>
          <t xml:space="preserve">
1、17年5月记76，付61.8728万元；5月2日收货3916米*158元/米=61.8728（结算，之后涨价）
2、17年5月记78，付169万元；5月4日收货10029米*169元/米
3、17年6月记179，付84.5万元；6月2日收货6961米*169元/米
4、17.7记173，电汇169万元；7月10日收货13490米*169元/米
5、17.7记186，电汇169万元；7月16日收货12727米*169元/米
6、17.8记161，电汇169万元；7月26日收货5912米*169元/米
7、17.8记186，电汇169万元；8月3日收货8547米*169元/米（累计57666米）
8、17.8记223，电汇1873196元；8.10收货8418米*169元/米
本单已清</t>
        </r>
      </text>
    </comment>
    <comment ref="Q22" authorId="0">
      <text>
        <r>
          <rPr>
            <b/>
            <sz val="9"/>
            <rFont val="宋体"/>
            <charset val="134"/>
          </rPr>
          <t>永荣科技:</t>
        </r>
        <r>
          <rPr>
            <sz val="9"/>
            <rFont val="宋体"/>
            <charset val="134"/>
          </rPr>
          <t xml:space="preserve">
合同金额1183万元</t>
        </r>
      </text>
    </comment>
    <comment ref="Y22" authorId="0">
      <text>
        <r>
          <rPr>
            <b/>
            <sz val="9"/>
            <rFont val="宋体"/>
            <charset val="134"/>
          </rPr>
          <t xml:space="preserve">永荣科技:
</t>
        </r>
        <r>
          <rPr>
            <sz val="9"/>
            <rFont val="宋体"/>
            <charset val="134"/>
          </rPr>
          <t xml:space="preserve">1、17年5月记76，付61.8728万元；5月2日收货3916米*158元/米=61.8728（结算，之后涨价）
2、17年5月记78，付169万元；5月4日收货10029米*169元/米
3、17年6月记179，付84.5万元；6月2日收货6961米*169元/米
4、17.7记173，电汇169万元；7月10日收货13490米*169元/米
5、17.7记186，电汇169万元；7月16日收货12727米*169元/米
6、17.8记161，电汇169万元；7月26日收货5912米*169元/米
7、17.8记186，电汇169万元；8月3日收货8547米*169元/米（累计57666米）
8、17.8记223，电汇1873196元；8.10收货8418米*169元/米
本单已清
</t>
        </r>
      </text>
    </comment>
    <comment ref="J23" authorId="0">
      <text>
        <r>
          <rPr>
            <b/>
            <sz val="9"/>
            <rFont val="宋体"/>
            <charset val="134"/>
          </rPr>
          <t>永荣科技:</t>
        </r>
        <r>
          <rPr>
            <sz val="9"/>
            <rFont val="宋体"/>
            <charset val="134"/>
          </rPr>
          <t xml:space="preserve">
1、17.8记198，电汇23345元
本单已清</t>
        </r>
      </text>
    </comment>
    <comment ref="Q23" authorId="0">
      <text>
        <r>
          <rPr>
            <b/>
            <sz val="9"/>
            <rFont val="宋体"/>
            <charset val="134"/>
          </rPr>
          <t>永荣科技:</t>
        </r>
        <r>
          <rPr>
            <sz val="9"/>
            <rFont val="宋体"/>
            <charset val="134"/>
          </rPr>
          <t xml:space="preserve">
原合同25000
退13台电度表13*155=2015元
运费360元
金额变更=25000-2015+360=23345元</t>
        </r>
      </text>
    </comment>
    <comment ref="Y23" authorId="0">
      <text>
        <r>
          <rPr>
            <b/>
            <sz val="9"/>
            <rFont val="宋体"/>
            <charset val="134"/>
          </rPr>
          <t>永荣科技:</t>
        </r>
        <r>
          <rPr>
            <sz val="9"/>
            <rFont val="宋体"/>
            <charset val="134"/>
          </rPr>
          <t xml:space="preserve">
1、17.8记198，电汇23345元
本单已清
</t>
        </r>
      </text>
    </comment>
    <comment ref="J24" authorId="0">
      <text>
        <r>
          <rPr>
            <b/>
            <sz val="9"/>
            <rFont val="宋体"/>
            <charset val="134"/>
          </rPr>
          <t>永荣科技:</t>
        </r>
        <r>
          <rPr>
            <sz val="9"/>
            <rFont val="宋体"/>
            <charset val="134"/>
          </rPr>
          <t xml:space="preserve">
1、17.4.24付87.5万元（6321米*175元/米=110.6175万元）
2、17.5.3付87.5万元（4496米*175元/米=78.68万元）
3、17.5.22付87.5万元（7896米*175元/米=138.18万元）
4、17.9记200，电汇116.935万元（2969米*175元/米=51.9575万元） 
本单已清</t>
        </r>
      </text>
    </comment>
    <comment ref="Q24" authorId="0">
      <text>
        <r>
          <rPr>
            <b/>
            <sz val="9"/>
            <rFont val="宋体"/>
            <charset val="134"/>
          </rPr>
          <t>永荣科技:</t>
        </r>
        <r>
          <rPr>
            <sz val="9"/>
            <rFont val="宋体"/>
            <charset val="134"/>
          </rPr>
          <t xml:space="preserve">
合同875万元，本单已清</t>
        </r>
      </text>
    </comment>
    <comment ref="Y24" authorId="0">
      <text>
        <r>
          <rPr>
            <b/>
            <sz val="9"/>
            <rFont val="宋体"/>
            <charset val="134"/>
          </rPr>
          <t>永荣科技:</t>
        </r>
        <r>
          <rPr>
            <sz val="9"/>
            <rFont val="宋体"/>
            <charset val="134"/>
          </rPr>
          <t xml:space="preserve">
1、17.4.24付87.5万元（6321米*175元/米=110.6175万元）
2、17.5.3付87.5万元（4496米*175元/米=78.68万元）
3、17.5.22付87.5万元（7896米*175元/米=138.18万元）
4、17.9记200，电汇116.935万元（2969米*175元/米=51.9575万元） 
本单已清
</t>
        </r>
      </text>
    </comment>
    <comment ref="J25" authorId="0">
      <text>
        <r>
          <rPr>
            <b/>
            <sz val="9"/>
            <rFont val="宋体"/>
            <charset val="134"/>
          </rPr>
          <t>永荣科技:</t>
        </r>
        <r>
          <rPr>
            <sz val="9"/>
            <rFont val="宋体"/>
            <charset val="134"/>
          </rPr>
          <t xml:space="preserve">
1、17.4记95，汇83.5万元
2、17.5记79，汇83.5万元
3、17.5记77，汇83.5万元
4、17.6记166，汇83.5万元
5、17.6记166-1，付83.5万元
6、17.7记187，汇83.5万元
7、17.8记221，电汇545910元（1761米*310元/米）
</t>
        </r>
      </text>
    </comment>
    <comment ref="Q25" authorId="0">
      <text>
        <r>
          <rPr>
            <b/>
            <sz val="9"/>
            <rFont val="宋体"/>
            <charset val="134"/>
          </rPr>
          <t>永荣科技:</t>
        </r>
        <r>
          <rPr>
            <sz val="9"/>
            <rFont val="宋体"/>
            <charset val="134"/>
          </rPr>
          <t xml:space="preserve">
合同501万元</t>
        </r>
      </text>
    </comment>
    <comment ref="Y25" authorId="0">
      <text>
        <r>
          <rPr>
            <b/>
            <sz val="9"/>
            <rFont val="宋体"/>
            <charset val="134"/>
          </rPr>
          <t>永荣科技:</t>
        </r>
        <r>
          <rPr>
            <sz val="9"/>
            <rFont val="宋体"/>
            <charset val="134"/>
          </rPr>
          <t xml:space="preserve">
1、17.4记95，汇83.5万元
2、17.5记79，汇83.5万元
3、17.5记77，汇83.5万元
4、17.6记166，汇83.5万元
5、17.6记166-1，付83.5万元
6、17.7记187，汇83.5万元
7、17.8记221，电汇545910元（1761米*310元/米）
</t>
        </r>
      </text>
    </comment>
    <comment ref="J26" authorId="0">
      <text>
        <r>
          <rPr>
            <b/>
            <sz val="9"/>
            <rFont val="宋体"/>
            <charset val="134"/>
          </rPr>
          <t>永荣科技:</t>
        </r>
        <r>
          <rPr>
            <sz val="9"/>
            <rFont val="宋体"/>
            <charset val="134"/>
          </rPr>
          <t xml:space="preserve">
1、17.8记163，电汇86.3万元
2/17.11.11申请292294元（5146米+1532米）*173元/米=1155294元
本单已清</t>
        </r>
      </text>
    </comment>
    <comment ref="Q26" authorId="0">
      <text>
        <r>
          <rPr>
            <b/>
            <sz val="9"/>
            <rFont val="宋体"/>
            <charset val="134"/>
          </rPr>
          <t>永荣科技:</t>
        </r>
        <r>
          <rPr>
            <sz val="9"/>
            <rFont val="宋体"/>
            <charset val="134"/>
          </rPr>
          <t xml:space="preserve">
合同金额250.5万元</t>
        </r>
      </text>
    </comment>
    <comment ref="Y26" authorId="0">
      <text>
        <r>
          <rPr>
            <b/>
            <sz val="9"/>
            <rFont val="宋体"/>
            <charset val="134"/>
          </rPr>
          <t>永荣科技:</t>
        </r>
        <r>
          <rPr>
            <sz val="9"/>
            <rFont val="宋体"/>
            <charset val="134"/>
          </rPr>
          <t xml:space="preserve">
1、17.8记163，电汇86.3万元
2/17.11.11申请292294元（5146米+1532米）*173元/米=1155294元
本单已清
</t>
        </r>
      </text>
    </comment>
    <comment ref="J27" authorId="0">
      <text>
        <r>
          <rPr>
            <b/>
            <sz val="9"/>
            <rFont val="宋体"/>
            <charset val="134"/>
          </rPr>
          <t>永荣科技:</t>
        </r>
        <r>
          <rPr>
            <sz val="9"/>
            <rFont val="宋体"/>
            <charset val="134"/>
          </rPr>
          <t xml:space="preserve">
2、17.6记186，汇108.5万元（本次5870米*217元/米=1273790元）
3、17.8记196，电汇84.6083万元（本次3029米*217元/米=657293元）
本单已清</t>
        </r>
      </text>
    </comment>
    <comment ref="Y27" authorId="0">
      <text>
        <r>
          <rPr>
            <b/>
            <sz val="9"/>
            <rFont val="宋体"/>
            <charset val="134"/>
          </rPr>
          <t>永荣科技:</t>
        </r>
        <r>
          <rPr>
            <sz val="9"/>
            <rFont val="宋体"/>
            <charset val="134"/>
          </rPr>
          <t xml:space="preserve">
2、17.6记186，汇108.5万元（本次5870米*217元/米=1273790元）
3、17.8记196，电汇84.6083万元（本次3029米*217元/米=657293元）
本单已清
</t>
        </r>
      </text>
    </comment>
    <comment ref="J28" authorId="0">
      <text>
        <r>
          <rPr>
            <b/>
            <sz val="9"/>
            <rFont val="宋体"/>
            <charset val="134"/>
          </rPr>
          <t>永荣科技:</t>
        </r>
        <r>
          <rPr>
            <sz val="9"/>
            <rFont val="宋体"/>
            <charset val="134"/>
          </rPr>
          <t xml:space="preserve">
1、17.5.3汇88万元（参考陈凤）
2、17.5.9汇88万元（参考陈凤）
3、17.5.15汇88万元（参考陈凤）
4、17.5.15汇88万元（参考陈凤）
5、17.7.25申请88万元（参考陈凤）
6、17.8.3申请88万元（本次6086米*176元/米=107.1136万元） 目前六次已累计到货32132米
7、17.9.22申请703824元（本次1867米*176元/米=328592元）累计33999米 
已清</t>
        </r>
      </text>
    </comment>
    <comment ref="Q28" authorId="0">
      <text>
        <r>
          <rPr>
            <b/>
            <sz val="9"/>
            <rFont val="宋体"/>
            <charset val="134"/>
          </rPr>
          <t>永荣科技:</t>
        </r>
        <r>
          <rPr>
            <sz val="9"/>
            <rFont val="宋体"/>
            <charset val="134"/>
          </rPr>
          <t xml:space="preserve">
合同金额880万元</t>
        </r>
      </text>
    </comment>
    <comment ref="Y28" authorId="0">
      <text>
        <r>
          <rPr>
            <b/>
            <sz val="9"/>
            <rFont val="宋体"/>
            <charset val="134"/>
          </rPr>
          <t xml:space="preserve">永荣科技:
</t>
        </r>
        <r>
          <rPr>
            <sz val="9"/>
            <rFont val="宋体"/>
            <charset val="134"/>
          </rPr>
          <t xml:space="preserve">1、17.5.3汇88万元（参考陈凤）
2、17.5.9汇88万元（参考陈凤）
3、17.5.15汇88万元（参考陈凤）
4、17.5.15汇88万元（参考陈凤）
5、17.7.25申请88万元（参考陈凤）
6、17.8.3申请88万元（本次6086米*176元/米=107.1136万元） 目前六次已累计到货32132米
7、17.9.22申请703824元（本次1867米*176元/米=328592元）累计33999米 
已清
</t>
        </r>
      </text>
    </comment>
    <comment ref="Y29" authorId="0">
      <text>
        <r>
          <rPr>
            <b/>
            <sz val="9"/>
            <rFont val="宋体"/>
            <charset val="134"/>
          </rPr>
          <t>永荣科技:</t>
        </r>
        <r>
          <rPr>
            <sz val="9"/>
            <rFont val="宋体"/>
            <charset val="134"/>
          </rPr>
          <t xml:space="preserve">
17.4记91,71875元</t>
        </r>
      </text>
    </comment>
    <comment ref="J30" authorId="0">
      <text>
        <r>
          <rPr>
            <b/>
            <sz val="9"/>
            <rFont val="宋体"/>
            <charset val="134"/>
          </rPr>
          <t>永荣科技:</t>
        </r>
        <r>
          <rPr>
            <sz val="9"/>
            <rFont val="宋体"/>
            <charset val="134"/>
          </rPr>
          <t xml:space="preserve">
1、17.8记189，电汇72390.5元（扣贴息1609.5元）</t>
        </r>
      </text>
    </comment>
    <comment ref="Y30" authorId="0">
      <text>
        <r>
          <rPr>
            <b/>
            <sz val="9"/>
            <rFont val="宋体"/>
            <charset val="134"/>
          </rPr>
          <t>永荣科技:</t>
        </r>
        <r>
          <rPr>
            <sz val="9"/>
            <rFont val="宋体"/>
            <charset val="134"/>
          </rPr>
          <t xml:space="preserve">
1、17.8记189，电汇72390.5元（扣贴息1609.5元）
</t>
        </r>
      </text>
    </comment>
    <comment ref="J31" authorId="0">
      <text>
        <r>
          <rPr>
            <b/>
            <sz val="9"/>
            <rFont val="宋体"/>
            <charset val="134"/>
          </rPr>
          <t>永荣科技:</t>
        </r>
        <r>
          <rPr>
            <sz val="9"/>
            <rFont val="宋体"/>
            <charset val="134"/>
          </rPr>
          <t xml:space="preserve">
1、17.6记150，汇161万元(5233米*322元/米=168.5026万元）      其中短桩606米    
2、17.7记144，汇161万元（4979米*322元/米=160.3238万元）     其中短桩1431米 
3、17.7记167，汇161万元（5156米*322元/米=166.0232万元）      其中短桩898米
4、17.8记215，汇161万元（5166米*322元/米=166.3452万元）       其中短桩1231米
5、17.8.22申请汇款62.9424万元（1288米*322元/米=41.4736万元）  其中短桩154米
另外短桩4320米，收费（4320-21822*10%）*20元/米=42740元    6-8米桩属于短桩 加价20元/米（送总米数10%免费）
本合同合计：31822米*322元/米+42740元=7069424元
本单已清
</t>
        </r>
      </text>
    </comment>
    <comment ref="Q31" authorId="0">
      <text>
        <r>
          <rPr>
            <b/>
            <sz val="9"/>
            <rFont val="宋体"/>
            <charset val="134"/>
          </rPr>
          <t>永荣科技:</t>
        </r>
        <r>
          <rPr>
            <sz val="9"/>
            <rFont val="宋体"/>
            <charset val="134"/>
          </rPr>
          <t xml:space="preserve">
合同金额708.4万元</t>
        </r>
      </text>
    </comment>
    <comment ref="Y31" authorId="0">
      <text>
        <r>
          <rPr>
            <b/>
            <sz val="9"/>
            <rFont val="宋体"/>
            <charset val="134"/>
          </rPr>
          <t>永荣科技:</t>
        </r>
        <r>
          <rPr>
            <sz val="9"/>
            <rFont val="宋体"/>
            <charset val="134"/>
          </rPr>
          <t xml:space="preserve">
1、17.6记150，汇161万元(5233米*322元/米=168.5026万元）      其中短桩606米    
2、17.7记144，汇161万元（4979米*322元/米=160.3238万元）     其中短桩1431米 
3、17.7记167，汇161万元（5156米*322元/米=166.0232万元）      其中短桩898米
4、17.8记215，汇161万元（5166米*322元/米=166.3452万元）       其中短桩1231米
5、17.8.22申请汇款62.9424万元（1288米*322元/米=41.4736万元）  其中短桩154米
另外短桩4320米，收费（4320-21822*10%）*20元/米=42740元    6-8米桩属于短桩 加价20元/米（送总米数10%免费）
本合同合计：31822米*322元/米+42740元=7069424元
本单已清
</t>
        </r>
      </text>
    </comment>
    <comment ref="J32" authorId="0">
      <text>
        <r>
          <rPr>
            <b/>
            <sz val="9"/>
            <rFont val="宋体"/>
            <charset val="134"/>
          </rPr>
          <t>永荣科技:</t>
        </r>
        <r>
          <rPr>
            <sz val="9"/>
            <rFont val="宋体"/>
            <charset val="134"/>
          </rPr>
          <t xml:space="preserve">
1、17.8.18申请79674元
本单已清</t>
        </r>
      </text>
    </comment>
    <comment ref="Q32" authorId="0">
      <text>
        <r>
          <rPr>
            <b/>
            <sz val="9"/>
            <rFont val="宋体"/>
            <charset val="134"/>
          </rPr>
          <t>永荣科技:</t>
        </r>
        <r>
          <rPr>
            <sz val="9"/>
            <rFont val="宋体"/>
            <charset val="134"/>
          </rPr>
          <t xml:space="preserve">
合同87920</t>
        </r>
      </text>
    </comment>
    <comment ref="Y32" authorId="0">
      <text>
        <r>
          <rPr>
            <b/>
            <sz val="9"/>
            <rFont val="宋体"/>
            <charset val="134"/>
          </rPr>
          <t xml:space="preserve">永荣科技:
</t>
        </r>
        <r>
          <rPr>
            <sz val="9"/>
            <rFont val="宋体"/>
            <charset val="134"/>
          </rPr>
          <t>1</t>
        </r>
      </text>
    </comment>
    <comment ref="J33" authorId="0">
      <text>
        <r>
          <rPr>
            <b/>
            <sz val="9"/>
            <rFont val="宋体"/>
            <charset val="134"/>
          </rPr>
          <t>永荣科技:</t>
        </r>
        <r>
          <rPr>
            <sz val="9"/>
            <rFont val="宋体"/>
            <charset val="134"/>
          </rPr>
          <t xml:space="preserve">
1、17.8.21申请汇款10万元
本单已清</t>
        </r>
      </text>
    </comment>
    <comment ref="Y33" authorId="0">
      <text>
        <r>
          <rPr>
            <b/>
            <sz val="9"/>
            <rFont val="宋体"/>
            <charset val="134"/>
          </rPr>
          <t>永荣科技:</t>
        </r>
        <r>
          <rPr>
            <sz val="9"/>
            <rFont val="宋体"/>
            <charset val="134"/>
          </rPr>
          <t xml:space="preserve">
1</t>
        </r>
      </text>
    </comment>
    <comment ref="J34" authorId="0">
      <text>
        <r>
          <rPr>
            <b/>
            <sz val="9"/>
            <rFont val="宋体"/>
            <charset val="134"/>
          </rPr>
          <t>永荣科技:</t>
        </r>
        <r>
          <rPr>
            <sz val="9"/>
            <rFont val="宋体"/>
            <charset val="134"/>
          </rPr>
          <t xml:space="preserve">
1、17.8.31申请5.6万元
本单已清</t>
        </r>
      </text>
    </comment>
    <comment ref="J35" authorId="0">
      <text>
        <r>
          <rPr>
            <b/>
            <sz val="9"/>
            <rFont val="宋体"/>
            <charset val="134"/>
          </rPr>
          <t>永荣科技:</t>
        </r>
        <r>
          <rPr>
            <sz val="9"/>
            <rFont val="宋体"/>
            <charset val="134"/>
          </rPr>
          <t xml:space="preserve">
1、17.8记191，电汇47934.25元
本合同已清
</t>
        </r>
      </text>
    </comment>
    <comment ref="Y35" authorId="0">
      <text>
        <r>
          <rPr>
            <b/>
            <sz val="9"/>
            <rFont val="宋体"/>
            <charset val="134"/>
          </rPr>
          <t>永荣科技:</t>
        </r>
        <r>
          <rPr>
            <sz val="9"/>
            <rFont val="宋体"/>
            <charset val="134"/>
          </rPr>
          <t xml:space="preserve">
1、17.8记191，电汇47934.25元</t>
        </r>
      </text>
    </comment>
    <comment ref="J36" authorId="0">
      <text>
        <r>
          <rPr>
            <b/>
            <sz val="9"/>
            <rFont val="宋体"/>
            <charset val="134"/>
          </rPr>
          <t>永荣科技:</t>
        </r>
        <r>
          <rPr>
            <sz val="9"/>
            <rFont val="宋体"/>
            <charset val="134"/>
          </rPr>
          <t xml:space="preserve">
1、17.8记204，汇6000元
本单已清</t>
        </r>
      </text>
    </comment>
    <comment ref="Y36" authorId="0">
      <text>
        <r>
          <rPr>
            <b/>
            <sz val="9"/>
            <rFont val="宋体"/>
            <charset val="134"/>
          </rPr>
          <t>永荣科技:</t>
        </r>
        <r>
          <rPr>
            <sz val="9"/>
            <rFont val="宋体"/>
            <charset val="134"/>
          </rPr>
          <t xml:space="preserve">
1</t>
        </r>
      </text>
    </comment>
    <comment ref="AC36" authorId="0">
      <text>
        <r>
          <rPr>
            <b/>
            <sz val="9"/>
            <rFont val="宋体"/>
            <charset val="134"/>
          </rPr>
          <t>永荣科技:</t>
        </r>
        <r>
          <rPr>
            <sz val="9"/>
            <rFont val="宋体"/>
            <charset val="134"/>
          </rPr>
          <t xml:space="preserve">
2</t>
        </r>
      </text>
    </comment>
    <comment ref="J37" authorId="0">
      <text>
        <r>
          <rPr>
            <b/>
            <sz val="9"/>
            <rFont val="宋体"/>
            <charset val="134"/>
          </rPr>
          <t>永荣科技:</t>
        </r>
        <r>
          <rPr>
            <sz val="9"/>
            <rFont val="宋体"/>
            <charset val="134"/>
          </rPr>
          <t xml:space="preserve">
1、17.8.15申请44560元
本合同已清</t>
        </r>
      </text>
    </comment>
    <comment ref="Y37" authorId="0">
      <text>
        <r>
          <rPr>
            <b/>
            <sz val="9"/>
            <rFont val="宋体"/>
            <charset val="134"/>
          </rPr>
          <t>永荣科技:</t>
        </r>
        <r>
          <rPr>
            <sz val="9"/>
            <rFont val="宋体"/>
            <charset val="134"/>
          </rPr>
          <t xml:space="preserve">
1</t>
        </r>
      </text>
    </comment>
    <comment ref="J39" authorId="0">
      <text>
        <r>
          <rPr>
            <b/>
            <sz val="9"/>
            <rFont val="宋体"/>
            <charset val="134"/>
          </rPr>
          <t xml:space="preserve">永荣科技:     80%
</t>
        </r>
        <r>
          <rPr>
            <sz val="9"/>
            <rFont val="宋体"/>
            <charset val="134"/>
          </rPr>
          <t>1、17.8.21申请汇款1344758.2元（10%预付款）
2、17.11.8申请2714313.6元</t>
        </r>
      </text>
    </comment>
    <comment ref="U39" authorId="0">
      <text>
        <r>
          <rPr>
            <b/>
            <sz val="9"/>
            <rFont val="宋体"/>
            <charset val="134"/>
          </rPr>
          <t>永荣科技:</t>
        </r>
        <r>
          <rPr>
            <sz val="9"/>
            <rFont val="宋体"/>
            <charset val="134"/>
          </rPr>
          <t xml:space="preserve">
转账支付合同金额为：13245868.27元（降低1.5%）</t>
        </r>
      </text>
    </comment>
    <comment ref="Y39" authorId="0">
      <text>
        <r>
          <rPr>
            <b/>
            <sz val="9"/>
            <rFont val="宋体"/>
            <charset val="134"/>
          </rPr>
          <t>永荣科技:</t>
        </r>
        <r>
          <rPr>
            <sz val="9"/>
            <rFont val="宋体"/>
            <charset val="134"/>
          </rPr>
          <t xml:space="preserve">
1</t>
        </r>
      </text>
    </comment>
    <comment ref="J40" authorId="0">
      <text>
        <r>
          <rPr>
            <b/>
            <sz val="9"/>
            <rFont val="宋体"/>
            <charset val="134"/>
          </rPr>
          <t>永荣科技:</t>
        </r>
        <r>
          <rPr>
            <sz val="9"/>
            <rFont val="宋体"/>
            <charset val="134"/>
          </rPr>
          <t xml:space="preserve">
1、17.9记216，电汇35万元（20%预付款）</t>
        </r>
      </text>
    </comment>
    <comment ref="Y40" authorId="0">
      <text>
        <r>
          <rPr>
            <b/>
            <sz val="9"/>
            <rFont val="宋体"/>
            <charset val="134"/>
          </rPr>
          <t>永荣科技:</t>
        </r>
        <r>
          <rPr>
            <sz val="9"/>
            <rFont val="宋体"/>
            <charset val="134"/>
          </rPr>
          <t xml:space="preserve">
1、17.9记216，电汇35万元（20%预付款）
</t>
        </r>
      </text>
    </comment>
    <comment ref="J41" authorId="0">
      <text>
        <r>
          <rPr>
            <b/>
            <sz val="9"/>
            <rFont val="宋体"/>
            <charset val="134"/>
          </rPr>
          <t>永荣科技:</t>
        </r>
        <r>
          <rPr>
            <sz val="9"/>
            <rFont val="宋体"/>
            <charset val="134"/>
          </rPr>
          <t xml:space="preserve">
1、17.9记206，电汇166万元（8.24收货10533米*166元/米)
2、17年11月1日，电汇332万元（10.24收货19683米*166元/米）</t>
        </r>
      </text>
    </comment>
    <comment ref="Y41" authorId="0">
      <text>
        <r>
          <rPr>
            <b/>
            <sz val="9"/>
            <rFont val="宋体"/>
            <charset val="134"/>
          </rPr>
          <t>永荣科技:</t>
        </r>
        <r>
          <rPr>
            <sz val="9"/>
            <rFont val="宋体"/>
            <charset val="134"/>
          </rPr>
          <t xml:space="preserve">
1、17.9记206，电汇166万元（8.24收货10533米*166元/米)
2、17年11月1日，电汇332万元（10.24收货19683米*166元/米）
</t>
        </r>
      </text>
    </comment>
    <comment ref="J42" authorId="0">
      <text>
        <r>
          <rPr>
            <b/>
            <sz val="9"/>
            <rFont val="宋体"/>
            <charset val="134"/>
          </rPr>
          <t>永荣科技:</t>
        </r>
        <r>
          <rPr>
            <sz val="9"/>
            <rFont val="宋体"/>
            <charset val="134"/>
          </rPr>
          <t xml:space="preserve">
1、17.10记191，电汇28万元</t>
        </r>
      </text>
    </comment>
    <comment ref="Y42" authorId="0">
      <text>
        <r>
          <rPr>
            <b/>
            <sz val="9"/>
            <rFont val="宋体"/>
            <charset val="134"/>
          </rPr>
          <t>永荣科技:</t>
        </r>
        <r>
          <rPr>
            <sz val="9"/>
            <rFont val="宋体"/>
            <charset val="134"/>
          </rPr>
          <t xml:space="preserve">
1、17.10记191，电汇28万元
</t>
        </r>
      </text>
    </comment>
    <comment ref="J43" authorId="0">
      <text>
        <r>
          <rPr>
            <b/>
            <sz val="9"/>
            <rFont val="宋体"/>
            <charset val="134"/>
          </rPr>
          <t>永荣科技:</t>
        </r>
        <r>
          <rPr>
            <sz val="9"/>
            <rFont val="宋体"/>
            <charset val="134"/>
          </rPr>
          <t xml:space="preserve">
1、17.10.31申请26.6万元（95%到货款）</t>
        </r>
      </text>
    </comment>
    <comment ref="J44" authorId="0">
      <text>
        <r>
          <rPr>
            <b/>
            <sz val="9"/>
            <rFont val="宋体"/>
            <charset val="134"/>
          </rPr>
          <t>永荣科技:</t>
        </r>
        <r>
          <rPr>
            <sz val="9"/>
            <rFont val="宋体"/>
            <charset val="134"/>
          </rPr>
          <t xml:space="preserve">
1、17年11月1日，电汇273306.74元</t>
        </r>
      </text>
    </comment>
    <comment ref="Y44" authorId="0">
      <text>
        <r>
          <rPr>
            <b/>
            <sz val="9"/>
            <rFont val="宋体"/>
            <charset val="134"/>
          </rPr>
          <t>永荣科技:</t>
        </r>
        <r>
          <rPr>
            <sz val="9"/>
            <rFont val="宋体"/>
            <charset val="134"/>
          </rPr>
          <t xml:space="preserve">
1、17年11月1日，电汇273306.74元
</t>
        </r>
      </text>
    </comment>
    <comment ref="J48" authorId="0">
      <text>
        <r>
          <rPr>
            <b/>
            <sz val="9"/>
            <rFont val="宋体"/>
            <charset val="134"/>
          </rPr>
          <t>永荣科技:</t>
        </r>
        <r>
          <rPr>
            <sz val="9"/>
            <rFont val="宋体"/>
            <charset val="134"/>
          </rPr>
          <t xml:space="preserve">
1、17年11月7日，电汇225880元</t>
        </r>
      </text>
    </comment>
    <comment ref="Y48" authorId="0">
      <text>
        <r>
          <rPr>
            <b/>
            <sz val="9"/>
            <rFont val="宋体"/>
            <charset val="134"/>
          </rPr>
          <t>永荣科技:</t>
        </r>
        <r>
          <rPr>
            <sz val="9"/>
            <rFont val="宋体"/>
            <charset val="134"/>
          </rPr>
          <t xml:space="preserve">
1、17年11月7日，电汇225880元
</t>
        </r>
      </text>
    </comment>
    <comment ref="J49" authorId="0">
      <text>
        <r>
          <rPr>
            <b/>
            <sz val="9"/>
            <rFont val="宋体"/>
            <charset val="134"/>
          </rPr>
          <t>永荣科技:</t>
        </r>
        <r>
          <rPr>
            <sz val="9"/>
            <rFont val="宋体"/>
            <charset val="134"/>
          </rPr>
          <t xml:space="preserve">
1、17.9.26申请100万元（预付款）</t>
        </r>
      </text>
    </comment>
    <comment ref="J51" authorId="0">
      <text>
        <r>
          <rPr>
            <b/>
            <sz val="9"/>
            <rFont val="宋体"/>
            <charset val="134"/>
          </rPr>
          <t>永荣科技:</t>
        </r>
        <r>
          <rPr>
            <sz val="9"/>
            <rFont val="宋体"/>
            <charset val="134"/>
          </rPr>
          <t xml:space="preserve">
1、17年11月1日，电汇50万元（预付款）</t>
        </r>
      </text>
    </comment>
    <comment ref="Y51" authorId="0">
      <text>
        <r>
          <rPr>
            <b/>
            <sz val="9"/>
            <rFont val="宋体"/>
            <charset val="134"/>
          </rPr>
          <t>永荣科技:</t>
        </r>
        <r>
          <rPr>
            <sz val="9"/>
            <rFont val="宋体"/>
            <charset val="134"/>
          </rPr>
          <t xml:space="preserve">
1、17年11月1日，电汇50万元（预付款）
</t>
        </r>
      </text>
    </comment>
    <comment ref="J52" authorId="0">
      <text>
        <r>
          <rPr>
            <b/>
            <sz val="9"/>
            <rFont val="宋体"/>
            <charset val="134"/>
          </rPr>
          <t>永荣科技:</t>
        </r>
        <r>
          <rPr>
            <sz val="9"/>
            <rFont val="宋体"/>
            <charset val="134"/>
          </rPr>
          <t xml:space="preserve">
1、17年11月1日，电汇305389.7元</t>
        </r>
      </text>
    </comment>
    <comment ref="Y52" authorId="0">
      <text>
        <r>
          <rPr>
            <b/>
            <sz val="9"/>
            <rFont val="宋体"/>
            <charset val="134"/>
          </rPr>
          <t>永荣科技:</t>
        </r>
        <r>
          <rPr>
            <sz val="9"/>
            <rFont val="宋体"/>
            <charset val="134"/>
          </rPr>
          <t xml:space="preserve">
1、17年11月1日，电汇305389.7元
</t>
        </r>
      </text>
    </comment>
    <comment ref="J54" authorId="0">
      <text>
        <r>
          <rPr>
            <b/>
            <sz val="9"/>
            <rFont val="宋体"/>
            <charset val="134"/>
          </rPr>
          <t>永荣科技:</t>
        </r>
        <r>
          <rPr>
            <sz val="9"/>
            <rFont val="宋体"/>
            <charset val="134"/>
          </rPr>
          <t xml:space="preserve">
1、17年11月1日，电汇685387元</t>
        </r>
      </text>
    </comment>
    <comment ref="Y54" authorId="0">
      <text>
        <r>
          <rPr>
            <b/>
            <sz val="9"/>
            <rFont val="宋体"/>
            <charset val="134"/>
          </rPr>
          <t>永荣科技:</t>
        </r>
        <r>
          <rPr>
            <sz val="9"/>
            <rFont val="宋体"/>
            <charset val="134"/>
          </rPr>
          <t xml:space="preserve">
1、17年11月1日，电汇685387元
</t>
        </r>
      </text>
    </comment>
    <comment ref="J56" authorId="0">
      <text>
        <r>
          <rPr>
            <b/>
            <sz val="9"/>
            <rFont val="宋体"/>
            <charset val="134"/>
          </rPr>
          <t>永荣科技:</t>
        </r>
        <r>
          <rPr>
            <sz val="9"/>
            <rFont val="宋体"/>
            <charset val="134"/>
          </rPr>
          <t xml:space="preserve">
1、17年11月1日，电汇32136.93元
本单已清</t>
        </r>
      </text>
    </comment>
    <comment ref="Y56" authorId="0">
      <text>
        <r>
          <rPr>
            <b/>
            <sz val="9"/>
            <rFont val="宋体"/>
            <charset val="134"/>
          </rPr>
          <t>永荣科技:</t>
        </r>
        <r>
          <rPr>
            <sz val="9"/>
            <rFont val="宋体"/>
            <charset val="134"/>
          </rPr>
          <t xml:space="preserve">
1、17年11月1日，电汇32136.93元
本单已清
</t>
        </r>
      </text>
    </comment>
    <comment ref="J57" authorId="0">
      <text>
        <r>
          <rPr>
            <b/>
            <sz val="9"/>
            <rFont val="宋体"/>
            <charset val="134"/>
          </rPr>
          <t>永荣科技:</t>
        </r>
        <r>
          <rPr>
            <sz val="9"/>
            <rFont val="宋体"/>
            <charset val="134"/>
          </rPr>
          <t xml:space="preserve">
1、17年11月11日，电汇20850元</t>
        </r>
      </text>
    </comment>
    <comment ref="Y57" authorId="0">
      <text>
        <r>
          <rPr>
            <b/>
            <sz val="9"/>
            <rFont val="宋体"/>
            <charset val="134"/>
          </rPr>
          <t>永荣科技:</t>
        </r>
        <r>
          <rPr>
            <sz val="9"/>
            <rFont val="宋体"/>
            <charset val="134"/>
          </rPr>
          <t xml:space="preserve">
1、17年11月11日，电汇20850元
</t>
        </r>
      </text>
    </comment>
    <comment ref="J59" authorId="0">
      <text>
        <r>
          <rPr>
            <b/>
            <sz val="9"/>
            <rFont val="宋体"/>
            <charset val="134"/>
          </rPr>
          <t>永荣科技:</t>
        </r>
        <r>
          <rPr>
            <sz val="9"/>
            <rFont val="宋体"/>
            <charset val="134"/>
          </rPr>
          <t xml:space="preserve">
1、17.10记192，电汇32880.96元
本单已清</t>
        </r>
      </text>
    </comment>
    <comment ref="Y59" authorId="0">
      <text>
        <r>
          <rPr>
            <b/>
            <sz val="9"/>
            <rFont val="宋体"/>
            <charset val="134"/>
          </rPr>
          <t>永荣科技:</t>
        </r>
        <r>
          <rPr>
            <sz val="9"/>
            <rFont val="宋体"/>
            <charset val="134"/>
          </rPr>
          <t xml:space="preserve">
1、17.10记192，电汇32880.96元
</t>
        </r>
      </text>
    </comment>
    <comment ref="J61" authorId="0">
      <text>
        <r>
          <rPr>
            <b/>
            <sz val="9"/>
            <rFont val="宋体"/>
            <charset val="134"/>
          </rPr>
          <t>永荣科技:</t>
        </r>
        <r>
          <rPr>
            <sz val="9"/>
            <rFont val="宋体"/>
            <charset val="134"/>
          </rPr>
          <t xml:space="preserve">
1、17.9记179，电汇131万元（20%预付款)
2、17.9记179，电汇393万元（60%发货款）
3、17.10记213，电汇982500元（15%验收款）</t>
        </r>
      </text>
    </comment>
    <comment ref="Y61" authorId="0">
      <text>
        <r>
          <rPr>
            <b/>
            <sz val="9"/>
            <rFont val="宋体"/>
            <charset val="134"/>
          </rPr>
          <t>永荣科技:</t>
        </r>
        <r>
          <rPr>
            <sz val="9"/>
            <rFont val="宋体"/>
            <charset val="134"/>
          </rPr>
          <t xml:space="preserve">
1、17.9记179，电汇131万元（20%预付款)
</t>
        </r>
      </text>
    </comment>
    <comment ref="AC61" authorId="0">
      <text>
        <r>
          <rPr>
            <b/>
            <sz val="9"/>
            <rFont val="宋体"/>
            <charset val="134"/>
          </rPr>
          <t>永荣科技:</t>
        </r>
        <r>
          <rPr>
            <sz val="9"/>
            <rFont val="宋体"/>
            <charset val="134"/>
          </rPr>
          <t xml:space="preserve">
2、17.9记179，电汇393万元（60%发货款）</t>
        </r>
      </text>
    </comment>
    <comment ref="AG61" authorId="0">
      <text>
        <r>
          <rPr>
            <b/>
            <sz val="9"/>
            <rFont val="宋体"/>
            <charset val="134"/>
          </rPr>
          <t>永荣科技:</t>
        </r>
        <r>
          <rPr>
            <sz val="9"/>
            <rFont val="宋体"/>
            <charset val="134"/>
          </rPr>
          <t xml:space="preserve">
3、17.10记213，电汇982500元（15%验收款）
</t>
        </r>
      </text>
    </comment>
    <comment ref="J62" authorId="0">
      <text>
        <r>
          <rPr>
            <b/>
            <sz val="9"/>
            <rFont val="宋体"/>
            <charset val="134"/>
          </rPr>
          <t>永荣科技:</t>
        </r>
        <r>
          <rPr>
            <sz val="9"/>
            <rFont val="宋体"/>
            <charset val="134"/>
          </rPr>
          <t xml:space="preserve">
1、17.10记164，电汇1547971.9元元（20%预付款+60%发货款）
2、17.11.20申请290244.73元（15验收款）</t>
        </r>
      </text>
    </comment>
    <comment ref="Y62" authorId="0">
      <text>
        <r>
          <rPr>
            <b/>
            <sz val="9"/>
            <rFont val="宋体"/>
            <charset val="134"/>
          </rPr>
          <t>永荣科技:</t>
        </r>
        <r>
          <rPr>
            <sz val="9"/>
            <rFont val="宋体"/>
            <charset val="134"/>
          </rPr>
          <t xml:space="preserve">
1、17.10记164，电汇1547971.9元元（20%预付款+60%发货款）
</t>
        </r>
      </text>
    </comment>
    <comment ref="AC62" authorId="0">
      <text>
        <r>
          <rPr>
            <b/>
            <sz val="9"/>
            <rFont val="宋体"/>
            <charset val="134"/>
          </rPr>
          <t>永荣科技:</t>
        </r>
        <r>
          <rPr>
            <sz val="9"/>
            <rFont val="宋体"/>
            <charset val="134"/>
          </rPr>
          <t xml:space="preserve">
1、17.10记164，电汇1547971.9元元（20%预付款+60%发货款）
</t>
        </r>
      </text>
    </comment>
    <comment ref="J63" authorId="0">
      <text>
        <r>
          <rPr>
            <b/>
            <sz val="9"/>
            <rFont val="宋体"/>
            <charset val="134"/>
          </rPr>
          <t>永荣科技:</t>
        </r>
        <r>
          <rPr>
            <sz val="9"/>
            <rFont val="宋体"/>
            <charset val="134"/>
          </rPr>
          <t xml:space="preserve">
1、17.9记225，电汇504630.53元（20%预付款）
2、17.10记164，电汇1513891.58元（60%发货款）
3、17.11.20申请378472.89元（15%验收款）</t>
        </r>
      </text>
    </comment>
    <comment ref="Y63" authorId="0">
      <text>
        <r>
          <rPr>
            <b/>
            <sz val="9"/>
            <rFont val="宋体"/>
            <charset val="134"/>
          </rPr>
          <t>永荣科技:</t>
        </r>
        <r>
          <rPr>
            <sz val="9"/>
            <rFont val="宋体"/>
            <charset val="134"/>
          </rPr>
          <t xml:space="preserve">
1、17.9记225，电汇504630.53元（20%预付款）
</t>
        </r>
      </text>
    </comment>
    <comment ref="AC63" authorId="0">
      <text>
        <r>
          <rPr>
            <b/>
            <sz val="9"/>
            <rFont val="宋体"/>
            <charset val="134"/>
          </rPr>
          <t>永荣科技:</t>
        </r>
        <r>
          <rPr>
            <sz val="9"/>
            <rFont val="宋体"/>
            <charset val="134"/>
          </rPr>
          <t xml:space="preserve">
2、17.10记164，电汇1513891.58元（60%发货款）
</t>
        </r>
      </text>
    </comment>
    <comment ref="J64" authorId="0">
      <text>
        <r>
          <rPr>
            <b/>
            <sz val="9"/>
            <rFont val="宋体"/>
            <charset val="134"/>
          </rPr>
          <t>永荣科技:</t>
        </r>
        <r>
          <rPr>
            <sz val="9"/>
            <rFont val="宋体"/>
            <charset val="134"/>
          </rPr>
          <t xml:space="preserve">
1、17年11月7日，电汇340万元（80%货款）</t>
        </r>
      </text>
    </comment>
    <comment ref="Y64" authorId="0">
      <text>
        <r>
          <rPr>
            <b/>
            <sz val="9"/>
            <rFont val="宋体"/>
            <charset val="134"/>
          </rPr>
          <t>永荣科技:</t>
        </r>
        <r>
          <rPr>
            <sz val="9"/>
            <rFont val="宋体"/>
            <charset val="134"/>
          </rPr>
          <t xml:space="preserve">
1、17年11月7日，电汇340万元（80%货款）
</t>
        </r>
      </text>
    </comment>
    <comment ref="AC64" authorId="0">
      <text>
        <r>
          <rPr>
            <b/>
            <sz val="9"/>
            <rFont val="宋体"/>
            <charset val="134"/>
          </rPr>
          <t>永荣科技:</t>
        </r>
        <r>
          <rPr>
            <sz val="9"/>
            <rFont val="宋体"/>
            <charset val="134"/>
          </rPr>
          <t xml:space="preserve">
1、17年11月7日，电汇340万元（80%货款）
</t>
        </r>
      </text>
    </comment>
    <comment ref="J65" authorId="0">
      <text>
        <r>
          <rPr>
            <b/>
            <sz val="9"/>
            <rFont val="宋体"/>
            <charset val="134"/>
          </rPr>
          <t>永荣科技:</t>
        </r>
        <r>
          <rPr>
            <sz val="9"/>
            <rFont val="宋体"/>
            <charset val="134"/>
          </rPr>
          <t xml:space="preserve">
1、17.11.22申请1252178.98元（80%发货款）</t>
        </r>
      </text>
    </comment>
    <comment ref="J67" authorId="0">
      <text>
        <r>
          <rPr>
            <b/>
            <sz val="9"/>
            <rFont val="宋体"/>
            <charset val="134"/>
          </rPr>
          <t>永荣科技:</t>
        </r>
        <r>
          <rPr>
            <sz val="9"/>
            <rFont val="宋体"/>
            <charset val="134"/>
          </rPr>
          <t xml:space="preserve">
1、17.9记230，电汇100万元
2、17.10记154，电汇180万元
3、17年11月3日，承兑汇2198335元（6*2000*1100规格验收1片不合格，5232.8元，已付款，下次抵款）</t>
        </r>
      </text>
    </comment>
    <comment ref="Y67" authorId="0">
      <text>
        <r>
          <rPr>
            <b/>
            <sz val="9"/>
            <rFont val="宋体"/>
            <charset val="134"/>
          </rPr>
          <t>永荣科技:</t>
        </r>
        <r>
          <rPr>
            <sz val="9"/>
            <rFont val="宋体"/>
            <charset val="134"/>
          </rPr>
          <t xml:space="preserve">
1、17.9记230，电汇100万元
2、17.10记154，电汇180万元
3、17年11月3日承兑汇2198335元（6*2000*1100规格验收1片不合格，5232.8元，已付款，下次抵款）
</t>
        </r>
      </text>
    </comment>
    <comment ref="J74" authorId="0">
      <text>
        <r>
          <rPr>
            <b/>
            <sz val="9"/>
            <rFont val="宋体"/>
            <charset val="134"/>
          </rPr>
          <t>永荣科技:</t>
        </r>
        <r>
          <rPr>
            <sz val="9"/>
            <rFont val="宋体"/>
            <charset val="134"/>
          </rPr>
          <t xml:space="preserve">
1、17.10.23申请336万元（80%预付款)</t>
        </r>
      </text>
    </comment>
    <comment ref="Y74" authorId="0">
      <text>
        <r>
          <rPr>
            <b/>
            <sz val="9"/>
            <rFont val="宋体"/>
            <charset val="134"/>
          </rPr>
          <t>永荣科技:</t>
        </r>
        <r>
          <rPr>
            <sz val="9"/>
            <rFont val="宋体"/>
            <charset val="134"/>
          </rPr>
          <t xml:space="preserve">
1</t>
        </r>
      </text>
    </comment>
    <comment ref="J75" authorId="0">
      <text>
        <r>
          <rPr>
            <b/>
            <sz val="9"/>
            <rFont val="宋体"/>
            <charset val="134"/>
          </rPr>
          <t>永荣科技:</t>
        </r>
        <r>
          <rPr>
            <sz val="9"/>
            <rFont val="宋体"/>
            <charset val="134"/>
          </rPr>
          <t xml:space="preserve">
1、
2、17.11.14申请54万元</t>
        </r>
      </text>
    </comment>
    <comment ref="Y76" authorId="0">
      <text>
        <r>
          <rPr>
            <b/>
            <sz val="9"/>
            <rFont val="宋体"/>
            <charset val="134"/>
          </rPr>
          <t>永荣科技:</t>
        </r>
        <r>
          <rPr>
            <sz val="9"/>
            <rFont val="宋体"/>
            <charset val="134"/>
          </rPr>
          <t xml:space="preserve">
1/2017.10.19申请全额
</t>
        </r>
      </text>
    </comment>
    <comment ref="Y77" authorId="0">
      <text>
        <r>
          <rPr>
            <b/>
            <sz val="9"/>
            <rFont val="宋体"/>
            <charset val="134"/>
          </rPr>
          <t>永荣科技:</t>
        </r>
        <r>
          <rPr>
            <sz val="9"/>
            <rFont val="宋体"/>
            <charset val="134"/>
          </rPr>
          <t xml:space="preserve">
1/2017.10.19申请全额
</t>
        </r>
      </text>
    </comment>
    <comment ref="J81" authorId="0">
      <text>
        <r>
          <rPr>
            <b/>
            <sz val="9"/>
            <rFont val="宋体"/>
            <charset val="134"/>
          </rPr>
          <t>永荣科技:</t>
        </r>
        <r>
          <rPr>
            <sz val="9"/>
            <rFont val="宋体"/>
            <charset val="134"/>
          </rPr>
          <t xml:space="preserve">
1、2017.10.19申请全额
2、17.11.5申请112185.6元
</t>
        </r>
      </text>
    </comment>
    <comment ref="J82" authorId="0">
      <text>
        <r>
          <rPr>
            <b/>
            <sz val="9"/>
            <rFont val="宋体"/>
            <charset val="134"/>
          </rPr>
          <t>永荣科技:</t>
        </r>
        <r>
          <rPr>
            <sz val="9"/>
            <rFont val="宋体"/>
            <charset val="134"/>
          </rPr>
          <t xml:space="preserve">
1、17.10记159，电汇2.8万元
本单已清</t>
        </r>
      </text>
    </comment>
    <comment ref="Y82" authorId="0">
      <text>
        <r>
          <rPr>
            <b/>
            <sz val="9"/>
            <rFont val="宋体"/>
            <charset val="134"/>
          </rPr>
          <t>永荣科技:</t>
        </r>
        <r>
          <rPr>
            <sz val="9"/>
            <rFont val="宋体"/>
            <charset val="134"/>
          </rPr>
          <t xml:space="preserve">
1、17.10记159，电汇2.8万元
本单已清
</t>
        </r>
      </text>
    </comment>
    <comment ref="J83" authorId="0">
      <text>
        <r>
          <rPr>
            <b/>
            <sz val="9"/>
            <rFont val="宋体"/>
            <charset val="134"/>
          </rPr>
          <t>永荣科技:</t>
        </r>
        <r>
          <rPr>
            <sz val="9"/>
            <rFont val="宋体"/>
            <charset val="134"/>
          </rPr>
          <t xml:space="preserve">
1、2017年11月8日，承兑汇53万元（20%预付款）</t>
        </r>
      </text>
    </comment>
    <comment ref="Y83" authorId="0">
      <text>
        <r>
          <rPr>
            <b/>
            <sz val="9"/>
            <rFont val="宋体"/>
            <charset val="134"/>
          </rPr>
          <t>永荣科技:</t>
        </r>
        <r>
          <rPr>
            <sz val="9"/>
            <rFont val="宋体"/>
            <charset val="134"/>
          </rPr>
          <t xml:space="preserve">
1、2017年11月8日，承兑汇53万元（20%预付款）
</t>
        </r>
      </text>
    </comment>
    <comment ref="J84" authorId="0">
      <text>
        <r>
          <rPr>
            <b/>
            <sz val="9"/>
            <rFont val="宋体"/>
            <charset val="134"/>
          </rPr>
          <t>永荣科技:</t>
        </r>
        <r>
          <rPr>
            <sz val="9"/>
            <rFont val="宋体"/>
            <charset val="134"/>
          </rPr>
          <t xml:space="preserve">
1、17年11月10日，电汇943000元（20%预付款）</t>
        </r>
      </text>
    </comment>
    <comment ref="Y84" authorId="0">
      <text>
        <r>
          <rPr>
            <b/>
            <sz val="9"/>
            <rFont val="宋体"/>
            <charset val="134"/>
          </rPr>
          <t>永荣科技:</t>
        </r>
        <r>
          <rPr>
            <sz val="9"/>
            <rFont val="宋体"/>
            <charset val="134"/>
          </rPr>
          <t xml:space="preserve">
1、17年11月10日，电汇943000元（20%预付款）
</t>
        </r>
      </text>
    </comment>
    <comment ref="J85" authorId="0">
      <text>
        <r>
          <rPr>
            <b/>
            <sz val="9"/>
            <rFont val="宋体"/>
            <charset val="134"/>
          </rPr>
          <t>永荣科技:</t>
        </r>
        <r>
          <rPr>
            <sz val="9"/>
            <rFont val="宋体"/>
            <charset val="134"/>
          </rPr>
          <t xml:space="preserve">
1、17年11月1日，电汇346000元（20%预付款）</t>
        </r>
      </text>
    </comment>
    <comment ref="Y85" authorId="0">
      <text>
        <r>
          <rPr>
            <b/>
            <sz val="9"/>
            <rFont val="宋体"/>
            <charset val="134"/>
          </rPr>
          <t>永荣科技:</t>
        </r>
        <r>
          <rPr>
            <sz val="9"/>
            <rFont val="宋体"/>
            <charset val="134"/>
          </rPr>
          <t xml:space="preserve">
1、17年11月1日，电汇346000元（20%预付款）
</t>
        </r>
      </text>
    </comment>
    <comment ref="J86" authorId="0">
      <text>
        <r>
          <rPr>
            <b/>
            <sz val="9"/>
            <rFont val="宋体"/>
            <charset val="134"/>
          </rPr>
          <t>永荣科技:</t>
        </r>
        <r>
          <rPr>
            <sz val="9"/>
            <rFont val="宋体"/>
            <charset val="134"/>
          </rPr>
          <t xml:space="preserve">
1、17年11月14日，电汇266000元（20%预付款）</t>
        </r>
      </text>
    </comment>
    <comment ref="Y86" authorId="0">
      <text>
        <r>
          <rPr>
            <b/>
            <sz val="9"/>
            <rFont val="宋体"/>
            <charset val="134"/>
          </rPr>
          <t>永荣科技:</t>
        </r>
        <r>
          <rPr>
            <sz val="9"/>
            <rFont val="宋体"/>
            <charset val="134"/>
          </rPr>
          <t xml:space="preserve">
1、17年11月14日，电汇266000元（20%预付款）
</t>
        </r>
      </text>
    </comment>
    <comment ref="J87" authorId="0">
      <text>
        <r>
          <rPr>
            <b/>
            <sz val="9"/>
            <rFont val="宋体"/>
            <charset val="134"/>
          </rPr>
          <t>永荣科技:</t>
        </r>
        <r>
          <rPr>
            <sz val="9"/>
            <rFont val="宋体"/>
            <charset val="134"/>
          </rPr>
          <t xml:space="preserve">
1、17年11月14日，电汇46万元（20%预付款）</t>
        </r>
      </text>
    </comment>
    <comment ref="Y87" authorId="0">
      <text>
        <r>
          <rPr>
            <b/>
            <sz val="9"/>
            <rFont val="宋体"/>
            <charset val="134"/>
          </rPr>
          <t>永荣科技:</t>
        </r>
        <r>
          <rPr>
            <sz val="9"/>
            <rFont val="宋体"/>
            <charset val="134"/>
          </rPr>
          <t xml:space="preserve">
1、17年11月14日，电汇46万元（20%预付款）
</t>
        </r>
      </text>
    </comment>
    <comment ref="J88" authorId="0">
      <text>
        <r>
          <rPr>
            <b/>
            <sz val="9"/>
            <rFont val="宋体"/>
            <charset val="134"/>
          </rPr>
          <t>永荣科技:</t>
        </r>
        <r>
          <rPr>
            <sz val="9"/>
            <rFont val="宋体"/>
            <charset val="134"/>
          </rPr>
          <t xml:space="preserve">
1、17年11月1日电汇21517元</t>
        </r>
      </text>
    </comment>
    <comment ref="Y88" authorId="0">
      <text>
        <r>
          <rPr>
            <b/>
            <sz val="9"/>
            <rFont val="宋体"/>
            <charset val="134"/>
          </rPr>
          <t>永荣科技:</t>
        </r>
        <r>
          <rPr>
            <sz val="9"/>
            <rFont val="宋体"/>
            <charset val="134"/>
          </rPr>
          <t xml:space="preserve">
1、17年11月1日电汇21517元
</t>
        </r>
      </text>
    </comment>
    <comment ref="J89" authorId="0">
      <text>
        <r>
          <rPr>
            <b/>
            <sz val="9"/>
            <rFont val="宋体"/>
            <charset val="134"/>
          </rPr>
          <t>永荣科技:</t>
        </r>
        <r>
          <rPr>
            <sz val="9"/>
            <rFont val="宋体"/>
            <charset val="134"/>
          </rPr>
          <t xml:space="preserve">
1、17年11月1日，电汇752000元
</t>
        </r>
      </text>
    </comment>
    <comment ref="Y89" authorId="0">
      <text>
        <r>
          <rPr>
            <b/>
            <sz val="9"/>
            <rFont val="宋体"/>
            <charset val="134"/>
          </rPr>
          <t>永荣科技:</t>
        </r>
        <r>
          <rPr>
            <sz val="9"/>
            <rFont val="宋体"/>
            <charset val="134"/>
          </rPr>
          <t xml:space="preserve">
1、17年11月1日，电汇752000元
</t>
        </r>
      </text>
    </comment>
    <comment ref="J90" authorId="0">
      <text>
        <r>
          <rPr>
            <b/>
            <sz val="9"/>
            <rFont val="宋体"/>
            <charset val="134"/>
          </rPr>
          <t>永荣科技:</t>
        </r>
        <r>
          <rPr>
            <sz val="9"/>
            <rFont val="宋体"/>
            <charset val="134"/>
          </rPr>
          <t xml:space="preserve">
1、17.11.3申请600300元</t>
        </r>
      </text>
    </comment>
    <comment ref="Y90" authorId="0">
      <text>
        <r>
          <rPr>
            <b/>
            <sz val="9"/>
            <rFont val="宋体"/>
            <charset val="134"/>
          </rPr>
          <t>永荣科技:</t>
        </r>
        <r>
          <rPr>
            <sz val="9"/>
            <rFont val="宋体"/>
            <charset val="134"/>
          </rPr>
          <t xml:space="preserve">
1、17.11.3申请600300元
</t>
        </r>
      </text>
    </comment>
    <comment ref="AC90" authorId="0">
      <text>
        <r>
          <rPr>
            <b/>
            <sz val="9"/>
            <rFont val="宋体"/>
            <charset val="134"/>
          </rPr>
          <t>永荣科技:</t>
        </r>
        <r>
          <rPr>
            <sz val="9"/>
            <rFont val="宋体"/>
            <charset val="134"/>
          </rPr>
          <t xml:space="preserve">
1、17.11.3申请600300元
</t>
        </r>
      </text>
    </comment>
    <comment ref="J94" authorId="0">
      <text>
        <r>
          <rPr>
            <b/>
            <sz val="9"/>
            <rFont val="宋体"/>
            <charset val="134"/>
          </rPr>
          <t>永荣科技:</t>
        </r>
        <r>
          <rPr>
            <sz val="9"/>
            <rFont val="宋体"/>
            <charset val="134"/>
          </rPr>
          <t xml:space="preserve">
1、17年11月10日，电汇834600元（20%预付款）</t>
        </r>
      </text>
    </comment>
    <comment ref="Y94" authorId="0">
      <text>
        <r>
          <rPr>
            <b/>
            <sz val="9"/>
            <rFont val="宋体"/>
            <charset val="134"/>
          </rPr>
          <t>永荣科技:</t>
        </r>
        <r>
          <rPr>
            <sz val="9"/>
            <rFont val="宋体"/>
            <charset val="134"/>
          </rPr>
          <t xml:space="preserve">
1、17年11月10日，电汇834600元（20%预付款）
</t>
        </r>
      </text>
    </comment>
    <comment ref="J96" authorId="0">
      <text>
        <r>
          <rPr>
            <b/>
            <sz val="9"/>
            <rFont val="宋体"/>
            <charset val="134"/>
          </rPr>
          <t>永荣科技:</t>
        </r>
        <r>
          <rPr>
            <sz val="9"/>
            <rFont val="宋体"/>
            <charset val="134"/>
          </rPr>
          <t xml:space="preserve">
1、17.10.30申请8万元(20%预付款）</t>
        </r>
      </text>
    </comment>
    <comment ref="J97" authorId="0">
      <text>
        <r>
          <rPr>
            <b/>
            <sz val="9"/>
            <rFont val="宋体"/>
            <charset val="134"/>
          </rPr>
          <t>永荣科技:</t>
        </r>
        <r>
          <rPr>
            <sz val="9"/>
            <rFont val="宋体"/>
            <charset val="134"/>
          </rPr>
          <t xml:space="preserve">
1、17.11.15申请346000元（20%预付款）</t>
        </r>
      </text>
    </comment>
    <comment ref="J98" authorId="0">
      <text>
        <r>
          <rPr>
            <b/>
            <sz val="9"/>
            <rFont val="宋体"/>
            <charset val="134"/>
          </rPr>
          <t>永荣科技:</t>
        </r>
        <r>
          <rPr>
            <sz val="9"/>
            <rFont val="宋体"/>
            <charset val="134"/>
          </rPr>
          <t xml:space="preserve">
1、17.11.21申请116.5万元</t>
        </r>
      </text>
    </comment>
    <comment ref="J99" authorId="0">
      <text>
        <r>
          <rPr>
            <b/>
            <sz val="9"/>
            <rFont val="宋体"/>
            <charset val="134"/>
          </rPr>
          <t>永荣科技:</t>
        </r>
        <r>
          <rPr>
            <sz val="9"/>
            <rFont val="宋体"/>
            <charset val="134"/>
          </rPr>
          <t xml:space="preserve">
1、2017.11.21申请48154.5元
本单已清</t>
        </r>
      </text>
    </comment>
    <comment ref="Q100" authorId="0">
      <text>
        <r>
          <rPr>
            <b/>
            <sz val="9"/>
            <rFont val="宋体"/>
            <charset val="134"/>
          </rPr>
          <t>永荣科技:</t>
        </r>
        <r>
          <rPr>
            <sz val="9"/>
            <rFont val="宋体"/>
            <charset val="134"/>
          </rPr>
          <t xml:space="preserve">
增补135000角钢</t>
        </r>
      </text>
    </comment>
    <comment ref="J103" authorId="0">
      <text>
        <r>
          <rPr>
            <b/>
            <sz val="9"/>
            <rFont val="宋体"/>
            <charset val="134"/>
          </rPr>
          <t>永荣科技:</t>
        </r>
        <r>
          <rPr>
            <sz val="9"/>
            <rFont val="宋体"/>
            <charset val="134"/>
          </rPr>
          <t xml:space="preserve">
1、17.11.22申请2906051.58元</t>
        </r>
      </text>
    </comment>
  </commentList>
</comments>
</file>

<file path=xl/comments5.xml><?xml version="1.0" encoding="utf-8"?>
<comments xmlns="http://schemas.openxmlformats.org/spreadsheetml/2006/main">
  <authors>
    <author>永荣科技</author>
  </authors>
  <commentList>
    <comment ref="J6" authorId="0">
      <text>
        <r>
          <rPr>
            <b/>
            <sz val="9"/>
            <rFont val="宋体"/>
            <charset val="134"/>
          </rPr>
          <t>永荣科技:</t>
        </r>
        <r>
          <rPr>
            <sz val="9"/>
            <rFont val="宋体"/>
            <charset val="134"/>
          </rPr>
          <t xml:space="preserve">
1、17年之前支付800万元</t>
        </r>
      </text>
    </comment>
    <comment ref="Q6" authorId="0">
      <text>
        <r>
          <rPr>
            <b/>
            <sz val="9"/>
            <rFont val="宋体"/>
            <charset val="134"/>
          </rPr>
          <t>永荣科技:</t>
        </r>
        <r>
          <rPr>
            <sz val="9"/>
            <rFont val="宋体"/>
            <charset val="134"/>
          </rPr>
          <t xml:space="preserve">
原合同2000万元
合同半路终止
锦江石化转永荣科技
永荣科技支付800万</t>
        </r>
      </text>
    </comment>
    <comment ref="Y6" authorId="0">
      <text>
        <r>
          <rPr>
            <b/>
            <sz val="9"/>
            <rFont val="宋体"/>
            <charset val="134"/>
          </rPr>
          <t>永荣科技:</t>
        </r>
        <r>
          <rPr>
            <sz val="9"/>
            <rFont val="宋体"/>
            <charset val="134"/>
          </rPr>
          <t xml:space="preserve">
1、17年之前支付800万元</t>
        </r>
      </text>
    </comment>
    <comment ref="Y7" authorId="0">
      <text>
        <r>
          <rPr>
            <b/>
            <sz val="9"/>
            <rFont val="宋体"/>
            <charset val="134"/>
          </rPr>
          <t>永荣科技:</t>
        </r>
        <r>
          <rPr>
            <sz val="9"/>
            <rFont val="宋体"/>
            <charset val="134"/>
          </rPr>
          <t xml:space="preserve">
2014-12记2</t>
        </r>
      </text>
    </comment>
    <comment ref="AC7" authorId="0">
      <text>
        <r>
          <rPr>
            <b/>
            <sz val="9"/>
            <rFont val="宋体"/>
            <charset val="134"/>
          </rPr>
          <t>永荣科技:</t>
        </r>
        <r>
          <rPr>
            <sz val="9"/>
            <rFont val="宋体"/>
            <charset val="134"/>
          </rPr>
          <t xml:space="preserve">
16.4记1,60万</t>
        </r>
      </text>
    </comment>
    <comment ref="AG7" authorId="0">
      <text>
        <r>
          <rPr>
            <b/>
            <sz val="9"/>
            <rFont val="宋体"/>
            <charset val="134"/>
          </rPr>
          <t>永荣科技:</t>
        </r>
        <r>
          <rPr>
            <sz val="9"/>
            <rFont val="宋体"/>
            <charset val="134"/>
          </rPr>
          <t xml:space="preserve">
16.6记36,30万</t>
        </r>
      </text>
    </comment>
    <comment ref="Y8" authorId="0">
      <text>
        <r>
          <rPr>
            <b/>
            <sz val="9"/>
            <rFont val="宋体"/>
            <charset val="134"/>
          </rPr>
          <t>永荣科技:</t>
        </r>
        <r>
          <rPr>
            <sz val="9"/>
            <rFont val="宋体"/>
            <charset val="134"/>
          </rPr>
          <t xml:space="preserve">
15.2记15
</t>
        </r>
      </text>
    </comment>
    <comment ref="AC8" authorId="0">
      <text>
        <r>
          <rPr>
            <b/>
            <sz val="9"/>
            <rFont val="宋体"/>
            <charset val="134"/>
          </rPr>
          <t>永荣科技:</t>
        </r>
        <r>
          <rPr>
            <sz val="9"/>
            <rFont val="宋体"/>
            <charset val="134"/>
          </rPr>
          <t xml:space="preserve">
17.2记8,10万</t>
        </r>
      </text>
    </comment>
    <comment ref="Y9" authorId="0">
      <text>
        <r>
          <rPr>
            <b/>
            <sz val="9"/>
            <rFont val="宋体"/>
            <charset val="134"/>
          </rPr>
          <t>永荣科技:</t>
        </r>
        <r>
          <rPr>
            <sz val="9"/>
            <rFont val="宋体"/>
            <charset val="134"/>
          </rPr>
          <t xml:space="preserve">
15.2记25</t>
        </r>
      </text>
    </comment>
    <comment ref="AC9" authorId="0">
      <text>
        <r>
          <rPr>
            <b/>
            <sz val="9"/>
            <rFont val="宋体"/>
            <charset val="134"/>
          </rPr>
          <t>永荣科技:</t>
        </r>
        <r>
          <rPr>
            <sz val="9"/>
            <rFont val="宋体"/>
            <charset val="134"/>
          </rPr>
          <t xml:space="preserve">
16.7记20,27.5万</t>
        </r>
      </text>
    </comment>
    <comment ref="AC11" authorId="0">
      <text>
        <r>
          <rPr>
            <b/>
            <sz val="9"/>
            <rFont val="宋体"/>
            <charset val="134"/>
          </rPr>
          <t>永荣科技:</t>
        </r>
        <r>
          <rPr>
            <sz val="9"/>
            <rFont val="宋体"/>
            <charset val="134"/>
          </rPr>
          <t xml:space="preserve">
15.3记12</t>
        </r>
      </text>
    </comment>
    <comment ref="AG11" authorId="0">
      <text>
        <r>
          <rPr>
            <b/>
            <sz val="9"/>
            <rFont val="宋体"/>
            <charset val="134"/>
          </rPr>
          <t>永荣科技:</t>
        </r>
        <r>
          <rPr>
            <sz val="9"/>
            <rFont val="宋体"/>
            <charset val="134"/>
          </rPr>
          <t xml:space="preserve">
17.3记36,5.2万</t>
        </r>
      </text>
    </comment>
    <comment ref="Y13" authorId="0">
      <text>
        <r>
          <rPr>
            <b/>
            <sz val="9"/>
            <rFont val="宋体"/>
            <charset val="134"/>
          </rPr>
          <t>永荣科技:</t>
        </r>
        <r>
          <rPr>
            <sz val="9"/>
            <rFont val="宋体"/>
            <charset val="134"/>
          </rPr>
          <t xml:space="preserve">
16.2记34,3.2万</t>
        </r>
      </text>
    </comment>
    <comment ref="AC13" authorId="0">
      <text>
        <r>
          <rPr>
            <b/>
            <sz val="9"/>
            <rFont val="宋体"/>
            <charset val="134"/>
          </rPr>
          <t>永荣科技:</t>
        </r>
        <r>
          <rPr>
            <sz val="9"/>
            <rFont val="宋体"/>
            <charset val="134"/>
          </rPr>
          <t xml:space="preserve">
17.2记7,4.9万</t>
        </r>
      </text>
    </comment>
    <comment ref="J14" authorId="0">
      <text>
        <r>
          <rPr>
            <b/>
            <sz val="9"/>
            <rFont val="宋体"/>
            <charset val="134"/>
          </rPr>
          <t>永荣科技:</t>
        </r>
        <r>
          <rPr>
            <sz val="9"/>
            <rFont val="宋体"/>
            <charset val="134"/>
          </rPr>
          <t xml:space="preserve">
1、15.7记80，汇7万元（15年3月-5月）
2、15.8记26，汇4.8万元（15年6月-7月）
3、15.11记61，汇3.6万元（15年8月-9月）
本单已清</t>
        </r>
      </text>
    </comment>
    <comment ref="Y14" authorId="0">
      <text>
        <r>
          <rPr>
            <b/>
            <sz val="9"/>
            <rFont val="宋体"/>
            <charset val="134"/>
          </rPr>
          <t>永荣科技:</t>
        </r>
        <r>
          <rPr>
            <sz val="9"/>
            <rFont val="宋体"/>
            <charset val="134"/>
          </rPr>
          <t xml:space="preserve">
1、15.7记80，汇7万元（15年3月-5月）
2、15.8记26，汇4.8万元（15年6月-7月）
3、15.11记61，汇3.6万元（15年8月-9月）
本单已清
</t>
        </r>
      </text>
    </comment>
    <comment ref="Q15" authorId="0">
      <text>
        <r>
          <rPr>
            <b/>
            <sz val="9"/>
            <rFont val="宋体"/>
            <charset val="134"/>
          </rPr>
          <t>永荣科技:</t>
        </r>
        <r>
          <rPr>
            <sz val="9"/>
            <rFont val="宋体"/>
            <charset val="134"/>
          </rPr>
          <t xml:space="preserve">
原合同2500万元
删除双氧水装置，环己酮装置共计306万元
合同金额变更=2500-306=2194万元</t>
        </r>
      </text>
    </comment>
    <comment ref="Y15" authorId="0">
      <text>
        <r>
          <rPr>
            <b/>
            <sz val="9"/>
            <rFont val="宋体"/>
            <charset val="134"/>
          </rPr>
          <t>永荣科技:</t>
        </r>
        <r>
          <rPr>
            <sz val="9"/>
            <rFont val="宋体"/>
            <charset val="134"/>
          </rPr>
          <t xml:space="preserve">
15.7记37,3704879.76元
16.6记70,45120.24元</t>
        </r>
      </text>
    </comment>
    <comment ref="AC15" authorId="0">
      <text>
        <r>
          <rPr>
            <b/>
            <sz val="9"/>
            <rFont val="宋体"/>
            <charset val="134"/>
          </rPr>
          <t>永荣科技:</t>
        </r>
        <r>
          <rPr>
            <sz val="9"/>
            <rFont val="宋体"/>
            <charset val="134"/>
          </rPr>
          <t xml:space="preserve">
16.6记73,612.5万
17.2记41,262.5万
17.6记155,125万</t>
        </r>
      </text>
    </comment>
    <comment ref="Y16" authorId="0">
      <text>
        <r>
          <rPr>
            <b/>
            <sz val="9"/>
            <rFont val="宋体"/>
            <charset val="134"/>
          </rPr>
          <t>永荣科技:</t>
        </r>
        <r>
          <rPr>
            <sz val="9"/>
            <rFont val="宋体"/>
            <charset val="134"/>
          </rPr>
          <t xml:space="preserve">
15.8记30  5万+5万</t>
        </r>
      </text>
    </comment>
    <comment ref="J17" authorId="0">
      <text>
        <r>
          <rPr>
            <b/>
            <sz val="9"/>
            <rFont val="宋体"/>
            <charset val="134"/>
          </rPr>
          <t>永荣科技:</t>
        </r>
        <r>
          <rPr>
            <sz val="9"/>
            <rFont val="宋体"/>
            <charset val="134"/>
          </rPr>
          <t xml:space="preserve">
1、16.6记41，承兑汇67万元</t>
        </r>
      </text>
    </comment>
    <comment ref="Y17" authorId="0">
      <text>
        <r>
          <rPr>
            <b/>
            <sz val="9"/>
            <rFont val="宋体"/>
            <charset val="134"/>
          </rPr>
          <t>永荣科技:</t>
        </r>
        <r>
          <rPr>
            <sz val="9"/>
            <rFont val="宋体"/>
            <charset val="134"/>
          </rPr>
          <t xml:space="preserve">
1、16.6记41，承兑汇67万元
</t>
        </r>
      </text>
    </comment>
    <comment ref="J18" authorId="0">
      <text>
        <r>
          <rPr>
            <b/>
            <sz val="9"/>
            <rFont val="宋体"/>
            <charset val="134"/>
          </rPr>
          <t>永荣科技:</t>
        </r>
        <r>
          <rPr>
            <sz val="9"/>
            <rFont val="宋体"/>
            <charset val="134"/>
          </rPr>
          <t xml:space="preserve">
1、16.2记35，承兑汇87万元
2、16.9记66，承兑汇22万元
3、17.9记195，承兑汇8万元
4、17年11月14日，承兑汇36万元（31664.81米*58元/米*20%=367311.8元，取整36万元）</t>
        </r>
      </text>
    </comment>
    <comment ref="Y18" authorId="0">
      <text>
        <r>
          <rPr>
            <b/>
            <sz val="9"/>
            <rFont val="宋体"/>
            <charset val="134"/>
          </rPr>
          <t>永荣科技:</t>
        </r>
        <r>
          <rPr>
            <sz val="9"/>
            <rFont val="宋体"/>
            <charset val="134"/>
          </rPr>
          <t xml:space="preserve">
1、16.2记35，承兑汇87万元
2、16.9记66，承兑汇22万元
3、17.9记195，承兑汇8万元
</t>
        </r>
      </text>
    </comment>
    <comment ref="AC18" authorId="0">
      <text>
        <r>
          <rPr>
            <b/>
            <sz val="9"/>
            <rFont val="宋体"/>
            <charset val="134"/>
          </rPr>
          <t>永荣科技:</t>
        </r>
        <r>
          <rPr>
            <sz val="9"/>
            <rFont val="宋体"/>
            <charset val="134"/>
          </rPr>
          <t xml:space="preserve">
4、17年11月14日，承兑汇36万元（31664.81米*58元/米*20%=367311.8元，取整36万元）
</t>
        </r>
      </text>
    </comment>
    <comment ref="J19" authorId="0">
      <text>
        <r>
          <rPr>
            <b/>
            <sz val="9"/>
            <rFont val="宋体"/>
            <charset val="134"/>
          </rPr>
          <t>永荣科技:</t>
        </r>
        <r>
          <rPr>
            <sz val="9"/>
            <rFont val="宋体"/>
            <charset val="134"/>
          </rPr>
          <t xml:space="preserve">
1、15.2记5，汇55464元</t>
        </r>
      </text>
    </comment>
    <comment ref="Y19" authorId="0">
      <text>
        <r>
          <rPr>
            <b/>
            <sz val="9"/>
            <rFont val="宋体"/>
            <charset val="134"/>
          </rPr>
          <t>永荣科技:</t>
        </r>
        <r>
          <rPr>
            <sz val="9"/>
            <rFont val="宋体"/>
            <charset val="134"/>
          </rPr>
          <t xml:space="preserve">
1、15.2记5，汇55464元
</t>
        </r>
      </text>
    </comment>
    <comment ref="R20" authorId="0">
      <text>
        <r>
          <rPr>
            <b/>
            <sz val="9"/>
            <rFont val="宋体"/>
            <charset val="134"/>
          </rPr>
          <t>永荣科技:</t>
        </r>
        <r>
          <rPr>
            <sz val="9"/>
            <rFont val="宋体"/>
            <charset val="134"/>
          </rPr>
          <t xml:space="preserve">
1、16.6记41，付67万
2、                （累计支付109万元，累计工程款145万元）
3、17.8.8申请8万元（本期工程款107758.2元）
</t>
        </r>
      </text>
    </comment>
    <comment ref="J21" authorId="0">
      <text>
        <r>
          <rPr>
            <b/>
            <sz val="9"/>
            <rFont val="宋体"/>
            <charset val="134"/>
          </rPr>
          <t>永荣科技:</t>
        </r>
        <r>
          <rPr>
            <sz val="9"/>
            <rFont val="宋体"/>
            <charset val="134"/>
          </rPr>
          <t xml:space="preserve">
1、16.5记50，承兑汇40万元</t>
        </r>
      </text>
    </comment>
    <comment ref="Y21" authorId="0">
      <text>
        <r>
          <rPr>
            <b/>
            <sz val="9"/>
            <rFont val="宋体"/>
            <charset val="134"/>
          </rPr>
          <t>永荣科技:</t>
        </r>
        <r>
          <rPr>
            <sz val="9"/>
            <rFont val="宋体"/>
            <charset val="134"/>
          </rPr>
          <t xml:space="preserve">
1、16.5记50，承兑汇40万元
</t>
        </r>
      </text>
    </comment>
    <comment ref="Q22" authorId="0">
      <text>
        <r>
          <rPr>
            <b/>
            <sz val="9"/>
            <rFont val="宋体"/>
            <charset val="134"/>
          </rPr>
          <t>永荣科技:</t>
        </r>
        <r>
          <rPr>
            <sz val="9"/>
            <rFont val="宋体"/>
            <charset val="134"/>
          </rPr>
          <t xml:space="preserve">
含手续费等592841.17元</t>
        </r>
      </text>
    </comment>
    <comment ref="Y24" authorId="0">
      <text>
        <r>
          <rPr>
            <b/>
            <sz val="9"/>
            <rFont val="宋体"/>
            <charset val="134"/>
          </rPr>
          <t>永荣科技:</t>
        </r>
        <r>
          <rPr>
            <sz val="9"/>
            <rFont val="宋体"/>
            <charset val="134"/>
          </rPr>
          <t xml:space="preserve">
16.5记9,1万</t>
        </r>
      </text>
    </comment>
    <comment ref="J26" authorId="0">
      <text>
        <r>
          <rPr>
            <b/>
            <sz val="9"/>
            <rFont val="宋体"/>
            <charset val="134"/>
          </rPr>
          <t>永荣科技:</t>
        </r>
        <r>
          <rPr>
            <sz val="9"/>
            <rFont val="宋体"/>
            <charset val="134"/>
          </rPr>
          <t xml:space="preserve">
4、16.1记24,付36000元（15年10-11月）
5、16.5记25,付36000元（15.12-16.01月）
6、16.7记45,付36000元（16年2-3月）
7、16.8记79,付38129元（16年4-5月）
8、16.9记65,付42000元（16年6-7月）
9、17.3记56，付4.2万元（16年8-9月）
10、17.3记56，付4.2万元（16年10-11月
11、17.4记93，付4.2万元（16.11-17.01月）
12、17.5记108，付4.6万元（17年2-3月）
13、17.8记157，电汇45615元（17年4-5月）
14、17.9记149，电汇16461元（17年6月，共21461元，扣罚款5000元）
15、17.9记163，电汇19346元（17年7月）
16、17年11月1日，电汇21000元（17年8月）</t>
        </r>
      </text>
    </comment>
    <comment ref="Y26" authorId="0">
      <text>
        <r>
          <rPr>
            <b/>
            <sz val="9"/>
            <rFont val="宋体"/>
            <charset val="134"/>
          </rPr>
          <t>永荣科技:</t>
        </r>
        <r>
          <rPr>
            <sz val="9"/>
            <rFont val="宋体"/>
            <charset val="134"/>
          </rPr>
          <t xml:space="preserve">
4、16.1记24,付36000元（15年10-11月）
5、16.5记25,付36000元（15.12-16.01月）
6、16.7记45,付36000元（16年2-3月）
7、16.8记79,付38129元（16年4-5月）
8、16.9记65,付42000元（16年6-7月）
9、17.3记56，付4.2万元（16年8-9月）
10、17.3记56，付4.2万元（16年10-11月
11、17.4记93，付4.2万元（16.11-17.01月）
12、17.5记108，付4.6万元（17年2-3月）
13、17.8记157，电汇45615元（17年4-5月）
14、17.9记149，电汇16461元（17年6月，共21461元，扣罚款5000元）
15、17.9记163，电汇19346元（17年7月）
16、17年11月1日，电汇21000元（17年8月）
</t>
        </r>
      </text>
    </comment>
    <comment ref="J28" authorId="0">
      <text>
        <r>
          <rPr>
            <b/>
            <sz val="9"/>
            <rFont val="宋体"/>
            <charset val="134"/>
          </rPr>
          <t>永荣科技:</t>
        </r>
        <r>
          <rPr>
            <sz val="9"/>
            <rFont val="宋体"/>
            <charset val="134"/>
          </rPr>
          <t xml:space="preserve">
1、17.4记21，电汇3589元
2、17.6记14，电汇21105元</t>
        </r>
      </text>
    </comment>
    <comment ref="Y28" authorId="0">
      <text>
        <r>
          <rPr>
            <b/>
            <sz val="9"/>
            <rFont val="宋体"/>
            <charset val="134"/>
          </rPr>
          <t>永荣科技:</t>
        </r>
        <r>
          <rPr>
            <sz val="9"/>
            <rFont val="宋体"/>
            <charset val="134"/>
          </rPr>
          <t xml:space="preserve">
1、17.4记21，电汇3589元
2、17.6记14，电汇21105元
</t>
        </r>
      </text>
    </comment>
    <comment ref="J31" authorId="0">
      <text>
        <r>
          <rPr>
            <b/>
            <sz val="9"/>
            <rFont val="宋体"/>
            <charset val="134"/>
          </rPr>
          <t xml:space="preserve">永荣科技:                   80%支付
</t>
        </r>
        <r>
          <rPr>
            <sz val="9"/>
            <rFont val="宋体"/>
            <charset val="134"/>
          </rPr>
          <t>1、17.9.26申请106400元</t>
        </r>
      </text>
    </comment>
    <comment ref="Y31" authorId="0">
      <text>
        <r>
          <rPr>
            <b/>
            <sz val="9"/>
            <rFont val="宋体"/>
            <charset val="134"/>
          </rPr>
          <t>永荣科技:</t>
        </r>
        <r>
          <rPr>
            <sz val="9"/>
            <rFont val="宋体"/>
            <charset val="134"/>
          </rPr>
          <t xml:space="preserve">
1</t>
        </r>
      </text>
    </comment>
    <comment ref="J36" authorId="0">
      <text>
        <r>
          <rPr>
            <b/>
            <sz val="9"/>
            <rFont val="宋体"/>
            <charset val="134"/>
          </rPr>
          <t>永荣科技:</t>
        </r>
        <r>
          <rPr>
            <sz val="9"/>
            <rFont val="宋体"/>
            <charset val="134"/>
          </rPr>
          <t xml:space="preserve">
1、17.3记87，电汇1095万
2、17.10记175，汇2630万元
3、17年11月8日，承兑汇1030万元</t>
        </r>
      </text>
    </comment>
    <comment ref="Y36" authorId="0">
      <text>
        <r>
          <rPr>
            <b/>
            <sz val="9"/>
            <rFont val="宋体"/>
            <charset val="134"/>
          </rPr>
          <t>永荣科技:</t>
        </r>
        <r>
          <rPr>
            <sz val="9"/>
            <rFont val="宋体"/>
            <charset val="134"/>
          </rPr>
          <t xml:space="preserve">
1、17.3记87，电汇1095万
</t>
        </r>
      </text>
    </comment>
    <comment ref="AC36" authorId="0">
      <text>
        <r>
          <rPr>
            <b/>
            <sz val="9"/>
            <rFont val="宋体"/>
            <charset val="134"/>
          </rPr>
          <t>永荣科技:</t>
        </r>
        <r>
          <rPr>
            <sz val="9"/>
            <rFont val="宋体"/>
            <charset val="134"/>
          </rPr>
          <t xml:space="preserve">
2、17.10记175，汇2630万元
</t>
        </r>
      </text>
    </comment>
    <comment ref="AG36" authorId="0">
      <text>
        <r>
          <rPr>
            <b/>
            <sz val="9"/>
            <rFont val="宋体"/>
            <charset val="134"/>
          </rPr>
          <t>永荣科技:</t>
        </r>
        <r>
          <rPr>
            <sz val="9"/>
            <rFont val="宋体"/>
            <charset val="134"/>
          </rPr>
          <t xml:space="preserve">
3、17年11月8日，承兑汇1030万元
</t>
        </r>
      </text>
    </comment>
    <comment ref="Y37" authorId="0">
      <text>
        <r>
          <rPr>
            <b/>
            <sz val="9"/>
            <rFont val="宋体"/>
            <charset val="134"/>
          </rPr>
          <t>永荣科技:</t>
        </r>
        <r>
          <rPr>
            <sz val="9"/>
            <rFont val="宋体"/>
            <charset val="134"/>
          </rPr>
          <t xml:space="preserve">
2017.6.24因临时用电不规范，违反我公司HSE管理，罚款2000元，在第一次付款中扣除。
2017年7月21日因吊装作业未设置警戒区，以及指挥人员无证操作，罚款2000元。</t>
        </r>
      </text>
    </comment>
    <comment ref="J38" authorId="0">
      <text>
        <r>
          <rPr>
            <b/>
            <sz val="9"/>
            <rFont val="宋体"/>
            <charset val="134"/>
          </rPr>
          <t xml:space="preserve">永荣科技:           80%
</t>
        </r>
        <r>
          <rPr>
            <sz val="9"/>
            <rFont val="宋体"/>
            <charset val="134"/>
          </rPr>
          <t>1、2017年11月14日，电汇239762.66元（共263806元，扣罚款2000元，扣HSE保证金14628元，扣贴息7415.34元；本次蓝图329757元）</t>
        </r>
      </text>
    </comment>
    <comment ref="Q38" authorId="0">
      <text>
        <r>
          <rPr>
            <b/>
            <sz val="9"/>
            <rFont val="宋体"/>
            <charset val="134"/>
          </rPr>
          <t>永荣科技:</t>
        </r>
        <r>
          <rPr>
            <sz val="9"/>
            <rFont val="宋体"/>
            <charset val="134"/>
          </rPr>
          <t xml:space="preserve">
暂定</t>
        </r>
      </text>
    </comment>
    <comment ref="Y38" authorId="0">
      <text>
        <r>
          <rPr>
            <b/>
            <sz val="9"/>
            <rFont val="宋体"/>
            <charset val="134"/>
          </rPr>
          <t>永荣科技:</t>
        </r>
        <r>
          <rPr>
            <sz val="9"/>
            <rFont val="宋体"/>
            <charset val="134"/>
          </rPr>
          <t xml:space="preserve">
1、2017年11月14日，电汇239762.66元（共263806元，扣罚款2000元，扣HSE保证金14628元，扣贴息7415.34元；本次蓝图329757元）
</t>
        </r>
      </text>
    </comment>
    <comment ref="J39" authorId="0">
      <text>
        <r>
          <rPr>
            <b/>
            <sz val="9"/>
            <rFont val="宋体"/>
            <charset val="134"/>
          </rPr>
          <t>永荣科技:</t>
        </r>
        <r>
          <rPr>
            <sz val="9"/>
            <rFont val="宋体"/>
            <charset val="134"/>
          </rPr>
          <t xml:space="preserve">
1、17.10记250，电汇80240元（17年7月-8月监理费）</t>
        </r>
      </text>
    </comment>
    <comment ref="Y39" authorId="0">
      <text>
        <r>
          <rPr>
            <sz val="9"/>
            <rFont val="宋体"/>
            <charset val="134"/>
          </rPr>
          <t xml:space="preserve">1、17.10记250，电汇80240元（17年7月-8月监理费）
</t>
        </r>
      </text>
    </comment>
    <comment ref="J41" authorId="0">
      <text>
        <r>
          <rPr>
            <b/>
            <sz val="9"/>
            <rFont val="宋体"/>
            <charset val="134"/>
          </rPr>
          <t>永荣科技:</t>
        </r>
        <r>
          <rPr>
            <sz val="9"/>
            <rFont val="宋体"/>
            <charset val="134"/>
          </rPr>
          <t xml:space="preserve">
1、17.5记113，电汇2.8万元
2、17.6记144，电汇7万元
本单已清</t>
        </r>
      </text>
    </comment>
    <comment ref="Y41" authorId="0">
      <text>
        <r>
          <rPr>
            <b/>
            <sz val="9"/>
            <rFont val="宋体"/>
            <charset val="134"/>
          </rPr>
          <t>永荣科技:</t>
        </r>
        <r>
          <rPr>
            <sz val="9"/>
            <rFont val="宋体"/>
            <charset val="134"/>
          </rPr>
          <t xml:space="preserve">
1、17.5记113，电汇2.8万元
</t>
        </r>
      </text>
    </comment>
    <comment ref="AC41" authorId="0">
      <text>
        <r>
          <rPr>
            <sz val="9"/>
            <rFont val="宋体"/>
            <charset val="134"/>
          </rPr>
          <t xml:space="preserve">2、17.6记144，电汇7万元
本单已清
</t>
        </r>
      </text>
    </comment>
    <comment ref="J42" authorId="0">
      <text>
        <r>
          <rPr>
            <b/>
            <sz val="9"/>
            <rFont val="宋体"/>
            <charset val="134"/>
          </rPr>
          <t xml:space="preserve">永荣科技:           按80%支付
</t>
        </r>
        <r>
          <rPr>
            <sz val="9"/>
            <rFont val="宋体"/>
            <charset val="134"/>
          </rPr>
          <t>1、17.7.29申请84509元（5月-6月监理费，本次服务费共105636元）
2、17.8.15申请68775元（7月监理费，本次服务费共85969元）</t>
        </r>
      </text>
    </comment>
    <comment ref="Y42" authorId="0">
      <text>
        <r>
          <rPr>
            <b/>
            <sz val="9"/>
            <rFont val="宋体"/>
            <charset val="134"/>
          </rPr>
          <t xml:space="preserve">永荣科技:      
</t>
        </r>
        <r>
          <rPr>
            <sz val="9"/>
            <rFont val="宋体"/>
            <charset val="134"/>
          </rPr>
          <t xml:space="preserve">1
2
</t>
        </r>
      </text>
    </comment>
    <comment ref="J43" authorId="0">
      <text>
        <r>
          <rPr>
            <b/>
            <sz val="9"/>
            <rFont val="宋体"/>
            <charset val="134"/>
          </rPr>
          <t>永荣科技:</t>
        </r>
        <r>
          <rPr>
            <sz val="9"/>
            <rFont val="宋体"/>
            <charset val="134"/>
          </rPr>
          <t xml:space="preserve">
1、17.8记154，电汇259486.9元</t>
        </r>
      </text>
    </comment>
    <comment ref="Y43" authorId="0">
      <text>
        <r>
          <rPr>
            <b/>
            <sz val="9"/>
            <rFont val="宋体"/>
            <charset val="134"/>
          </rPr>
          <t>永荣科技:</t>
        </r>
        <r>
          <rPr>
            <sz val="9"/>
            <rFont val="宋体"/>
            <charset val="134"/>
          </rPr>
          <t xml:space="preserve">
1、17.8记154，电汇259486.9元
</t>
        </r>
      </text>
    </comment>
    <comment ref="J44" authorId="0">
      <text>
        <r>
          <rPr>
            <b/>
            <sz val="9"/>
            <rFont val="宋体"/>
            <charset val="134"/>
          </rPr>
          <t xml:space="preserve">永荣科技:                    80%支付
</t>
        </r>
        <r>
          <rPr>
            <sz val="9"/>
            <rFont val="宋体"/>
            <charset val="134"/>
          </rPr>
          <t>1、17.9.25申请190420元（本次服务238025元，累计238025元）
2、17年11月10日，电汇310715元（本次服务388394元，累计626419元）</t>
        </r>
      </text>
    </comment>
    <comment ref="Y44" authorId="0">
      <text>
        <r>
          <rPr>
            <sz val="9"/>
            <rFont val="宋体"/>
            <charset val="134"/>
          </rPr>
          <t xml:space="preserve">1、17.9.25申请190420元（本次服务238025元，累计238025元）
2、17年11月10日，电汇310715元（本次服务388394元，累计626419元）
</t>
        </r>
      </text>
    </comment>
    <comment ref="J45" authorId="0">
      <text>
        <r>
          <rPr>
            <b/>
            <sz val="9"/>
            <rFont val="宋体"/>
            <charset val="134"/>
          </rPr>
          <t>永荣科技:</t>
        </r>
        <r>
          <rPr>
            <sz val="9"/>
            <rFont val="宋体"/>
            <charset val="134"/>
          </rPr>
          <t xml:space="preserve">
1、17.7.27申请963591.64元（5月工资364553.64元，6月工资599038元）
2、17.8.24申请670791.7元（7月工资670791.7元）
3、17.9.12申请695408.5元（8月份工资）
4、17.10.12申请644167.5元（9月份工资）
5、17.10.24申请75119.12元（财务预算服务费7.7-8.4）
6、17.11.11申请414568元（10月份工资）</t>
        </r>
      </text>
    </comment>
    <comment ref="Y45" authorId="0">
      <text>
        <r>
          <rPr>
            <b/>
            <sz val="9"/>
            <rFont val="宋体"/>
            <charset val="134"/>
          </rPr>
          <t>永荣科技:</t>
        </r>
        <r>
          <rPr>
            <sz val="9"/>
            <rFont val="宋体"/>
            <charset val="134"/>
          </rPr>
          <t xml:space="preserve">
1、17.7.27申请963591.64元（5月工资364553.64元，6月工资599038元）
2、17.8.24申请670791.7元（7月工资670791.7元）
3、17.9.12申请695408.5元（8月份工资）
4、17.10.12申请644167.5元（9月份工资）
5、17.10.24申请75119.12元（财务预算服务费7.7-8.4）
6、17.11.11申请414568元（10月份工资）</t>
        </r>
      </text>
    </comment>
    <comment ref="J46" authorId="0">
      <text>
        <r>
          <rPr>
            <b/>
            <sz val="9"/>
            <rFont val="宋体"/>
            <charset val="134"/>
          </rPr>
          <t>永荣科技:</t>
        </r>
        <r>
          <rPr>
            <sz val="9"/>
            <rFont val="宋体"/>
            <charset val="134"/>
          </rPr>
          <t xml:space="preserve">
1、17.9.29申请6万元
本单已清</t>
        </r>
      </text>
    </comment>
    <comment ref="Y46" authorId="0">
      <text>
        <r>
          <rPr>
            <b/>
            <sz val="9"/>
            <rFont val="宋体"/>
            <charset val="134"/>
          </rPr>
          <t>永荣科技:</t>
        </r>
        <r>
          <rPr>
            <sz val="9"/>
            <rFont val="宋体"/>
            <charset val="134"/>
          </rPr>
          <t xml:space="preserve">
1</t>
        </r>
      </text>
    </comment>
    <comment ref="J51" authorId="0">
      <text>
        <r>
          <rPr>
            <b/>
            <sz val="9"/>
            <rFont val="宋体"/>
            <charset val="134"/>
          </rPr>
          <t>永荣科技:</t>
        </r>
        <r>
          <rPr>
            <sz val="9"/>
            <rFont val="宋体"/>
            <charset val="134"/>
          </rPr>
          <t xml:space="preserve">
1、17.10.12申请75万元（25%定金）</t>
        </r>
      </text>
    </comment>
    <comment ref="Y51" authorId="0">
      <text>
        <r>
          <rPr>
            <b/>
            <sz val="9"/>
            <rFont val="宋体"/>
            <charset val="134"/>
          </rPr>
          <t>永荣科技:</t>
        </r>
        <r>
          <rPr>
            <sz val="9"/>
            <rFont val="宋体"/>
            <charset val="134"/>
          </rPr>
          <t xml:space="preserve">
1</t>
        </r>
      </text>
    </comment>
    <comment ref="J52" authorId="0">
      <text>
        <r>
          <rPr>
            <b/>
            <sz val="9"/>
            <rFont val="宋体"/>
            <charset val="134"/>
          </rPr>
          <t>永荣科技:</t>
        </r>
        <r>
          <rPr>
            <sz val="9"/>
            <rFont val="宋体"/>
            <charset val="134"/>
          </rPr>
          <t xml:space="preserve">
1、17.10.9申请292500元</t>
        </r>
      </text>
    </comment>
    <comment ref="Y52" authorId="0">
      <text>
        <r>
          <rPr>
            <b/>
            <sz val="9"/>
            <rFont val="宋体"/>
            <charset val="134"/>
          </rPr>
          <t>永荣科技:</t>
        </r>
        <r>
          <rPr>
            <sz val="9"/>
            <rFont val="宋体"/>
            <charset val="134"/>
          </rPr>
          <t xml:space="preserve">
1</t>
        </r>
      </text>
    </comment>
    <comment ref="J53" authorId="0">
      <text>
        <r>
          <rPr>
            <b/>
            <sz val="9"/>
            <rFont val="宋体"/>
            <charset val="134"/>
          </rPr>
          <t>永荣科技:</t>
        </r>
        <r>
          <rPr>
            <sz val="9"/>
            <rFont val="宋体"/>
            <charset val="134"/>
          </rPr>
          <t xml:space="preserve">
1、17.10.16申请1.6万元
本单已清
</t>
        </r>
      </text>
    </comment>
    <comment ref="Y53" authorId="0">
      <text>
        <r>
          <rPr>
            <b/>
            <sz val="9"/>
            <rFont val="宋体"/>
            <charset val="134"/>
          </rPr>
          <t>永荣科技:</t>
        </r>
        <r>
          <rPr>
            <sz val="9"/>
            <rFont val="宋体"/>
            <charset val="134"/>
          </rPr>
          <t xml:space="preserve">
1</t>
        </r>
      </text>
    </comment>
    <comment ref="J54" authorId="0">
      <text>
        <r>
          <rPr>
            <b/>
            <sz val="9"/>
            <rFont val="宋体"/>
            <charset val="134"/>
          </rPr>
          <t>永荣科技:</t>
        </r>
        <r>
          <rPr>
            <sz val="9"/>
            <rFont val="宋体"/>
            <charset val="134"/>
          </rPr>
          <t xml:space="preserve">
1、17.8记226，承兑汇110万元
2、2017年11月7日，电汇20678元</t>
        </r>
      </text>
    </comment>
    <comment ref="Y54" authorId="0">
      <text>
        <r>
          <rPr>
            <b/>
            <sz val="9"/>
            <rFont val="宋体"/>
            <charset val="134"/>
          </rPr>
          <t>永荣科技:</t>
        </r>
        <r>
          <rPr>
            <sz val="9"/>
            <rFont val="宋体"/>
            <charset val="134"/>
          </rPr>
          <t xml:space="preserve">
1、17.8记226，承兑汇110万元
2、2017年11月7日，电汇20678元
</t>
        </r>
      </text>
    </comment>
    <comment ref="J55" authorId="0">
      <text>
        <r>
          <rPr>
            <b/>
            <sz val="9"/>
            <rFont val="宋体"/>
            <charset val="134"/>
          </rPr>
          <t>永荣科技:</t>
        </r>
        <r>
          <rPr>
            <sz val="9"/>
            <rFont val="宋体"/>
            <charset val="134"/>
          </rPr>
          <t xml:space="preserve">
1、17.7记85，电汇2000元
本单已清</t>
        </r>
      </text>
    </comment>
    <comment ref="Y55" authorId="0">
      <text>
        <r>
          <rPr>
            <b/>
            <sz val="9"/>
            <rFont val="宋体"/>
            <charset val="134"/>
          </rPr>
          <t>永荣科技:</t>
        </r>
        <r>
          <rPr>
            <sz val="9"/>
            <rFont val="宋体"/>
            <charset val="134"/>
          </rPr>
          <t xml:space="preserve">
1、17.7记85，电汇2000元
本单已清
</t>
        </r>
      </text>
    </comment>
    <comment ref="J56" authorId="0">
      <text>
        <r>
          <rPr>
            <b/>
            <sz val="9"/>
            <rFont val="宋体"/>
            <charset val="134"/>
          </rPr>
          <t>永荣科技:</t>
        </r>
        <r>
          <rPr>
            <sz val="9"/>
            <rFont val="宋体"/>
            <charset val="134"/>
          </rPr>
          <t xml:space="preserve">
1、17.4记83，电汇39200元
2、17.8记203，电汇58800元</t>
        </r>
      </text>
    </comment>
    <comment ref="Y56" authorId="0">
      <text>
        <r>
          <rPr>
            <b/>
            <sz val="9"/>
            <rFont val="宋体"/>
            <charset val="134"/>
          </rPr>
          <t>永荣科技:</t>
        </r>
        <r>
          <rPr>
            <sz val="9"/>
            <rFont val="宋体"/>
            <charset val="134"/>
          </rPr>
          <t xml:space="preserve">
1、17.4记83，电汇39200元
2、17.8记203，电汇58800元
</t>
        </r>
      </text>
    </comment>
    <comment ref="J57" authorId="0">
      <text>
        <r>
          <rPr>
            <b/>
            <sz val="9"/>
            <rFont val="宋体"/>
            <charset val="134"/>
          </rPr>
          <t>永荣科技:</t>
        </r>
        <r>
          <rPr>
            <sz val="9"/>
            <rFont val="宋体"/>
            <charset val="134"/>
          </rPr>
          <t xml:space="preserve">
1、17.5记87，电汇9.7万元（开3%增值税普票，扣10万*3%=3000元，实汇9.7万元）</t>
        </r>
      </text>
    </comment>
    <comment ref="Y57" authorId="0">
      <text>
        <r>
          <rPr>
            <b/>
            <sz val="9"/>
            <rFont val="宋体"/>
            <charset val="134"/>
          </rPr>
          <t>永荣科技:</t>
        </r>
        <r>
          <rPr>
            <sz val="9"/>
            <rFont val="宋体"/>
            <charset val="134"/>
          </rPr>
          <t xml:space="preserve">
1、17.5记87，电汇9.7万元（开3%增值税普票，扣10万*3%=3000元，实汇9.7万元）
</t>
        </r>
      </text>
    </comment>
  </commentList>
</comments>
</file>

<file path=xl/comments6.xml><?xml version="1.0" encoding="utf-8"?>
<comments xmlns="http://schemas.openxmlformats.org/spreadsheetml/2006/main">
  <authors>
    <author>永荣科技</author>
  </authors>
  <commentList>
    <comment ref="Q8" authorId="0">
      <text>
        <r>
          <rPr>
            <b/>
            <sz val="9"/>
            <rFont val="宋体"/>
            <charset val="134"/>
          </rPr>
          <t>永荣科技:</t>
        </r>
        <r>
          <rPr>
            <sz val="9"/>
            <rFont val="宋体"/>
            <charset val="134"/>
          </rPr>
          <t xml:space="preserve">
本合同金额23000元
加2016年之前未收集到合同34988元</t>
        </r>
      </text>
    </comment>
    <comment ref="Y8" authorId="0">
      <text>
        <r>
          <rPr>
            <b/>
            <sz val="9"/>
            <rFont val="宋体"/>
            <charset val="134"/>
          </rPr>
          <t>永荣科技:</t>
        </r>
        <r>
          <rPr>
            <sz val="9"/>
            <rFont val="宋体"/>
            <charset val="134"/>
          </rPr>
          <t xml:space="preserve">
2017年1月记45付57988元</t>
        </r>
      </text>
    </comment>
    <comment ref="Y9" authorId="0">
      <text>
        <r>
          <rPr>
            <b/>
            <sz val="9"/>
            <rFont val="宋体"/>
            <charset val="134"/>
          </rPr>
          <t>永荣科技:</t>
        </r>
        <r>
          <rPr>
            <sz val="9"/>
            <rFont val="宋体"/>
            <charset val="134"/>
          </rPr>
          <t xml:space="preserve">
2016年支付</t>
        </r>
      </text>
    </comment>
    <comment ref="Y10" authorId="0">
      <text>
        <r>
          <rPr>
            <b/>
            <sz val="9"/>
            <rFont val="宋体"/>
            <charset val="134"/>
          </rPr>
          <t>永荣科技:</t>
        </r>
        <r>
          <rPr>
            <sz val="9"/>
            <rFont val="宋体"/>
            <charset val="134"/>
          </rPr>
          <t xml:space="preserve">
2016年支付
</t>
        </r>
      </text>
    </comment>
    <comment ref="Y14" authorId="0">
      <text>
        <r>
          <rPr>
            <b/>
            <sz val="9"/>
            <rFont val="宋体"/>
            <charset val="134"/>
          </rPr>
          <t>永荣科技:</t>
        </r>
        <r>
          <rPr>
            <sz val="9"/>
            <rFont val="宋体"/>
            <charset val="134"/>
          </rPr>
          <t xml:space="preserve">
2017年5月记118共付201430元
35245+155135+11050（副总裁办公桌无合同）</t>
        </r>
      </text>
    </comment>
    <comment ref="Y15" authorId="0">
      <text>
        <r>
          <rPr>
            <b/>
            <sz val="9"/>
            <rFont val="宋体"/>
            <charset val="134"/>
          </rPr>
          <t>永荣科技:</t>
        </r>
        <r>
          <rPr>
            <sz val="9"/>
            <rFont val="宋体"/>
            <charset val="134"/>
          </rPr>
          <t xml:space="preserve">
2017年5月记118共付201430元
35245+155135+11050（副总裁办公桌无合同）
</t>
        </r>
      </text>
    </comment>
    <comment ref="Y16" authorId="0">
      <text>
        <r>
          <rPr>
            <b/>
            <sz val="9"/>
            <rFont val="宋体"/>
            <charset val="134"/>
          </rPr>
          <t>永荣科技:</t>
        </r>
        <r>
          <rPr>
            <sz val="9"/>
            <rFont val="宋体"/>
            <charset val="134"/>
          </rPr>
          <t xml:space="preserve">
2017年5月记99付200850元
2017年6月记113付2960元
合计共付203810元</t>
        </r>
      </text>
    </comment>
    <comment ref="Q17" authorId="0">
      <text>
        <r>
          <rPr>
            <b/>
            <sz val="9"/>
            <rFont val="宋体"/>
            <charset val="134"/>
          </rPr>
          <t>永荣科技:</t>
        </r>
        <r>
          <rPr>
            <sz val="9"/>
            <rFont val="宋体"/>
            <charset val="134"/>
          </rPr>
          <t xml:space="preserve">
本合同金额45990元
加佳能打印机16940元，无合同，请购单2017020010
加电脑4台11800元，无合同。请购单2017020046
加2017年6月记113凭证2960元，无合同</t>
        </r>
      </text>
    </comment>
    <comment ref="Y17" authorId="0">
      <text>
        <r>
          <rPr>
            <b/>
            <sz val="9"/>
            <rFont val="宋体"/>
            <charset val="134"/>
          </rPr>
          <t>永荣科技:</t>
        </r>
        <r>
          <rPr>
            <sz val="9"/>
            <rFont val="宋体"/>
            <charset val="134"/>
          </rPr>
          <t xml:space="preserve">
2017年5月记99付200850元
2017年6月记113付2960元
合计共付203810元
</t>
        </r>
      </text>
    </comment>
    <comment ref="J18" authorId="0">
      <text>
        <r>
          <rPr>
            <b/>
            <sz val="9"/>
            <rFont val="宋体"/>
            <charset val="134"/>
          </rPr>
          <t>永荣科技:</t>
        </r>
        <r>
          <rPr>
            <sz val="9"/>
            <rFont val="宋体"/>
            <charset val="134"/>
          </rPr>
          <t xml:space="preserve">
1、17.6记104，汇87600元
本单已清</t>
        </r>
      </text>
    </comment>
    <comment ref="Y18" authorId="0">
      <text>
        <r>
          <rPr>
            <b/>
            <sz val="9"/>
            <rFont val="宋体"/>
            <charset val="134"/>
          </rPr>
          <t>永荣科技:</t>
        </r>
        <r>
          <rPr>
            <sz val="9"/>
            <rFont val="宋体"/>
            <charset val="134"/>
          </rPr>
          <t xml:space="preserve">
1</t>
        </r>
      </text>
    </comment>
    <comment ref="Y24" authorId="0">
      <text>
        <r>
          <rPr>
            <b/>
            <sz val="9"/>
            <rFont val="宋体"/>
            <charset val="134"/>
          </rPr>
          <t>永荣科技:</t>
        </r>
        <r>
          <rPr>
            <sz val="9"/>
            <rFont val="宋体"/>
            <charset val="134"/>
          </rPr>
          <t xml:space="preserve">
2017年7月记82，付49800</t>
        </r>
      </text>
    </comment>
    <comment ref="Y27" authorId="0">
      <text>
        <r>
          <rPr>
            <b/>
            <sz val="9"/>
            <rFont val="宋体"/>
            <charset val="134"/>
          </rPr>
          <t>永荣科技:</t>
        </r>
        <r>
          <rPr>
            <sz val="9"/>
            <rFont val="宋体"/>
            <charset val="134"/>
          </rPr>
          <t xml:space="preserve">
17.6记159,40万</t>
        </r>
      </text>
    </comment>
    <comment ref="J28" authorId="0">
      <text>
        <r>
          <rPr>
            <b/>
            <sz val="9"/>
            <rFont val="宋体"/>
            <charset val="134"/>
          </rPr>
          <t>永荣科技:</t>
        </r>
        <r>
          <rPr>
            <sz val="9"/>
            <rFont val="宋体"/>
            <charset val="134"/>
          </rPr>
          <t xml:space="preserve">
1、17.10记171，电汇187695元（共193500元，扣贴息5805元）</t>
        </r>
      </text>
    </comment>
    <comment ref="Y28" authorId="0">
      <text>
        <r>
          <rPr>
            <b/>
            <sz val="9"/>
            <rFont val="宋体"/>
            <charset val="134"/>
          </rPr>
          <t>永荣科技:</t>
        </r>
        <r>
          <rPr>
            <sz val="9"/>
            <rFont val="宋体"/>
            <charset val="134"/>
          </rPr>
          <t xml:space="preserve">
1、17.10记171，电汇187695元（共193500元，扣贴息5805元）
</t>
        </r>
      </text>
    </comment>
    <comment ref="J33" authorId="0">
      <text>
        <r>
          <rPr>
            <b/>
            <sz val="9"/>
            <rFont val="宋体"/>
            <charset val="134"/>
          </rPr>
          <t>永荣科技:</t>
        </r>
        <r>
          <rPr>
            <sz val="9"/>
            <rFont val="宋体"/>
            <charset val="134"/>
          </rPr>
          <t xml:space="preserve">
1、17.9记183，电汇669697元（90%货款）</t>
        </r>
      </text>
    </comment>
    <comment ref="Q33" authorId="0">
      <text>
        <r>
          <rPr>
            <b/>
            <sz val="9"/>
            <rFont val="宋体"/>
            <charset val="134"/>
          </rPr>
          <t>永荣科技:</t>
        </r>
        <r>
          <rPr>
            <sz val="9"/>
            <rFont val="宋体"/>
            <charset val="134"/>
          </rPr>
          <t xml:space="preserve">
合同金额704480元，加35665元</t>
        </r>
      </text>
    </comment>
    <comment ref="Y33" authorId="0">
      <text>
        <r>
          <rPr>
            <b/>
            <sz val="9"/>
            <rFont val="宋体"/>
            <charset val="134"/>
          </rPr>
          <t>永荣科技:</t>
        </r>
        <r>
          <rPr>
            <sz val="9"/>
            <rFont val="宋体"/>
            <charset val="134"/>
          </rPr>
          <t xml:space="preserve">
1、17.9记183，电汇669697元（90%货款）
</t>
        </r>
      </text>
    </comment>
    <comment ref="J34" authorId="0">
      <text>
        <r>
          <rPr>
            <b/>
            <sz val="9"/>
            <rFont val="宋体"/>
            <charset val="134"/>
          </rPr>
          <t>永荣科技:</t>
        </r>
        <r>
          <rPr>
            <sz val="9"/>
            <rFont val="宋体"/>
            <charset val="134"/>
          </rPr>
          <t xml:space="preserve">
17.10记160，电汇11000元（待核对）
17.10记169，电汇17040元（待核对）</t>
        </r>
      </text>
    </comment>
    <comment ref="J35" authorId="0">
      <text>
        <r>
          <rPr>
            <b/>
            <sz val="9"/>
            <rFont val="宋体"/>
            <charset val="134"/>
          </rPr>
          <t>永荣科技:</t>
        </r>
        <r>
          <rPr>
            <sz val="9"/>
            <rFont val="宋体"/>
            <charset val="134"/>
          </rPr>
          <t xml:space="preserve">
1、17.8记215，电汇9520元
本单已清</t>
        </r>
      </text>
    </comment>
    <comment ref="Y35" authorId="0">
      <text>
        <r>
          <rPr>
            <b/>
            <sz val="9"/>
            <rFont val="宋体"/>
            <charset val="134"/>
          </rPr>
          <t>永荣科技:</t>
        </r>
        <r>
          <rPr>
            <sz val="9"/>
            <rFont val="宋体"/>
            <charset val="134"/>
          </rPr>
          <t xml:space="preserve">
1、17.8记215，电汇9520元
本单已清
</t>
        </r>
      </text>
    </comment>
    <comment ref="J38" authorId="0">
      <text>
        <r>
          <rPr>
            <b/>
            <sz val="9"/>
            <rFont val="宋体"/>
            <charset val="134"/>
          </rPr>
          <t>永荣科技:</t>
        </r>
        <r>
          <rPr>
            <sz val="9"/>
            <rFont val="宋体"/>
            <charset val="134"/>
          </rPr>
          <t xml:space="preserve">
1、17.10记157，电汇92770.8元（共95460元，扣贴息2869.2元）</t>
        </r>
      </text>
    </comment>
    <comment ref="Y38" authorId="0">
      <text>
        <r>
          <rPr>
            <b/>
            <sz val="9"/>
            <rFont val="宋体"/>
            <charset val="134"/>
          </rPr>
          <t>永荣科技:</t>
        </r>
        <r>
          <rPr>
            <sz val="9"/>
            <rFont val="宋体"/>
            <charset val="134"/>
          </rPr>
          <t xml:space="preserve">
1、17.10记157，电汇92770.8元（共95460元，扣贴息2869.2元）
</t>
        </r>
      </text>
    </comment>
    <comment ref="J40" authorId="0">
      <text>
        <r>
          <rPr>
            <b/>
            <sz val="9"/>
            <rFont val="宋体"/>
            <charset val="134"/>
          </rPr>
          <t>永荣科技:</t>
        </r>
        <r>
          <rPr>
            <sz val="9"/>
            <rFont val="宋体"/>
            <charset val="134"/>
          </rPr>
          <t xml:space="preserve">
1、2017年11月7日，电汇172508元（90%货款）</t>
        </r>
      </text>
    </comment>
    <comment ref="Q40" authorId="0">
      <text>
        <r>
          <rPr>
            <b/>
            <sz val="9"/>
            <rFont val="宋体"/>
            <charset val="134"/>
          </rPr>
          <t>永荣科技:</t>
        </r>
        <r>
          <rPr>
            <sz val="9"/>
            <rFont val="宋体"/>
            <charset val="134"/>
          </rPr>
          <t xml:space="preserve">
合同金额176120元，追加14000元（铜管）</t>
        </r>
      </text>
    </comment>
    <comment ref="Y40" authorId="0">
      <text>
        <r>
          <rPr>
            <b/>
            <sz val="9"/>
            <rFont val="宋体"/>
            <charset val="134"/>
          </rPr>
          <t>永荣科技:</t>
        </r>
        <r>
          <rPr>
            <sz val="9"/>
            <rFont val="宋体"/>
            <charset val="134"/>
          </rPr>
          <t xml:space="preserve">
1、2017年11月7日，电汇172508元（90%货款）
</t>
        </r>
      </text>
    </comment>
    <comment ref="J42" authorId="0">
      <text>
        <r>
          <rPr>
            <b/>
            <sz val="9"/>
            <rFont val="宋体"/>
            <charset val="134"/>
          </rPr>
          <t>永荣科技:</t>
        </r>
        <r>
          <rPr>
            <sz val="9"/>
            <rFont val="宋体"/>
            <charset val="134"/>
          </rPr>
          <t xml:space="preserve">
1、17年11月3日，电汇104000元</t>
        </r>
      </text>
    </comment>
    <comment ref="Y42" authorId="0">
      <text>
        <r>
          <rPr>
            <b/>
            <sz val="9"/>
            <rFont val="宋体"/>
            <charset val="134"/>
          </rPr>
          <t>永荣科技:</t>
        </r>
        <r>
          <rPr>
            <sz val="9"/>
            <rFont val="宋体"/>
            <charset val="134"/>
          </rPr>
          <t xml:space="preserve">
1、17年11月3日，电汇104000元
</t>
        </r>
      </text>
    </comment>
    <comment ref="J46" authorId="0">
      <text>
        <r>
          <rPr>
            <b/>
            <sz val="9"/>
            <rFont val="宋体"/>
            <charset val="134"/>
          </rPr>
          <t>永荣科技:</t>
        </r>
        <r>
          <rPr>
            <sz val="9"/>
            <rFont val="宋体"/>
            <charset val="134"/>
          </rPr>
          <t xml:space="preserve">
1、17年11月1日，电汇45万元
本单已清</t>
        </r>
      </text>
    </comment>
    <comment ref="Y46" authorId="0">
      <text>
        <r>
          <rPr>
            <b/>
            <sz val="9"/>
            <rFont val="宋体"/>
            <charset val="134"/>
          </rPr>
          <t>永荣科技:</t>
        </r>
        <r>
          <rPr>
            <sz val="9"/>
            <rFont val="宋体"/>
            <charset val="134"/>
          </rPr>
          <t xml:space="preserve">
1、17年11月1日，电汇45万元
本单已清
</t>
        </r>
      </text>
    </comment>
    <comment ref="J47" authorId="0">
      <text>
        <r>
          <rPr>
            <b/>
            <sz val="9"/>
            <rFont val="宋体"/>
            <charset val="134"/>
          </rPr>
          <t>永荣科技:</t>
        </r>
        <r>
          <rPr>
            <sz val="9"/>
            <rFont val="宋体"/>
            <charset val="134"/>
          </rPr>
          <t xml:space="preserve">
1、17.9记21，电汇31646元
本单已清</t>
        </r>
      </text>
    </comment>
    <comment ref="Y47" authorId="0">
      <text>
        <r>
          <rPr>
            <b/>
            <sz val="9"/>
            <rFont val="宋体"/>
            <charset val="134"/>
          </rPr>
          <t>永荣科技:</t>
        </r>
        <r>
          <rPr>
            <sz val="9"/>
            <rFont val="宋体"/>
            <charset val="134"/>
          </rPr>
          <t xml:space="preserve">
1、17.9记21，电汇31646元
本单已清
</t>
        </r>
      </text>
    </comment>
  </commentList>
</comments>
</file>

<file path=xl/comments7.xml><?xml version="1.0" encoding="utf-8"?>
<comments xmlns="http://schemas.openxmlformats.org/spreadsheetml/2006/main">
  <authors>
    <author>永荣科技</author>
  </authors>
  <commentList>
    <comment ref="J6" authorId="0">
      <text>
        <r>
          <rPr>
            <b/>
            <sz val="9"/>
            <rFont val="宋体"/>
            <charset val="134"/>
          </rPr>
          <t>永荣科技:</t>
        </r>
        <r>
          <rPr>
            <sz val="9"/>
            <rFont val="宋体"/>
            <charset val="134"/>
          </rPr>
          <t xml:space="preserve">
1、合同总价2800万元，锦江石化转永荣科技，支付1120万元</t>
        </r>
      </text>
    </comment>
    <comment ref="Q6" authorId="0">
      <text>
        <r>
          <rPr>
            <b/>
            <sz val="9"/>
            <rFont val="宋体"/>
            <charset val="134"/>
          </rPr>
          <t>永荣科技:</t>
        </r>
        <r>
          <rPr>
            <sz val="9"/>
            <rFont val="宋体"/>
            <charset val="134"/>
          </rPr>
          <t xml:space="preserve">
合同总价2800万元
锦江石化转永荣科技1120万元
</t>
        </r>
      </text>
    </comment>
    <comment ref="Y6" authorId="0">
      <text>
        <r>
          <rPr>
            <b/>
            <sz val="9"/>
            <rFont val="宋体"/>
            <charset val="134"/>
          </rPr>
          <t>永荣科技:</t>
        </r>
        <r>
          <rPr>
            <sz val="9"/>
            <rFont val="宋体"/>
            <charset val="134"/>
          </rPr>
          <t xml:space="preserve">
1、合同总价2800万元，锦江石化转永荣科技，支付1120万元
</t>
        </r>
      </text>
    </comment>
    <comment ref="J7" authorId="0">
      <text>
        <r>
          <rPr>
            <b/>
            <sz val="9"/>
            <rFont val="宋体"/>
            <charset val="134"/>
          </rPr>
          <t>永荣科技:</t>
        </r>
        <r>
          <rPr>
            <sz val="9"/>
            <rFont val="宋体"/>
            <charset val="134"/>
          </rPr>
          <t xml:space="preserve">
1、锦江石化转永荣-技术转让（专利权）合同</t>
        </r>
      </text>
    </comment>
    <comment ref="Y7" authorId="0">
      <text>
        <r>
          <rPr>
            <b/>
            <sz val="9"/>
            <rFont val="宋体"/>
            <charset val="134"/>
          </rPr>
          <t>永荣科技:</t>
        </r>
        <r>
          <rPr>
            <sz val="9"/>
            <rFont val="宋体"/>
            <charset val="134"/>
          </rPr>
          <t xml:space="preserve">
锦江石化转永荣-技术转让（专利权）合同
</t>
        </r>
      </text>
    </comment>
    <comment ref="J8" authorId="0">
      <text>
        <r>
          <rPr>
            <b/>
            <sz val="9"/>
            <rFont val="宋体"/>
            <charset val="134"/>
          </rPr>
          <t>永荣科技:</t>
        </r>
        <r>
          <rPr>
            <sz val="9"/>
            <rFont val="宋体"/>
            <charset val="134"/>
          </rPr>
          <t xml:space="preserve">
15.8记15付4笔：
13740314元
6151360元
3075680元
7789446元
</t>
        </r>
      </text>
    </comment>
    <comment ref="Y8" authorId="0">
      <text>
        <r>
          <rPr>
            <b/>
            <sz val="9"/>
            <rFont val="宋体"/>
            <charset val="134"/>
          </rPr>
          <t>永荣科技:</t>
        </r>
        <r>
          <rPr>
            <sz val="9"/>
            <rFont val="宋体"/>
            <charset val="134"/>
          </rPr>
          <t xml:space="preserve">
15.8记15付4笔：
13740314元
6151360元
3075680元
7789446元
</t>
        </r>
      </text>
    </comment>
    <comment ref="J9" authorId="0">
      <text>
        <r>
          <rPr>
            <b/>
            <sz val="9"/>
            <rFont val="宋体"/>
            <charset val="134"/>
          </rPr>
          <t>永荣科技:</t>
        </r>
        <r>
          <rPr>
            <sz val="9"/>
            <rFont val="宋体"/>
            <charset val="134"/>
          </rPr>
          <t xml:space="preserve">
同上119编号
</t>
        </r>
      </text>
    </comment>
    <comment ref="Y9" authorId="0">
      <text>
        <r>
          <rPr>
            <b/>
            <sz val="9"/>
            <rFont val="宋体"/>
            <charset val="134"/>
          </rPr>
          <t>永荣科技:</t>
        </r>
        <r>
          <rPr>
            <sz val="9"/>
            <rFont val="宋体"/>
            <charset val="134"/>
          </rPr>
          <t xml:space="preserve">
同上119编号</t>
        </r>
      </text>
    </comment>
    <comment ref="J10" authorId="0">
      <text>
        <r>
          <rPr>
            <b/>
            <sz val="9"/>
            <rFont val="宋体"/>
            <charset val="134"/>
          </rPr>
          <t>永荣科技:</t>
        </r>
        <r>
          <rPr>
            <sz val="9"/>
            <rFont val="宋体"/>
            <charset val="134"/>
          </rPr>
          <t xml:space="preserve">
共付5笔：
15.6记23,1249万
15.6记41,1351万
15.7记14,1100万
15.7记14,1500万
15.7记66,1047万
</t>
        </r>
      </text>
    </comment>
    <comment ref="Y10" authorId="0">
      <text>
        <r>
          <rPr>
            <b/>
            <sz val="9"/>
            <rFont val="宋体"/>
            <charset val="134"/>
          </rPr>
          <t>永荣科技:</t>
        </r>
        <r>
          <rPr>
            <sz val="9"/>
            <rFont val="宋体"/>
            <charset val="134"/>
          </rPr>
          <t xml:space="preserve">
共付5笔：
15.6记23,1249万
15.6记41,1351万
15.7记14,1100万
15.7记14,1500万
15.7记66,1047万</t>
        </r>
      </text>
    </comment>
    <comment ref="Y12" authorId="0">
      <text>
        <r>
          <rPr>
            <b/>
            <sz val="9"/>
            <rFont val="宋体"/>
            <charset val="134"/>
          </rPr>
          <t>永荣科技:</t>
        </r>
        <r>
          <rPr>
            <sz val="9"/>
            <rFont val="宋体"/>
            <charset val="134"/>
          </rPr>
          <t xml:space="preserve">
政府补贴</t>
        </r>
      </text>
    </comment>
    <comment ref="J13" authorId="0">
      <text>
        <r>
          <rPr>
            <b/>
            <sz val="9"/>
            <rFont val="宋体"/>
            <charset val="134"/>
          </rPr>
          <t>永荣科技:</t>
        </r>
        <r>
          <rPr>
            <sz val="9"/>
            <rFont val="宋体"/>
            <charset val="134"/>
          </rPr>
          <t xml:space="preserve">
16.5记27,29810.6元
16.6记42,59406195.17元
16.5记10,3003380元
</t>
        </r>
      </text>
    </comment>
    <comment ref="S13" authorId="0">
      <text>
        <r>
          <rPr>
            <b/>
            <sz val="9"/>
            <rFont val="宋体"/>
            <charset val="134"/>
          </rPr>
          <t>永荣科技:</t>
        </r>
        <r>
          <rPr>
            <sz val="9"/>
            <rFont val="宋体"/>
            <charset val="134"/>
          </rPr>
          <t xml:space="preserve">
海峡股权交易中心（福建）有限公司</t>
        </r>
      </text>
    </comment>
    <comment ref="Y13" authorId="0">
      <text>
        <r>
          <rPr>
            <b/>
            <sz val="9"/>
            <rFont val="宋体"/>
            <charset val="134"/>
          </rPr>
          <t>永荣科技:</t>
        </r>
        <r>
          <rPr>
            <sz val="9"/>
            <rFont val="宋体"/>
            <charset val="134"/>
          </rPr>
          <t xml:space="preserve">
16.5记27,29810.6元
16.6记42,59406195.17元
16.5记10,3003380元</t>
        </r>
      </text>
    </comment>
    <comment ref="S14" authorId="0">
      <text>
        <r>
          <rPr>
            <b/>
            <sz val="9"/>
            <rFont val="宋体"/>
            <charset val="134"/>
          </rPr>
          <t>永荣科技:</t>
        </r>
        <r>
          <rPr>
            <sz val="9"/>
            <rFont val="宋体"/>
            <charset val="134"/>
          </rPr>
          <t xml:space="preserve">
海峡股权交易中心（福建）有限公司</t>
        </r>
      </text>
    </comment>
  </commentList>
</comments>
</file>

<file path=xl/sharedStrings.xml><?xml version="1.0" encoding="utf-8"?>
<sst xmlns="http://schemas.openxmlformats.org/spreadsheetml/2006/main" count="2041">
  <si>
    <t>福建永荣科技有限公司</t>
  </si>
  <si>
    <t>合</t>
  </si>
  <si>
    <t>同</t>
  </si>
  <si>
    <t>执</t>
  </si>
  <si>
    <t>行</t>
  </si>
  <si>
    <t>表</t>
  </si>
  <si>
    <t>合同交接截至</t>
  </si>
  <si>
    <t>付款登记截至</t>
  </si>
  <si>
    <t>合同执行情况汇总表</t>
  </si>
  <si>
    <t>合同交接截至：</t>
  </si>
  <si>
    <t>已付款统计</t>
  </si>
  <si>
    <t>未付款统计</t>
  </si>
  <si>
    <t>合同执行      完毕统计</t>
  </si>
  <si>
    <t>序号</t>
  </si>
  <si>
    <t>合同类型</t>
  </si>
  <si>
    <t>合同 份数</t>
  </si>
  <si>
    <t>合同总金额</t>
  </si>
  <si>
    <t>实付金额</t>
  </si>
  <si>
    <t>已扣HSE    保证金</t>
  </si>
  <si>
    <t>已扣       水电费</t>
  </si>
  <si>
    <t>已扣      贴息</t>
  </si>
  <si>
    <t>已扣       罚款</t>
  </si>
  <si>
    <t>付款已申请   未支付</t>
  </si>
  <si>
    <t>未付款金额</t>
  </si>
  <si>
    <t>付款完成率</t>
  </si>
  <si>
    <t>已完毕</t>
  </si>
  <si>
    <t>未完毕</t>
  </si>
  <si>
    <t>数据核对</t>
  </si>
  <si>
    <t>EPC合同</t>
  </si>
  <si>
    <t>设备合同</t>
  </si>
  <si>
    <t>工程合同</t>
  </si>
  <si>
    <t>材料合同</t>
  </si>
  <si>
    <t>服务合同</t>
  </si>
  <si>
    <t>行政合同</t>
  </si>
  <si>
    <t>其他合同</t>
  </si>
  <si>
    <t>合计</t>
  </si>
  <si>
    <t>核对</t>
  </si>
  <si>
    <t>备注：以上数据未扣除以下几点：1、土地费：II期用地733.28万元、政府补助9780万元。2、软基处理：政府配套补助2.1亿、预计返还的40KPA软基处理补贴4732万。3、排污权交易共6344万元（60万吨己内酰胺），其中分摊4162.6万元。4、环己烷脱氢装置（30亿概算之外）已签合同300万元。以上4点合计40707万元，己内酰胺I期工程总概算30亿元，在合同总金额的基础上，扣除以上4点。</t>
  </si>
  <si>
    <r>
      <rPr>
        <sz val="10"/>
        <color theme="1"/>
        <rFont val="宋体"/>
        <charset val="134"/>
      </rPr>
      <t>备注1：土地费永荣共付13243.28万元，其中I期12510万元，</t>
    </r>
    <r>
      <rPr>
        <b/>
        <sz val="10"/>
        <color theme="1"/>
        <rFont val="宋体"/>
        <charset val="134"/>
      </rPr>
      <t>II期733.28万元。政府已补贴9780万元。</t>
    </r>
  </si>
  <si>
    <r>
      <rPr>
        <sz val="10"/>
        <color theme="1"/>
        <rFont val="宋体"/>
        <charset val="134"/>
      </rPr>
      <t>备注2：软基处理永荣共付31163.24万元，其中</t>
    </r>
    <r>
      <rPr>
        <b/>
        <sz val="10"/>
        <color theme="1"/>
        <rFont val="宋体"/>
        <charset val="134"/>
      </rPr>
      <t>政府补贴已到账21000万元，未到账4732万元</t>
    </r>
    <r>
      <rPr>
        <sz val="10"/>
        <color theme="1"/>
        <rFont val="宋体"/>
        <charset val="134"/>
      </rPr>
      <t>。</t>
    </r>
  </si>
  <si>
    <r>
      <rPr>
        <sz val="10"/>
        <color theme="1"/>
        <rFont val="宋体"/>
        <charset val="134"/>
      </rPr>
      <t>备注3：排污权交易永荣共付62439385.77元（60万吨己内酰胺），其中I期20万吨为20813100.77元，</t>
    </r>
    <r>
      <rPr>
        <b/>
        <sz val="10"/>
        <color theme="1"/>
        <rFont val="宋体"/>
        <charset val="134"/>
      </rPr>
      <t>II期40万吨为41626285元。</t>
    </r>
  </si>
  <si>
    <t xml:space="preserve"> </t>
  </si>
  <si>
    <t>合同、付款金额与I期30亿概算比对</t>
  </si>
  <si>
    <t>明细</t>
  </si>
  <si>
    <t>合同金额</t>
  </si>
  <si>
    <t>合同付款金额</t>
  </si>
  <si>
    <t>小计</t>
  </si>
  <si>
    <t>合同金额：</t>
  </si>
  <si>
    <t>减：土地费II期733.28万，政府补贴9780万</t>
  </si>
  <si>
    <t>减：软基政府补贴已到账2.1亿、未到账4732万</t>
  </si>
  <si>
    <t>减：排污权（60-20）万吨4162.6万元</t>
  </si>
  <si>
    <t>减：环己烷脱氢装置（不在概算中）</t>
  </si>
  <si>
    <t>合计（I期20万吨己内酰胺概算）</t>
  </si>
  <si>
    <t>合同付款执行情况汇总表(导入）</t>
  </si>
  <si>
    <t>合同付款执行情况明细表（导入）</t>
  </si>
  <si>
    <t>节点明细（导入）</t>
  </si>
  <si>
    <t>付款及节点情况合计</t>
  </si>
  <si>
    <t>付款申请情况</t>
  </si>
  <si>
    <t>合同是否付清</t>
  </si>
  <si>
    <t>已扣HSE     保证金</t>
  </si>
  <si>
    <t>已扣     水电费</t>
  </si>
  <si>
    <t>已扣     贴息</t>
  </si>
  <si>
    <t>已扣     罚款等</t>
  </si>
  <si>
    <t>付款已申请  未支付</t>
  </si>
  <si>
    <t>付款 批注</t>
  </si>
  <si>
    <t>合同编号</t>
  </si>
  <si>
    <t>请购单编号</t>
  </si>
  <si>
    <t>签订时间</t>
  </si>
  <si>
    <t>采购内容</t>
  </si>
  <si>
    <t>供应商</t>
  </si>
  <si>
    <t>装置名称</t>
  </si>
  <si>
    <t>支付方式</t>
  </si>
  <si>
    <t>节点1</t>
  </si>
  <si>
    <t>节点2</t>
  </si>
  <si>
    <t>节点3</t>
  </si>
  <si>
    <t>节点4</t>
  </si>
  <si>
    <t>节点5</t>
  </si>
  <si>
    <t>节点6</t>
  </si>
  <si>
    <t>节点7</t>
  </si>
  <si>
    <t>节点8</t>
  </si>
  <si>
    <t>节点9</t>
  </si>
  <si>
    <t>节点10</t>
  </si>
  <si>
    <t>节点11</t>
  </si>
  <si>
    <t>节点12</t>
  </si>
  <si>
    <t>节点13</t>
  </si>
  <si>
    <t>节点14</t>
  </si>
  <si>
    <t>节点15</t>
  </si>
  <si>
    <t>节点金额合计</t>
  </si>
  <si>
    <t>已申请金额合计</t>
  </si>
  <si>
    <t>已付款金额合计</t>
  </si>
  <si>
    <t>扣款金额合计</t>
  </si>
  <si>
    <t>未付款合计</t>
  </si>
  <si>
    <t>节点与合同金额比对</t>
  </si>
  <si>
    <t>节点条件</t>
  </si>
  <si>
    <t>节点金额</t>
  </si>
  <si>
    <t>已申请金额</t>
  </si>
  <si>
    <t>已付款金额</t>
  </si>
  <si>
    <t>-</t>
  </si>
  <si>
    <t>批注</t>
  </si>
  <si>
    <t>合同付款执行情况汇总表(EPC合同）</t>
  </si>
  <si>
    <t>合同付款执行情况明细表（EPC合同）</t>
  </si>
  <si>
    <t>节点明细（EPC合同）</t>
  </si>
  <si>
    <t>1-1</t>
  </si>
  <si>
    <t>YRKJEPC-170001</t>
  </si>
  <si>
    <t>2017010004</t>
  </si>
  <si>
    <t>工程设计费（动力站EPC工程，含部分冷凝回收）</t>
  </si>
  <si>
    <t>中国联合工程公司</t>
  </si>
  <si>
    <t>动力站装置</t>
  </si>
  <si>
    <t>6个月承兑汇汇票70%/电汇30%</t>
  </si>
  <si>
    <t>预付款10%（合同生效收到承包人履约保函，预付款保函，预付款和等额的专票明细分项报价清单后支付5%，三个月后支付5%材料和设备款）</t>
  </si>
  <si>
    <t>预付款（基础设计经发包人审查合格并收取相关资料后支付至40%）</t>
  </si>
  <si>
    <t>预付款（提供全部详细设计文件和工程设计费全额专票后支付至65%）</t>
  </si>
  <si>
    <t>完成中间交接后的28天内，支付至70%</t>
  </si>
  <si>
    <t>联动试车运行合格后28天内，承包人提供试车合格部分材料及工程设备费用全额专票后支付至合同价的80%</t>
  </si>
  <si>
    <t>完成交工验收后28天内，支付至合同的90%</t>
  </si>
  <si>
    <t>完成竣工验收后28天内，支付至合同价的95%</t>
  </si>
  <si>
    <t>质保金5%，二年</t>
  </si>
  <si>
    <t>1-2</t>
  </si>
  <si>
    <t>物资采购费（动力站EPC工程，含部分冷凝回收）</t>
  </si>
  <si>
    <t>预付款（按月申请支付，发货款付至当月发货材料的40%，验收合格后支付至验收材料的50%，设备安装后支付至安装完成材料的65%）</t>
  </si>
  <si>
    <t>1-3</t>
  </si>
  <si>
    <t>建筑、安装工程费（动力站EPC工程，含部分冷凝回收）</t>
  </si>
  <si>
    <t>预付款（无）</t>
  </si>
  <si>
    <t>预付款（按月支付已完成工程量的60%）</t>
  </si>
  <si>
    <t>1-4</t>
  </si>
  <si>
    <t>技术服务费（动力站EPC工程，含部分冷凝回收）</t>
  </si>
  <si>
    <t>无</t>
  </si>
  <si>
    <t>资料归档培训等完成一次性支付至95%</t>
  </si>
  <si>
    <t>1-5</t>
  </si>
  <si>
    <t>其他费（动力站EPC工程，含部分冷凝回收）</t>
  </si>
  <si>
    <t>1-6</t>
  </si>
  <si>
    <t>安全措施费（动力站EPC工程，含部分冷凝回收）</t>
  </si>
  <si>
    <t>动力站EPC工程，含部分冷凝回收  合计</t>
  </si>
  <si>
    <t>2-1</t>
  </si>
  <si>
    <t>YRKJEPC-170002</t>
  </si>
  <si>
    <t>2016120034</t>
  </si>
  <si>
    <t>工程勘察设计费（设计费300万+专利费1000万）</t>
  </si>
  <si>
    <t>湖南省工业设备安装有限公司</t>
  </si>
  <si>
    <t>双氧水装置</t>
  </si>
  <si>
    <t>6个月承兑汇汇票/电汇下浮1.5%</t>
  </si>
  <si>
    <t>预付款（审查合格并收取相关资料后支付至40%）</t>
  </si>
  <si>
    <t>预付款（提供全部详细设计文件后支付至65%）</t>
  </si>
  <si>
    <t>完成中间交接后支付至70%</t>
  </si>
  <si>
    <t>投料试车生产出合格产品，支付至合同总价80%，如果交接满90天，因发包人原因仍无法产出合格产品</t>
  </si>
  <si>
    <t>完成交工验收，支付至90%</t>
  </si>
  <si>
    <t>完成竣工验收后，支付至95%</t>
  </si>
  <si>
    <t>质量保证金5%，一年</t>
  </si>
  <si>
    <t>2-2</t>
  </si>
  <si>
    <t>工程设备及材料费</t>
  </si>
  <si>
    <t>预付款（根据审核的施工图设备材料清单进行采购，发货款后支付至当月发货的40%）</t>
  </si>
  <si>
    <t>预付款（安装完成的材料及工程设备费用的65%）</t>
  </si>
  <si>
    <t>2-3</t>
  </si>
  <si>
    <t>建筑工程费 60%</t>
  </si>
  <si>
    <t>预付款（按月度支付已完成进度款的60%）</t>
  </si>
  <si>
    <t>预付款（中间交接支付至65%）</t>
  </si>
  <si>
    <t>2-4</t>
  </si>
  <si>
    <t>安装工程费 60%</t>
  </si>
  <si>
    <t>2-5</t>
  </si>
  <si>
    <t>技术服务费（调试及开车费）95%</t>
  </si>
  <si>
    <t>按实际发生支付（95%比例）</t>
  </si>
  <si>
    <t>按实际发生支付（剩余5%比例）</t>
  </si>
  <si>
    <t>2-6</t>
  </si>
  <si>
    <t>技术服务费（验收费用）95%</t>
  </si>
  <si>
    <t>2-7</t>
  </si>
  <si>
    <t>技术服务费（设备采购技术服务费）80%</t>
  </si>
  <si>
    <t>按实际发生支付（80%比例）</t>
  </si>
  <si>
    <t>按实际发生支付（剩余20%比例）</t>
  </si>
  <si>
    <t>2-8</t>
  </si>
  <si>
    <t>技术服务费（设备监造费用）80%</t>
  </si>
  <si>
    <t>2-9</t>
  </si>
  <si>
    <t>技术服务费（培训费用）95%</t>
  </si>
  <si>
    <t>2-10</t>
  </si>
  <si>
    <t>其他费用（特种设备取证费用）95%</t>
  </si>
  <si>
    <t>2-11</t>
  </si>
  <si>
    <t>其他费用（压力容器、压力管道监检费）95%</t>
  </si>
  <si>
    <t>2-12</t>
  </si>
  <si>
    <t>其他费用（第三方检测费用）95%</t>
  </si>
  <si>
    <t>2-13</t>
  </si>
  <si>
    <t>其他费用（工程保险费） 95%</t>
  </si>
  <si>
    <t>2-14</t>
  </si>
  <si>
    <t>其他费用（管理费用） 80%</t>
  </si>
  <si>
    <t>2-15</t>
  </si>
  <si>
    <t>其他费用（财务费用） 80%</t>
  </si>
  <si>
    <t>2-16</t>
  </si>
  <si>
    <t>安全生产、文明施工费（安全防护用品） 100%</t>
  </si>
  <si>
    <t>按实际发生支付（100%比例）</t>
  </si>
  <si>
    <t>2-17</t>
  </si>
  <si>
    <t>安全生产、文明施工费（安全防护措施费用）100%</t>
  </si>
  <si>
    <t>2-18</t>
  </si>
  <si>
    <t>安全生产、文明施工费（应急救援）100%</t>
  </si>
  <si>
    <t>2-19</t>
  </si>
  <si>
    <t>安全生产、文明施工费（现场防火措施）100%</t>
  </si>
  <si>
    <t>2-20</t>
  </si>
  <si>
    <t>安全生产、文明施工费（临时设施费）80%</t>
  </si>
  <si>
    <t>2-21</t>
  </si>
  <si>
    <t>安全生产、文明施工费（文明施工费）100%</t>
  </si>
  <si>
    <t>双氧水EPC设置   合计</t>
  </si>
  <si>
    <t>3-1</t>
  </si>
  <si>
    <t>YRKJEPC-170003</t>
  </si>
  <si>
    <t>2016120035</t>
  </si>
  <si>
    <t>工程勘察设计费（硫酸装置EPC)</t>
  </si>
  <si>
    <t xml:space="preserve">上海奥格利环保工程有限公司/浙江工程设计有限公司/浙江工业设备安装集团有限公司</t>
  </si>
  <si>
    <t>硫酸装置</t>
  </si>
  <si>
    <t>所有支付均为6个月承兑汇票，如采用现金转账，扣除付款金额的2%</t>
  </si>
  <si>
    <t>预付款（承包人提供设备采购合同，预付款10%）</t>
  </si>
  <si>
    <t>预付款（基础设计审查合格后并收取相关资料后支付至40%）</t>
  </si>
  <si>
    <t>设备安装后支付至80%（提供全部详细设计文件后支付至80%）</t>
  </si>
  <si>
    <t>投料试车生产出合格产品，支付至合同总价85%，如果交接满90天，因发包人原因仍无法产出合格产品</t>
  </si>
  <si>
    <t>完成竣工验收，支付至合同总价90%，若中间交接满6个月或者投料试车满3个月因发包人原因，仍无法完成交工验收的，视为完成交工验收，发包人支付至合同总价的90%</t>
  </si>
  <si>
    <t>完成竣工验收，支付至合同总价95%</t>
  </si>
  <si>
    <t>质量保修金为合同总价5%，质保期为工程交工验收后12个月或装置出合格产品后18个月，以先到期为准，进入质保期，承包人开12个月合同总价5%的质量保函后，发包人支付质保金。</t>
  </si>
  <si>
    <t>3-2</t>
  </si>
  <si>
    <t>材料及工程设备采购费（硫酸装置EPC)</t>
  </si>
  <si>
    <t>预付款（发货款付至50%）</t>
  </si>
  <si>
    <t>预付款（到货验收合格后支付至70%）</t>
  </si>
  <si>
    <t>设备安装后支付至80%</t>
  </si>
  <si>
    <t>3-3</t>
  </si>
  <si>
    <t>备品备件费（硫酸装置EPC)</t>
  </si>
  <si>
    <t>3-4</t>
  </si>
  <si>
    <t>土建工程费（硫酸装置EPC)</t>
  </si>
  <si>
    <t>预付款（按月度、进度支付至已发生工程款70%）</t>
  </si>
  <si>
    <t>3-5</t>
  </si>
  <si>
    <t>设备、管道、电仪安装费（硫酸装置EPC)</t>
  </si>
  <si>
    <t>预付款（发货款付至50%，按月度、进度支付至已发生工程款70%）</t>
  </si>
  <si>
    <t>材料及工程设备采购费（硫酸装置EPC)  合计</t>
  </si>
  <si>
    <t>4-1</t>
  </si>
  <si>
    <t>YRKJEPC-170004</t>
  </si>
  <si>
    <t>2017010038</t>
  </si>
  <si>
    <t>工程勘察设计费（空分制氮装置EPC，不含土建)</t>
  </si>
  <si>
    <t>杭州福斯达深冷装备股份有限公司/济宁市化工设计院唐山分院/江苏天目建设集团有限公司</t>
  </si>
  <si>
    <t>空分制氮装置</t>
  </si>
  <si>
    <t>6个月承兑汇汇票/电汇无下浮</t>
  </si>
  <si>
    <t>预付款15%（10%履约保函；发包人收到承包人开具的本合同总价15%之银行预付款保函（保函有效期为2018年2月1日）以及本合同总价15%的增值税专用发票后，30天内付款）</t>
  </si>
  <si>
    <t>发包人见证承包人已完成压缩机和冷箱制造（或实物采购），且收到合同总价35%的发票后，30天内支付</t>
  </si>
  <si>
    <t>压缩机及冷箱到货后一个月内完成初验或货到现场二个月内，收到20%增值税专用发票</t>
  </si>
  <si>
    <t>1、发包人完成全部空分设备安装、投料试车合格承包人完成全部空分设备安装三个月后；2、10%增值税专用发票</t>
  </si>
  <si>
    <t>1、交工验收合格或承包人完成试车3个月内，2、10%增值税专用发票</t>
  </si>
  <si>
    <t>竣工验收或者交工验收后12个月后，承包人收到承包人开具本合同总价10%增值税发票</t>
  </si>
  <si>
    <t>质保金；完成竣工验收24个月，或者交工验收36个月（以条件先到者为准）</t>
  </si>
  <si>
    <t>4-2</t>
  </si>
  <si>
    <t>工程设备费（空分制氮装置EPC，不含土建)</t>
  </si>
  <si>
    <t>1、交工验收合格或承包人完成试车3个月内，2、11%增值税专用发票</t>
  </si>
  <si>
    <t>竣工验收或者交工验收后12个月后，承包人收到承包人开具本合同总价11%增值税发票</t>
  </si>
  <si>
    <t>4-3</t>
  </si>
  <si>
    <t>备品备件费（空分制氮装置EPC，不含土建)</t>
  </si>
  <si>
    <t>1、交工验收合格或承包人完成试车3个月内，2、12%增值税专用发票</t>
  </si>
  <si>
    <t>竣工验收或者交工验收后12个月后，承包人收到承包人开具本合同总价12%增值税发票</t>
  </si>
  <si>
    <t>4-4</t>
  </si>
  <si>
    <t>安装工程费（空分制氮装置EPC，不含土建)</t>
  </si>
  <si>
    <t>1、交工验收合格或承包人完成试车3个月内，2、13%增值税专用发票</t>
  </si>
  <si>
    <t>竣工验收或者交工验收后12个月后，承包人收到承包人开具本合同总价13%增值税发票</t>
  </si>
  <si>
    <t>4-5</t>
  </si>
  <si>
    <t>技术服务费（空分制氮装置EPC，不含土建)</t>
  </si>
  <si>
    <t>1、交工验收合格或承包人完成试车3个月内，2、14%增值税专用发票</t>
  </si>
  <si>
    <t>竣工验收或者交工验收后12个月后，承包人收到承包人开具本合同总价14%增值税发票</t>
  </si>
  <si>
    <t>4-6</t>
  </si>
  <si>
    <t>其他费用（空分制氮装置EPC，不含土建)</t>
  </si>
  <si>
    <t>1、交工验收合格或承包人完成试车3个月内，2、15%增值税专用发票</t>
  </si>
  <si>
    <t>竣工验收或者交工验收后12个月后，承包人收到承包人开具本合同总价15%增值税发票</t>
  </si>
  <si>
    <t>4-7</t>
  </si>
  <si>
    <t>安全措施费（空分制氮装置EPC，不含土建)</t>
  </si>
  <si>
    <t>1、交工验收合格或承包人完成试车3个月内，2、16%增值税专用发票</t>
  </si>
  <si>
    <t>竣工验收或者交工验收后12个月后，承包人收到承包人开具本合同总价16%增值税发票</t>
  </si>
  <si>
    <t>空分制氮装置EPC（不含土建施工）  合计</t>
  </si>
  <si>
    <t>163-1</t>
  </si>
  <si>
    <t>YRKJEPC-170005</t>
  </si>
  <si>
    <t>工程勘察设计费（甲醇制氢装置EPC）</t>
  </si>
  <si>
    <t>长岭炼化岳阳工程设计有限公司/四川同盛科技有限责任公司/中国化学工程第四建设有限公司</t>
  </si>
  <si>
    <t>甲醇制氢装置</t>
  </si>
  <si>
    <t>6个月承兑汇汇票</t>
  </si>
  <si>
    <t>预付款（预付该项总金额的10%）</t>
  </si>
  <si>
    <t>预付款（基础设计审查合格并收取相关资料后支付至40%）</t>
  </si>
  <si>
    <t>完成中间交接，支付至70%</t>
  </si>
  <si>
    <t>投料试车生产出合格产品，支付至合同总价80%</t>
  </si>
  <si>
    <t>完成竣工验收，支付至95%</t>
  </si>
  <si>
    <t>5%质保金，验收后一年支付</t>
  </si>
  <si>
    <t>163-2</t>
  </si>
  <si>
    <t>设备采购费（甲醇制氢装置EPC）</t>
  </si>
  <si>
    <t>预付款（提供设备采购合同，支付10%）</t>
  </si>
  <si>
    <t>预付款（发货付至40%）</t>
  </si>
  <si>
    <t>预付款（到货验收合格付至50%，设备安装后支付至65%）</t>
  </si>
  <si>
    <t>163-3</t>
  </si>
  <si>
    <t>安装费（甲醇制氢装置EPC）</t>
  </si>
  <si>
    <t>预付款（按月度、进度款支付已发生工程款的60%）</t>
  </si>
  <si>
    <t>163-4</t>
  </si>
  <si>
    <t>材料费（甲醇制氢装置EPC）</t>
  </si>
  <si>
    <t>163-5</t>
  </si>
  <si>
    <t>技术服务费（甲醇制氢装置EPC）</t>
  </si>
  <si>
    <t>163-6</t>
  </si>
  <si>
    <t>安全措施费（甲醇制氢装置EPC）</t>
  </si>
  <si>
    <t>甲醇制氢装置EPC   合计</t>
  </si>
  <si>
    <t>205-1</t>
  </si>
  <si>
    <t>AG-KJ-20170003</t>
  </si>
  <si>
    <t>工程设备及材料费、备品备件费</t>
  </si>
  <si>
    <t>苏州科环环保科技有限公司/湖南新金诚建设工程有限公司</t>
  </si>
  <si>
    <t>污水处理场</t>
  </si>
  <si>
    <t>6个月承兑汇汇票/电汇下浮3%</t>
  </si>
  <si>
    <t>205-2</t>
  </si>
  <si>
    <t>安装工程费</t>
  </si>
  <si>
    <t>6个月承兑汇汇票/电汇下浮4%</t>
  </si>
  <si>
    <t>205-3</t>
  </si>
  <si>
    <t>土建工程费</t>
  </si>
  <si>
    <t>6个月承兑汇汇票/电汇下浮5%</t>
  </si>
  <si>
    <t>205-4</t>
  </si>
  <si>
    <t>技术服务费</t>
  </si>
  <si>
    <t>6个月承兑汇汇票/电汇下浮6%</t>
  </si>
  <si>
    <t>205-5</t>
  </si>
  <si>
    <t>其他费用</t>
  </si>
  <si>
    <t>6个月承兑汇汇票/电汇下浮7%</t>
  </si>
  <si>
    <t>205-6</t>
  </si>
  <si>
    <t>安全生产、文明施工费</t>
  </si>
  <si>
    <t>6个月承兑汇汇票/电汇下浮8%</t>
  </si>
  <si>
    <t>污水处理场PC  合计</t>
  </si>
  <si>
    <t>6个月承兑汇汇票/电汇下浮9%</t>
  </si>
  <si>
    <t>298-1</t>
  </si>
  <si>
    <t>AG-KJ-20170005</t>
  </si>
  <si>
    <t>分析中心实验室台柜、通风、暖通、气路等PC  合计</t>
  </si>
  <si>
    <t>安徽华盛科技控股股份有限公司</t>
  </si>
  <si>
    <t>无预付款，按进度付至合同总额的80%</t>
  </si>
  <si>
    <t>工程交工验收合格，结算完，资料交付合格，支付至90%</t>
  </si>
  <si>
    <t>质保金10%</t>
  </si>
  <si>
    <t>合同付款执行情况汇总表(设备合同）</t>
  </si>
  <si>
    <t>合同付款执行情况明细表（设备合同）</t>
  </si>
  <si>
    <t>节点明细（设备合同）</t>
  </si>
  <si>
    <t>已扣        贴息</t>
  </si>
  <si>
    <t>付款已申请     未支付</t>
  </si>
  <si>
    <t>YRSHEQ-150004</t>
  </si>
  <si>
    <t>低压配电柜11台</t>
  </si>
  <si>
    <t>福州福大自动化科技有限公司</t>
  </si>
  <si>
    <t>承兑汇票</t>
  </si>
  <si>
    <t>货到交货地点验收合格支付95%</t>
  </si>
  <si>
    <t>5%质保金</t>
  </si>
  <si>
    <t>物-X150302430号</t>
  </si>
  <si>
    <t>油变10台、分界式断路器1台</t>
  </si>
  <si>
    <t>莆田亿力电力物资有限公司</t>
  </si>
  <si>
    <t>5%质保金1年</t>
  </si>
  <si>
    <t>备-X150302430号</t>
  </si>
  <si>
    <t>低压开关箱10面，综合计量箱2面</t>
  </si>
  <si>
    <t>福建莆田荔源电气设备有限公司</t>
  </si>
  <si>
    <t>物-X150302430号-1</t>
  </si>
  <si>
    <t>油变2台</t>
  </si>
  <si>
    <t>装载机三清保养及维修工具一批</t>
  </si>
  <si>
    <t>泉州市超越机电设备有限公司</t>
  </si>
  <si>
    <t>电汇</t>
  </si>
  <si>
    <t>验收合格收到全额发票支付</t>
  </si>
  <si>
    <t>YRKJEQ-170002</t>
  </si>
  <si>
    <t>离心机（同锦江香港合同一份）</t>
  </si>
  <si>
    <t>安德里茨克玛有限公司</t>
  </si>
  <si>
    <t>英文未知</t>
  </si>
  <si>
    <t>YRKJEQ-170003</t>
  </si>
  <si>
    <t>2017010003</t>
  </si>
  <si>
    <t>16吨高喷消防车共2辆</t>
  </si>
  <si>
    <t>陕西银河消防科技装备股份有限公司</t>
  </si>
  <si>
    <t>安全环保部</t>
  </si>
  <si>
    <t>6个月承兑汇票</t>
  </si>
  <si>
    <t>承揽人提交完整车辆资料（含上牌照资料）经定作人确认；提交合同总价100%车辆购置专用发票后，十个工作日内付货物全款的90%验收合格款，每延迟一日，定作人按合同总价的0.3%计算承揽人支付违约金。</t>
  </si>
  <si>
    <t>本合同总金额的10%留作质量保证金，满一年后十个工作日付清，每延迟一日，定作人按合同总价的0.3%计算承揽人支付违约金。</t>
  </si>
  <si>
    <t>YRKJEQ-170001</t>
  </si>
  <si>
    <t>2016080002</t>
  </si>
  <si>
    <t>液氨球罐（原概算4台改成2台，含设计费等）</t>
  </si>
  <si>
    <t>荆门宏图特种飞行器制造有限公司</t>
  </si>
  <si>
    <t xml:space="preserve">    </t>
  </si>
  <si>
    <t>乙方提供预付款等额的银行保函后10个工作日，支付20%预付款</t>
  </si>
  <si>
    <t>乙方提供收款收据，全额17%专票等额的银行保函后10个工作日支付50%发货款</t>
  </si>
  <si>
    <t>取得监检证后支付30%验收款</t>
  </si>
  <si>
    <t>YRKJEQ-170007</t>
  </si>
  <si>
    <t>2016090032</t>
  </si>
  <si>
    <t>硫铵干燥系统 成套设备</t>
  </si>
  <si>
    <t>山东天力能源股份有限公司</t>
  </si>
  <si>
    <t>乙方提供10%合同金额的银行履约保函，预付款等额的银行保函和对应款的收据后10个工作日支付20%预付款</t>
  </si>
  <si>
    <t>甲方初步验收合格后，收到乙方60%合同金额的银行保函，对应款项收据以及全额的17%专票后7日内支付60%提货款</t>
  </si>
  <si>
    <t>安装调试验收合格后支付10%验收款</t>
  </si>
  <si>
    <t>质量保质期满后支付10%的质量保证金</t>
  </si>
  <si>
    <t>YRKJEQ-170008</t>
  </si>
  <si>
    <t>2017010030</t>
  </si>
  <si>
    <t>聚结器2台（第一聚结器、第二聚结器）</t>
  </si>
  <si>
    <t>张家港市常洁机械有限公司</t>
  </si>
  <si>
    <t>收到乙方全额的17%专票，货到交货点后15个工作日支付80%货款</t>
  </si>
  <si>
    <t>验收合格或货到现场6个月后支付10%验收款</t>
  </si>
  <si>
    <t>质保期满6个月后支付质保金5%</t>
  </si>
  <si>
    <t>质保期满24个月后支付5%</t>
  </si>
  <si>
    <t>YRKJEQ-170005</t>
  </si>
  <si>
    <t>2016110032</t>
  </si>
  <si>
    <t>板式换热器5台(叔丁醇循环冷却器1台+结晶器冷凝器4台)</t>
  </si>
  <si>
    <t>阿法拉伐（上海）技术有限公司</t>
  </si>
  <si>
    <t>氨肟化装置1台3.6万元，硫铵装置4台136.2万元</t>
  </si>
  <si>
    <t>乙方开具有效期为发货后30天内，合同总价20%预付款保函和本合同20%总价之财务收据后15个工作日内，甲方支付20%预付款。10%的履约保函</t>
  </si>
  <si>
    <t>乙方开具有效期为发货后30天内，本合同总价70%发货款保函和本合同100%总价之17%增值税专用发票、以及本合同标的物对应完整资料后15个工作日内，甲方支付70%发货款。</t>
  </si>
  <si>
    <t>YRKJEQ-170009</t>
  </si>
  <si>
    <t>2016110028</t>
  </si>
  <si>
    <t>水蒸汽喷射真空系统</t>
  </si>
  <si>
    <t>浙江杭真能源科技股份有限公司</t>
  </si>
  <si>
    <t>氨肟化装置3套10.02万元，己内酰胺精装置5套79.88万元</t>
  </si>
  <si>
    <t>乙方开具有效期至2017年9月30日10%的预付款保函和预付款保函，合同总价10%增值税专用发票</t>
  </si>
  <si>
    <t>货物到达交货地点后，甲方收到本合同总价的90%的增值税专用发票，以及本合同标的物对应完整资料后15个工作日内，甲方支付70%</t>
  </si>
  <si>
    <t>货物到达甲方现场验收合格或货到现场6个月（以两者先到为准）乙方开具有效期为货物到货之日起24个月、本合同总价10%的质量保函后15个工作日，甲方支付20%验收款</t>
  </si>
  <si>
    <t>YRKJEQ-170010</t>
  </si>
  <si>
    <t>氨肟化装置塔内件</t>
  </si>
  <si>
    <t>岳阳恒忠机械工程技术有限公司</t>
  </si>
  <si>
    <t>氨肟化装置195万元</t>
  </si>
  <si>
    <t>甲方收到乙方开具有效期为到货后30天内合同金额的20%预付款保函，合同20%的17%专票后的15个工作日支付20%预付款</t>
  </si>
  <si>
    <t>甲方确认满足发货条件，收到合同金额30%的17%专票后15个工作日，支付30%发货款</t>
  </si>
  <si>
    <t>货物到达甲方验收合格，收到合同金额的50%专票后15个工作日支付20%到货款</t>
  </si>
  <si>
    <t>三个月内验收或到货后6个月，支付20%验收合格款</t>
  </si>
  <si>
    <t>质保期24个月后15个工作日支付10%</t>
  </si>
  <si>
    <t>YRKJEQ-170011</t>
  </si>
  <si>
    <t>塔装置内件共8套</t>
  </si>
  <si>
    <t>北洋国家精馏技术工程发展有限公司</t>
  </si>
  <si>
    <t>乙方货物制造完成，甲方人员在乙方工厂清点验货无误，并收到60%的专票（17%）后15个工作日支付60%发货款</t>
  </si>
  <si>
    <t>货物到达甲方指定地点后一个月内验收并收到40%专票（17%）的15个工作日内支付30%货款</t>
  </si>
  <si>
    <t>10%总价作质保金，在24个月质保期满后15个工作日内支付</t>
  </si>
  <si>
    <t>YRKJEQ-170031</t>
  </si>
  <si>
    <t>环己酮塔内件设计及制造（二标段）</t>
  </si>
  <si>
    <t>乙方具备发货条件通知甲方确认满足要求，收到全额17%专票及完整资料后支付60%发货款；共14万履约保证金，到货1哦天后退还</t>
  </si>
  <si>
    <t>货到到达甲方验收合格后15个工作日支付30%</t>
  </si>
  <si>
    <t>10%质保金，验收合格后12个月支付</t>
  </si>
  <si>
    <t>YRKJEQ-170012</t>
  </si>
  <si>
    <t>化工流程泵共83台</t>
  </si>
  <si>
    <t>江苏双达泵阀集团有限公司</t>
  </si>
  <si>
    <t>氨肟化装置24台共358.922万元，己内酰胺精装置59台共130.078万元</t>
  </si>
  <si>
    <t>6个月承兑汇票，如采用现金转账，扣除付款金额的2%</t>
  </si>
  <si>
    <t>乙方开具有效期为货到后30天内、本合同总价20%预付款保函和本合同20%总价之17%增值税专用发票后15个工作日内，甲方支付20%预付款。</t>
  </si>
  <si>
    <t>乙方生产的本合同标的物具备发货条件并通知甲方人员确认满足要求，以及收到本合同30%的17%增值税专用发票，以及本合同标的物对应完整资料后15个工作日，甲方支付30%发货款。</t>
  </si>
  <si>
    <t>货物到达甲方指定地点初验合格且甲方收到乙方提交的本合同50%总价之17%增值税专用发票后，15个工作日内支付20%到货款。</t>
  </si>
  <si>
    <t>货物到达甲方现场三个月内验收或货到现场6个月内（以条件先到者为准）甲方在15个工作日内支付20%验收合格款。</t>
  </si>
  <si>
    <t>本合同10%总价留作质保金，验收合格后18个月或货到现场24个月（以条件先到者为准）后15个工作日内支付</t>
  </si>
  <si>
    <t>8-1</t>
  </si>
  <si>
    <t>YRKJEQ-170004</t>
  </si>
  <si>
    <t>2017010002</t>
  </si>
  <si>
    <t>氨肟化反应分离釜设备购置费3套</t>
  </si>
  <si>
    <t>河北美邦工程科技股份有限公司</t>
  </si>
  <si>
    <t>氨肟化装置（氨肟化装置金属膜反应分离系统1套）</t>
  </si>
  <si>
    <t>电汇或6个月承汇</t>
  </si>
  <si>
    <t>设备购置费的10%作为预付款，作为合同生效款，收到对方正式收据的15个工作日内支付</t>
  </si>
  <si>
    <t>设备制作完毕，具备发货条件，在收到正式收据后，在15个工作日向对方支付30%作为提货款</t>
  </si>
  <si>
    <t>在收到专票17%的发票，按照有关标准检验合格后15个工作日支付30%设备购置费</t>
  </si>
  <si>
    <t>在安装完成、单体试车合格、联动调试性能考核合格、化工投料运行正常，收到正式收据后15个工作日，支付20%的设备购置费</t>
  </si>
  <si>
    <t>设备购置费10%作为质保金，在质保期后30工作日，收到正式收据后支付</t>
  </si>
  <si>
    <t>8-2</t>
  </si>
  <si>
    <t>内置金属膜氨肟化工艺专利许可授权费1套</t>
  </si>
  <si>
    <t>在提供该批合同项下标的物的设计条件资料30个工作日内，在收到服务类专票（6%）后全额支付</t>
  </si>
  <si>
    <t>8-3</t>
  </si>
  <si>
    <t>内置金属膜氨肟化反应分离系统工艺包许可费1套</t>
  </si>
  <si>
    <t>内置金属膜氨肟化反应分离系统工艺包许可使用费的100%作为验收款，在收到服务类专票（6%）后支付</t>
  </si>
  <si>
    <t>8-4</t>
  </si>
  <si>
    <t>分子筛选催化剂采购费用70吨（送分子筛催化剂24吨）</t>
  </si>
  <si>
    <t>催化剂购置费的10%作为预付款，送6吨催化剂，装置初装催化剂时免费送至工厂</t>
  </si>
  <si>
    <t>出卖人分5批送货，每批17.6吨，在收到17.6吨货物及17%专票后30日内支付</t>
  </si>
  <si>
    <t>氨肟化反应分离系统  合计</t>
  </si>
  <si>
    <t>YRKJEQ-170006</t>
  </si>
  <si>
    <t>2016110024</t>
  </si>
  <si>
    <t>降膜蒸发器（第二叔丁醇回收塔再沸器）</t>
  </si>
  <si>
    <t>无锡化工装备股份有限公司</t>
  </si>
  <si>
    <t>乙方开具有效期至货物到达交货地点后15个工作日预付款等额的保函和等额的17%专票后15个工作日支付20%预付款</t>
  </si>
  <si>
    <t>甲方相关人员检验及收到80%专票后15个工作日，支付60%发货款，乙方收到发货款安排发货</t>
  </si>
  <si>
    <t>货物到达甲方验收合格后2个月或货到现场后6个月，乙方开具到货后24个月质量保函后15个工作日，支付10%验收款</t>
  </si>
  <si>
    <t>本合同的10%为质量保函，验收合格后18个月或货到现场24个月后，甲方退还乙方</t>
  </si>
  <si>
    <t>YRKJEQ-170013</t>
  </si>
  <si>
    <t>己萃塔1台</t>
  </si>
  <si>
    <t>长沙博能科技发展有限公司</t>
  </si>
  <si>
    <t>己内酰胺精制装置500万元</t>
  </si>
  <si>
    <t>乙方开具有效期为货到后30天内（2017年11月30日）、本合同总价20%预付款保函和本合同20%总价之乙方财务收据后5个工作日内，甲方支付20%预付款</t>
  </si>
  <si>
    <t>本合同标的物生产完成具备发货条件、甲方人员在乙方现场确认无误，且收到乙方提交的本合同100%总价之17%增值税专用发票后15个工作日内，甲方支付40%发货款。</t>
  </si>
  <si>
    <t>货物到达甲方指定地点后一个月内初验合格或货到现场1个月后（以条件先到者为准），甲方在15个工作日内支付10%到货款。</t>
  </si>
  <si>
    <t>货物到达甲方指定地点后一个月内初验收或货到现场1个月后（以条件先到者为准）甲方在15个工作日内支付10%验收合格款。</t>
  </si>
  <si>
    <t>本合同10%总价留作质保金，在24个月质保期满后15个工作日内支付</t>
  </si>
  <si>
    <t>YRKJEQ-170014</t>
  </si>
  <si>
    <t>晶浆泵及配件一批</t>
  </si>
  <si>
    <t>昆明嘉和科技股份有限公司</t>
  </si>
  <si>
    <t>6个月承兑汇票，电汇的话按153万元算</t>
  </si>
  <si>
    <t>甲方接到货物后，收到乙方提供的20%预付款保函，并收到等额的专票后支付20%货款。乙方提供10%履约保函</t>
  </si>
  <si>
    <t>收到乙方提供的30%发货款保函，甲方至乙方工厂初步检验合格后，并收到等额的专票后支付30%的货款</t>
  </si>
  <si>
    <t>甲方收到货物，并收到等额的专票后，支付30%的货款</t>
  </si>
  <si>
    <t>甲方验收合格后，并收到乙方等额的专票后支付10%的验收款</t>
  </si>
  <si>
    <t>10%作为质保金，质保期满后并收到乙方等额的专票后支付10%货款</t>
  </si>
  <si>
    <t>YRKJEQ-170015</t>
  </si>
  <si>
    <t>磁力泵及配件</t>
  </si>
  <si>
    <t>丹东克隆集团有限责任公司</t>
  </si>
  <si>
    <t>甲方收到乙方提供的20%预付款保函，乙方提供10%履约保函</t>
  </si>
  <si>
    <t>甲方收到货物后支付20%的货款</t>
  </si>
  <si>
    <t>甲方验收合格后，并收到乙方90%的专票后支付20%的验收款</t>
  </si>
  <si>
    <t>YRKJEQ-170016</t>
  </si>
  <si>
    <t>压缩机与汽轮机1套</t>
  </si>
  <si>
    <t>上海晗益流体设备有限公司</t>
  </si>
  <si>
    <t>双氧水装置1846万元</t>
  </si>
  <si>
    <t>买方应于收到卖方递交的合同总额20%的以买方为受益人的银行预付款保函后15个工作日内向卖方以电汇方式支付合同总额20%</t>
  </si>
  <si>
    <t>余款80%于收到卖方递交的合同总金额5%的以买方为受益人的银行质量保函，及全额增值税发票后，在交货前壹个月以电汇全部付清</t>
  </si>
  <si>
    <t>YRKJEQ-170018</t>
  </si>
  <si>
    <t>环己酮装置哈氏合金设备24台</t>
  </si>
  <si>
    <t>上海勃冠自动化设备有限公司</t>
  </si>
  <si>
    <t>环己酮装置</t>
  </si>
  <si>
    <t>合同签订后1周内卖方向买方提交本合同总价20%财务收据后15天内，买方向卖方支付合同总价的20%</t>
  </si>
  <si>
    <t>合同签订后4个月内买方见证卖方进度（见证三分技术协议）中丙方已签订的哈式合金板材订购合同、复合板订购合同、哈式合金内盘管订购合同、主要锻件订购合同、减速机订购合同、机械密封订购合同、以上均为无价格原始合同，且收到卖方支付本合同总价40%的进度款</t>
  </si>
  <si>
    <t>本合同全部设备生产制造完成，并由三方技术协议中丙方提交完整对应资料，买方受到卖方提交本合同总价100%增值税专用发票以及本合同总价5%的质量保函（质量保函失效期为2020年5月9日）后15天内，支付合同总价40%的发货款</t>
  </si>
  <si>
    <t>卖方收到买方发货款后3天内将本合同货物全部发出，并对出厂全部货物购买对应运输保险</t>
  </si>
  <si>
    <t>YRKJEQ-170019</t>
  </si>
  <si>
    <t>洗涤塔塔内件</t>
  </si>
  <si>
    <t>长沙市弘达石化设备有限公司</t>
  </si>
  <si>
    <t>甲方至乙方工厂清点验货无误后，收到乙方30%的银行保函，并收到17%专票后15个工作日内支付</t>
  </si>
  <si>
    <t>甲方验收合格后，15个工作日内支付60%的货款</t>
  </si>
  <si>
    <t>10%的货款作为质保金，验收合格后18个月后支付</t>
  </si>
  <si>
    <t>YRKJEQ-170024</t>
  </si>
  <si>
    <t>第一批过滤器</t>
  </si>
  <si>
    <t>上海泽尔石化设备有限公司</t>
  </si>
  <si>
    <t>乙方工厂初步验收后支付60%作为发货款。乙方提供10%的履约保证金</t>
  </si>
  <si>
    <t>甲方验收合格后，且受到全额的增值税发票，30个工作日内支付30%的货款。</t>
  </si>
  <si>
    <t>本合同的10%作为质量包装呢赶紧，自验收合格后18个月后支付</t>
  </si>
  <si>
    <t>YRKJEQ-170022</t>
  </si>
  <si>
    <t>氢气压缩机共4台</t>
  </si>
  <si>
    <t>杭州杭氧压缩机有限公司</t>
  </si>
  <si>
    <t>环己酮装置1420万元</t>
  </si>
  <si>
    <t>合同签订15个工作日，收到等额17%专票及预付保函后15个工作日，支付20%预付款。10%履约保证金</t>
  </si>
  <si>
    <t>货到甲方现场，提供全额专票，一个月内支付40%货款，退回预付款保函</t>
  </si>
  <si>
    <t>验收合格后，一个月内支付30%验收款</t>
  </si>
  <si>
    <t>10%质保金，货到现场后满18个月付清</t>
  </si>
  <si>
    <t>YRKJEQ-170023</t>
  </si>
  <si>
    <t>循环水泵及配件P-85301D配套</t>
  </si>
  <si>
    <t>湖南湘电长沙水泵有限公司</t>
  </si>
  <si>
    <t>循环水场290万元</t>
  </si>
  <si>
    <t>甲方到乙方现场确认无误后，收到17%等额专票，15个工作日内支付40%发货款</t>
  </si>
  <si>
    <t>甲方收到货物，并验收合格后收到全额的专票后，支付30%的验收款</t>
  </si>
  <si>
    <t>10%质保金，质满期满后无息支付</t>
  </si>
  <si>
    <t>YRKJEQ-170021</t>
  </si>
  <si>
    <t>硫铵自动包装线</t>
  </si>
  <si>
    <t>无锡力马化工机械有限公司</t>
  </si>
  <si>
    <t>硫铵装置</t>
  </si>
  <si>
    <t>收到乙方有效期2018年3月1日合同20%预付保函和20%财务收据后15个工作日内支付20%预付款</t>
  </si>
  <si>
    <t>甲方到乙方现场确认无误后，收到17%全额专票，15个工作日内支付40%发货款</t>
  </si>
  <si>
    <t>货物到达甲方清点无误，收到6个月（有效期2018年9月1日）履约保函后，15个工作日内支付30%货款</t>
  </si>
  <si>
    <t>10%总价作为质保金，验收合格后12个月保期满后15个工作日支付</t>
  </si>
  <si>
    <t>YRKJEQ-170029</t>
  </si>
  <si>
    <t>液环真空泵共9台</t>
  </si>
  <si>
    <t>广东肯富来泵业股份有限公司</t>
  </si>
  <si>
    <t>己内酰胺装置3台39.9万元，环己酮肟化装置2台221.9万，硫氨装置4台88.2万元</t>
  </si>
  <si>
    <t>甲方收到乙方30%的预付款保函（有限期2017.12.30）以及本合同的30%专票（17%）后15个工作日支付30%货款</t>
  </si>
  <si>
    <t>甲方在乙方现场确认无误，且受到乙方70%的专票后，15个工作日内支付40%的货款</t>
  </si>
  <si>
    <t>货物到达甲方，并收到乙方合同总价10%的质量保函后的15个工作日，支付30%的验收款</t>
  </si>
  <si>
    <t>YRKJEQ-170033</t>
  </si>
  <si>
    <t>3台导热油炉</t>
  </si>
  <si>
    <t>常州综研加热炉有限公司</t>
  </si>
  <si>
    <t>环己酮装置120万，甲醇制氢装置240万</t>
  </si>
  <si>
    <t>甲方收到乙方合同的20%预付款保函（2018.1.2）以及本合同20%的财务收据后15个工作日，支付20%货款。</t>
  </si>
  <si>
    <t>甲方在乙方现场确认无误，且受到乙方100%的专票后，15个工作日内支付30%的货款</t>
  </si>
  <si>
    <t>货物到达甲方，安装验收合格后6个月后15个工作日内，支付30%的验收款</t>
  </si>
  <si>
    <t>本合同的10%作为质保金，验收合格12个月质保期后的15个工作日内支付</t>
  </si>
  <si>
    <t>YRKJEQ-170032</t>
  </si>
  <si>
    <t>立式斜流泵</t>
  </si>
  <si>
    <t>湖南耐普泵业股份有限公司</t>
  </si>
  <si>
    <t>甲方收到乙方合同的20%预付款保函，（2017.12.20）以及本合同20%的专票（17%）后15个工作日，支付20%货款。乙方提供10%履约保函</t>
  </si>
  <si>
    <t>YRKJEQ-170038</t>
  </si>
  <si>
    <t>4台气动隔膜泵</t>
  </si>
  <si>
    <t>上海边锋泵业制造有限公司</t>
  </si>
  <si>
    <t>氨肟化装置2360元，环己酮装置2388元，己内酰胺装置3249元</t>
  </si>
  <si>
    <t>乙方收到甲方全部货款后7天内将货物发出甲方附近物流点，7天后寄出17%增值税发票</t>
  </si>
  <si>
    <t>YRKJEQ-170024-1</t>
  </si>
  <si>
    <t>过滤器3台及增补技术协议</t>
  </si>
  <si>
    <t>在乙方工厂初步验收后支付合同金额的60%为发货款。乙方提供10%的履约保证金</t>
  </si>
  <si>
    <t>甲方接收货物验收合格安装调试合格后30个工作日，收到全额的增值税发票后，支付30%货款</t>
  </si>
  <si>
    <t>10%质量保证金，验收合格后满18月后支付</t>
  </si>
  <si>
    <t>YRKJEQ-170040</t>
  </si>
  <si>
    <t>8台磁力泵</t>
  </si>
  <si>
    <t>杭州大路实业有限公司</t>
  </si>
  <si>
    <t>己内酰胺装置30万元</t>
  </si>
  <si>
    <t>6个月承兑汇票，不接受反向贴息</t>
  </si>
  <si>
    <t>到乙方工厂检验合格后，签发发货同意书，收到等额的17%专票后15个工作日支付60%发货款</t>
  </si>
  <si>
    <t>甲方收到调试合格报告及足额的发票后15个工作日支付30%调试款</t>
  </si>
  <si>
    <t>10%质量保证金，验收合格后12个月或到货香肠18个月支付</t>
  </si>
  <si>
    <t>YRKJEQ-170042</t>
  </si>
  <si>
    <t>原水净化系统及附属设备1套</t>
  </si>
  <si>
    <t>江苏一环集团有限公司</t>
  </si>
  <si>
    <t>原水净化系统</t>
  </si>
  <si>
    <t>6个月承兑汇票/现金不下浮</t>
  </si>
  <si>
    <t>甲方收到核定的调试合格报告及全额的专票后15个工作日，支付30%调试款</t>
  </si>
  <si>
    <t>136-1</t>
  </si>
  <si>
    <t>YRKJEQ-170030</t>
  </si>
  <si>
    <t>环己酮塔内件设计及制造（一标段）材料费</t>
  </si>
  <si>
    <t>湖北洪湖化工机械总厂</t>
  </si>
  <si>
    <t>到货支付100%货款</t>
  </si>
  <si>
    <t>136-2</t>
  </si>
  <si>
    <t>环己酮塔内件设计及制造（一标段）加工费</t>
  </si>
  <si>
    <t>分布器、塔盘到达甲方现场，经甲方验收合格，收到17%专票后15个工作日，支付加工费的15%</t>
  </si>
  <si>
    <t>剩余全部设备到达甲方现场，经甲方验收合格支付加工费的45%</t>
  </si>
  <si>
    <t>全部货物经调试满足甲方技术要求，收到等额发票后支付加工费的30%</t>
  </si>
  <si>
    <t>环己酮塔内件设计及制造（一标段）</t>
  </si>
  <si>
    <t>YRKJEQ-170041</t>
  </si>
  <si>
    <t>混合器、消音器共10台</t>
  </si>
  <si>
    <t>氨肟化装置12.6万元，己内酰胺装置1.9万元</t>
  </si>
  <si>
    <t>甲方验收合格后，15个工作日内支付30%的货款</t>
  </si>
  <si>
    <t>YRKJEQ-170046</t>
  </si>
  <si>
    <t>板框式压滤机1台</t>
  </si>
  <si>
    <t>浙江隆源环境科技有限公司</t>
  </si>
  <si>
    <t>氨肟化装置18万元</t>
  </si>
  <si>
    <t>到乙方工厂检验货物合格后，签发发货同意书，收到等额的17%专票后15个工作日支付60%发货款</t>
  </si>
  <si>
    <t>甲方核定的调试合格报告及足额的发票后支付30%的验收款</t>
  </si>
  <si>
    <t>10%作质量保证金，货物验收合格后12个月后的15个工作日支付</t>
  </si>
  <si>
    <t>YRKJEQ-170051</t>
  </si>
  <si>
    <t>环己酮装置卧式多级离心泵共4台</t>
  </si>
  <si>
    <t>YRKJEQ-170045</t>
  </si>
  <si>
    <t>3T柴油叉车</t>
  </si>
  <si>
    <t>林德（中国）叉车有限公司</t>
  </si>
  <si>
    <t>合同签订后预付30%</t>
  </si>
  <si>
    <t>验收合格，收到全额专票，后15个工作日支付70%</t>
  </si>
  <si>
    <t>YRKJEQ-170002-1</t>
  </si>
  <si>
    <t>2台离心机</t>
  </si>
  <si>
    <t>锦江（香港）有限公司</t>
  </si>
  <si>
    <t>电汇/信用证</t>
  </si>
  <si>
    <t>合同签署2个工作周内，支付20%预付款，电汇</t>
  </si>
  <si>
    <t>开出货运单据后支付80%，信用证</t>
  </si>
  <si>
    <t>JMFJYR20170707</t>
  </si>
  <si>
    <t>贵金属海绵钯300KG</t>
  </si>
  <si>
    <t>庄信万丰（上海）催化剂有限公司</t>
  </si>
  <si>
    <t>首个定价日前支付200万元定金</t>
  </si>
  <si>
    <t>按期间支付货款</t>
  </si>
  <si>
    <t>YRKJEQ-170061</t>
  </si>
  <si>
    <t>4台水合反应器 环己醇第一第二反应器</t>
  </si>
  <si>
    <t>龙杰机械装备（太仓）有限公司</t>
  </si>
  <si>
    <t>6个月承兑汇票/电汇下浮3%</t>
  </si>
  <si>
    <t>甲方收到乙方合同的20%预付款保函以及本合同20%的财务收据后15个工作日，支付20%货款。</t>
  </si>
  <si>
    <t>YRKJEQ-170060</t>
  </si>
  <si>
    <t>18台非标容器（蒸发塔、再沸塔）</t>
  </si>
  <si>
    <t>己内酰胺装置</t>
  </si>
  <si>
    <t>6个月承兑汇票/电汇金额1200万元</t>
  </si>
  <si>
    <t>YRKJEQ-170020</t>
  </si>
  <si>
    <t>1台不可拆螺旋板式换热器</t>
  </si>
  <si>
    <t>兰州兰洛炼化高新装备股份有限公司</t>
  </si>
  <si>
    <t>6个月承兑汇票/电汇不下浮</t>
  </si>
  <si>
    <t>甲方收到乙方100%专票，初步到货验收合格后15个工作日，支付70%货款（乙方支付的1万元保证金退回）</t>
  </si>
  <si>
    <t>甲方在开车验收合格后支付20%验收合格款</t>
  </si>
  <si>
    <t>质量保证金10%，验收合格12个月或到货现场18个月支付</t>
  </si>
  <si>
    <t>YRKJEQ-170039</t>
  </si>
  <si>
    <t>93台离心泵</t>
  </si>
  <si>
    <t>6个月承兑汇票/电汇按358万元算</t>
  </si>
  <si>
    <t>169-1</t>
  </si>
  <si>
    <t>YRKJEQ-170044</t>
  </si>
  <si>
    <t>起重设备（葫芦7台）</t>
  </si>
  <si>
    <t>河南豫中起重集团有限公司</t>
  </si>
  <si>
    <t>6个月承兑汇票/接受反向贴息</t>
  </si>
  <si>
    <t>甲方收到乙方100%专票，初步到货验收合格后15个工作日，支付70%货款</t>
  </si>
  <si>
    <t>169-2</t>
  </si>
  <si>
    <t>单梁桥式起重机</t>
  </si>
  <si>
    <t>甲方收到乙方100%专票，初步到货验收合格后15个工作日，支付90%货款</t>
  </si>
  <si>
    <t>YRKJEQ-170047</t>
  </si>
  <si>
    <t>4台罗茨风机</t>
  </si>
  <si>
    <t>山东省章丘鼓风机股份有限公司</t>
  </si>
  <si>
    <t>6个月承兑汇票/不接受反向贴息</t>
  </si>
  <si>
    <t>甲方收到乙方30%的预付款保函以及本合同的30%专票（17%）后15个工作日支付30%货款</t>
  </si>
  <si>
    <t>甲方在乙方现场确认无误，且受到乙方70%的专票后，15个工作日内支付60%的货款</t>
  </si>
  <si>
    <t>YRKJEQ-170050</t>
  </si>
  <si>
    <t>气动角阀</t>
  </si>
  <si>
    <t>萨姆森控制设备（中国）有限公司</t>
  </si>
  <si>
    <t>6个月承兑汇票/电汇无说明</t>
  </si>
  <si>
    <t>甲方收到乙方20%的预付款保函以及本合同的20%专票（17%）后15个工作日支付20%货款</t>
  </si>
  <si>
    <t>甲方收到核定的调试合格报告及全额的专票后15个工作日，支付40%调试款（10%质量保函）</t>
  </si>
  <si>
    <t>YRKJEQ-170052</t>
  </si>
  <si>
    <t>废气、废液焚烧装置1套</t>
  </si>
  <si>
    <t>天津晟成环境技术发展有限公司</t>
  </si>
  <si>
    <t>甲方授权人到乙方清点并检查货物合格后，签发发货同意书，收到60%专票后15个工作日，支付60%发货款</t>
  </si>
  <si>
    <t>YRKJEQ-170059</t>
  </si>
  <si>
    <t>板式换热器3套</t>
  </si>
  <si>
    <t>甲方接到货物后，收到乙方提供的20%预付款保函，并收到等额的专票后支付20%货款。</t>
  </si>
  <si>
    <t>甲方到乙方现场确认无误后，收到17%全额专票，15个工作日内支付80%发货款</t>
  </si>
  <si>
    <t>174-1</t>
  </si>
  <si>
    <t>YRKJEQ-170062</t>
  </si>
  <si>
    <t>汽车衡2台</t>
  </si>
  <si>
    <t>福建科达衡器有限公司</t>
  </si>
  <si>
    <t>甲方初步验收合格后，收到60%专票，10个工作日支付60%货款</t>
  </si>
  <si>
    <t>174-2</t>
  </si>
  <si>
    <t>YRKJEQ-170062-1</t>
  </si>
  <si>
    <t>汽车衡增补</t>
  </si>
  <si>
    <t>汽车衡2台  合计</t>
  </si>
  <si>
    <t>YRKJEQ-170063</t>
  </si>
  <si>
    <t>釜底角阀12台</t>
  </si>
  <si>
    <t>香港思科特工业技术有限公司</t>
  </si>
  <si>
    <t>信用证</t>
  </si>
  <si>
    <t>甲方收到乙方10%的预付款保函以及本合同的10%履约保函后15个工作日支付10%预付款</t>
  </si>
  <si>
    <t>发货前两个月开证</t>
  </si>
  <si>
    <t>YRKJEQ-170064</t>
  </si>
  <si>
    <t>在线分析仪</t>
  </si>
  <si>
    <t>深圳市博控实业有限公司</t>
  </si>
  <si>
    <t>YRKJEQ-170035</t>
  </si>
  <si>
    <t>69台屏蔽泵</t>
  </si>
  <si>
    <t>厦门予中化工有限公司</t>
  </si>
  <si>
    <t>6个月承兑汇票/电汇不贴息</t>
  </si>
  <si>
    <t>甲方收到乙方20%收据15个工作日支付预付款20%</t>
  </si>
  <si>
    <t>甲方提供全额专票，交货期内一个月支付75%发货款</t>
  </si>
  <si>
    <t>开车调试验收合格后，一个月内支付3%验收款</t>
  </si>
  <si>
    <t>2%质保金，验收合格12个月或到货现场18个月</t>
  </si>
  <si>
    <t>YRKJEQ-170058</t>
  </si>
  <si>
    <t>釜液循环前置换热器6台</t>
  </si>
  <si>
    <t>北京广夏环能科技股份有限公司</t>
  </si>
  <si>
    <t>6个月承兑汇票/电汇总降2.1万元</t>
  </si>
  <si>
    <t>甲方授权人到乙方清点并检查货物合格后，签发发货同意书，收到60%专票后15个工作日，支付60%发货款  10%履约保函</t>
  </si>
  <si>
    <t>甲方核定的调试合格报告及足额的发票后付30%的验收款</t>
  </si>
  <si>
    <t>10%质保金，验收合格12个月或到货现场18个月</t>
  </si>
  <si>
    <t>YRKJEQ-170066</t>
  </si>
  <si>
    <t>过滤器</t>
  </si>
  <si>
    <t>甲方收到乙方20%的预付款保函以及本合同的20%收据后15个工作日支付20%预付款</t>
  </si>
  <si>
    <t xml:space="preserve">甲方授权人到乙方清点并检查货物合格后，签发发货同意书，收到60%专票后15个工作日，支付40%发货款  </t>
  </si>
  <si>
    <t>甲方收到核定的调试合格报告后15个工作日，支付30%调试款</t>
  </si>
  <si>
    <t>YRKJEQ-170070</t>
  </si>
  <si>
    <t>冷凝水除油除铁装置</t>
  </si>
  <si>
    <t>南京碧盾环保科技股份有限公司</t>
  </si>
  <si>
    <t>甲方收到乙方10%的预付款保函以及本合同的10%专票后15个工作日支付10%预付款</t>
  </si>
  <si>
    <t xml:space="preserve">甲方授权人到乙方清点并检查货物合格后，签发发货同意书，收到50%专票后15个工作日，支付50%发货款  </t>
  </si>
  <si>
    <t>YRKJEQ-170074</t>
  </si>
  <si>
    <t>鹤管17台+4台</t>
  </si>
  <si>
    <t>连云港和昌机械有限公司</t>
  </si>
  <si>
    <t>10%质保金，验收合格12个月或到货现场19个月</t>
  </si>
  <si>
    <t>YRKJEQ-170076</t>
  </si>
  <si>
    <t>2017070058/59</t>
  </si>
  <si>
    <t>环己酮非标包1、非标包2</t>
  </si>
  <si>
    <t>中核动力设备有限公司</t>
  </si>
  <si>
    <t>甲方收到乙方20%的预付款保函以及本合同的20%收据后15个工作日支付20%预付款 10%履约保函</t>
  </si>
  <si>
    <t xml:space="preserve">甲方授权人到乙方清点并检查货物合格后，签发发货同意书，收到全额专票后15个工作日，支付60%发货款  </t>
  </si>
  <si>
    <t>甲方收到核定的调试合格报告后15个工作日，支付10%调试款</t>
  </si>
  <si>
    <t>YRKJEQ-170081</t>
  </si>
  <si>
    <t>53台非标设备</t>
  </si>
  <si>
    <t>福建省泉州市江南冷却器厂</t>
  </si>
  <si>
    <t xml:space="preserve">甲方授权人到乙方清点并检查货物合格后，签发发货同意书，收到等额专票后15个工作日，支付60%发货款  </t>
  </si>
  <si>
    <t>YRKJEQ-170054</t>
  </si>
  <si>
    <t>重排反应混合器5套（合同未收）</t>
  </si>
  <si>
    <t>靖江华泰机械制造有限公司</t>
  </si>
  <si>
    <t>6个月承兑汇票/电汇下浮2%</t>
  </si>
  <si>
    <t>甲方收到乙方20%的预付款保函以及本合同的20%专票后15个工作日支付20%预付款</t>
  </si>
  <si>
    <t>199-1</t>
  </si>
  <si>
    <t>YRKJEQ-170056</t>
  </si>
  <si>
    <t>化工流程泵27台</t>
  </si>
  <si>
    <t>甲方收到乙方20%的预付款保函以及本合同的10%履约保函,20%发票后15个工作日支付20%预付款</t>
  </si>
  <si>
    <t>甲方到乙方现场确认无误后，收到40%专票，15个工作日内支付40%发货款</t>
  </si>
  <si>
    <t>199-2</t>
  </si>
  <si>
    <t>YRKJEQ-170056-1</t>
  </si>
  <si>
    <t>化工流程泵增加3台</t>
  </si>
  <si>
    <t>甲方到乙方现场确认无误后，收到40%专票，15个工作日内支付60%发货款</t>
  </si>
  <si>
    <t>化工流程泵27台+3台</t>
  </si>
  <si>
    <t>200-1</t>
  </si>
  <si>
    <t>YRKJEQ-170053</t>
  </si>
  <si>
    <t>2017060066/2017060041</t>
  </si>
  <si>
    <t>搅拌器26台</t>
  </si>
  <si>
    <t>江苏胜开尔工业技术有限公司</t>
  </si>
  <si>
    <t>甲方到乙方现场确认无误后，收到60%专票，15个工作日内支付60%发货款</t>
  </si>
  <si>
    <t>甲方收到货物，并验收合格后收到全额的专票后，支付10%的验收款</t>
  </si>
  <si>
    <t>200-2</t>
  </si>
  <si>
    <t>YRKJEQ-170053-1</t>
  </si>
  <si>
    <t>搅拌器增加一台</t>
  </si>
  <si>
    <t>甲方到乙方现场确认无误后，收到60%专票，15个工作日内支付80%发货款</t>
  </si>
  <si>
    <t>搅拌器26台+1台</t>
  </si>
  <si>
    <t>YRKJEQ-170035-1</t>
  </si>
  <si>
    <t>屏蔽泵17台（加签）</t>
  </si>
  <si>
    <t>YRKJEQ-170012-1</t>
  </si>
  <si>
    <t>化工流程泵共83台（加签一台）</t>
  </si>
  <si>
    <t>氨肟化装置</t>
  </si>
  <si>
    <t>YRKJEQ-170034</t>
  </si>
  <si>
    <t>浆料泵4台</t>
  </si>
  <si>
    <t>大连海密梯克泵业有限公司</t>
  </si>
  <si>
    <t>甲方收到乙方20%的预付款保函以及本合同的10%履约保函，等额专票后15个工作日支付20%预付款</t>
  </si>
  <si>
    <t>开车验收合格后，提供全额专票，一个月内支付30%验收款</t>
  </si>
  <si>
    <t>YRKJEQ-170036</t>
  </si>
  <si>
    <t>自吸泵51台</t>
  </si>
  <si>
    <t>江苏长凯机械设备有限公司</t>
  </si>
  <si>
    <t>YRKJEQ-170043</t>
  </si>
  <si>
    <t>液下泵4台</t>
  </si>
  <si>
    <t>甲方收到乙方20%的预付款保函以等额专票后15个工作日支付20%预付款</t>
  </si>
  <si>
    <t>YRKJEQ-170065</t>
  </si>
  <si>
    <t>罗茨风机2台</t>
  </si>
  <si>
    <t>甲方收到乙方30%的预付款保函以等额专票后15个工作日支付30%预付款</t>
  </si>
  <si>
    <t>甲方到乙方现场确认无误后，收到17%等额专票，15个工作日内支付60%发货款</t>
  </si>
  <si>
    <t>YRKJEQ-170067</t>
  </si>
  <si>
    <t>液氨卸车压缩机2台</t>
  </si>
  <si>
    <t>蚌埠市中通压缩机制造有限公司</t>
  </si>
  <si>
    <t>6个月承兑汇票/电汇没说明</t>
  </si>
  <si>
    <t>甲方到乙方现场确认无误后，收到17%等额专票，15个工作日内支付60%发货款。10%履约保函</t>
  </si>
  <si>
    <t>YRKJEQ-170068</t>
  </si>
  <si>
    <t>循环水泵驱动用汽轮机</t>
  </si>
  <si>
    <t>甲方收到乙方20%的预付款保函以等额专票后15个工作日支付20%预付款  10%履约保函</t>
  </si>
  <si>
    <t>YRKJEQ-170069</t>
  </si>
  <si>
    <t>喷射器16台</t>
  </si>
  <si>
    <t xml:space="preserve">甲方收到乙方20%的预付款保函以等额专票后15个工作日支付20%预付款 </t>
  </si>
  <si>
    <t>YRKJEQ-170071</t>
  </si>
  <si>
    <t>环己酮肟化非标设备包2（29台）</t>
  </si>
  <si>
    <t>常州市东方锅炉压力容器制造有限公司</t>
  </si>
  <si>
    <t>甲方核定的调试合格报告及足额的发票后付10%的验收款</t>
  </si>
  <si>
    <t>YRKJEQ-170079</t>
  </si>
  <si>
    <t>非标设备包3</t>
  </si>
  <si>
    <t>YRKJEQ-170087</t>
  </si>
  <si>
    <t>硫铵输送设备5套</t>
  </si>
  <si>
    <t>湖北宜都运机机电股份有限公司</t>
  </si>
  <si>
    <t>YRKJEQ-170086</t>
  </si>
  <si>
    <t>非标设备包4</t>
  </si>
  <si>
    <t>湖北凯毅石化设备制造有限公司</t>
  </si>
  <si>
    <t>甲方收到乙方30%的预付款保函以等额专票后15个工作日支付30%预付款  10%履约保函</t>
  </si>
  <si>
    <t>甲方到乙方现场确认无误后，收到17%等额专票，15个工作日内支付50%发货款</t>
  </si>
  <si>
    <t>YRKJEQ-170073</t>
  </si>
  <si>
    <t>电器一批</t>
  </si>
  <si>
    <t>镇江默勒电器有限公司</t>
  </si>
  <si>
    <t>厂前区配电所</t>
  </si>
  <si>
    <t>甲方到乙方现场确认无误后，收到17%等额专票，15个工作日内支付60%发货款。</t>
  </si>
  <si>
    <t>YRKJEQ-170077</t>
  </si>
  <si>
    <t>柴油发动机</t>
  </si>
  <si>
    <t>伟兴有限公司</t>
  </si>
  <si>
    <t>西北区配电所</t>
  </si>
  <si>
    <t>YRKJEQ-170089</t>
  </si>
  <si>
    <t>环己酮肟化装置非标包2(29台）</t>
  </si>
  <si>
    <t>浙江诚泰化工机械有限公司</t>
  </si>
  <si>
    <t>环己酮、己内酰胺、氨肟化</t>
  </si>
  <si>
    <t>6个月承兑汇票/电汇下浮1.5%</t>
  </si>
  <si>
    <t>甲方收到乙方20%的预付款保函以及本合同的10%履约保函后15个工作日支付20%预付款</t>
  </si>
  <si>
    <t>YRKJEQ-170026</t>
  </si>
  <si>
    <t>凉水塔10台 合同未移交</t>
  </si>
  <si>
    <t>江苏海鸥冷却塔股份有限公司</t>
  </si>
  <si>
    <t>循环水场</t>
  </si>
  <si>
    <t>YRKJEQ-170082</t>
  </si>
  <si>
    <t>41台非标设备</t>
  </si>
  <si>
    <t>己内酰胺装置、氨肟化装置、硫铵装置</t>
  </si>
  <si>
    <t>YRKJEQ-170083</t>
  </si>
  <si>
    <t>结晶反应器2套</t>
  </si>
  <si>
    <t>厦门仁荣安装工程有限公司</t>
  </si>
  <si>
    <t>电汇/承兑按780万元</t>
  </si>
  <si>
    <t>甲方到乙方清点无误验收合格后，收到专票的15个工作日支付该材料的90%</t>
  </si>
  <si>
    <t>乙方在甲方现场制造清点无误验收合格支付至合同 80%</t>
  </si>
  <si>
    <t>237-1</t>
  </si>
  <si>
    <t>YRKJEQ-170088-1</t>
  </si>
  <si>
    <t>油侵式变压器2台</t>
  </si>
  <si>
    <t>宁波奥克斯高科技有限公司</t>
  </si>
  <si>
    <t>甲方到乙方现场确认无误后，收到17%等额专票，15个工作日内支付60%发货款。30万履约保函</t>
  </si>
  <si>
    <t>237-2</t>
  </si>
  <si>
    <t>YRKJEQ-170088</t>
  </si>
  <si>
    <t>押金</t>
  </si>
  <si>
    <t>最后一笔采购款抵款</t>
  </si>
  <si>
    <t>10KV变压器框架采购协议  合计</t>
  </si>
  <si>
    <t>YRKJEQ-170091</t>
  </si>
  <si>
    <t>环己酮装置非标设备26台</t>
  </si>
  <si>
    <t>6个月承兑汇票/电汇按1070万元</t>
  </si>
  <si>
    <t>甲方收到乙方20%的预付款保函以及本合同的10%专票后15个工作日支付20%预付款</t>
  </si>
  <si>
    <t>YRKJEQ-170098</t>
  </si>
  <si>
    <t>51台非标设备</t>
  </si>
  <si>
    <t>YRKJEQ-170094</t>
  </si>
  <si>
    <t>光谱分析仪器用电池</t>
  </si>
  <si>
    <t>赛默飞世尔科技（中国）有限公司</t>
  </si>
  <si>
    <t>100%预付款</t>
  </si>
  <si>
    <t>YRKJEQ-170055</t>
  </si>
  <si>
    <t>计量泵</t>
  </si>
  <si>
    <t>大连里瓦泵业有限公司</t>
  </si>
  <si>
    <t>甲方到乙方现场确认无误后，收到17%全额专票，15个工作日内支付65%发货款</t>
  </si>
  <si>
    <t>5%质保金，验收合格12个月或到货现场18个月</t>
  </si>
  <si>
    <t>YRKJEQ-170085</t>
  </si>
  <si>
    <t>23台非标设备</t>
  </si>
  <si>
    <t>湖南湘东化工机械有限公司</t>
  </si>
  <si>
    <t>承兑+电汇</t>
  </si>
  <si>
    <t>甲方收到乙方20%的预付款保函以及本合同的10%履约保函后15个工作日支付20%预付款 电汇</t>
  </si>
  <si>
    <t>甲方到乙方现场确认无误后，收到17%等额专票，15个工作日内支付60%发货款 承兑</t>
  </si>
  <si>
    <t>甲方收到核定的调试合格报告后15个工作日，支付10%调试款 承兑</t>
  </si>
  <si>
    <t>10%质保金，验收合格12个月或到货现场18个月 承兑</t>
  </si>
  <si>
    <t>YRKJEQ-170048</t>
  </si>
  <si>
    <t>9台渣浆泵</t>
  </si>
  <si>
    <t>甲方到乙方现场确认无误后，收到17%等额、专票，15个工作日内支付40%发货款</t>
  </si>
  <si>
    <t>YRKJEQ-170057</t>
  </si>
  <si>
    <t>火炬</t>
  </si>
  <si>
    <t>上海同济高科技发展有限公司</t>
  </si>
  <si>
    <t>YRKJEQ-170072</t>
  </si>
  <si>
    <t>冷凝水余热回收装置</t>
  </si>
  <si>
    <t>双良节能系统股份有限公司</t>
  </si>
  <si>
    <t>甲方收到乙方20%的预付款保函以等额专票后15个工作日支付20%预付款 10%履约保函</t>
  </si>
  <si>
    <t>YRKJEQ-170075</t>
  </si>
  <si>
    <t>减温减压器</t>
  </si>
  <si>
    <t>杭州杭辅电站辅机有限公司</t>
  </si>
  <si>
    <t>YRKJEQ-170078</t>
  </si>
  <si>
    <t>消防泵、稳压泵</t>
  </si>
  <si>
    <t>YRKJEQ-170090</t>
  </si>
  <si>
    <t>环己酮非标设备5</t>
  </si>
  <si>
    <t>甲方到乙方现场确认无误后，收到17%等额、专票，15个工作日内支付60%发货款</t>
  </si>
  <si>
    <t>YRKJEQ-170095</t>
  </si>
  <si>
    <t>导热油泵</t>
  </si>
  <si>
    <t>上海凯士比泵有限公司</t>
  </si>
  <si>
    <t>环己酮装置、甲醇制氢装置</t>
  </si>
  <si>
    <t>甲方核定的调试合格报告及足额的发票后付20%的验收款</t>
  </si>
  <si>
    <t>YRKJEQ-170096</t>
  </si>
  <si>
    <t>起重机、电动葫芦</t>
  </si>
  <si>
    <t>河南省矿山起重机有限公司</t>
  </si>
  <si>
    <t>YRKJRM-170002</t>
  </si>
  <si>
    <t>己内酰胺装置精制加氢催化剂  合同未移交</t>
  </si>
  <si>
    <t>上海烜高化工科技有限公司</t>
  </si>
  <si>
    <t>6个月承兑汇票/电汇按360万元结算</t>
  </si>
  <si>
    <t>甲方15个工作日支付30%预付款  10%履约保函</t>
  </si>
  <si>
    <t>甲方核定的调试合格报告及足额的发票后付15%的验收款</t>
  </si>
  <si>
    <t>5%质保金，验收合格12个月或到货现场18个月 承兑</t>
  </si>
  <si>
    <t>YRKJEQ-170084</t>
  </si>
  <si>
    <t>结晶反应器搅拌器2套</t>
  </si>
  <si>
    <t>合肥华升泵阀有限责任公司</t>
  </si>
  <si>
    <t>甲方收到乙方20%的预付款保函和收据后15个工作日支付20%预付款 10%履约保函</t>
  </si>
  <si>
    <t>YRKJEQ-170099</t>
  </si>
  <si>
    <t>污水提升泵2台</t>
  </si>
  <si>
    <t>甲方到乙方现场确认无误后，收到17%等额专票，15个工作日内支付80%发货款</t>
  </si>
  <si>
    <t>YRKJEQ-1700100</t>
  </si>
  <si>
    <t>减温水泵、分液罐输送泵共4台</t>
  </si>
  <si>
    <t>大耐泵业有限公司</t>
  </si>
  <si>
    <t>YRKJEQ-1700120</t>
  </si>
  <si>
    <t>环己酮肟化装置非标设备27台+追加3台</t>
  </si>
  <si>
    <t>岳阳鸿升电磁科技有限公司</t>
  </si>
  <si>
    <t>YRKJEQ-1700123</t>
  </si>
  <si>
    <t>中央空调、恒温恒湿空调</t>
  </si>
  <si>
    <t>山东格瑞德集团有限公司</t>
  </si>
  <si>
    <t>6个月承兑汇票/电汇270万元</t>
  </si>
  <si>
    <t>甲方收到乙方20%的预付款保函以等额收据后15个工作日支付20%预付款 10%履约保函</t>
  </si>
  <si>
    <t>甲方到乙方现场确认无误后，收到11%的2164841元专票，15个工作日内支付315936元</t>
  </si>
  <si>
    <t>甲方核定的调试合格报告及585159元的11%的发票后付1609064元</t>
  </si>
  <si>
    <t>质保两年和空调室外机质保三年后15个工作日支付</t>
  </si>
  <si>
    <t>YRKJBT-170121</t>
  </si>
  <si>
    <t>液碱泵、初期雨水泵4台</t>
  </si>
  <si>
    <t>江苏新泰泵阀制造有限公司</t>
  </si>
  <si>
    <t>甲方到乙方现场确认无误后，收到17%全额专票，15个工作日内支付60%发货款</t>
  </si>
  <si>
    <t>YRKJEQ-1700105</t>
  </si>
  <si>
    <t>气相色谱仪一批</t>
  </si>
  <si>
    <t>常州磐诺仪器有限公司</t>
  </si>
  <si>
    <t>分析中心</t>
  </si>
  <si>
    <t>甲方15个工作日支付20%预付款  10%履约保函</t>
  </si>
  <si>
    <t>YRKJEQ-1700106</t>
  </si>
  <si>
    <t>液相色谱仪2台+气相色谱仪1台</t>
  </si>
  <si>
    <t>厦门精艺兴业科技有限公司</t>
  </si>
  <si>
    <t>甲方15个工作日支付20%预付款  10%履约保函 10%质量保函</t>
  </si>
  <si>
    <t>甲方核定的调试合格报告及足额的发票后付40%的验收款</t>
  </si>
  <si>
    <t>YRKJEQ-170103</t>
  </si>
  <si>
    <t>DOS系统一套</t>
  </si>
  <si>
    <t>艾默生过程控制有限公司</t>
  </si>
  <si>
    <t>全厂用</t>
  </si>
  <si>
    <t>电汇/承兑金额不超过合同总价的50%，银行为四大行</t>
  </si>
  <si>
    <t>YRKJBT-170124</t>
  </si>
  <si>
    <t>高、低压开关柜</t>
  </si>
  <si>
    <t>中骏电气（厦门）有限公司</t>
  </si>
  <si>
    <t>YRKJEQ-170107</t>
  </si>
  <si>
    <t>碱性液位计</t>
  </si>
  <si>
    <t>上海星申仪表有限公司</t>
  </si>
  <si>
    <t>转子流量计</t>
  </si>
  <si>
    <t>承德菲时博特自动化设备有限公司</t>
  </si>
  <si>
    <t>孔板流量计</t>
  </si>
  <si>
    <t>江阴市节流装置厂有限公司</t>
  </si>
  <si>
    <t>YRKJEQ-170104</t>
  </si>
  <si>
    <t>电磁流量计、涡街流量计</t>
  </si>
  <si>
    <t>北京远东仪表有限公司</t>
  </si>
  <si>
    <t>无说明</t>
  </si>
  <si>
    <t>甲方收到全额发票和等额收据，15个工作日支付60%发货款</t>
  </si>
  <si>
    <t>甲方核定的调试合格报告及足额的发票后付30%调试款</t>
  </si>
  <si>
    <t>YRKJEQ-170114</t>
  </si>
  <si>
    <t>浮筒44台</t>
  </si>
  <si>
    <t>上海精泰实业（集团）有限公司</t>
  </si>
  <si>
    <t>甲方收到等额收据及预付款保函，15个工作日支付20%预付款  10%质量保函</t>
  </si>
  <si>
    <t>YRKJEQ-170127</t>
  </si>
  <si>
    <t>硝酸混合器1台</t>
  </si>
  <si>
    <t>上海卡波机电设备有限公司</t>
  </si>
  <si>
    <t>甲方核定的调试合格报告及足额的发票后付支付90%验收款</t>
  </si>
  <si>
    <t>YRKJBT-170115</t>
  </si>
  <si>
    <t>进口直通阀</t>
  </si>
  <si>
    <t>甲方收到等额收据及预付款保函，15个工作日支付20%预付款  10%履约保函  10%质量保函</t>
  </si>
  <si>
    <t>YRKJBT-170122</t>
  </si>
  <si>
    <t>输送泵、退料泵、注油泵</t>
  </si>
  <si>
    <t>黄山工业泵制造有限公司</t>
  </si>
  <si>
    <t>YRKJBT-170125</t>
  </si>
  <si>
    <t>高低压开关柜一批</t>
  </si>
  <si>
    <t>中山市明阳电气有限公司</t>
  </si>
  <si>
    <t>甲方收到预付款保函以及本合同的10%履约保函，收据后15个工作日支付20%预付款</t>
  </si>
  <si>
    <t>YRKJBT-170130</t>
  </si>
  <si>
    <t>石墨换热器</t>
  </si>
  <si>
    <t>南通鑫宝石墨设备有限公司</t>
  </si>
  <si>
    <t>甲方到乙方清点无误验收合格后，收到专票的15个工作日支付60%发货款</t>
  </si>
  <si>
    <t>YRKJEQ-170092</t>
  </si>
  <si>
    <t>压力泡沫比例混合装置、水成膜泡沫液</t>
  </si>
  <si>
    <t>水力消防科技有限公司</t>
  </si>
  <si>
    <t>有机物料罐组</t>
  </si>
  <si>
    <t>甲方到乙方现场确认无误后，收到100%专票，15个工作日内支付95%发货款</t>
  </si>
  <si>
    <t>合同付款执行情况汇总表(工程合同）</t>
  </si>
  <si>
    <t>合同付款执行情况明细表（工程合同）</t>
  </si>
  <si>
    <t>节点明细（工程合同）</t>
  </si>
  <si>
    <t>已扣        水电费</t>
  </si>
  <si>
    <t>已扣       罚款等</t>
  </si>
  <si>
    <t>YRKJGC-150001</t>
  </si>
  <si>
    <t>软地基处理工程施工-软土区（155539.5米*358元/米）</t>
  </si>
  <si>
    <t>福建省东辰建设工程集团有限公司</t>
  </si>
  <si>
    <t>软基</t>
  </si>
  <si>
    <t>承兑/转账</t>
  </si>
  <si>
    <t>按每月实际进度结算并支付工程进度款的90%</t>
  </si>
  <si>
    <t>工程竣工验收合格后支付尾款</t>
  </si>
  <si>
    <t>YRKJGC-150002</t>
  </si>
  <si>
    <t>软地基处理工程施工-硬土区（196578.4米*256元/米）</t>
  </si>
  <si>
    <t>福建勘察基础工程公司</t>
  </si>
  <si>
    <t>YRKJGC-150007</t>
  </si>
  <si>
    <t xml:space="preserve"> -</t>
  </si>
  <si>
    <t>软地基处理工程施工（软土311941平米*358元/M2，硬土113287平米*256元/M2）</t>
  </si>
  <si>
    <t>江苏地质基桩工程公司</t>
  </si>
  <si>
    <t>按月结算，次月支付</t>
  </si>
  <si>
    <t>YRKJGC-150012</t>
  </si>
  <si>
    <t>软地基处理工程施工-软土区（181500平米*358元/米2）</t>
  </si>
  <si>
    <t>软地基政府补贴已到账2.1亿元，已申请未到账4732万元</t>
  </si>
  <si>
    <t>YRKJGC-150011</t>
  </si>
  <si>
    <t>三修车间、硫铵仓库、地磅基础试桩及工程桩工程</t>
  </si>
  <si>
    <t>按月结算，进度款的80%</t>
  </si>
  <si>
    <t>工程竣工验收合格后支付15%</t>
  </si>
  <si>
    <t>质保期1年后付5%</t>
  </si>
  <si>
    <t>YRKJGC-160002</t>
  </si>
  <si>
    <t>厂区道路路基处理工程（488元/M2*135000M2）</t>
  </si>
  <si>
    <t>湖南省湘天建设工程有限公司</t>
  </si>
  <si>
    <t>厂区道路及水沟、围墙等工程</t>
  </si>
  <si>
    <t>中国化学工程第十三建设有限公司</t>
  </si>
  <si>
    <t>工程：按实际工程量支付80%。履约保证金40万，工程量1/3退还；道路：路基施工验收合格支付40%，路面施工验收合格，支付40%，竣工支付15%，5%质保金</t>
  </si>
  <si>
    <t>竣工结算支付15%</t>
  </si>
  <si>
    <t>软基处理A标段A地块回填工程</t>
  </si>
  <si>
    <t>莆田市兴发工程有限公司</t>
  </si>
  <si>
    <t>按每月实际进度结算并支付工程进度款的80%。乙方10万元投标保证金转履约保证金</t>
  </si>
  <si>
    <t>实际工程测量结束后，送审计复核后支付至95%</t>
  </si>
  <si>
    <t>6个月后在30天内支付剩余的5%</t>
  </si>
  <si>
    <t>YRKJ-2016GC-SGHT001</t>
  </si>
  <si>
    <t>三修车间、物装一车间、物装二车间工程施工</t>
  </si>
  <si>
    <t>中化二建集团有限公司</t>
  </si>
  <si>
    <t>结构施工到+-0.000完成，支付20%</t>
  </si>
  <si>
    <t>结构施工到屋面，支付20%</t>
  </si>
  <si>
    <t>主体完成，支付20%</t>
  </si>
  <si>
    <t>验收合格，支付20%</t>
  </si>
  <si>
    <t>竣工验收合格，支付15%</t>
  </si>
  <si>
    <t>质保期5%，1年</t>
  </si>
  <si>
    <t>YRKJ-2016GC-SGHT002</t>
  </si>
  <si>
    <t>厂前区桩基工程</t>
  </si>
  <si>
    <t>YRKJGC-160007</t>
  </si>
  <si>
    <t>三修车间智能化系统工程承揽</t>
  </si>
  <si>
    <t>莆田市广汇电脑有限公司</t>
  </si>
  <si>
    <t>6个月承兑汇票/电汇按中国银行贷款利率下浮</t>
  </si>
  <si>
    <t>甲方验收合格后，收到100%的增值税发票后支付合同80%的价款</t>
  </si>
  <si>
    <t>甲方收到竣工图纸，办理交接手续30日内支付10%</t>
  </si>
  <si>
    <t>质量保证金10%，验收合格1年后退还</t>
  </si>
  <si>
    <t>YRKJ-2016GC-SGHT003</t>
  </si>
  <si>
    <t>有机物料、苯罐组、液己罐、苯己罐桩基工程</t>
  </si>
  <si>
    <t>YRKJ-2017GC-SGHT002</t>
  </si>
  <si>
    <t>三修车间等工程周边联锁块道路工程</t>
  </si>
  <si>
    <t>福建省福清市嘉盛建设工程有限公司</t>
  </si>
  <si>
    <t>按月支付工程进度款的80%</t>
  </si>
  <si>
    <t>质量保证期6个月后支付5%</t>
  </si>
  <si>
    <t>139-1</t>
  </si>
  <si>
    <t>YRKJ-2017GC-SGHT001</t>
  </si>
  <si>
    <t>安环值班室</t>
  </si>
  <si>
    <t>中国化学工程第三建设有限公司</t>
  </si>
  <si>
    <t>基础承台至底层框架施工、二层层面主体框架结构施工</t>
  </si>
  <si>
    <t>底层至层面维护墙施工</t>
  </si>
  <si>
    <t>内外墙砂浆粉刷施工、内围墙装修施工、室内地面、卫生间施工、门窗施工</t>
  </si>
  <si>
    <t>水电安装施工、零星工程收尾</t>
  </si>
  <si>
    <t>保固期满</t>
  </si>
  <si>
    <t>139-2</t>
  </si>
  <si>
    <t>管控中心</t>
  </si>
  <si>
    <t>基础承台至底层框架施工</t>
  </si>
  <si>
    <t>二层层面主体框架结构施工</t>
  </si>
  <si>
    <t>内外墙砂浆粉刷施工</t>
  </si>
  <si>
    <t>内外墙装修施工</t>
  </si>
  <si>
    <t>室内地面、卫生间施工</t>
  </si>
  <si>
    <t>门窗施工</t>
  </si>
  <si>
    <t>水电安装施工8%；零星工程收尾5%；保固期满5%</t>
  </si>
  <si>
    <t>139-3</t>
  </si>
  <si>
    <t>139-4</t>
  </si>
  <si>
    <t>139-5</t>
  </si>
  <si>
    <t>食堂</t>
  </si>
  <si>
    <t>139-6</t>
  </si>
  <si>
    <t>消防站、训练塔</t>
  </si>
  <si>
    <t>139-7</t>
  </si>
  <si>
    <t>厂前区大门、南大门</t>
  </si>
  <si>
    <t>所有装修施工完成</t>
  </si>
  <si>
    <t>零星工程收尾</t>
  </si>
  <si>
    <t>139-8</t>
  </si>
  <si>
    <t>费率总价让利15%，暂定总价为5156万元</t>
  </si>
  <si>
    <t>厂前区项目土建工程  合计</t>
  </si>
  <si>
    <t>YRKJ-2017GC-SGHT004</t>
  </si>
  <si>
    <t xml:space="preserve">桩基打桩工程第1标段施工合同书（预应力非一体化管桩24元/米，一体化22.5元/米） </t>
  </si>
  <si>
    <t>福建省岩田基础工程技术有限公司</t>
  </si>
  <si>
    <t>按月支付工程款，支付当月已验收完工对应价的80%，工程竣工验收合格后付清余款。现金支付，则价格下浮1.5%，对方提供11%专票后付款</t>
  </si>
  <si>
    <t>YRKJ-2017GC-SGHT005</t>
  </si>
  <si>
    <t>湖北建东勘察基础工程有限公司</t>
  </si>
  <si>
    <t>按月支付工程款，支付当月已验收完工对应价的80%，工程竣工验收合格后付清余款。现金支付，则价格下浮2%，对方提供11%专票后付款</t>
  </si>
  <si>
    <t>YRKJ-2017GC-SGHT003</t>
  </si>
  <si>
    <t>桩基工程第II标段（水泥搅拌桩）单价包干28元</t>
  </si>
  <si>
    <t>6个月承兑汇票，费率1.5%</t>
  </si>
  <si>
    <t>无预付款，按月支付进度款，支付至验收完成工程对应价的80%，履约保证金9万，验收合格后3个月退还</t>
  </si>
  <si>
    <t>156-1</t>
  </si>
  <si>
    <t>YRKJ-2017GC-SGHT008SGHT009</t>
  </si>
  <si>
    <t>1、无机物料罐组</t>
  </si>
  <si>
    <t>中国化学工程第十一建设有限公司</t>
  </si>
  <si>
    <t>按工程进度款支付80%</t>
  </si>
  <si>
    <t>尾款</t>
  </si>
  <si>
    <t>156-2</t>
  </si>
  <si>
    <t>2、有机物料罐组</t>
  </si>
  <si>
    <t>156-3</t>
  </si>
  <si>
    <t>3、苯罐组</t>
  </si>
  <si>
    <t>156-4</t>
  </si>
  <si>
    <t>4、泡沫罐组</t>
  </si>
  <si>
    <t>156-5</t>
  </si>
  <si>
    <t>5、液氨球罐组</t>
  </si>
  <si>
    <t>156-6</t>
  </si>
  <si>
    <t>6、循环水1</t>
  </si>
  <si>
    <t>156-7</t>
  </si>
  <si>
    <t>7、装卸车场（罐区）</t>
  </si>
  <si>
    <t>156-8</t>
  </si>
  <si>
    <t>8、卸车场</t>
  </si>
  <si>
    <t>156-9</t>
  </si>
  <si>
    <t>9、南门地磅</t>
  </si>
  <si>
    <t>156-10</t>
  </si>
  <si>
    <t>10、西区配电所</t>
  </si>
  <si>
    <t>156-11</t>
  </si>
  <si>
    <t>11、西区机柜室</t>
  </si>
  <si>
    <t>156-12</t>
  </si>
  <si>
    <t>12、西区巡检室</t>
  </si>
  <si>
    <t>156-13</t>
  </si>
  <si>
    <t>13、固废推场</t>
  </si>
  <si>
    <t>156-14</t>
  </si>
  <si>
    <t>14、火柜</t>
  </si>
  <si>
    <t>156-15</t>
  </si>
  <si>
    <t>15、东区配电所</t>
  </si>
  <si>
    <t>156-16</t>
  </si>
  <si>
    <t>16、东区机柜室</t>
  </si>
  <si>
    <t>156-17</t>
  </si>
  <si>
    <t>17、东区巡检室</t>
  </si>
  <si>
    <t>156-18</t>
  </si>
  <si>
    <t>18、原水净化站</t>
  </si>
  <si>
    <t>156-19</t>
  </si>
  <si>
    <t>19、废液焚烧（仅土建）</t>
  </si>
  <si>
    <t>156-20</t>
  </si>
  <si>
    <t>尾数差调整</t>
  </si>
  <si>
    <t>厂前区土建工程施工(II标段） 合计</t>
  </si>
  <si>
    <t>154-1</t>
  </si>
  <si>
    <t>YRKJ-2017GC-SGHT008</t>
  </si>
  <si>
    <t>1、空分装置（仅土建工程）</t>
  </si>
  <si>
    <t>154-2</t>
  </si>
  <si>
    <t>2、硫铵仓库</t>
  </si>
  <si>
    <t>154-3</t>
  </si>
  <si>
    <t>3、装车场</t>
  </si>
  <si>
    <t>154-4</t>
  </si>
  <si>
    <t>4、北门地磅</t>
  </si>
  <si>
    <t>154-5</t>
  </si>
  <si>
    <t>5、北区配电所</t>
  </si>
  <si>
    <t>154-6</t>
  </si>
  <si>
    <t>6、事故水收集池及雨水收集池</t>
  </si>
  <si>
    <t>154-7</t>
  </si>
  <si>
    <t>7、循环水场</t>
  </si>
  <si>
    <t>154-8</t>
  </si>
  <si>
    <t>8、西北区配电所</t>
  </si>
  <si>
    <t>154-9</t>
  </si>
  <si>
    <t>9、北区巡检室</t>
  </si>
  <si>
    <t>154-10</t>
  </si>
  <si>
    <t>10、北区机柜室</t>
  </si>
  <si>
    <t>154-11</t>
  </si>
  <si>
    <t>11、西北区机柜室</t>
  </si>
  <si>
    <t>154-12</t>
  </si>
  <si>
    <t>12、西北区巡检室</t>
  </si>
  <si>
    <t>154-13</t>
  </si>
  <si>
    <t>13、中间罐组</t>
  </si>
  <si>
    <t>154-14</t>
  </si>
  <si>
    <t>14、液己罐组</t>
  </si>
  <si>
    <t>154-15</t>
  </si>
  <si>
    <t>15、苯己罐组</t>
  </si>
  <si>
    <t>厂前区土建工程施工(I标段） 合计</t>
  </si>
  <si>
    <t>YRKJ-2017GC-SGHT010</t>
  </si>
  <si>
    <t>零星临时道路工程(工程施工框架协议）</t>
  </si>
  <si>
    <t>工程竣工验收合格后经一审和二审审核完成后，提供11%发屁后付工程款95%</t>
  </si>
  <si>
    <t>5%质保金，6个月后工程无质量问题退还</t>
  </si>
  <si>
    <t>207-1</t>
  </si>
  <si>
    <t>YRKJ-2017GC-SGHT012</t>
  </si>
  <si>
    <t>硫铵装置（不含硫铵仓库建筑工程）</t>
  </si>
  <si>
    <t>中国化学工程第十六建设有限公司</t>
  </si>
  <si>
    <t>按实际完成工程价款的80%支付</t>
  </si>
  <si>
    <t>207-2</t>
  </si>
  <si>
    <t>207-3</t>
  </si>
  <si>
    <t>207-4</t>
  </si>
  <si>
    <t>冷冻站（仅土建部分）</t>
  </si>
  <si>
    <t>207-5</t>
  </si>
  <si>
    <t>冷凝水站（不含部分成套设备）</t>
  </si>
  <si>
    <t>207-6</t>
  </si>
  <si>
    <t>北区机柜室</t>
  </si>
  <si>
    <t>207-7</t>
  </si>
  <si>
    <t>西北区机柜室</t>
  </si>
  <si>
    <t>207-8</t>
  </si>
  <si>
    <t>北区巡检室</t>
  </si>
  <si>
    <t>207-9</t>
  </si>
  <si>
    <t>西北区巡检室</t>
  </si>
  <si>
    <t>207-10</t>
  </si>
  <si>
    <t>北区配电所</t>
  </si>
  <si>
    <t>207-11</t>
  </si>
  <si>
    <t>建筑安装工程(Ⅰ标段)  合计</t>
  </si>
  <si>
    <t>YRKJ-2017GC-SGHT013</t>
  </si>
  <si>
    <t>建筑安装工程(Ⅱ标段)</t>
  </si>
  <si>
    <t>YRKJ-2017GC-SGHT014</t>
  </si>
  <si>
    <t xml:space="preserve">建筑安装工程(Ⅲ标段) </t>
  </si>
  <si>
    <t>无预付款，按月支付进度款，支付至验收完成工程对应价的80%</t>
  </si>
  <si>
    <t>临时库房工程</t>
  </si>
  <si>
    <t>中鑫建设集团有限公司</t>
  </si>
  <si>
    <t>临时设施费</t>
  </si>
  <si>
    <t>承包人按图纸或甲方要求施工完成，工程竣工验收合格交付甲方使用后支付工程款90%</t>
  </si>
  <si>
    <t>10%质保金，自验收合格，满12月或货到现场18个月支付</t>
  </si>
  <si>
    <t>AG-KJ-20170004</t>
  </si>
  <si>
    <t>三修车间-厂前区主路联锁块道路工程</t>
  </si>
  <si>
    <t>工程竣工验收合格支付至90%</t>
  </si>
  <si>
    <t>质量保证期12个月</t>
  </si>
  <si>
    <t>YRKJBT-170129</t>
  </si>
  <si>
    <t>电能评估技术服务</t>
  </si>
  <si>
    <t>厦门奕昕科技有限公司</t>
  </si>
  <si>
    <t>合同签订10个工作日内支付20%</t>
  </si>
  <si>
    <t>评估报告制作经甲方审核满足项目建设要求，收到全额发票10个工作日支付80%</t>
  </si>
  <si>
    <t>合同付款执行情况汇总表(材料合同）</t>
  </si>
  <si>
    <t>合同付款执行情况明细表（材料合同）</t>
  </si>
  <si>
    <t>节点明细（材料合同）</t>
  </si>
  <si>
    <t>YRKJZB-150001</t>
  </si>
  <si>
    <t>管桩（4000米*125元/米）</t>
  </si>
  <si>
    <t>福建翔达管桩有限公司</t>
  </si>
  <si>
    <t>货到付款，每次供货1000米，验收合格，卖方提供等额的收据给甲方后5日支付，卖方收到货款后3个工作日内提供17%的专票给甲方</t>
  </si>
  <si>
    <t>YRKJGC-150003</t>
  </si>
  <si>
    <t>水泥空心砖（2.05元/块），水泥标砖（0.28元/块）</t>
  </si>
  <si>
    <t>莆田市秀屿区东庄荔锦水泥制砖场</t>
  </si>
  <si>
    <t>承兑</t>
  </si>
  <si>
    <t>每月5日之前支付上个月货款进行结算，提供3%的增值税发票</t>
  </si>
  <si>
    <t>YRKJGC-160001</t>
  </si>
  <si>
    <t>水泥管带钢筋（466根*140元/根）</t>
  </si>
  <si>
    <t>莆田市永腾新型建材有限公司</t>
  </si>
  <si>
    <t>预付款60%</t>
  </si>
  <si>
    <t>货到一个月内付清，全额普票</t>
  </si>
  <si>
    <t>YRKJXZ-160010</t>
  </si>
  <si>
    <t>聚丙烯管402米*64元/米</t>
  </si>
  <si>
    <t>福州万年通管道材料有限公司</t>
  </si>
  <si>
    <t>合同生效后支付10%预付款</t>
  </si>
  <si>
    <t>到货并收到全额发票后支付90%</t>
  </si>
  <si>
    <t>YRKJGC-160004</t>
  </si>
  <si>
    <t>方桩（10380米*200元/米）</t>
  </si>
  <si>
    <t>福建建华建材有限公司</t>
  </si>
  <si>
    <t>收到乙方17%专票后，安排货款</t>
  </si>
  <si>
    <t>YRKJGC-160005</t>
  </si>
  <si>
    <t>管桩（420米*127元/米）</t>
  </si>
  <si>
    <t>福建峻兴管桩有限公司</t>
  </si>
  <si>
    <t>收到管桩及全额发票后支付</t>
  </si>
  <si>
    <t>YRKJGC-170004</t>
  </si>
  <si>
    <t>管桩(6000米*157.9元/米）</t>
  </si>
  <si>
    <t>福建宝丰管桩有限公司</t>
  </si>
  <si>
    <t>有机物料罐组51支，中间罐组191支</t>
  </si>
  <si>
    <t>货到付款，每次供货3000米，收到等额的17%专票后5个工作日支付</t>
  </si>
  <si>
    <t>YRKJGC-160008-1</t>
  </si>
  <si>
    <t>管桩（5580米*170元/米） 无合同</t>
  </si>
  <si>
    <t>货到付款，每次供货3000米，验收合格，卖方提供等额的收据给甲方后5日支付，卖方收到货款后5个工作日内提供17%的专票给甲方</t>
  </si>
  <si>
    <t>YRKJGC-160008</t>
  </si>
  <si>
    <t>管桩（13200米*138元/米）</t>
  </si>
  <si>
    <t>YRKJGC-160009</t>
  </si>
  <si>
    <t>道闸1套（合同未拿，详见17年4月记88凭证）</t>
  </si>
  <si>
    <t>福建聚众科技有限公司</t>
  </si>
  <si>
    <t>甲方收到货款验收合格以及全额的发票后15个工作日支付90%的货款</t>
  </si>
  <si>
    <t>5%质保金，一年</t>
  </si>
  <si>
    <t>YRKJXZ-160015</t>
  </si>
  <si>
    <t>奠基石1套</t>
  </si>
  <si>
    <t>惠安凯石石业有限公司</t>
  </si>
  <si>
    <t>25%预付款</t>
  </si>
  <si>
    <t>收到货，收到全额发票后付清</t>
  </si>
  <si>
    <t>YRKJGC-160010</t>
  </si>
  <si>
    <t>联锁块（133200块*1.24元/块）</t>
  </si>
  <si>
    <t>货到交货地点验收合格后，收到全额发票支付</t>
  </si>
  <si>
    <t>YRKJGC-160011</t>
  </si>
  <si>
    <t>水泥空心砖（2.05元/块），水泥标砖（0.28元/块） 补合同</t>
  </si>
  <si>
    <t>YRKJGC-170002</t>
  </si>
  <si>
    <t>连锁块（53000块*1.24元/块）</t>
  </si>
  <si>
    <t>总图运输65720元</t>
  </si>
  <si>
    <t>货到交货点验收合格，收到全额发票后，支付全额</t>
  </si>
  <si>
    <t>YRKJGC-170005</t>
  </si>
  <si>
    <t>方桩（5500米*250元/米）</t>
  </si>
  <si>
    <t>福州市鸿生建材有限公司</t>
  </si>
  <si>
    <t>雨水收集池、事故水收集池、硫铵仓库、氨肟化装置、己内酰胺装置、动力站、新增化粪池、N段管架等桩基施工</t>
  </si>
  <si>
    <t>货到付款，每次供货3000米，收到等额的17%专票后5个工作日支付。贴息费由对方提供</t>
  </si>
  <si>
    <t>YRKJGC-170006</t>
  </si>
  <si>
    <t>管桩（15000米*150元/米+15000米*217元/米）</t>
  </si>
  <si>
    <t>货到付款，每次供货10000米，验收合格，卖方提供等额的收据给甲方后5日支付，卖方收到货款后3个工作日内提供17%的专票给甲方</t>
  </si>
  <si>
    <t>YRKJGC-170010</t>
  </si>
  <si>
    <t>预应力管桩（7万米*169元/米）</t>
  </si>
  <si>
    <t>货到付款，每次供货1万米，验收合格，卖方提供等额的收据给甲方后5日支付，卖方收到货款后3个工作日内提供17%的专票给甲方</t>
  </si>
  <si>
    <t>YRKJGC-170007</t>
  </si>
  <si>
    <t>（施工生活区临时）配电箱</t>
  </si>
  <si>
    <t>祥华科技有限公司</t>
  </si>
  <si>
    <t>临时设施费2.5万元</t>
  </si>
  <si>
    <t>货到验收合格后，收到100%发票后付清，接受反向贴息</t>
  </si>
  <si>
    <t>YRKJGC-170008</t>
  </si>
  <si>
    <t>预应力管桩（5万米*175元/米）</t>
  </si>
  <si>
    <t>双氧水装置、环己酮装置、硫铵装置、循环水、中间罐组、原水净化站等桩基施工</t>
  </si>
  <si>
    <t>货到付款，每次供货1万米，验收合格，卖方提供等额的收据给甲方后3-5日支付，卖方收到货款后3个工作日内提供17%的专票给甲方</t>
  </si>
  <si>
    <t>YRKJGC-170009</t>
  </si>
  <si>
    <t>预应力管桩（3万米*167元/米）</t>
  </si>
  <si>
    <t>货到付款，每次供货5000米，验收合格，卖方提供等额的收据给甲方后5日支付，卖方收到货款后5个工作日内提供17%的专票给甲方</t>
  </si>
  <si>
    <t>YRKJGC-170012</t>
  </si>
  <si>
    <t>预应力管桩（5万米*173元/米）</t>
  </si>
  <si>
    <t>YRKJGC-170012-1</t>
  </si>
  <si>
    <t>管桩（5870米*217元/米） 纸质、电子版未移交</t>
  </si>
  <si>
    <t>YRKJGC-170011</t>
  </si>
  <si>
    <t>管桩（50000*176元/米）</t>
  </si>
  <si>
    <t>YRKJGC-170014</t>
  </si>
  <si>
    <t>柴油（12.5吨*5750元/吨）</t>
  </si>
  <si>
    <t>福建省昆仑石化产品有限公司</t>
  </si>
  <si>
    <t>基本预备费71875元</t>
  </si>
  <si>
    <t>款到发货</t>
  </si>
  <si>
    <t>YRKJGC-170019</t>
  </si>
  <si>
    <t>电气工具、仪器等买卖合同</t>
  </si>
  <si>
    <t>福州威德信机电有限公司</t>
  </si>
  <si>
    <t>工器具及生产用具购置费7.4万元</t>
  </si>
  <si>
    <t>电汇/承汇/信用证</t>
  </si>
  <si>
    <t>甲方验收合格后，收到100%的增值税发票后支付合同100%的价款</t>
  </si>
  <si>
    <t>YRKJGC-170025</t>
  </si>
  <si>
    <t>方桩（15000米*322元/米）</t>
  </si>
  <si>
    <t>泉州泰景方桩有限公司</t>
  </si>
  <si>
    <t>环己酮装置、动力站装置、双氧水装置</t>
  </si>
  <si>
    <t>货到付款，每次供货5000米，验收合格，卖方提供发票给甲方后6个月的承兑汇票</t>
  </si>
  <si>
    <t>YRKJGC-170026</t>
  </si>
  <si>
    <t>水泥砖（空心砖40000块*2.17元/块+标准砖4000块*0.28元/块）</t>
  </si>
  <si>
    <t>货到交货地点且验收合格后收到乙方全额发票后支付100%货款</t>
  </si>
  <si>
    <t>YRKJGC-170030</t>
  </si>
  <si>
    <t>枕木等五金工具</t>
  </si>
  <si>
    <t>甲方收到核定验收合格报告及全额的发票后30日之内支付100%货款</t>
  </si>
  <si>
    <t>YRKJGC-170029</t>
  </si>
  <si>
    <t>蜗居房共6间</t>
  </si>
  <si>
    <t>莆田市秀屿区蜗居活动房有限公司</t>
  </si>
  <si>
    <t>YRKJGC-170032</t>
  </si>
  <si>
    <t>PRC管、管材等</t>
  </si>
  <si>
    <t>福州望远机电设备有限公司</t>
  </si>
  <si>
    <t>甲方收到货、发票后，10-15个工作日全额付清</t>
  </si>
  <si>
    <t>YRKJGC-170035</t>
  </si>
  <si>
    <t>地脚螺铨120套</t>
  </si>
  <si>
    <t>福州同进机电设备有限公司</t>
  </si>
  <si>
    <t>甲方收到核定验收合格报告及全额的发票后15日之内支付100%货款</t>
  </si>
  <si>
    <t>YRKJGC-170031</t>
  </si>
  <si>
    <t>玻璃钢管（44米*1012.73元/米）</t>
  </si>
  <si>
    <t>山东金光集团有限公司</t>
  </si>
  <si>
    <t>YRKJXZ-170023</t>
  </si>
  <si>
    <t>钢板</t>
  </si>
  <si>
    <t>常熟市鑫旺五金工艺厂</t>
  </si>
  <si>
    <t>甲方收到货款验收合格以及全额的发票后15个工作日支付100%的货款</t>
  </si>
  <si>
    <t>YRKJGC-170037</t>
  </si>
  <si>
    <t>B型结构壁管一批</t>
  </si>
  <si>
    <t>福建纳川管材科技股份有限公司</t>
  </si>
  <si>
    <t>全厂给排水管网</t>
  </si>
  <si>
    <t>合同签署后15工作日内，乙方开具合同总价的10%履约保函，有效期1年；10%的预付款保函后的15天内，支付10%预付款</t>
  </si>
  <si>
    <t>甲方收到货物，经验收合格，收到17%专票后支付当月实际货款的80%（每个月10号前支付）</t>
  </si>
  <si>
    <t>YRKJGC-170043</t>
  </si>
  <si>
    <t>哈氏合金材料一批</t>
  </si>
  <si>
    <t>上海一郎合金材料有限公司</t>
  </si>
  <si>
    <t>甲方收到10%履约保函和等额发票，15个工作日支付20%预付款</t>
  </si>
  <si>
    <t>甲方去乙方工厂验收，完成后，5个工作日支付60%发货款，开具等额发票</t>
  </si>
  <si>
    <t>甲方经核定调试合格报告及本合同的足额发票后15个工作日支付10%调试款</t>
  </si>
  <si>
    <t>10%质量保证金</t>
  </si>
  <si>
    <t>YRKJGC-170042</t>
  </si>
  <si>
    <t>预应力管桩（5万米*166元/米）</t>
  </si>
  <si>
    <t>货到付款，每次供货10000米，收到等额的17%专票后5个工作日支付</t>
  </si>
  <si>
    <t>YRKJEQ-170080</t>
  </si>
  <si>
    <t>桥架一批</t>
  </si>
  <si>
    <t>安徽天彩电缆集团有限公司</t>
  </si>
  <si>
    <t>全厂工艺及供热外管</t>
  </si>
  <si>
    <t>甲方全部收到货物，经验收合格，收到等额专票15个工作日支付80%货款</t>
  </si>
  <si>
    <t>安装完毕，验收合格，收到足额的专票后支付10%调试款</t>
  </si>
  <si>
    <t>YRKJGC-170041</t>
  </si>
  <si>
    <t>消防管件一批</t>
  </si>
  <si>
    <t>泉州市中天石油化工机械制造有限公司</t>
  </si>
  <si>
    <t>6个月承兑汇票/电汇下浮按银行贷款利率</t>
  </si>
  <si>
    <t>甲方收到货、发票后，10-15个工作日支付95%</t>
  </si>
  <si>
    <t>5%质保金，自验收合格，满12月或货到现场19个月支付</t>
  </si>
  <si>
    <t>208-1</t>
  </si>
  <si>
    <t>YRKJGC-170045-1</t>
  </si>
  <si>
    <t>10KV电力电缆协议</t>
  </si>
  <si>
    <t>甲方到乙方检验合格，签发发货同意书，收到全额17%专票，支付80%货款；乙方提供60万履约保函</t>
  </si>
  <si>
    <t>安装验收合格后15个工作日支付15%</t>
  </si>
  <si>
    <t>5%质保金，自验收合格，满12月或货到现场18个月支付</t>
  </si>
  <si>
    <t>208-2</t>
  </si>
  <si>
    <t>YRKJGC-170045</t>
  </si>
  <si>
    <t>208-3</t>
  </si>
  <si>
    <t>YRKJGC-170081</t>
  </si>
  <si>
    <t>控制、计算机电缆协议</t>
  </si>
  <si>
    <t>承兑价*0.945/现金价*0.935 折扣</t>
  </si>
  <si>
    <t>209-1</t>
  </si>
  <si>
    <t>YRKJGC-170046-0001</t>
  </si>
  <si>
    <t>江苏上上电缆集团有限公司</t>
  </si>
  <si>
    <t>甲方到乙方检验合格，签发发货同意书，收到全额17%专票，支付80%货款；乙方提供60万履约保函；乙方开具100万预付款保函，甲方支付100万元预付款，在最后一笔订单支付80%中扣除，多退少补</t>
  </si>
  <si>
    <t>209-2</t>
  </si>
  <si>
    <t>YRKJGC-170046</t>
  </si>
  <si>
    <t>预付款</t>
  </si>
  <si>
    <t>江苏上上电缆集团有限公司  合计</t>
  </si>
  <si>
    <t>210-1</t>
  </si>
  <si>
    <t>YRKJGC-170047</t>
  </si>
  <si>
    <t>10KV电力电缆协议-预付款押金</t>
  </si>
  <si>
    <t>福建南平太阳电缆股份有限公司</t>
  </si>
  <si>
    <t>甲方到乙方检验合格，签发发货同意书，收到全额17%专票，支付80%货款；乙方提供60万履约保函；乙方开具50万预付款保函，甲方支付50万元预付款，在最后一笔订单支付80%中扣除，多退少补</t>
  </si>
  <si>
    <t>210-2</t>
  </si>
  <si>
    <t>福建南平太阳电缆股份有限公司  合计</t>
  </si>
  <si>
    <t>211-1</t>
  </si>
  <si>
    <t>YRKJGC-170044-1</t>
  </si>
  <si>
    <t>明星电缆销售有限公司</t>
  </si>
  <si>
    <t>甲方到乙方检验合格，签发发货同意书，收到全额17%专票，支付80%货款；乙方提供60万履约保函；乙方开具50万预付款保函，甲方支付50万元预付款，在最后一笔订单支付81%中扣除，多退少补</t>
  </si>
  <si>
    <t>安装验收合格后15个工作日支付16%</t>
  </si>
  <si>
    <t>YRKJGC-170044</t>
  </si>
  <si>
    <t>211-2</t>
  </si>
  <si>
    <t>YRKJGC-170053</t>
  </si>
  <si>
    <t>控制电缆</t>
  </si>
  <si>
    <t>甲方收到货、发票后，10-15个工作日支付100%</t>
  </si>
  <si>
    <t>211-3</t>
  </si>
  <si>
    <t>YRKJGC-170064</t>
  </si>
  <si>
    <t>橡胶电缆</t>
  </si>
  <si>
    <t>明星电缆销售有限公司  合计</t>
  </si>
  <si>
    <t>YRKJGC-170052</t>
  </si>
  <si>
    <t>阻燃交联屏蔽控制电缆-A级阻燃</t>
  </si>
  <si>
    <t>YRKJGC-170051</t>
  </si>
  <si>
    <t>2017070048/2017080089</t>
  </si>
  <si>
    <t>电气材料</t>
  </si>
  <si>
    <t>莆田冠亿自动化科技有限公司</t>
  </si>
  <si>
    <t>230-1</t>
  </si>
  <si>
    <t>YRKJGC-170051-1</t>
  </si>
  <si>
    <t>不锈钢板（第一批）</t>
  </si>
  <si>
    <t>江苏大明金属制品有限公司</t>
  </si>
  <si>
    <t>甲方收到20%履约保函和收据，7个工作日支付20%预付款</t>
  </si>
  <si>
    <t>甲方去乙方工厂验收，完成后，5个工作日支付60%发货款，开具全额发票</t>
  </si>
  <si>
    <t>货到现场，甲方5个工作日内验收合格支付15%验收款</t>
  </si>
  <si>
    <t>5%质量保证金</t>
  </si>
  <si>
    <t>230-2</t>
  </si>
  <si>
    <t>YRKJGC-170059</t>
  </si>
  <si>
    <t>不锈钢板（第二批）</t>
  </si>
  <si>
    <t>230-3</t>
  </si>
  <si>
    <t>YRKJGC-170054</t>
  </si>
  <si>
    <t>不锈钢板（第三批）</t>
  </si>
  <si>
    <t>230-4</t>
  </si>
  <si>
    <t>YRKJGC-170073</t>
  </si>
  <si>
    <t>不锈钢板（第四批）</t>
  </si>
  <si>
    <t>230-5</t>
  </si>
  <si>
    <t>YRKJGC-170095</t>
  </si>
  <si>
    <t>不锈钢板（第五批）</t>
  </si>
  <si>
    <t>不锈钢板（共4单）</t>
  </si>
  <si>
    <t>江苏大明金属制品有限公司  合计</t>
  </si>
  <si>
    <t>259-1</t>
  </si>
  <si>
    <t>YRKJGC-170055</t>
  </si>
  <si>
    <t>碳钢板材</t>
  </si>
  <si>
    <t>福州乐之贸易有限公司</t>
  </si>
  <si>
    <t>货到付款，累计100万以上支付</t>
  </si>
  <si>
    <t>259-2</t>
  </si>
  <si>
    <t>甲方收到货验收合格支付100%货款</t>
  </si>
  <si>
    <t>268-1</t>
  </si>
  <si>
    <t>YRKJGC-170036</t>
  </si>
  <si>
    <t>不锈钢阀门</t>
  </si>
  <si>
    <t>安徽铜都流体科技股份有限公司</t>
  </si>
  <si>
    <t>6个月承兑汇票/电汇按189150元</t>
  </si>
  <si>
    <t>货到交货点验收合格，收到全额发票后，支付95%</t>
  </si>
  <si>
    <t>268-2</t>
  </si>
  <si>
    <t>YRKJGC-170063</t>
  </si>
  <si>
    <t>匣阀</t>
  </si>
  <si>
    <t>到货后收到发票支付60%</t>
  </si>
  <si>
    <t>运行验收合格后支付30%</t>
  </si>
  <si>
    <t>YRKJGC-170040</t>
  </si>
  <si>
    <t>法兰、垫片、螺铨</t>
  </si>
  <si>
    <t>大通互惠集团有限公司</t>
  </si>
  <si>
    <t>YRKJGC-170050</t>
  </si>
  <si>
    <t>焊接钢管</t>
  </si>
  <si>
    <t>厦门天亮不锈钢销售有限公司</t>
  </si>
  <si>
    <t>全厂给排水管网、全厂工艺及供热外管</t>
  </si>
  <si>
    <t>甲方到乙方检验合格，签发发货同意书，收到全额17%专票，支付80%货款；乙方提供10%履约保函</t>
  </si>
  <si>
    <t>甲方材料到货验收完成，审查认可后30日内支付15%验收款</t>
  </si>
  <si>
    <t>YRKJGC-170049</t>
  </si>
  <si>
    <t>无缝钢管</t>
  </si>
  <si>
    <t>272-1</t>
  </si>
  <si>
    <t>YRKJGC-170048-1</t>
  </si>
  <si>
    <t>地脚螺铨</t>
  </si>
  <si>
    <t>272-2</t>
  </si>
  <si>
    <t>YRKJGC-170048-2</t>
  </si>
  <si>
    <t>氨肟化装置、硫铵装置</t>
  </si>
  <si>
    <t>272-3</t>
  </si>
  <si>
    <t>YRKJGC-170048-3</t>
  </si>
  <si>
    <t>272-4</t>
  </si>
  <si>
    <t>YRKJGC-170048-4</t>
  </si>
  <si>
    <t>272-5</t>
  </si>
  <si>
    <t>YRKJGC-170048-5</t>
  </si>
  <si>
    <t>YRKJGC-170048</t>
  </si>
  <si>
    <t>地脚螺铨框架协议</t>
  </si>
  <si>
    <t>泉州市中天石油化工机械制造有限公司 合计</t>
  </si>
  <si>
    <t>YRKJGC-170057</t>
  </si>
  <si>
    <t>电气工具</t>
  </si>
  <si>
    <t>YRKJBT-170111</t>
  </si>
  <si>
    <t>调节阀、球阀一批</t>
  </si>
  <si>
    <t>浙江永盛科技股份有限公司</t>
  </si>
  <si>
    <t>甲方去乙方工厂验收，完成后，5个工作日支付40%发货款，开具等额发票</t>
  </si>
  <si>
    <t>甲方收到经甲方核定调试合格报告及全额的发票后15个工作日支付30%调试款</t>
  </si>
  <si>
    <t>YRKJBT-170118</t>
  </si>
  <si>
    <t>关键球阀一批</t>
  </si>
  <si>
    <t>无锡智能自控工程股份有限公司</t>
  </si>
  <si>
    <t>10%质保金，自验收合格，满12月或货到现场19个月支付</t>
  </si>
  <si>
    <t>YRKJBT-170113</t>
  </si>
  <si>
    <t>三通阀一批</t>
  </si>
  <si>
    <t>无锡市亚迪流体控制技术有限公司</t>
  </si>
  <si>
    <t>YRKJBT-170112</t>
  </si>
  <si>
    <t>偏心旋转阀一批</t>
  </si>
  <si>
    <t>吴忠仪表有限责任公司</t>
  </si>
  <si>
    <t>YRKJBT-170116</t>
  </si>
  <si>
    <t>蝶阀一批</t>
  </si>
  <si>
    <t>YRKJGC-170065</t>
  </si>
  <si>
    <t>时控开关、微型断路器、铁丝</t>
  </si>
  <si>
    <t>YRKJEQ-170097</t>
  </si>
  <si>
    <t>气动O型金属密封球阀</t>
  </si>
  <si>
    <t>罗伯（北京）自控设备有限公司</t>
  </si>
  <si>
    <t>甲方收到10%履约保函和等额发票，15个工作日支付20%预付款   10%质量保函</t>
  </si>
  <si>
    <t>甲方去乙方工厂验收，完成后，5个工作日支付80%发货款，开具等额发票</t>
  </si>
  <si>
    <t>YRKJGC-17037</t>
  </si>
  <si>
    <t>塑料检查井</t>
  </si>
  <si>
    <t>浙江天井塑业有限公司</t>
  </si>
  <si>
    <t>6个月承兑汇票/电汇按646000元</t>
  </si>
  <si>
    <t xml:space="preserve">甲方收到10%履约保函和等额发票，15个工作日支付10%预付款   </t>
  </si>
  <si>
    <t>当月支付实际供货合格数量金额的80%</t>
  </si>
  <si>
    <t>292-1</t>
  </si>
  <si>
    <t>YRKJGC-170062</t>
  </si>
  <si>
    <t>角钢、钢板一批</t>
  </si>
  <si>
    <t>厦门青科金属材料有限公司</t>
  </si>
  <si>
    <t>292-2</t>
  </si>
  <si>
    <t>YRKJGC-170070</t>
  </si>
  <si>
    <t>无缝钢管、不锈钢管</t>
  </si>
  <si>
    <t>货到验收合格后，收到100%发票后付95%</t>
  </si>
  <si>
    <t>YRKJBT-170119</t>
  </si>
  <si>
    <t>I类调节阀</t>
  </si>
  <si>
    <t>YRKJBT-170117</t>
  </si>
  <si>
    <t>硝酸尾气水封罐</t>
  </si>
  <si>
    <t>广州市双时复合材料有限公司</t>
  </si>
  <si>
    <t>甲方收到货物验收合格15个工作日付清</t>
  </si>
  <si>
    <t>YRKJEQ-170102</t>
  </si>
  <si>
    <t>OTS系统一套</t>
  </si>
  <si>
    <t>浙江中控技术股份有限公司</t>
  </si>
  <si>
    <t>硫铵装置、环己酮装置、氨肟化装置、己内酰胺装置</t>
  </si>
  <si>
    <t xml:space="preserve">甲方收到10%履约保函和等额发票，15个工作日支付20%预付款   </t>
  </si>
  <si>
    <t>YRKJBT-170114</t>
  </si>
  <si>
    <t>星域控制工程（上海）有限公司</t>
  </si>
  <si>
    <t>硫铵装置、氨肟化装置、环己酮装置</t>
  </si>
  <si>
    <t xml:space="preserve">甲方收到10%履约保函和等额收据，15个工作日支付20%预付款  </t>
  </si>
  <si>
    <t>YRKJGC-17071</t>
  </si>
  <si>
    <t>防雷接地材料</t>
  </si>
  <si>
    <t>浙江华甸防雷科技有限公司</t>
  </si>
  <si>
    <t>甲方货物验收合格收到全额发票支付100%货款 10万质量保函 有效期6个月</t>
  </si>
  <si>
    <t>YRKJGC-17079</t>
  </si>
  <si>
    <t>HFB增强型电力波纹管</t>
  </si>
  <si>
    <t>全厂道路照明及接地系统</t>
  </si>
  <si>
    <t xml:space="preserve">甲方货物验收合格收到全额发票支付100%货款 </t>
  </si>
  <si>
    <t>YRKJGC-17072</t>
  </si>
  <si>
    <t>扁钢、角钢、钢板</t>
  </si>
  <si>
    <t>YRKJGC-17082</t>
  </si>
  <si>
    <t>水泥联锁块（39元/M2）</t>
  </si>
  <si>
    <t>按月结算，提供发票支付100%</t>
  </si>
  <si>
    <t>YRKJGC-17060</t>
  </si>
  <si>
    <t>法兰管件一批</t>
  </si>
  <si>
    <t>河北省沧州恒通管件制造有限公司</t>
  </si>
  <si>
    <t>YRKJGC-17069</t>
  </si>
  <si>
    <t>钢结构</t>
  </si>
  <si>
    <t>福建东钢钢铁有限公司</t>
  </si>
  <si>
    <t>甲方收到等额发票及预付款保函15个工作日支付20%预付款  10%履约保函</t>
  </si>
  <si>
    <t>甲方收到经甲方核定调试合格报告及全额的发票后15个工作日支付15%验收款</t>
  </si>
  <si>
    <t>YRKJGC-17078</t>
  </si>
  <si>
    <t>油漆框架协议</t>
  </si>
  <si>
    <t>江苏金陵特种涂料有限公司</t>
  </si>
  <si>
    <t>甲方收到货检验合格后收到全额发票30个工作日支付95%</t>
  </si>
  <si>
    <t>YRKJGC-17061</t>
  </si>
  <si>
    <t>油漆</t>
  </si>
  <si>
    <t>中远关西涂料化工（珠海）有限公司</t>
  </si>
  <si>
    <t>YRKJGC-17077</t>
  </si>
  <si>
    <t>永记造漆工业（昆山）有限公司</t>
  </si>
  <si>
    <t>YRKJGC-17084</t>
  </si>
  <si>
    <t>YRKJGC-17075</t>
  </si>
  <si>
    <t>路灯262套</t>
  </si>
  <si>
    <t>飞策防爆电器有限公司</t>
  </si>
  <si>
    <t>甲方经核定调试合格报告及本合同的足额发票后15个工作日支付30%调试款</t>
  </si>
  <si>
    <t>合同付款执行情况汇总表(服务合同）</t>
  </si>
  <si>
    <t>合同付款执行情况明细表（服务合同）</t>
  </si>
  <si>
    <t>节点明细（服务合同）</t>
  </si>
  <si>
    <t>JPCT120015</t>
  </si>
  <si>
    <t>工程设计及技术服务</t>
  </si>
  <si>
    <t>京鼎工程建设有限公司</t>
  </si>
  <si>
    <t>合同半路终止</t>
  </si>
  <si>
    <t>环境影响评价</t>
  </si>
  <si>
    <t>福建省环境科学研究院</t>
  </si>
  <si>
    <t>合同签订后5个工作日支付100万</t>
  </si>
  <si>
    <t>乙方提交报告书5个工作日内支付60万</t>
  </si>
  <si>
    <t>乙方提交报告书（报批本）后5个工作日</t>
  </si>
  <si>
    <t>另外支付送钱</t>
  </si>
  <si>
    <t>地下水环境评价</t>
  </si>
  <si>
    <t>核工业鹰潭工程勘察院</t>
  </si>
  <si>
    <t>合同签订10个工作日支付30%预付款</t>
  </si>
  <si>
    <t>提交最终专题报告后支付5万</t>
  </si>
  <si>
    <t>项目通过环评审批后支付5万</t>
  </si>
  <si>
    <t>WMZX2015017</t>
  </si>
  <si>
    <t>安全预评估</t>
  </si>
  <si>
    <t>福建省为民安全工程师咨询服务中心</t>
  </si>
  <si>
    <t>合同签订收到乙方正式发票后15个工作日支付50%</t>
  </si>
  <si>
    <t>报告书经专家确认后，收到全部发票后支付50%</t>
  </si>
  <si>
    <t>护卫保安服务</t>
  </si>
  <si>
    <t>福建特护保安有限公司南安分公司</t>
  </si>
  <si>
    <t>次月20日之前支付本月服务费</t>
  </si>
  <si>
    <t>K1507</t>
  </si>
  <si>
    <t>社会稳定风险分析篇章</t>
  </si>
  <si>
    <t>厦门华旸建筑工程设计有限公司</t>
  </si>
  <si>
    <t>篇章报审稿提交后10个工作日支付30%</t>
  </si>
  <si>
    <t>评估通过后10个工作日付清</t>
  </si>
  <si>
    <t>临时接电费，暂收12.4万，临时接电结束退还</t>
  </si>
  <si>
    <t>国网福建省电力有限公司莆田供电公司</t>
  </si>
  <si>
    <t>合同签订一次性支付</t>
  </si>
  <si>
    <t>厂区测绘工程（地形、自然地面标高、标准坐标点等数据测量）</t>
  </si>
  <si>
    <t>福建地智信息技术有限公司</t>
  </si>
  <si>
    <t>无标明</t>
  </si>
  <si>
    <t>按月按进度每月25日向甲方报当月的实际完成工程量，支付工程款的80%</t>
  </si>
  <si>
    <t>经甲方验收通过且所有资料与甲方交接完毕后支付至90%</t>
  </si>
  <si>
    <t>乙方提交结算书和竣工图纸，经甲方审核后办理交接手续后10个工作日内，付清</t>
  </si>
  <si>
    <t>YRKJGC-150004</t>
  </si>
  <si>
    <t>CPL建设工程监理及补充协议（金额不定）</t>
  </si>
  <si>
    <t>四川亿博工程项目管理有限公司</t>
  </si>
  <si>
    <t>监理人在合同约定每次付款前7日向委托人申请支付申请书</t>
  </si>
  <si>
    <t>EVERSUN201506</t>
  </si>
  <si>
    <t>湖南百利设计费</t>
  </si>
  <si>
    <t>湖南百利工程科技股份有限公司</t>
  </si>
  <si>
    <t>非装置</t>
  </si>
  <si>
    <t>合同签订且甲方收到乙方对应金额的正式发票后，甲方在三十天内向乙方支付设计费的15%，作为定金。</t>
  </si>
  <si>
    <t>乙方向甲方提交长周期设备数据表或工程图及用于长周期设备采购文件，甲方需咋一周内进行确认，确认后三十天内，甲方支付设计费的5%</t>
  </si>
  <si>
    <t>乙方基础工程设计文件审查后，甲方在30天内甲方向乙方支付设计费30%</t>
  </si>
  <si>
    <t>乙方向甲方提交工艺管道及仪表流程图PID,甲方需在一周内进行确认，确认后三十天内，甲方支付设计费5%</t>
  </si>
  <si>
    <t>乙方向甲方提供主要建构筑物的土建施工图，甲方需在一周内进行确认，确认后30天内向乙方支付设计费的30%</t>
  </si>
  <si>
    <t>乙方向甲方提交全部详细工程设计文件，甲方需在一周内进行确认，30天内支付设计费的30%</t>
  </si>
  <si>
    <t>待本合同项下所有工厂装置性能考核合格，项目开车成功后3个月内，甲方向乙方支付至设计费的100%。</t>
  </si>
  <si>
    <t>海域前期费用结算单</t>
  </si>
  <si>
    <t>莆田市海洋与渔业环境监测站</t>
  </si>
  <si>
    <t>合同签订10个工作日一次性支付</t>
  </si>
  <si>
    <t>94-1</t>
  </si>
  <si>
    <t>YRKJGC-150009</t>
  </si>
  <si>
    <t>建设工程勘察（岩土详细勘察）</t>
  </si>
  <si>
    <t>福建省建筑工程质量检测中心有限公司</t>
  </si>
  <si>
    <t>94-2</t>
  </si>
  <si>
    <t>建设工程勘察（岩土详细勘察）58元/米</t>
  </si>
  <si>
    <t>福建省建研工程顾问有限公司</t>
  </si>
  <si>
    <t>每月按实际工程量结算进度款60%，验收及提交合格成果后支付20%</t>
  </si>
  <si>
    <t>验收及提交合格成果后支付20%</t>
  </si>
  <si>
    <t>全厂土建勘察服务完成后支付15%</t>
  </si>
  <si>
    <t>质保金5%，1年</t>
  </si>
  <si>
    <t>94-3</t>
  </si>
  <si>
    <t>岩土勘察设计</t>
  </si>
  <si>
    <t>江苏省岩土工程勘察设计研究院</t>
  </si>
  <si>
    <t>建设工程勘察（岩土详细勘察） 合计</t>
  </si>
  <si>
    <t>福建省建筑工程质量检测中心有限公司/福建省建研工程顾问有限公司/江苏省岩土工程勘察设计研究院</t>
  </si>
  <si>
    <t>电力工程设计（配套输变电工程方案设计）</t>
  </si>
  <si>
    <t>莆田荔源电力勘察设计有限公司</t>
  </si>
  <si>
    <t>合同生效，支付20%预付款</t>
  </si>
  <si>
    <t>基础设计完成并提交全部文件资料，开具合同50%的6%专票后支付30%</t>
  </si>
  <si>
    <t>在全套施工图纸及接入系统等文件通知通过相关部门会审，开具50%专票后支付30%</t>
  </si>
  <si>
    <t>工程送电成功并稳定运行一个月后支付20%</t>
  </si>
  <si>
    <t>意大利专有技术费</t>
  </si>
  <si>
    <t>意大利（IPT Srl)</t>
  </si>
  <si>
    <t>合同签订且收到单据发票后100%支付</t>
  </si>
  <si>
    <t>HZPJY(2016)-01</t>
  </si>
  <si>
    <t>化工职业病预评价</t>
  </si>
  <si>
    <t>北京化工职业病防治院</t>
  </si>
  <si>
    <t>合同签订5个工作日支付20%</t>
  </si>
  <si>
    <t>安监局组织召开审核会议前5日支付30%</t>
  </si>
  <si>
    <t>通过国家行政主管部门备案批复后5个工作日，支付50%</t>
  </si>
  <si>
    <t>YRKJGC-160003</t>
  </si>
  <si>
    <t>LNG输送技术咨询</t>
  </si>
  <si>
    <t>福建省石油化学工业设计院</t>
  </si>
  <si>
    <t>乙方提供初步方案报告前，全额转账，乙方收到款后一周开具专票</t>
  </si>
  <si>
    <t>QS-16-048</t>
  </si>
  <si>
    <t>建筑工程施工图文件审查</t>
  </si>
  <si>
    <t>泉州市建设工程施工图审查中心有限公司</t>
  </si>
  <si>
    <t>乙方完成施工图意见或报告前，全额付清</t>
  </si>
  <si>
    <t>YRKJ-2016GC-JLHT0001</t>
  </si>
  <si>
    <t>建设工程监理</t>
  </si>
  <si>
    <t>每月支付上月监理服务费，含发票</t>
  </si>
  <si>
    <t>QS-16-071</t>
  </si>
  <si>
    <t>QS-16-152</t>
  </si>
  <si>
    <t>YRKJGC-170001</t>
  </si>
  <si>
    <t>软基检测（场地沉降监测）</t>
  </si>
  <si>
    <t>福建省建筑设计研究院</t>
  </si>
  <si>
    <t>软基处理7万元</t>
  </si>
  <si>
    <t>全部施工完毕验收合格，收到全额专票后的10-15个工作日付全款</t>
  </si>
  <si>
    <t>YRKJXZ-170002</t>
  </si>
  <si>
    <t>专项法律顾问服务</t>
  </si>
  <si>
    <t>福建天衡联合（福州）律师事务所</t>
  </si>
  <si>
    <t>乙方提供增值税发票，合同签订5个工作日之内支付50%</t>
  </si>
  <si>
    <t>乙方提交尽职报告之日5个工作日内支付剩余的50%</t>
  </si>
  <si>
    <t>YRKJ-2017GC-JLHT0001</t>
  </si>
  <si>
    <t>厂前区项目土建工程监理</t>
  </si>
  <si>
    <t>上海协同工程咨询有限公司</t>
  </si>
  <si>
    <t>建筑物基础承台完20%</t>
  </si>
  <si>
    <t>建筑物主体结构施工完20%</t>
  </si>
  <si>
    <t>建筑物装饰工程施工完20%</t>
  </si>
  <si>
    <t>公用工程、配套工程及总图工程完20%</t>
  </si>
  <si>
    <t>建筑物中间交接验收完20%</t>
  </si>
  <si>
    <t>竣工完成（保函竣工资料完成）</t>
  </si>
  <si>
    <t>工程竣工验收合格并完成交接手续后支付尾款</t>
  </si>
  <si>
    <t>61-1</t>
  </si>
  <si>
    <t>YRKJGC-170003</t>
  </si>
  <si>
    <t>设计费</t>
  </si>
  <si>
    <t>中国天辰工程有限公司</t>
  </si>
  <si>
    <t>合同生效一周内，支付设计费的15%</t>
  </si>
  <si>
    <t>收到承包人提供初步设计文件10个工作日内，支付35%</t>
  </si>
  <si>
    <t>收到承包人提供的非标设备图10个工作日内，支付10%</t>
  </si>
  <si>
    <t>收到承包人提供的工艺装置土建图的10个工作日内，支付5%</t>
  </si>
  <si>
    <t>收到承包人提供的施工图设计文件10个工作日内，支付10%</t>
  </si>
  <si>
    <t>收到承包人提供的操作手册15个工作日内，支付5%</t>
  </si>
  <si>
    <t>投料开车产出合格环己酮后15个工作日内，支付10%</t>
  </si>
  <si>
    <t>性能考核合格后15个工作日内，支付10%</t>
  </si>
  <si>
    <t>61-2</t>
  </si>
  <si>
    <t>采购服务费</t>
  </si>
  <si>
    <t>从参与招标第一个月开始，前6个月每月支付15%</t>
  </si>
  <si>
    <t>采购服务完成后支付10%</t>
  </si>
  <si>
    <t>61-3</t>
  </si>
  <si>
    <t>施工管理费</t>
  </si>
  <si>
    <t>合同生效，支付10%预付款</t>
  </si>
  <si>
    <t>按月根据进度计量体系支付，每月5日支付上月经监理单位和发包人审核的工程进度的95%,总额支付不超过95%，停止发放。</t>
  </si>
  <si>
    <t>装置机械竣工后支付至100%</t>
  </si>
  <si>
    <t>61-4</t>
  </si>
  <si>
    <t>初次采购催化剂</t>
  </si>
  <si>
    <t>另行商议</t>
  </si>
  <si>
    <t>环己酮装置设计服务(环己酮预算范围内管控） 合计</t>
  </si>
  <si>
    <t>YRKJ-2017GC-SGHT007</t>
  </si>
  <si>
    <t>桩基检测II标段工程</t>
  </si>
  <si>
    <t>厦门市工程检测中心有限公司</t>
  </si>
  <si>
    <t>检测工作结束，提交检测简报后，支付合同总价的60%</t>
  </si>
  <si>
    <t>提供正式检测报告后，支付至合同的80%</t>
  </si>
  <si>
    <t>经内部审计部门审计后，支付至95%</t>
  </si>
  <si>
    <t>项目竣工验收资料归档后支付尾款</t>
  </si>
  <si>
    <t>YRKJ-2017GC-SGHT006</t>
  </si>
  <si>
    <t>桩基检测I标段工程</t>
  </si>
  <si>
    <t>福建省永正工程质量检测有限公司</t>
  </si>
  <si>
    <t>提供正式的检测报告后，支付至合同的80%</t>
  </si>
  <si>
    <t>经招标人内部审计后，支付至95%</t>
  </si>
  <si>
    <t>YRKJGC-170016</t>
  </si>
  <si>
    <t>动力站EPC工程监理合同</t>
  </si>
  <si>
    <t>福建省宏闽电力工程监理有限公司/福建经典工程咨询有限公司（联合体）</t>
  </si>
  <si>
    <t>合同暂定17个月，金额暂定918180每月25日前提供监理费申请资料，下月25日前支付，收到乙方6%专票后再予以支付</t>
  </si>
  <si>
    <t>YRKJGC-170017</t>
  </si>
  <si>
    <t>工程报装和供气合同</t>
  </si>
  <si>
    <t>旷远能源股份有限公司</t>
  </si>
  <si>
    <t>YRKJGC-170018</t>
  </si>
  <si>
    <t>HAZOP技术咨询分析</t>
  </si>
  <si>
    <t>北京思创信息系统有限公司</t>
  </si>
  <si>
    <t>本合同生效后5日内，乙方提交本合同100%总额发票后，甲方支付咨询费预付款28000</t>
  </si>
  <si>
    <t>乙方提交技术咨询电子版报告经过甲方验收后5日内，支付咨询费用余款70000，甲方支付完成后乙方提交盖章的纸质版报告。</t>
  </si>
  <si>
    <t>YRKJGC-170023</t>
  </si>
  <si>
    <t>2017030072-1</t>
  </si>
  <si>
    <t>项目、工程施工管理监理第II标段</t>
  </si>
  <si>
    <t>岳阳长岭炼化方元建设监理咨询有限公司</t>
  </si>
  <si>
    <t>工程建设监理费2223004</t>
  </si>
  <si>
    <t>按月支付，收到6%专票后，每月支付该月的80%，工程完工并通过质量监督站验收，且监理资料移交业主后，支付剩余的20%服务费（如要求电汇，监理人应向委托人支付反向贴息3%/6个月）</t>
  </si>
  <si>
    <t>YRKJGC-170027</t>
  </si>
  <si>
    <t>吊车租赁（按台班结算）</t>
  </si>
  <si>
    <t>莆田市秀屿区笏石双雄吊车出租</t>
  </si>
  <si>
    <t>发票：机械租赁费17%，吊车费6%，甲方如需开票，税点另算。每月结算一次，收到发票后5天内支付</t>
  </si>
  <si>
    <t>YRKJGC-170022</t>
  </si>
  <si>
    <t>项目、工程施工管理监理第I标段</t>
  </si>
  <si>
    <t>工程建设监理费409.5万元</t>
  </si>
  <si>
    <t>按月支付，收到6%专票后，每月支付该月的80%，工程完工并通过质量监督站验收，且监理资料移交业主后，支付剩余的20%服务费</t>
  </si>
  <si>
    <t>YRKJGC-170024</t>
  </si>
  <si>
    <t xml:space="preserve">关于己内酰胺项目管理框架协议 </t>
  </si>
  <si>
    <t>东洋工程（上海）有限公司</t>
  </si>
  <si>
    <t>收到东洋出具发票后15天内支付给东洋指定账户</t>
  </si>
  <si>
    <t>YRKJ-2017GC-SGHT011</t>
  </si>
  <si>
    <t>租赁一台履带式液压单斗挖掘机施工</t>
  </si>
  <si>
    <t>泉州宏福工程机械租赁有限公司</t>
  </si>
  <si>
    <t>完成施工任务后，收到3%专票，15个工作日后一次性支付</t>
  </si>
  <si>
    <t>YRKJGC-170033</t>
  </si>
  <si>
    <t>CPL项目设备监造技术服务</t>
  </si>
  <si>
    <t>南京三方化工设备监理有限公司</t>
  </si>
  <si>
    <t>每三个月结算一次，依据甲方签字确认考勤表和乙方付款申请单，乙方开具发票，支付90%，余10%乙方提交报告和工作总结，产品验收合格一年后支付</t>
  </si>
  <si>
    <t>YRKJGC-170034</t>
  </si>
  <si>
    <t>合肥通安工程机械设备监理有限公司</t>
  </si>
  <si>
    <t>安装工程第三方无损检测（Ⅰ标段）</t>
  </si>
  <si>
    <t>北京蓝光恒远工业检测有限公司</t>
  </si>
  <si>
    <t>AG-KJ-20170001</t>
  </si>
  <si>
    <t>安装工程第三方无损检测（Ⅱ标段）</t>
  </si>
  <si>
    <t>福建省特安安全技术服务中心</t>
  </si>
  <si>
    <t>YRKJGC-170056</t>
  </si>
  <si>
    <t>环己烷脱氢设计</t>
  </si>
  <si>
    <t>北京石油化工工程有限公司</t>
  </si>
  <si>
    <t>合同生效20天内，支付25%定金</t>
  </si>
  <si>
    <t>乙方提交主要设备清单20天内，支付25%</t>
  </si>
  <si>
    <t>乙方提供桩基图20天内，支付20%</t>
  </si>
  <si>
    <t>乙方提供全部详细设计文件存档后20天内，支付25%</t>
  </si>
  <si>
    <t>开车成功，支付5%</t>
  </si>
  <si>
    <t>YRKJXZ-170028</t>
  </si>
  <si>
    <t>项目管理信息系统建设合同</t>
  </si>
  <si>
    <t>上海普华科技发展有限公司</t>
  </si>
  <si>
    <t>合同签订2周后，甲方需确定首批许可人数，在乙方提供软件许可款项25万的100%，实施服务与开发55万的10%，乙方收到款项后，开具5.5万履约保函。</t>
  </si>
  <si>
    <t>项目管理系统业务调研规划完成，提交（系统应用方案）两周内，支付55万的20%</t>
  </si>
  <si>
    <t>系统建设完成，提交（系统分析说明书）（用户操作手册）（系统维护手册）后两周内，支付55万的30%</t>
  </si>
  <si>
    <t>系统建设完成，提交（系统验收报告）（系统运行维护管理规定）后两周，支付55万的35%</t>
  </si>
  <si>
    <t>系统通过验收后12个月，剩余的5%</t>
  </si>
  <si>
    <t>YRKJXZ-170041</t>
  </si>
  <si>
    <t>工程清单计价软件</t>
  </si>
  <si>
    <t>深圳市斯维尔科技股份有限公司</t>
  </si>
  <si>
    <t>收到发票后5个工作日支付全款</t>
  </si>
  <si>
    <t>施-X150302430号</t>
  </si>
  <si>
    <t>新装12台临时变电箱配电工程施工</t>
  </si>
  <si>
    <t>福建省莆田市电力工程有限公司</t>
  </si>
  <si>
    <t>验收合格，收到100%建安发票，支付95%</t>
  </si>
  <si>
    <t>消防站用地地形测量</t>
  </si>
  <si>
    <t>莆田市涵江区大地测量有限公司</t>
  </si>
  <si>
    <t>测量完成支付100%</t>
  </si>
  <si>
    <t>水土保持编制费</t>
  </si>
  <si>
    <t>福州德龙顺地农林技术开发有限公司</t>
  </si>
  <si>
    <t>三修车间门前绿化工程</t>
  </si>
  <si>
    <t>莆田市荔城区清溪林业咨询服务部</t>
  </si>
  <si>
    <t>工程验收合格支付80%</t>
  </si>
  <si>
    <t>竣工6个月，经公司审计验收合格，支付10%</t>
  </si>
  <si>
    <t>10%质量保证金，一年后验收合格付清</t>
  </si>
  <si>
    <t>AG-KJ-20170007</t>
  </si>
  <si>
    <t>项目临时土方工程和另行机械使用</t>
  </si>
  <si>
    <t>每两个月付一次进度款</t>
  </si>
  <si>
    <t>合同付款执行情况汇总表(行政合同）</t>
  </si>
  <si>
    <t>合同付款执行情况明细表（行政合同）</t>
  </si>
  <si>
    <t>节点明细（行政合同）</t>
  </si>
  <si>
    <t>沙盘模型1套（展厅参观）</t>
  </si>
  <si>
    <t>浏阳市南方科技展览模型有限公司</t>
  </si>
  <si>
    <t>预付款10%</t>
  </si>
  <si>
    <t>验收合格支付85%</t>
  </si>
  <si>
    <t>YRKJXZ-160004</t>
  </si>
  <si>
    <t>房租房用家具类（床、床头柜、衣柜、书桌等）</t>
  </si>
  <si>
    <t>福州市仓山区恒通日用品经营部</t>
  </si>
  <si>
    <t>货到验收合格收到全额发票后支付95%</t>
  </si>
  <si>
    <t>YRKJXZ-160005</t>
  </si>
  <si>
    <t>访客一体机1台</t>
  </si>
  <si>
    <t>YRKJXZ-160006</t>
  </si>
  <si>
    <t>TCL液晶电视21台*1050元/台</t>
  </si>
  <si>
    <t>福建广电网络集团有限公司莆田分公司</t>
  </si>
  <si>
    <t>收到发票，验收合格支付</t>
  </si>
  <si>
    <t>卓创资讯网站（化工网、钢铁网等商务信息）</t>
  </si>
  <si>
    <t>山东卓创资讯集团有限公司</t>
  </si>
  <si>
    <t>YRKJXZ-160008</t>
  </si>
  <si>
    <t>联想笔记本电脑1台</t>
  </si>
  <si>
    <t>福州威迅电子有限公司</t>
  </si>
  <si>
    <t>YR-TGA-01-03</t>
  </si>
  <si>
    <t>597人才网服务（16.8.1-18.8.1）</t>
  </si>
  <si>
    <t>莆田伍玖柒网络科技有限公司</t>
  </si>
  <si>
    <t>全额</t>
  </si>
  <si>
    <t>YRKJXZ-160007</t>
  </si>
  <si>
    <t>办公及宿舍家具（圆桌、凳子、茶几等）</t>
  </si>
  <si>
    <t>收到发票，验收合格支付95%</t>
  </si>
  <si>
    <t>YRKJXZ-170001</t>
  </si>
  <si>
    <t>三修车间办公家具</t>
  </si>
  <si>
    <t>货到交货地点验收合格后，收到100%专票17%后支付95%</t>
  </si>
  <si>
    <t>质量保证金5%</t>
  </si>
  <si>
    <t>YRKJXZ-170003</t>
  </si>
  <si>
    <t>增补三修车间办公家具</t>
  </si>
  <si>
    <t xml:space="preserve">福州市仓山区恒通日用品经营部 </t>
  </si>
  <si>
    <t>YRKJXZ-170004</t>
  </si>
  <si>
    <t>8台扬天台式电脑</t>
  </si>
  <si>
    <t>货到交货地点验收合格后，支付100%货款，乙方不接受反向贴息</t>
  </si>
  <si>
    <t>YRKJXZ-170005</t>
  </si>
  <si>
    <t>14台扬天台式电脑和1台戴尔电脑</t>
  </si>
  <si>
    <t>YRKJXZ-170006</t>
  </si>
  <si>
    <t>2017年夏季工作服600套*146元/套</t>
  </si>
  <si>
    <t>才子服饰股份有限公司</t>
  </si>
  <si>
    <t>货到交货点验收合格后支付100%货款</t>
  </si>
  <si>
    <t>YRKJXZ-170007</t>
  </si>
  <si>
    <t>5匹格力单冷空调12台*7600元/台</t>
  </si>
  <si>
    <t>莆田市涵江区意盛电器有限公司</t>
  </si>
  <si>
    <t>货到交货地点验收合格后收到17%全额专票后10个工作日支付全款</t>
  </si>
  <si>
    <t>YRKJXZ-170008</t>
  </si>
  <si>
    <t>扬天电脑7台*2930元/台</t>
  </si>
  <si>
    <t>货到交货地点验收合格后，支付100%货款，乙方接受反向贴息</t>
  </si>
  <si>
    <t>YRKJXZ-170013</t>
  </si>
  <si>
    <t>食堂食材物资团购业务协议书（2017.6.4-2017.9.3）</t>
  </si>
  <si>
    <t>莆田市凤凰百货有限公司</t>
  </si>
  <si>
    <t>每月一结，下个月2-3日双方财务核对无误后，收到销售正式发票和请款单等资料给买方，买方30天内汇款制定账户</t>
  </si>
  <si>
    <t>YRKJXZ-170015</t>
  </si>
  <si>
    <t>食堂早餐食材物资业务协议书</t>
  </si>
  <si>
    <t>莆田市秀屿区东庄镇赵祖浩包子店</t>
  </si>
  <si>
    <t>每月一结，下个月2-3日双方财务核对无误后，收到销售正式发票和请款单等资料给买方，买方15天内汇款制定账户</t>
  </si>
  <si>
    <t>YRKJXZ-170016</t>
  </si>
  <si>
    <t>单位采购业务协议书（早餐）</t>
  </si>
  <si>
    <t>莆田市秀屿区东庄镇黄碧山小吃店</t>
  </si>
  <si>
    <t>每月结一次</t>
  </si>
  <si>
    <t>YRKJXZ-170009</t>
  </si>
  <si>
    <t>劳保用品（安全鞋、纱手套、口罩、护目镜）</t>
  </si>
  <si>
    <t>福州帆顺特需劳保用品有限公司</t>
  </si>
  <si>
    <t>货到交货点验收合格后全额支付，乙方接受反向贴息</t>
  </si>
  <si>
    <t>YRKJXZ-170014</t>
  </si>
  <si>
    <t>食堂食材物资团购业务协议书（2017.9.4-2017.12.3）</t>
  </si>
  <si>
    <t>锦江麦德龙现购自运有限公司莆田荔城商行</t>
  </si>
  <si>
    <t>YRKJXZ-170017</t>
  </si>
  <si>
    <t>9台扬天台式电脑</t>
  </si>
  <si>
    <t>验收合格后支付，6个月的承兑汇票，卖方接受反向贴息</t>
  </si>
  <si>
    <t>YRKJGC-170028</t>
  </si>
  <si>
    <t>工程一切险及第三者责任险（17.6.20-18.10.31）</t>
  </si>
  <si>
    <t>中华联合财产保险股份有限公司</t>
  </si>
  <si>
    <t>6.25日之前付清</t>
  </si>
  <si>
    <t>2017.12.31之前付清</t>
  </si>
  <si>
    <t>YRKJXZ-170019</t>
  </si>
  <si>
    <t>5#、6#宿舍楼空气能热水器2套</t>
  </si>
  <si>
    <t>莆田市秀屿区宏达贸易有限公司</t>
  </si>
  <si>
    <t>本合同的10%作为质量保证金，验收后12个月后支付，甲方接收反向贴息</t>
  </si>
  <si>
    <t>YRKJXZ-170022</t>
  </si>
  <si>
    <t>服务器、硬盘</t>
  </si>
  <si>
    <t>YRKJXZ-170025</t>
  </si>
  <si>
    <t>窗帘</t>
  </si>
  <si>
    <t>莆田市鸿运窗饰贸易有限公司</t>
  </si>
  <si>
    <t>收到全额的增值税普票后，支付15%预付款</t>
  </si>
  <si>
    <t>甲方接收货物验收合格后，在安装调试验收合格后20个工作日支付85%</t>
  </si>
  <si>
    <t>YRKJXZ-170021</t>
  </si>
  <si>
    <t>5#、6#宿舍楼256台电视机共256台*1060元/台</t>
  </si>
  <si>
    <t>福建省广电网络集团股份有限公司</t>
  </si>
  <si>
    <t>货到安装验收合格后收到全额发票后15个工作日支付90%货款。8000元履约保证金退还</t>
  </si>
  <si>
    <t>10%质量保证金，验收合格后12个月支付</t>
  </si>
  <si>
    <t>YRKJXZ-170012</t>
  </si>
  <si>
    <t>5#、6#宿舍楼冰箱家具</t>
  </si>
  <si>
    <t>福建鸿达家具有限公司</t>
  </si>
  <si>
    <t>YRKJXZ-170020</t>
  </si>
  <si>
    <t>5#、6#宿舍楼296台空调</t>
  </si>
  <si>
    <t>YRKJXZ-170024</t>
  </si>
  <si>
    <t>5#、6#宿舍楼冰箱18台*980元/台，洗衣机18台*950元/台</t>
  </si>
  <si>
    <t>YRKJXZ-170026</t>
  </si>
  <si>
    <t>格力空调4台</t>
  </si>
  <si>
    <t>YRKJXZ-170027</t>
  </si>
  <si>
    <t>联想台式电脑7台</t>
  </si>
  <si>
    <t>YRKJXZ-170029</t>
  </si>
  <si>
    <t>YRKJXZ-170031</t>
  </si>
  <si>
    <t>交换机投影仪等信息类物资</t>
  </si>
  <si>
    <t>YRKJXZ-170036</t>
  </si>
  <si>
    <t>冰箱、洗衣机</t>
  </si>
  <si>
    <t>YRKJXZ-170034</t>
  </si>
  <si>
    <t>格力空调74台</t>
  </si>
  <si>
    <t>电视机92台</t>
  </si>
  <si>
    <t>货到验收合格收到全额发票后支付90%</t>
  </si>
  <si>
    <t>YRKJXZ-170033</t>
  </si>
  <si>
    <t>台式电脑28台，笔记本2台</t>
  </si>
  <si>
    <t>货到验收合格收到全额发票后支付100%</t>
  </si>
  <si>
    <t>YRKJXZ-170011</t>
  </si>
  <si>
    <t>屏风桌、办公椅、沙发</t>
  </si>
  <si>
    <t>5%质量保证金，验收合格后12个月支付</t>
  </si>
  <si>
    <t>YRKJXZ-170030</t>
  </si>
  <si>
    <t>条形桌（可折叠）147台</t>
  </si>
  <si>
    <t>YRKJXZ-170042</t>
  </si>
  <si>
    <t>5#、6#宿舍楼床垫507个</t>
  </si>
  <si>
    <t>YRKJXZ-170038</t>
  </si>
  <si>
    <t>金龙客车47座</t>
  </si>
  <si>
    <t>福建省琪龙经贸发展有限公司</t>
  </si>
  <si>
    <t>提车前一次性支付</t>
  </si>
  <si>
    <t>必胜酒店会务费</t>
  </si>
  <si>
    <t>莆田市必胜酒店管理有限公司秀屿分公司</t>
  </si>
  <si>
    <t>电脑配件一批</t>
  </si>
  <si>
    <t>劳保鞋、安全带</t>
  </si>
  <si>
    <t>合同付款执行情况汇总表(其他合同）</t>
  </si>
  <si>
    <t>合同付款执行情况明细表（其他合同）</t>
  </si>
  <si>
    <t>节点明细（其他合同）</t>
  </si>
  <si>
    <t>JPCT120016</t>
  </si>
  <si>
    <t>锦江石化转永荣-建设工程项目合同</t>
  </si>
  <si>
    <t>北京华福工程有限公司</t>
  </si>
  <si>
    <t>锦江石化转永荣科技</t>
  </si>
  <si>
    <t>锦江石化转永荣-技术转让（专利权）合同，CPL相关20项专利打包转让</t>
  </si>
  <si>
    <t>福建锦江石化有限公司</t>
  </si>
  <si>
    <t>莆海域2015年出字04号</t>
  </si>
  <si>
    <t>海域土地费（50年）</t>
  </si>
  <si>
    <t>莆田市财政局</t>
  </si>
  <si>
    <t>合同签订10日之内一次性付清。定金2636806元，取得使用权证书后退回</t>
  </si>
  <si>
    <t>莆海域2015年出字05号</t>
  </si>
  <si>
    <t>合同签订10日之内一次性付清。定金4028653元，取得使用权证书后退回</t>
  </si>
  <si>
    <t>莆秀国土资出字（2015）10号</t>
  </si>
  <si>
    <t>土地费（433816平米*144元/平米）</t>
  </si>
  <si>
    <t>莆田市国土资源局秀屿分局</t>
  </si>
  <si>
    <t>合同签订60日之内一次性付清</t>
  </si>
  <si>
    <t>莆秀国土资出字（2016）2号</t>
  </si>
  <si>
    <t>土地费</t>
  </si>
  <si>
    <t>莆海域2015年出字04号、05号、莆秀国土资出字（2015）10号 （2016）2号</t>
  </si>
  <si>
    <t>土地费政府补贴9780万元，II期建设土地费733.28万元</t>
  </si>
  <si>
    <t>莆田市财政局、莆田市国土资源局秀屿分局</t>
  </si>
  <si>
    <t>政府补贴</t>
  </si>
  <si>
    <t>排污权交易（60万吨）</t>
  </si>
  <si>
    <t>仙游县环境保护局</t>
  </si>
  <si>
    <t>排污权交易（付款60万吨排污费，本次一期工程按20万吨算）</t>
  </si>
  <si>
    <t>管理费统计（工资、报销单等）</t>
  </si>
  <si>
    <t>永荣科技</t>
  </si>
  <si>
    <t>HSE保证金及罚款金额</t>
  </si>
  <si>
    <t>已收HSE保证金</t>
  </si>
  <si>
    <t>罚款日期</t>
  </si>
  <si>
    <t>罚款金额</t>
  </si>
  <si>
    <t>罚款事由</t>
  </si>
  <si>
    <t>扣款状态</t>
  </si>
  <si>
    <t>扣款方式(HSE)</t>
  </si>
  <si>
    <t>扣款方式(其他)</t>
  </si>
  <si>
    <t>北区变电所临时用电不符合规定，未穿保护用品</t>
  </si>
  <si>
    <t>已扣</t>
  </si>
  <si>
    <t>工程款扣款</t>
  </si>
  <si>
    <t>工程部任兴财</t>
  </si>
  <si>
    <t>运输石料卡车行驶至16#路时，发生翻车事故</t>
  </si>
  <si>
    <t>工资扣款</t>
  </si>
  <si>
    <t>空分装置临时用电不规范</t>
  </si>
  <si>
    <t>北区变电所吊装作业未设警戒区及指挥人员无证操作</t>
  </si>
  <si>
    <t>监理款扣款</t>
  </si>
  <si>
    <t>动力站临时用电不符合规范，工人不戴安全帽</t>
  </si>
  <si>
    <t>未扣</t>
  </si>
  <si>
    <t>罚款编号2017年3号001001</t>
  </si>
  <si>
    <t>出纳忘记扣，下次再补扣</t>
  </si>
  <si>
    <t>单位：元</t>
  </si>
  <si>
    <t>年</t>
  </si>
  <si>
    <t>月</t>
  </si>
  <si>
    <t>东辰</t>
  </si>
  <si>
    <t>勘基</t>
  </si>
  <si>
    <t>地质</t>
  </si>
  <si>
    <t>十三化建</t>
  </si>
  <si>
    <t>二化建</t>
  </si>
  <si>
    <t>三化建</t>
  </si>
  <si>
    <t>十一化建</t>
  </si>
  <si>
    <t>十六化建</t>
  </si>
  <si>
    <t>岩田</t>
  </si>
  <si>
    <t>建东</t>
  </si>
  <si>
    <t>工业</t>
  </si>
  <si>
    <t>联合</t>
  </si>
  <si>
    <t>桥</t>
  </si>
  <si>
    <t>新金城</t>
  </si>
  <si>
    <t>奥格利</t>
  </si>
  <si>
    <t>四建</t>
  </si>
  <si>
    <t>差额</t>
  </si>
  <si>
    <t>3至5</t>
  </si>
  <si>
    <t>1至2</t>
  </si>
  <si>
    <t>9-11</t>
  </si>
  <si>
    <t>12</t>
  </si>
  <si>
    <t>3</t>
  </si>
  <si>
    <t>4</t>
  </si>
  <si>
    <t>5</t>
  </si>
  <si>
    <t>6</t>
  </si>
  <si>
    <t>7</t>
  </si>
  <si>
    <t>8</t>
  </si>
  <si>
    <t>9</t>
  </si>
  <si>
    <t>10</t>
  </si>
  <si>
    <t>采购员</t>
  </si>
  <si>
    <t>电气、仪表</t>
  </si>
  <si>
    <t>李德钧</t>
  </si>
  <si>
    <t>杨坤</t>
  </si>
  <si>
    <t>吴志雄</t>
  </si>
  <si>
    <t>设备</t>
  </si>
  <si>
    <t>李文红</t>
  </si>
  <si>
    <t>汪浩洋</t>
  </si>
  <si>
    <t>材料</t>
  </si>
  <si>
    <t>詹才华</t>
  </si>
  <si>
    <t>陈凤</t>
  </si>
  <si>
    <t>李志祥</t>
  </si>
  <si>
    <t>王丽丹</t>
  </si>
  <si>
    <t>行政内务</t>
  </si>
  <si>
    <t>刘芳</t>
  </si>
  <si>
    <t>黄雪琴</t>
  </si>
  <si>
    <t>实验室试剂</t>
  </si>
  <si>
    <t>张春曼</t>
  </si>
  <si>
    <t>实验室仪器</t>
  </si>
  <si>
    <t>开票日期</t>
  </si>
  <si>
    <t>开票金额</t>
  </si>
  <si>
    <t>完税证明  申报金额</t>
  </si>
  <si>
    <t>分包金额</t>
  </si>
  <si>
    <t>分包单位</t>
  </si>
  <si>
    <t>发票号</t>
  </si>
  <si>
    <t>中建中安建设有限公司</t>
  </si>
  <si>
    <t>10316395-10316414</t>
  </si>
</sst>
</file>

<file path=xl/styles.xml><?xml version="1.0" encoding="utf-8"?>
<styleSheet xmlns="http://schemas.openxmlformats.org/spreadsheetml/2006/main">
  <numFmts count="8">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6" formatCode="0_ "/>
    <numFmt numFmtId="177" formatCode="0.00_ "/>
    <numFmt numFmtId="178" formatCode="yyyy&quot;年&quot;m&quot;月&quot;d&quot;日&quot;;@"/>
    <numFmt numFmtId="179" formatCode="_ * #,##0_ ;_ * \-#,##0_ ;_ * &quot;-&quot;??_ ;_ @_ "/>
  </numFmts>
  <fonts count="42">
    <font>
      <sz val="11"/>
      <color theme="1"/>
      <name val="宋体"/>
      <charset val="134"/>
      <scheme val="minor"/>
    </font>
    <font>
      <b/>
      <sz val="11"/>
      <color theme="1"/>
      <name val="宋体"/>
      <charset val="134"/>
      <scheme val="minor"/>
    </font>
    <font>
      <b/>
      <sz val="18"/>
      <color theme="1"/>
      <name val="宋体"/>
      <charset val="134"/>
      <scheme val="minor"/>
    </font>
    <font>
      <sz val="10"/>
      <color theme="1"/>
      <name val="宋体"/>
      <charset val="134"/>
      <scheme val="minor"/>
    </font>
    <font>
      <sz val="14"/>
      <color theme="1"/>
      <name val="宋体"/>
      <charset val="134"/>
      <scheme val="minor"/>
    </font>
    <font>
      <sz val="9"/>
      <color theme="1"/>
      <name val="宋体"/>
      <charset val="134"/>
      <scheme val="minor"/>
    </font>
    <font>
      <b/>
      <sz val="9"/>
      <color theme="1"/>
      <name val="宋体"/>
      <charset val="134"/>
      <scheme val="minor"/>
    </font>
    <font>
      <b/>
      <sz val="14"/>
      <name val="宋体"/>
      <charset val="134"/>
      <scheme val="minor"/>
    </font>
    <font>
      <b/>
      <sz val="9"/>
      <name val="宋体"/>
      <charset val="134"/>
      <scheme val="minor"/>
    </font>
    <font>
      <sz val="9"/>
      <name val="宋体"/>
      <charset val="134"/>
      <scheme val="minor"/>
    </font>
    <font>
      <b/>
      <sz val="14"/>
      <color rgb="FFFF0000"/>
      <name val="宋体"/>
      <charset val="134"/>
      <scheme val="minor"/>
    </font>
    <font>
      <b/>
      <sz val="9"/>
      <color rgb="FFFF0000"/>
      <name val="宋体"/>
      <charset val="134"/>
      <scheme val="minor"/>
    </font>
    <font>
      <sz val="9"/>
      <color rgb="FFFF0000"/>
      <name val="宋体"/>
      <charset val="134"/>
      <scheme val="minor"/>
    </font>
    <font>
      <b/>
      <sz val="12"/>
      <color theme="1"/>
      <name val="宋体"/>
      <charset val="134"/>
      <scheme val="minor"/>
    </font>
    <font>
      <b/>
      <sz val="20"/>
      <color theme="1"/>
      <name val="宋体"/>
      <charset val="134"/>
      <scheme val="minor"/>
    </font>
    <font>
      <b/>
      <sz val="10"/>
      <color theme="1"/>
      <name val="宋体"/>
      <charset val="134"/>
      <scheme val="minor"/>
    </font>
    <font>
      <sz val="36"/>
      <color theme="1"/>
      <name val="宋体"/>
      <charset val="134"/>
      <scheme val="minor"/>
    </font>
    <font>
      <b/>
      <sz val="28"/>
      <color theme="1"/>
      <name val="宋体"/>
      <charset val="134"/>
      <scheme val="minor"/>
    </font>
    <font>
      <b/>
      <sz val="14"/>
      <color theme="1"/>
      <name val="宋体"/>
      <charset val="134"/>
      <scheme val="minor"/>
    </font>
    <font>
      <u/>
      <sz val="11"/>
      <color rgb="FF80008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sz val="11"/>
      <color rgb="FFFF0000"/>
      <name val="宋体"/>
      <charset val="0"/>
      <scheme val="minor"/>
    </font>
    <font>
      <u/>
      <sz val="11"/>
      <color rgb="FF0000FF"/>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0"/>
      <name val="Times New Roman"/>
      <charset val="0"/>
    </font>
    <font>
      <sz val="12"/>
      <name val="宋体"/>
      <charset val="134"/>
    </font>
    <font>
      <sz val="10"/>
      <color theme="1"/>
      <name val="宋体"/>
      <charset val="134"/>
    </font>
    <font>
      <b/>
      <sz val="10"/>
      <color theme="1"/>
      <name val="宋体"/>
      <charset val="134"/>
    </font>
  </fonts>
  <fills count="36">
    <fill>
      <patternFill patternType="none"/>
    </fill>
    <fill>
      <patternFill patternType="gray125"/>
    </fill>
    <fill>
      <patternFill patternType="solid">
        <fgColor rgb="FF92D050"/>
        <bgColor indexed="64"/>
      </patternFill>
    </fill>
    <fill>
      <patternFill patternType="solid">
        <fgColor rgb="FFFFFFCC"/>
        <bgColor indexed="64"/>
      </patternFill>
    </fill>
    <fill>
      <patternFill patternType="solid">
        <fgColor rgb="FFFFFF00"/>
        <bgColor indexed="64"/>
      </patternFill>
    </fill>
    <fill>
      <patternFill patternType="solid">
        <fgColor rgb="FFFFFF9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C6EFCE"/>
        <bgColor indexed="64"/>
      </patternFill>
    </fill>
    <fill>
      <patternFill patternType="solid">
        <fgColor theme="9" tint="0.399975585192419"/>
        <bgColor indexed="64"/>
      </patternFill>
    </fill>
    <fill>
      <patternFill patternType="solid">
        <fgColor theme="6"/>
        <bgColor indexed="64"/>
      </patternFill>
    </fill>
    <fill>
      <patternFill patternType="solid">
        <fgColor theme="4"/>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5"/>
        <bgColor indexed="64"/>
      </patternFill>
    </fill>
    <fill>
      <patternFill patternType="solid">
        <fgColor theme="9"/>
        <bgColor indexed="64"/>
      </patternFill>
    </fill>
    <fill>
      <patternFill patternType="solid">
        <fgColor theme="5" tint="0.799981688894314"/>
        <bgColor indexed="64"/>
      </patternFill>
    </fill>
    <fill>
      <patternFill patternType="solid">
        <fgColor theme="7"/>
        <bgColor indexed="64"/>
      </patternFill>
    </fill>
    <fill>
      <patternFill patternType="solid">
        <fgColor theme="7" tint="0.799981688894314"/>
        <bgColor indexed="64"/>
      </patternFill>
    </fill>
  </fills>
  <borders count="46">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hair">
        <color auto="1"/>
      </left>
      <right style="medium">
        <color auto="1"/>
      </right>
      <top style="hair">
        <color auto="1"/>
      </top>
      <bottom style="hair">
        <color auto="1"/>
      </bottom>
      <diagonal/>
    </border>
    <border>
      <left style="medium">
        <color auto="1"/>
      </left>
      <right style="thin">
        <color auto="1"/>
      </right>
      <top style="thin">
        <color auto="1"/>
      </top>
      <bottom style="thin">
        <color auto="1"/>
      </bottom>
      <diagonal/>
    </border>
    <border>
      <left style="hair">
        <color auto="1"/>
      </left>
      <right style="medium">
        <color auto="1"/>
      </right>
      <top/>
      <bottom style="hair">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style="thin">
        <color auto="1"/>
      </top>
      <bottom style="thin">
        <color auto="1"/>
      </bottom>
      <diagonal/>
    </border>
    <border>
      <left/>
      <right/>
      <top style="thin">
        <color auto="1"/>
      </top>
      <bottom style="thin">
        <color auto="1"/>
      </bottom>
      <diagonal/>
    </border>
    <border>
      <left style="thin">
        <color auto="1"/>
      </left>
      <right/>
      <top style="medium">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diagonal/>
    </border>
    <border>
      <left style="thin">
        <color auto="1"/>
      </left>
      <right style="medium">
        <color auto="1"/>
      </right>
      <top style="medium">
        <color auto="1"/>
      </top>
      <bottom style="medium">
        <color auto="1"/>
      </bottom>
      <diagonal/>
    </border>
    <border>
      <left style="thin">
        <color auto="1"/>
      </left>
      <right style="medium">
        <color auto="1"/>
      </right>
      <top/>
      <bottom/>
      <diagonal/>
    </border>
    <border>
      <left style="thin">
        <color auto="1"/>
      </left>
      <right style="medium">
        <color auto="1"/>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1">
    <xf numFmtId="0" fontId="0" fillId="0" borderId="0">
      <alignment vertical="center"/>
    </xf>
    <xf numFmtId="42" fontId="0" fillId="0" borderId="0" applyFont="0" applyFill="0" applyBorder="0" applyAlignment="0" applyProtection="0">
      <alignment vertical="center"/>
    </xf>
    <xf numFmtId="0" fontId="20" fillId="11" borderId="0" applyNumberFormat="0" applyBorder="0" applyAlignment="0" applyProtection="0">
      <alignment vertical="center"/>
    </xf>
    <xf numFmtId="0" fontId="25" fillId="14" borderId="3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8" borderId="0" applyNumberFormat="0" applyBorder="0" applyAlignment="0" applyProtection="0">
      <alignment vertical="center"/>
    </xf>
    <xf numFmtId="0" fontId="23" fillId="12" borderId="0" applyNumberFormat="0" applyBorder="0" applyAlignment="0" applyProtection="0">
      <alignment vertical="center"/>
    </xf>
    <xf numFmtId="43" fontId="0" fillId="0" borderId="0" applyFont="0" applyFill="0" applyBorder="0" applyAlignment="0" applyProtection="0">
      <alignment vertical="center"/>
    </xf>
    <xf numFmtId="0" fontId="21" fillId="17" borderId="0" applyNumberFormat="0" applyBorder="0" applyAlignment="0" applyProtection="0">
      <alignment vertical="center"/>
    </xf>
    <xf numFmtId="0" fontId="27"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 borderId="39" applyNumberFormat="0" applyFont="0" applyAlignment="0" applyProtection="0">
      <alignment vertical="center"/>
    </xf>
    <xf numFmtId="0" fontId="21" fillId="20" borderId="0" applyNumberFormat="0" applyBorder="0" applyAlignment="0" applyProtection="0">
      <alignment vertical="center"/>
    </xf>
    <xf numFmtId="0" fontId="22"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40" applyNumberFormat="0" applyFill="0" applyAlignment="0" applyProtection="0">
      <alignment vertical="center"/>
    </xf>
    <xf numFmtId="0" fontId="32" fillId="0" borderId="40" applyNumberFormat="0" applyFill="0" applyAlignment="0" applyProtection="0">
      <alignment vertical="center"/>
    </xf>
    <xf numFmtId="0" fontId="21" fillId="16" borderId="0" applyNumberFormat="0" applyBorder="0" applyAlignment="0" applyProtection="0">
      <alignment vertical="center"/>
    </xf>
    <xf numFmtId="0" fontId="22" fillId="0" borderId="42" applyNumberFormat="0" applyFill="0" applyAlignment="0" applyProtection="0">
      <alignment vertical="center"/>
    </xf>
    <xf numFmtId="0" fontId="21" fillId="25" borderId="0" applyNumberFormat="0" applyBorder="0" applyAlignment="0" applyProtection="0">
      <alignment vertical="center"/>
    </xf>
    <xf numFmtId="0" fontId="34" fillId="26" borderId="43" applyNumberFormat="0" applyAlignment="0" applyProtection="0">
      <alignment vertical="center"/>
    </xf>
    <xf numFmtId="0" fontId="35" fillId="26" borderId="38" applyNumberFormat="0" applyAlignment="0" applyProtection="0">
      <alignment vertical="center"/>
    </xf>
    <xf numFmtId="0" fontId="36" fillId="27" borderId="44" applyNumberFormat="0" applyAlignment="0" applyProtection="0">
      <alignment vertical="center"/>
    </xf>
    <xf numFmtId="0" fontId="20" fillId="29" borderId="0" applyNumberFormat="0" applyBorder="0" applyAlignment="0" applyProtection="0">
      <alignment vertical="center"/>
    </xf>
    <xf numFmtId="0" fontId="21" fillId="31" borderId="0" applyNumberFormat="0" applyBorder="0" applyAlignment="0" applyProtection="0">
      <alignment vertical="center"/>
    </xf>
    <xf numFmtId="0" fontId="37" fillId="0" borderId="45" applyNumberFormat="0" applyFill="0" applyAlignment="0" applyProtection="0">
      <alignment vertical="center"/>
    </xf>
    <xf numFmtId="0" fontId="31" fillId="0" borderId="41" applyNumberFormat="0" applyFill="0" applyAlignment="0" applyProtection="0">
      <alignment vertical="center"/>
    </xf>
    <xf numFmtId="0" fontId="33" fillId="21" borderId="0" applyNumberFormat="0" applyBorder="0" applyAlignment="0" applyProtection="0">
      <alignment vertical="center"/>
    </xf>
    <xf numFmtId="0" fontId="24" fillId="13" borderId="0" applyNumberFormat="0" applyBorder="0" applyAlignment="0" applyProtection="0">
      <alignment vertical="center"/>
    </xf>
    <xf numFmtId="0" fontId="20" fillId="7" borderId="0" applyNumberFormat="0" applyBorder="0" applyAlignment="0" applyProtection="0">
      <alignment vertical="center"/>
    </xf>
    <xf numFmtId="0" fontId="21" fillId="24" borderId="0" applyNumberFormat="0" applyBorder="0" applyAlignment="0" applyProtection="0">
      <alignment vertical="center"/>
    </xf>
    <xf numFmtId="0" fontId="20" fillId="10" borderId="0" applyNumberFormat="0" applyBorder="0" applyAlignment="0" applyProtection="0">
      <alignment vertical="center"/>
    </xf>
    <xf numFmtId="0" fontId="20" fillId="6" borderId="0" applyNumberFormat="0" applyBorder="0" applyAlignment="0" applyProtection="0">
      <alignment vertical="center"/>
    </xf>
    <xf numFmtId="0" fontId="20" fillId="33" borderId="0" applyNumberFormat="0" applyBorder="0" applyAlignment="0" applyProtection="0">
      <alignment vertical="center"/>
    </xf>
    <xf numFmtId="0" fontId="20" fillId="28" borderId="0" applyNumberFormat="0" applyBorder="0" applyAlignment="0" applyProtection="0">
      <alignment vertical="center"/>
    </xf>
    <xf numFmtId="0" fontId="21" fillId="23" borderId="0" applyNumberFormat="0" applyBorder="0" applyAlignment="0" applyProtection="0">
      <alignment vertical="center"/>
    </xf>
    <xf numFmtId="0" fontId="21" fillId="34" borderId="0" applyNumberFormat="0" applyBorder="0" applyAlignment="0" applyProtection="0">
      <alignment vertical="center"/>
    </xf>
    <xf numFmtId="0" fontId="20" fillId="35" borderId="0" applyNumberFormat="0" applyBorder="0" applyAlignment="0" applyProtection="0">
      <alignment vertical="center"/>
    </xf>
    <xf numFmtId="0" fontId="20" fillId="19" borderId="0" applyNumberFormat="0" applyBorder="0" applyAlignment="0" applyProtection="0">
      <alignment vertical="center"/>
    </xf>
    <xf numFmtId="0" fontId="21" fillId="9" borderId="0" applyNumberFormat="0" applyBorder="0" applyAlignment="0" applyProtection="0">
      <alignment vertical="center"/>
    </xf>
    <xf numFmtId="0" fontId="20" fillId="15" borderId="0" applyNumberFormat="0" applyBorder="0" applyAlignment="0" applyProtection="0">
      <alignment vertical="center"/>
    </xf>
    <xf numFmtId="0" fontId="21" fillId="30" borderId="0" applyNumberFormat="0" applyBorder="0" applyAlignment="0" applyProtection="0">
      <alignment vertical="center"/>
    </xf>
    <xf numFmtId="0" fontId="21" fillId="32" borderId="0" applyNumberFormat="0" applyBorder="0" applyAlignment="0" applyProtection="0">
      <alignment vertical="center"/>
    </xf>
    <xf numFmtId="0" fontId="20" fillId="18" borderId="0" applyNumberFormat="0" applyBorder="0" applyAlignment="0" applyProtection="0">
      <alignment vertical="center"/>
    </xf>
    <xf numFmtId="0" fontId="21" fillId="22" borderId="0" applyNumberFormat="0" applyBorder="0" applyAlignment="0" applyProtection="0">
      <alignment vertical="center"/>
    </xf>
    <xf numFmtId="0" fontId="38" fillId="0" borderId="0"/>
    <xf numFmtId="0" fontId="39" fillId="0" borderId="0"/>
  </cellStyleXfs>
  <cellXfs count="357">
    <xf numFmtId="0" fontId="0" fillId="0" borderId="0" xfId="0">
      <alignment vertical="center"/>
    </xf>
    <xf numFmtId="0" fontId="0" fillId="0" borderId="0" xfId="0" applyFill="1" applyAlignment="1">
      <alignment horizontal="center" vertical="center" wrapText="1"/>
    </xf>
    <xf numFmtId="178" fontId="0" fillId="0" borderId="0" xfId="0" applyNumberFormat="1" applyFill="1" applyAlignment="1">
      <alignment horizontal="center" vertical="center" wrapText="1"/>
    </xf>
    <xf numFmtId="177" fontId="0" fillId="0" borderId="0" xfId="0" applyNumberFormat="1" applyFill="1" applyAlignment="1">
      <alignment horizontal="center" vertical="center" wrapText="1"/>
    </xf>
    <xf numFmtId="0" fontId="1" fillId="0" borderId="1" xfId="0" applyFont="1" applyFill="1" applyBorder="1" applyAlignment="1">
      <alignment horizontal="center" vertical="center" wrapText="1"/>
    </xf>
    <xf numFmtId="178" fontId="1" fillId="0" borderId="1" xfId="0" applyNumberFormat="1" applyFont="1" applyFill="1" applyBorder="1" applyAlignment="1">
      <alignment horizontal="center" vertical="center" wrapText="1"/>
    </xf>
    <xf numFmtId="177"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178" fontId="0" fillId="0" borderId="1" xfId="0" applyNumberFormat="1" applyFill="1" applyBorder="1" applyAlignment="1">
      <alignment horizontal="center" vertical="center" wrapText="1"/>
    </xf>
    <xf numFmtId="177" fontId="0" fillId="0" borderId="1" xfId="0" applyNumberFormat="1" applyFill="1" applyBorder="1" applyAlignment="1">
      <alignment horizontal="center" vertical="center" wrapText="1"/>
    </xf>
    <xf numFmtId="0" fontId="0" fillId="0" borderId="0" xfId="0" applyFont="1" applyFill="1" applyAlignment="1"/>
    <xf numFmtId="0" fontId="0" fillId="0" borderId="0" xfId="0" applyFont="1" applyFill="1" applyAlignment="1">
      <alignment horizontal="center" vertical="center"/>
    </xf>
    <xf numFmtId="0" fontId="0" fillId="0" borderId="2" xfId="0" applyFont="1" applyFill="1" applyBorder="1" applyAlignment="1">
      <alignment horizontal="right"/>
    </xf>
    <xf numFmtId="0" fontId="0" fillId="0" borderId="3" xfId="0" applyFont="1" applyFill="1" applyBorder="1" applyAlignment="1">
      <alignment horizontal="right"/>
    </xf>
    <xf numFmtId="0" fontId="0" fillId="0" borderId="1" xfId="0" applyFont="1" applyFill="1" applyBorder="1" applyAlignment="1">
      <alignment horizontal="center" vertical="center"/>
    </xf>
    <xf numFmtId="43" fontId="0" fillId="0" borderId="1" xfId="0" applyNumberFormat="1" applyFont="1" applyFill="1" applyBorder="1" applyAlignment="1"/>
    <xf numFmtId="0" fontId="0" fillId="0" borderId="4" xfId="0" applyFont="1" applyFill="1" applyBorder="1" applyAlignment="1">
      <alignment horizontal="center" vertical="center"/>
    </xf>
    <xf numFmtId="0" fontId="0" fillId="0" borderId="5" xfId="0" applyFont="1" applyFill="1" applyBorder="1" applyAlignment="1">
      <alignment horizontal="center" vertical="center"/>
    </xf>
    <xf numFmtId="49" fontId="0" fillId="0" borderId="1" xfId="0" applyNumberFormat="1" applyFont="1" applyFill="1" applyBorder="1" applyAlignment="1">
      <alignment horizontal="center" vertical="center"/>
    </xf>
    <xf numFmtId="43" fontId="0" fillId="0" borderId="6" xfId="0" applyNumberFormat="1" applyFont="1" applyFill="1" applyBorder="1" applyAlignment="1"/>
    <xf numFmtId="0" fontId="0" fillId="0" borderId="7" xfId="0" applyFont="1" applyFill="1" applyBorder="1" applyAlignment="1">
      <alignment horizontal="center" vertical="center"/>
    </xf>
    <xf numFmtId="49" fontId="0" fillId="0" borderId="4" xfId="0" applyNumberFormat="1" applyFont="1" applyFill="1" applyBorder="1" applyAlignment="1">
      <alignment horizontal="center" vertical="center"/>
    </xf>
    <xf numFmtId="49" fontId="0" fillId="0" borderId="5" xfId="0" applyNumberFormat="1" applyFont="1" applyFill="1" applyBorder="1" applyAlignment="1">
      <alignment horizontal="center" vertical="center"/>
    </xf>
    <xf numFmtId="0" fontId="0" fillId="0" borderId="1" xfId="0" applyNumberFormat="1" applyFont="1" applyFill="1" applyBorder="1" applyAlignment="1">
      <alignment horizontal="center" vertical="center"/>
    </xf>
    <xf numFmtId="49" fontId="0" fillId="0" borderId="7" xfId="0" applyNumberFormat="1" applyFont="1" applyFill="1" applyBorder="1" applyAlignment="1">
      <alignment horizontal="center" vertical="center"/>
    </xf>
    <xf numFmtId="0" fontId="0" fillId="0" borderId="1" xfId="0" applyFont="1" applyFill="1" applyBorder="1" applyAlignment="1">
      <alignment vertical="center"/>
    </xf>
    <xf numFmtId="0" fontId="0" fillId="0" borderId="8" xfId="0" applyFont="1" applyFill="1" applyBorder="1" applyAlignment="1">
      <alignment vertical="center"/>
    </xf>
    <xf numFmtId="0" fontId="0" fillId="0" borderId="9" xfId="0" applyFont="1" applyFill="1" applyBorder="1" applyAlignment="1">
      <alignment horizontal="center" vertical="center"/>
    </xf>
    <xf numFmtId="0" fontId="0" fillId="0" borderId="8" xfId="0" applyFont="1" applyFill="1" applyBorder="1" applyAlignment="1">
      <alignment horizontal="center" vertical="center"/>
    </xf>
    <xf numFmtId="0" fontId="0" fillId="0" borderId="7" xfId="0" applyFont="1" applyFill="1" applyBorder="1" applyAlignment="1">
      <alignment horizontal="right"/>
    </xf>
    <xf numFmtId="43" fontId="0" fillId="0" borderId="1" xfId="8" applyFont="1" applyFill="1" applyBorder="1" applyAlignment="1"/>
    <xf numFmtId="43" fontId="0" fillId="0" borderId="0" xfId="0" applyNumberFormat="1" applyFont="1" applyFill="1" applyAlignment="1"/>
    <xf numFmtId="0" fontId="0" fillId="0" borderId="1" xfId="0" applyFont="1" applyFill="1" applyBorder="1" applyAlignment="1"/>
    <xf numFmtId="0" fontId="0" fillId="0" borderId="10" xfId="0" applyFont="1" applyFill="1" applyBorder="1" applyAlignment="1">
      <alignment horizontal="right"/>
    </xf>
    <xf numFmtId="58" fontId="0" fillId="0" borderId="1" xfId="0" applyNumberFormat="1" applyFont="1" applyFill="1" applyBorder="1" applyAlignment="1">
      <alignment horizontal="center" vertical="center"/>
    </xf>
    <xf numFmtId="43" fontId="0" fillId="0" borderId="6" xfId="8" applyFont="1" applyFill="1" applyBorder="1" applyAlignment="1"/>
    <xf numFmtId="0" fontId="0" fillId="0" borderId="11" xfId="0" applyFont="1" applyFill="1" applyBorder="1" applyAlignment="1">
      <alignment horizontal="center" vertical="center"/>
    </xf>
    <xf numFmtId="0" fontId="0" fillId="0" borderId="6" xfId="0" applyFont="1" applyFill="1" applyBorder="1" applyAlignment="1">
      <alignment horizontal="center" vertical="center"/>
    </xf>
    <xf numFmtId="0" fontId="0" fillId="0" borderId="8" xfId="0" applyNumberFormat="1" applyFont="1" applyFill="1" applyBorder="1" applyAlignment="1">
      <alignment horizontal="center" vertical="center"/>
    </xf>
    <xf numFmtId="0" fontId="0" fillId="0" borderId="3" xfId="0" applyFont="1" applyFill="1" applyBorder="1" applyAlignment="1">
      <alignment horizontal="center" vertical="center"/>
    </xf>
    <xf numFmtId="0" fontId="0" fillId="2" borderId="0" xfId="0" applyFill="1">
      <alignment vertical="center"/>
    </xf>
    <xf numFmtId="0" fontId="2" fillId="0" borderId="0" xfId="0" applyFont="1" applyFill="1" applyAlignment="1">
      <alignment horizontal="center" vertical="center" wrapText="1"/>
    </xf>
    <xf numFmtId="177" fontId="2" fillId="0" borderId="0" xfId="0" applyNumberFormat="1" applyFont="1" applyFill="1" applyAlignment="1">
      <alignment horizontal="center" vertical="center" wrapText="1"/>
    </xf>
    <xf numFmtId="0" fontId="3" fillId="0" borderId="1" xfId="0" applyFont="1" applyFill="1" applyBorder="1" applyAlignment="1">
      <alignment horizontal="left" vertical="center" wrapText="1"/>
    </xf>
    <xf numFmtId="177" fontId="3" fillId="0" borderId="1" xfId="0" applyNumberFormat="1" applyFont="1" applyFill="1" applyBorder="1" applyAlignment="1">
      <alignment horizontal="center" vertical="center" wrapText="1"/>
    </xf>
    <xf numFmtId="178" fontId="3"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11" xfId="0" applyFont="1" applyFill="1" applyBorder="1" applyAlignment="1">
      <alignment horizontal="left" vertical="center" wrapText="1"/>
    </xf>
    <xf numFmtId="177" fontId="3" fillId="0" borderId="11" xfId="0" applyNumberFormat="1" applyFont="1" applyFill="1" applyBorder="1" applyAlignment="1">
      <alignment horizontal="center" vertical="center" wrapText="1"/>
    </xf>
    <xf numFmtId="0" fontId="3" fillId="0" borderId="3" xfId="0" applyFont="1" applyFill="1" applyBorder="1" applyAlignment="1">
      <alignment horizontal="left" vertical="center" wrapText="1"/>
    </xf>
    <xf numFmtId="177" fontId="3" fillId="0" borderId="3"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177" fontId="3" fillId="2" borderId="1" xfId="0" applyNumberFormat="1" applyFont="1" applyFill="1" applyBorder="1" applyAlignment="1">
      <alignment horizontal="center" vertical="center" wrapText="1"/>
    </xf>
    <xf numFmtId="178"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0" borderId="1" xfId="0" applyFont="1" applyFill="1" applyBorder="1" applyAlignment="1">
      <alignment vertical="center" wrapText="1"/>
    </xf>
    <xf numFmtId="0" fontId="3" fillId="0" borderId="0" xfId="0" applyFont="1" applyFill="1" applyAlignment="1">
      <alignment horizontal="center" vertical="center" wrapText="1"/>
    </xf>
    <xf numFmtId="0" fontId="4" fillId="0" borderId="0" xfId="0" applyFont="1">
      <alignment vertical="center"/>
    </xf>
    <xf numFmtId="0" fontId="5" fillId="0" borderId="0" xfId="0" applyFont="1">
      <alignment vertical="center"/>
    </xf>
    <xf numFmtId="43" fontId="6" fillId="0" borderId="0" xfId="8" applyFont="1" applyAlignment="1">
      <alignment horizontal="center" vertical="center"/>
    </xf>
    <xf numFmtId="0" fontId="0" fillId="0" borderId="0" xfId="0" applyFill="1">
      <alignment vertical="center"/>
    </xf>
    <xf numFmtId="0" fontId="0" fillId="0" borderId="0" xfId="0" applyAlignment="1">
      <alignment horizontal="center" vertical="center"/>
    </xf>
    <xf numFmtId="0" fontId="7" fillId="3" borderId="12"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8" fillId="3" borderId="14" xfId="0" applyFont="1" applyFill="1" applyBorder="1" applyAlignment="1">
      <alignment horizontal="center" vertical="center" wrapText="1"/>
    </xf>
    <xf numFmtId="0" fontId="8" fillId="3" borderId="15" xfId="0" applyNumberFormat="1" applyFont="1" applyFill="1" applyBorder="1" applyAlignment="1">
      <alignment horizontal="center" vertical="center" wrapText="1"/>
    </xf>
    <xf numFmtId="0" fontId="8" fillId="3" borderId="15" xfId="8" applyNumberFormat="1" applyFont="1" applyFill="1" applyBorder="1" applyAlignment="1">
      <alignment horizontal="center" vertical="center" wrapText="1"/>
    </xf>
    <xf numFmtId="43" fontId="8" fillId="3" borderId="14" xfId="8" applyFont="1" applyFill="1" applyBorder="1" applyAlignment="1">
      <alignment horizontal="center" vertical="center" wrapText="1"/>
    </xf>
    <xf numFmtId="43" fontId="8" fillId="3" borderId="15" xfId="8" applyFont="1" applyFill="1" applyBorder="1" applyAlignment="1">
      <alignment horizontal="center" vertical="center" wrapText="1"/>
    </xf>
    <xf numFmtId="43" fontId="8" fillId="3" borderId="15" xfId="8" applyFont="1" applyFill="1" applyBorder="1" applyAlignment="1" applyProtection="1">
      <alignment horizontal="center" vertical="center" wrapText="1"/>
    </xf>
    <xf numFmtId="0" fontId="9" fillId="0" borderId="14" xfId="0" applyFont="1" applyFill="1" applyBorder="1" applyAlignment="1">
      <alignment horizontal="center" vertical="center"/>
    </xf>
    <xf numFmtId="0" fontId="9" fillId="0" borderId="15" xfId="0" applyFont="1" applyFill="1" applyBorder="1" applyAlignment="1">
      <alignment horizontal="center" vertical="center"/>
    </xf>
    <xf numFmtId="43" fontId="9" fillId="0" borderId="15" xfId="8" applyFont="1" applyFill="1" applyBorder="1" applyAlignment="1">
      <alignment vertical="center" wrapText="1"/>
    </xf>
    <xf numFmtId="0" fontId="7" fillId="3" borderId="16" xfId="0" applyFont="1" applyFill="1" applyBorder="1" applyAlignment="1">
      <alignment horizontal="center" vertical="center" wrapText="1"/>
    </xf>
    <xf numFmtId="43" fontId="10" fillId="0" borderId="0" xfId="8" applyFont="1" applyFill="1" applyBorder="1" applyAlignment="1">
      <alignment horizontal="center" vertical="center" wrapText="1"/>
    </xf>
    <xf numFmtId="0" fontId="7" fillId="3" borderId="17" xfId="49" applyNumberFormat="1" applyFont="1" applyFill="1" applyBorder="1" applyAlignment="1">
      <alignment horizontal="center" vertical="center" wrapText="1"/>
    </xf>
    <xf numFmtId="0" fontId="7" fillId="3" borderId="18" xfId="49" applyNumberFormat="1" applyFont="1" applyFill="1" applyBorder="1" applyAlignment="1">
      <alignment horizontal="center" vertical="center" wrapText="1"/>
    </xf>
    <xf numFmtId="0" fontId="8" fillId="3" borderId="19" xfId="8" applyNumberFormat="1" applyFont="1" applyFill="1" applyBorder="1" applyAlignment="1">
      <alignment horizontal="center" vertical="center" wrapText="1"/>
    </xf>
    <xf numFmtId="43" fontId="11" fillId="0" borderId="0" xfId="8" applyFont="1" applyFill="1" applyAlignment="1">
      <alignment horizontal="center" vertical="center" wrapText="1"/>
    </xf>
    <xf numFmtId="0" fontId="8" fillId="3" borderId="20" xfId="49" applyNumberFormat="1" applyFont="1" applyFill="1" applyBorder="1" applyAlignment="1">
      <alignment horizontal="center" vertical="center" wrapText="1"/>
    </xf>
    <xf numFmtId="0" fontId="8" fillId="3" borderId="1" xfId="49" applyNumberFormat="1" applyFont="1" applyFill="1" applyBorder="1" applyAlignment="1">
      <alignment horizontal="center" vertical="center" wrapText="1"/>
    </xf>
    <xf numFmtId="178" fontId="8" fillId="3" borderId="1" xfId="49" applyNumberFormat="1" applyFont="1" applyFill="1" applyBorder="1" applyAlignment="1">
      <alignment horizontal="center" vertical="center" wrapText="1"/>
    </xf>
    <xf numFmtId="43" fontId="8" fillId="3" borderId="19" xfId="8" applyFont="1" applyFill="1" applyBorder="1" applyAlignment="1">
      <alignment horizontal="center" vertical="center" wrapText="1"/>
    </xf>
    <xf numFmtId="43" fontId="11" fillId="0" borderId="0" xfId="8" applyFont="1" applyFill="1" applyBorder="1" applyAlignment="1">
      <alignment horizontal="center" vertical="center" wrapText="1"/>
    </xf>
    <xf numFmtId="43" fontId="8" fillId="3" borderId="20" xfId="8" applyFont="1" applyFill="1" applyBorder="1" applyAlignment="1" applyProtection="1">
      <alignment horizontal="center" vertical="center" wrapText="1"/>
    </xf>
    <xf numFmtId="43" fontId="8" fillId="3" borderId="1" xfId="8" applyFont="1" applyFill="1" applyBorder="1" applyAlignment="1" applyProtection="1">
      <alignment horizontal="center" vertical="center" wrapText="1"/>
    </xf>
    <xf numFmtId="179" fontId="9" fillId="0" borderId="21" xfId="8" applyNumberFormat="1" applyFont="1" applyFill="1" applyBorder="1" applyAlignment="1">
      <alignment horizontal="center" vertical="center" wrapText="1"/>
    </xf>
    <xf numFmtId="0" fontId="9" fillId="0" borderId="0" xfId="0" applyFont="1" applyFill="1" applyAlignment="1">
      <alignment horizontal="left" vertical="center"/>
    </xf>
    <xf numFmtId="0" fontId="9" fillId="0" borderId="20" xfId="49" applyNumberFormat="1" applyFont="1" applyFill="1" applyBorder="1" applyAlignment="1">
      <alignment horizontal="center" vertical="center"/>
    </xf>
    <xf numFmtId="0" fontId="9" fillId="0" borderId="1" xfId="0" applyNumberFormat="1" applyFont="1" applyFill="1" applyBorder="1" applyAlignment="1">
      <alignment horizontal="left" vertical="center"/>
    </xf>
    <xf numFmtId="0" fontId="9" fillId="0" borderId="1" xfId="0" applyNumberFormat="1" applyFont="1" applyFill="1" applyBorder="1" applyAlignment="1">
      <alignment horizontal="center" vertical="center"/>
    </xf>
    <xf numFmtId="178" fontId="9" fillId="0" borderId="1" xfId="0" applyNumberFormat="1" applyFont="1" applyFill="1" applyBorder="1" applyAlignment="1">
      <alignment horizontal="center" vertical="center"/>
    </xf>
    <xf numFmtId="0" fontId="7" fillId="3" borderId="22" xfId="49" applyNumberFormat="1" applyFont="1" applyFill="1" applyBorder="1" applyAlignment="1">
      <alignment horizontal="center" vertical="center" wrapText="1"/>
    </xf>
    <xf numFmtId="177" fontId="7" fillId="3" borderId="23" xfId="49" applyNumberFormat="1" applyFont="1" applyFill="1" applyBorder="1" applyAlignment="1">
      <alignment horizontal="center" vertical="center" wrapText="1"/>
    </xf>
    <xf numFmtId="177" fontId="7" fillId="3" borderId="18" xfId="49" applyNumberFormat="1" applyFont="1" applyFill="1" applyBorder="1" applyAlignment="1">
      <alignment horizontal="center" vertical="center" wrapText="1"/>
    </xf>
    <xf numFmtId="0" fontId="8" fillId="3" borderId="24" xfId="49" applyNumberFormat="1" applyFont="1" applyFill="1" applyBorder="1" applyAlignment="1">
      <alignment horizontal="center" vertical="center" wrapText="1"/>
    </xf>
    <xf numFmtId="177" fontId="8" fillId="3" borderId="8" xfId="49" applyNumberFormat="1" applyFont="1" applyFill="1" applyBorder="1" applyAlignment="1">
      <alignment horizontal="center" vertical="center" wrapText="1"/>
    </xf>
    <xf numFmtId="177" fontId="8" fillId="3" borderId="1" xfId="49" applyNumberFormat="1" applyFont="1" applyFill="1" applyBorder="1" applyAlignment="1">
      <alignment horizontal="center" vertical="center" wrapText="1"/>
    </xf>
    <xf numFmtId="177" fontId="8" fillId="3" borderId="25" xfId="0" applyNumberFormat="1" applyFont="1" applyFill="1" applyBorder="1" applyAlignment="1">
      <alignment horizontal="center" vertical="center" wrapText="1"/>
    </xf>
    <xf numFmtId="43" fontId="8" fillId="3" borderId="1" xfId="8" applyFont="1" applyFill="1" applyBorder="1" applyAlignment="1">
      <alignment horizontal="center" vertical="center" wrapText="1"/>
    </xf>
    <xf numFmtId="43" fontId="8" fillId="3" borderId="24" xfId="8" applyFont="1" applyFill="1" applyBorder="1" applyAlignment="1" applyProtection="1">
      <alignment horizontal="center" vertical="center" wrapText="1"/>
    </xf>
    <xf numFmtId="43" fontId="8" fillId="3" borderId="9" xfId="8" applyFont="1" applyFill="1" applyBorder="1" applyAlignment="1" applyProtection="1">
      <alignment horizontal="center" vertical="center" wrapText="1"/>
    </xf>
    <xf numFmtId="43" fontId="9" fillId="0" borderId="1" xfId="8" applyFont="1" applyFill="1" applyBorder="1" applyAlignment="1">
      <alignment horizontal="center" vertical="center"/>
    </xf>
    <xf numFmtId="0" fontId="9" fillId="0" borderId="24" xfId="0" applyNumberFormat="1" applyFont="1" applyFill="1" applyBorder="1" applyAlignment="1">
      <alignment horizontal="left" vertical="center"/>
    </xf>
    <xf numFmtId="177" fontId="9" fillId="0" borderId="25" xfId="0" applyNumberFormat="1" applyFont="1" applyFill="1" applyBorder="1" applyAlignment="1">
      <alignment horizontal="left" vertical="center"/>
    </xf>
    <xf numFmtId="177" fontId="9" fillId="0" borderId="8" xfId="0" applyNumberFormat="1" applyFont="1" applyFill="1" applyBorder="1" applyAlignment="1">
      <alignment horizontal="left" vertical="center"/>
    </xf>
    <xf numFmtId="177" fontId="8" fillId="3" borderId="1" xfId="0" applyNumberFormat="1" applyFont="1" applyFill="1" applyBorder="1" applyAlignment="1">
      <alignment horizontal="center" vertical="center" wrapText="1"/>
    </xf>
    <xf numFmtId="43" fontId="9" fillId="0" borderId="1" xfId="8" applyFont="1" applyFill="1" applyBorder="1" applyAlignment="1">
      <alignment horizontal="left" vertical="center"/>
    </xf>
    <xf numFmtId="177" fontId="7" fillId="3" borderId="26" xfId="49" applyNumberFormat="1" applyFont="1" applyFill="1" applyBorder="1" applyAlignment="1">
      <alignment horizontal="center" vertical="center" wrapText="1"/>
    </xf>
    <xf numFmtId="43" fontId="7" fillId="3" borderId="17" xfId="8" applyFont="1" applyFill="1" applyBorder="1" applyAlignment="1" applyProtection="1">
      <alignment horizontal="center" vertical="center" wrapText="1"/>
    </xf>
    <xf numFmtId="43" fontId="7" fillId="3" borderId="18" xfId="8" applyFont="1" applyFill="1" applyBorder="1" applyAlignment="1" applyProtection="1">
      <alignment horizontal="center" vertical="center" wrapText="1"/>
    </xf>
    <xf numFmtId="43" fontId="7" fillId="3" borderId="22" xfId="8" applyFont="1" applyFill="1" applyBorder="1" applyAlignment="1" applyProtection="1">
      <alignment horizontal="center" vertical="center" wrapText="1"/>
    </xf>
    <xf numFmtId="177" fontId="8" fillId="3" borderId="9" xfId="49" applyNumberFormat="1" applyFont="1" applyFill="1" applyBorder="1" applyAlignment="1">
      <alignment horizontal="center" vertical="center" wrapText="1"/>
    </xf>
    <xf numFmtId="43" fontId="8" fillId="3" borderId="20" xfId="8" applyFont="1" applyFill="1" applyBorder="1" applyAlignment="1">
      <alignment horizontal="center" vertical="center" wrapText="1"/>
    </xf>
    <xf numFmtId="10" fontId="8" fillId="3" borderId="1" xfId="8" applyNumberFormat="1" applyFont="1" applyFill="1" applyBorder="1" applyAlignment="1" applyProtection="1">
      <alignment horizontal="center" vertical="center" wrapText="1"/>
    </xf>
    <xf numFmtId="177" fontId="8" fillId="3" borderId="24" xfId="0" applyNumberFormat="1" applyFont="1" applyFill="1" applyBorder="1" applyAlignment="1">
      <alignment horizontal="center" vertical="center" wrapText="1"/>
    </xf>
    <xf numFmtId="43" fontId="8" fillId="3" borderId="9" xfId="8" applyFont="1" applyFill="1" applyBorder="1" applyAlignment="1">
      <alignment horizontal="center" vertical="center" wrapText="1"/>
    </xf>
    <xf numFmtId="43" fontId="8" fillId="3" borderId="20" xfId="8" applyFont="1" applyFill="1" applyBorder="1" applyAlignment="1">
      <alignment horizontal="center" vertical="center"/>
    </xf>
    <xf numFmtId="43" fontId="8" fillId="3" borderId="1" xfId="8" applyFont="1" applyFill="1" applyBorder="1" applyAlignment="1">
      <alignment horizontal="center" vertical="center"/>
    </xf>
    <xf numFmtId="43" fontId="8" fillId="3" borderId="1" xfId="8" applyFont="1" applyFill="1" applyBorder="1" applyAlignment="1" applyProtection="1">
      <alignment horizontal="center" vertical="center"/>
    </xf>
    <xf numFmtId="10" fontId="8" fillId="3" borderId="1" xfId="8" applyNumberFormat="1" applyFont="1" applyFill="1" applyBorder="1" applyAlignment="1" applyProtection="1">
      <alignment horizontal="center" vertical="center"/>
    </xf>
    <xf numFmtId="177" fontId="8" fillId="3" borderId="24" xfId="49" applyNumberFormat="1" applyFont="1" applyFill="1" applyBorder="1" applyAlignment="1">
      <alignment horizontal="center" vertical="center"/>
    </xf>
    <xf numFmtId="43" fontId="9" fillId="0" borderId="9" xfId="8" applyFont="1" applyFill="1" applyBorder="1" applyAlignment="1">
      <alignment horizontal="center" vertical="center"/>
    </xf>
    <xf numFmtId="43" fontId="9" fillId="0" borderId="20" xfId="8" applyFont="1" applyFill="1" applyBorder="1" applyAlignment="1">
      <alignment horizontal="center" vertical="center"/>
    </xf>
    <xf numFmtId="43" fontId="9" fillId="0" borderId="1" xfId="8" applyFont="1" applyFill="1" applyBorder="1" applyAlignment="1" applyProtection="1">
      <alignment horizontal="center" vertical="center"/>
    </xf>
    <xf numFmtId="10" fontId="9" fillId="0" borderId="1" xfId="8" applyNumberFormat="1" applyFont="1" applyFill="1" applyBorder="1" applyAlignment="1" applyProtection="1">
      <alignment horizontal="center" vertical="center"/>
    </xf>
    <xf numFmtId="177" fontId="9" fillId="0" borderId="24" xfId="49" applyNumberFormat="1" applyFont="1" applyFill="1" applyBorder="1" applyAlignment="1">
      <alignment horizontal="center" vertical="center"/>
    </xf>
    <xf numFmtId="0" fontId="0" fillId="0" borderId="0" xfId="0" applyFill="1" applyAlignment="1">
      <alignment horizontal="center" vertical="center"/>
    </xf>
    <xf numFmtId="43" fontId="8" fillId="3" borderId="8" xfId="8" applyFont="1" applyFill="1" applyBorder="1" applyAlignment="1" applyProtection="1">
      <alignment horizontal="center" vertical="center" wrapText="1"/>
    </xf>
    <xf numFmtId="43" fontId="9" fillId="0" borderId="3" xfId="8" applyFont="1" applyFill="1" applyBorder="1" applyAlignment="1">
      <alignment horizontal="center" vertical="center"/>
    </xf>
    <xf numFmtId="0" fontId="1" fillId="0" borderId="0" xfId="0" applyFont="1" applyFill="1">
      <alignment vertical="center"/>
    </xf>
    <xf numFmtId="0" fontId="0" fillId="0" borderId="0" xfId="0" applyAlignment="1">
      <alignment horizontal="left" vertical="center"/>
    </xf>
    <xf numFmtId="0" fontId="8" fillId="0" borderId="14" xfId="0" applyFont="1" applyFill="1" applyBorder="1" applyAlignment="1">
      <alignment horizontal="center" vertical="center"/>
    </xf>
    <xf numFmtId="0" fontId="8" fillId="0" borderId="15" xfId="0" applyFont="1" applyFill="1" applyBorder="1" applyAlignment="1">
      <alignment horizontal="center" vertical="center"/>
    </xf>
    <xf numFmtId="43" fontId="8" fillId="0" borderId="15" xfId="8" applyFont="1" applyFill="1" applyBorder="1" applyAlignment="1">
      <alignment vertical="center" wrapText="1"/>
    </xf>
    <xf numFmtId="0" fontId="7" fillId="3" borderId="18" xfId="49" applyNumberFormat="1" applyFont="1" applyFill="1" applyBorder="1" applyAlignment="1">
      <alignment horizontal="left" vertical="center" wrapText="1"/>
    </xf>
    <xf numFmtId="0" fontId="8" fillId="3" borderId="1" xfId="49" applyNumberFormat="1" applyFont="1" applyFill="1" applyBorder="1" applyAlignment="1">
      <alignment horizontal="left" vertical="center" wrapText="1"/>
    </xf>
    <xf numFmtId="43" fontId="8" fillId="3" borderId="1" xfId="8" applyFont="1" applyFill="1" applyBorder="1" applyAlignment="1" applyProtection="1">
      <alignment horizontal="left" vertical="center" wrapText="1"/>
    </xf>
    <xf numFmtId="0" fontId="9" fillId="0" borderId="27" xfId="49" applyNumberFormat="1" applyFont="1" applyFill="1" applyBorder="1" applyAlignment="1">
      <alignment horizontal="center" vertical="center"/>
    </xf>
    <xf numFmtId="0" fontId="9" fillId="0" borderId="3" xfId="0" applyNumberFormat="1" applyFont="1" applyFill="1" applyBorder="1" applyAlignment="1">
      <alignment horizontal="left" vertical="center"/>
    </xf>
    <xf numFmtId="178" fontId="9" fillId="0" borderId="3" xfId="0" applyNumberFormat="1" applyFont="1" applyFill="1" applyBorder="1" applyAlignment="1">
      <alignment horizontal="center" vertical="center"/>
    </xf>
    <xf numFmtId="49" fontId="9" fillId="0" borderId="20" xfId="49" applyNumberFormat="1" applyFont="1" applyFill="1" applyBorder="1" applyAlignment="1">
      <alignment horizontal="center" vertical="center"/>
    </xf>
    <xf numFmtId="179" fontId="8" fillId="0" borderId="21" xfId="8" applyNumberFormat="1" applyFont="1" applyFill="1" applyBorder="1" applyAlignment="1">
      <alignment horizontal="center" vertical="center" wrapText="1"/>
    </xf>
    <xf numFmtId="0" fontId="8" fillId="0" borderId="20" xfId="49" applyNumberFormat="1" applyFont="1" applyFill="1" applyBorder="1" applyAlignment="1">
      <alignment horizontal="center" vertical="center"/>
    </xf>
    <xf numFmtId="0" fontId="8" fillId="0" borderId="1" xfId="0" applyNumberFormat="1" applyFont="1" applyFill="1" applyBorder="1" applyAlignment="1">
      <alignment horizontal="left" vertical="center"/>
    </xf>
    <xf numFmtId="0" fontId="8" fillId="0" borderId="1" xfId="0" applyNumberFormat="1" applyFont="1" applyFill="1" applyBorder="1" applyAlignment="1">
      <alignment horizontal="center" vertical="center"/>
    </xf>
    <xf numFmtId="178" fontId="8" fillId="0" borderId="1" xfId="0" applyNumberFormat="1" applyFont="1" applyFill="1" applyBorder="1" applyAlignment="1">
      <alignment horizontal="center" vertical="center"/>
    </xf>
    <xf numFmtId="176" fontId="9" fillId="0" borderId="1" xfId="0" applyNumberFormat="1" applyFont="1" applyFill="1" applyBorder="1" applyAlignment="1">
      <alignment horizontal="left" vertical="center"/>
    </xf>
    <xf numFmtId="0" fontId="9" fillId="0" borderId="1" xfId="49" applyNumberFormat="1" applyFont="1" applyFill="1" applyBorder="1" applyAlignment="1">
      <alignment horizontal="left" vertical="center"/>
    </xf>
    <xf numFmtId="178" fontId="9" fillId="0" borderId="1" xfId="49" applyNumberFormat="1" applyFont="1" applyFill="1" applyBorder="1" applyAlignment="1">
      <alignment horizontal="center" vertical="center"/>
    </xf>
    <xf numFmtId="0" fontId="8" fillId="0" borderId="1" xfId="49" applyNumberFormat="1" applyFont="1" applyFill="1" applyBorder="1" applyAlignment="1">
      <alignment horizontal="left" vertical="center"/>
    </xf>
    <xf numFmtId="178" fontId="8" fillId="0" borderId="1" xfId="49" applyNumberFormat="1" applyFont="1" applyFill="1" applyBorder="1" applyAlignment="1">
      <alignment horizontal="center" vertical="center"/>
    </xf>
    <xf numFmtId="0" fontId="0" fillId="0" borderId="0" xfId="0" applyFill="1" applyAlignment="1">
      <alignment horizontal="left" vertical="center"/>
    </xf>
    <xf numFmtId="0" fontId="9" fillId="0" borderId="28" xfId="0" applyNumberFormat="1" applyFont="1" applyFill="1" applyBorder="1" applyAlignment="1">
      <alignment horizontal="left" vertical="center"/>
    </xf>
    <xf numFmtId="43" fontId="9" fillId="0" borderId="1" xfId="8" applyFont="1" applyFill="1" applyBorder="1" applyAlignment="1">
      <alignment vertical="center"/>
    </xf>
    <xf numFmtId="43" fontId="8" fillId="0" borderId="1" xfId="8" applyFont="1" applyFill="1" applyBorder="1" applyAlignment="1">
      <alignment vertical="center"/>
    </xf>
    <xf numFmtId="0" fontId="8" fillId="0" borderId="24" xfId="0" applyNumberFormat="1" applyFont="1" applyFill="1" applyBorder="1" applyAlignment="1">
      <alignment horizontal="left" vertical="center"/>
    </xf>
    <xf numFmtId="177" fontId="8" fillId="0" borderId="8" xfId="0" applyNumberFormat="1" applyFont="1" applyFill="1" applyBorder="1" applyAlignment="1">
      <alignment horizontal="left" vertical="center"/>
    </xf>
    <xf numFmtId="43" fontId="8" fillId="0" borderId="1" xfId="8" applyFont="1" applyFill="1" applyBorder="1" applyAlignment="1">
      <alignment horizontal="center" vertical="center"/>
    </xf>
    <xf numFmtId="41" fontId="9" fillId="0" borderId="1" xfId="0" applyNumberFormat="1" applyFont="1" applyFill="1" applyBorder="1" applyAlignment="1">
      <alignment horizontal="left" vertical="center"/>
    </xf>
    <xf numFmtId="41" fontId="9" fillId="0" borderId="1" xfId="8" applyNumberFormat="1" applyFont="1" applyFill="1" applyBorder="1" applyAlignment="1">
      <alignment horizontal="left" vertical="center"/>
    </xf>
    <xf numFmtId="41" fontId="9" fillId="0" borderId="24" xfId="8" applyNumberFormat="1" applyFont="1" applyFill="1" applyBorder="1" applyAlignment="1">
      <alignment horizontal="left" vertical="center"/>
    </xf>
    <xf numFmtId="0" fontId="9" fillId="0" borderId="1" xfId="49" applyNumberFormat="1" applyFont="1" applyFill="1" applyBorder="1" applyAlignment="1">
      <alignment vertical="center"/>
    </xf>
    <xf numFmtId="43" fontId="8" fillId="0" borderId="1" xfId="8" applyFont="1" applyFill="1" applyBorder="1" applyAlignment="1" applyProtection="1">
      <alignment horizontal="center" vertical="center"/>
    </xf>
    <xf numFmtId="41" fontId="9" fillId="0" borderId="1" xfId="0" applyNumberFormat="1" applyFont="1" applyFill="1" applyBorder="1" applyAlignment="1">
      <alignment vertical="center"/>
    </xf>
    <xf numFmtId="43" fontId="8" fillId="0" borderId="20" xfId="8" applyFont="1" applyFill="1" applyBorder="1" applyAlignment="1">
      <alignment horizontal="center" vertical="center"/>
    </xf>
    <xf numFmtId="10" fontId="8" fillId="0" borderId="1" xfId="8" applyNumberFormat="1" applyFont="1" applyFill="1" applyBorder="1" applyAlignment="1" applyProtection="1">
      <alignment horizontal="center" vertical="center"/>
    </xf>
    <xf numFmtId="177" fontId="8" fillId="0" borderId="24" xfId="49" applyNumberFormat="1" applyFont="1" applyFill="1" applyBorder="1" applyAlignment="1">
      <alignment horizontal="center" vertical="center"/>
    </xf>
    <xf numFmtId="0" fontId="9" fillId="0" borderId="21" xfId="0" applyNumberFormat="1" applyFont="1" applyFill="1" applyBorder="1" applyAlignment="1">
      <alignment horizontal="center" vertical="center" wrapText="1"/>
    </xf>
    <xf numFmtId="176" fontId="9" fillId="0" borderId="1" xfId="0" applyNumberFormat="1" applyFont="1" applyFill="1" applyBorder="1" applyAlignment="1">
      <alignment horizontal="center" vertical="center"/>
    </xf>
    <xf numFmtId="14" fontId="9" fillId="0" borderId="1" xfId="0" applyNumberFormat="1" applyFont="1" applyFill="1" applyBorder="1" applyAlignment="1">
      <alignment horizontal="center" vertical="center"/>
    </xf>
    <xf numFmtId="0" fontId="8" fillId="0" borderId="21" xfId="0" applyNumberFormat="1" applyFont="1" applyFill="1" applyBorder="1" applyAlignment="1">
      <alignment horizontal="center" vertical="center" wrapText="1"/>
    </xf>
    <xf numFmtId="0" fontId="8" fillId="0" borderId="0" xfId="0" applyFont="1" applyFill="1" applyAlignment="1">
      <alignment horizontal="left" vertical="center"/>
    </xf>
    <xf numFmtId="43" fontId="9" fillId="0" borderId="1" xfId="8" applyFont="1" applyFill="1" applyBorder="1" applyAlignment="1">
      <alignment horizontal="right" vertical="center"/>
    </xf>
    <xf numFmtId="43" fontId="8" fillId="0" borderId="1" xfId="8" applyFont="1" applyFill="1" applyBorder="1" applyAlignment="1">
      <alignment horizontal="left" vertical="center"/>
    </xf>
    <xf numFmtId="0" fontId="0" fillId="0" borderId="0" xfId="0" applyFont="1" applyFill="1">
      <alignment vertical="center"/>
    </xf>
    <xf numFmtId="179" fontId="0" fillId="0" borderId="0" xfId="8" applyNumberFormat="1">
      <alignment vertical="center"/>
    </xf>
    <xf numFmtId="179" fontId="7" fillId="3" borderId="13" xfId="8" applyNumberFormat="1" applyFont="1" applyFill="1" applyBorder="1" applyAlignment="1">
      <alignment horizontal="center" vertical="center" wrapText="1"/>
    </xf>
    <xf numFmtId="179" fontId="8" fillId="3" borderId="15" xfId="8" applyNumberFormat="1" applyFont="1" applyFill="1" applyBorder="1" applyAlignment="1">
      <alignment horizontal="center" vertical="center" wrapText="1"/>
    </xf>
    <xf numFmtId="179" fontId="8" fillId="3" borderId="15" xfId="8" applyNumberFormat="1" applyFont="1" applyFill="1" applyBorder="1" applyAlignment="1" applyProtection="1">
      <alignment horizontal="center" vertical="center" wrapText="1"/>
    </xf>
    <xf numFmtId="179" fontId="9" fillId="0" borderId="15" xfId="8" applyNumberFormat="1" applyFont="1" applyFill="1" applyBorder="1" applyAlignment="1">
      <alignment vertical="center" wrapText="1"/>
    </xf>
    <xf numFmtId="179" fontId="9" fillId="0" borderId="15" xfId="8" applyNumberFormat="1" applyFont="1" applyFill="1" applyBorder="1" applyAlignment="1">
      <alignment horizontal="center" vertical="center" wrapText="1"/>
    </xf>
    <xf numFmtId="179" fontId="8" fillId="0" borderId="15" xfId="8" applyNumberFormat="1" applyFont="1" applyFill="1" applyBorder="1" applyAlignment="1">
      <alignment vertical="center" wrapText="1"/>
    </xf>
    <xf numFmtId="0" fontId="9" fillId="0" borderId="9" xfId="0" applyNumberFormat="1" applyFont="1" applyFill="1" applyBorder="1" applyAlignment="1">
      <alignment horizontal="left" vertical="center"/>
    </xf>
    <xf numFmtId="0" fontId="0" fillId="0" borderId="1" xfId="0" applyFill="1" applyBorder="1">
      <alignment vertical="center"/>
    </xf>
    <xf numFmtId="177" fontId="9" fillId="0" borderId="1" xfId="0" applyNumberFormat="1" applyFont="1" applyFill="1" applyBorder="1" applyAlignment="1">
      <alignment horizontal="left" vertical="center"/>
    </xf>
    <xf numFmtId="177" fontId="8" fillId="0" borderId="25" xfId="0" applyNumberFormat="1" applyFont="1" applyFill="1" applyBorder="1" applyAlignment="1">
      <alignment horizontal="left" vertical="center"/>
    </xf>
    <xf numFmtId="43" fontId="9" fillId="0" borderId="8" xfId="8" applyFont="1" applyFill="1" applyBorder="1" applyAlignment="1">
      <alignment vertical="center"/>
    </xf>
    <xf numFmtId="43" fontId="9" fillId="0" borderId="8" xfId="8" applyFont="1" applyFill="1" applyBorder="1" applyAlignment="1">
      <alignment horizontal="left" vertical="center"/>
    </xf>
    <xf numFmtId="179" fontId="0" fillId="0" borderId="0" xfId="0" applyNumberFormat="1" applyFill="1">
      <alignment vertical="center"/>
    </xf>
    <xf numFmtId="179" fontId="9" fillId="0" borderId="21" xfId="8" applyNumberFormat="1" applyFont="1" applyFill="1" applyBorder="1" applyAlignment="1" applyProtection="1">
      <alignment horizontal="center" vertical="center" wrapText="1"/>
    </xf>
    <xf numFmtId="0" fontId="9" fillId="0" borderId="1" xfId="49" applyNumberFormat="1" applyFont="1" applyFill="1" applyBorder="1" applyAlignment="1">
      <alignment horizontal="center" vertical="center"/>
    </xf>
    <xf numFmtId="0" fontId="9" fillId="0" borderId="1" xfId="50" applyNumberFormat="1" applyFont="1" applyFill="1" applyBorder="1" applyAlignment="1">
      <alignment horizontal="center" vertical="center"/>
    </xf>
    <xf numFmtId="0" fontId="9" fillId="0" borderId="3" xfId="49" applyNumberFormat="1" applyFont="1" applyFill="1" applyBorder="1" applyAlignment="1">
      <alignment horizontal="center" vertical="center"/>
    </xf>
    <xf numFmtId="0" fontId="9" fillId="0" borderId="3" xfId="0" applyNumberFormat="1" applyFont="1" applyFill="1" applyBorder="1" applyAlignment="1">
      <alignment horizontal="center" vertical="center"/>
    </xf>
    <xf numFmtId="0" fontId="9" fillId="0" borderId="3" xfId="49" applyNumberFormat="1" applyFont="1" applyFill="1" applyBorder="1" applyAlignment="1">
      <alignment horizontal="left" vertical="center"/>
    </xf>
    <xf numFmtId="178" fontId="9" fillId="0" borderId="3" xfId="49" applyNumberFormat="1" applyFont="1" applyFill="1" applyBorder="1" applyAlignment="1">
      <alignment horizontal="center" vertical="center"/>
    </xf>
    <xf numFmtId="0" fontId="9" fillId="0" borderId="1" xfId="50" applyNumberFormat="1" applyFont="1" applyFill="1" applyBorder="1" applyAlignment="1">
      <alignment vertical="center"/>
    </xf>
    <xf numFmtId="179" fontId="8" fillId="0" borderId="21" xfId="8" applyNumberFormat="1" applyFont="1" applyFill="1" applyBorder="1" applyAlignment="1" applyProtection="1">
      <alignment horizontal="center" vertical="center" wrapText="1"/>
    </xf>
    <xf numFmtId="0" fontId="8" fillId="0" borderId="1" xfId="49" applyNumberFormat="1" applyFont="1" applyFill="1" applyBorder="1" applyAlignment="1">
      <alignment horizontal="center" vertical="center"/>
    </xf>
    <xf numFmtId="0" fontId="8" fillId="0" borderId="1" xfId="50" applyNumberFormat="1" applyFont="1" applyFill="1" applyBorder="1" applyAlignment="1">
      <alignment horizontal="center" vertical="center"/>
    </xf>
    <xf numFmtId="176" fontId="9" fillId="0" borderId="1" xfId="49" applyNumberFormat="1" applyFont="1" applyFill="1" applyBorder="1" applyAlignment="1">
      <alignment horizontal="center" vertical="center"/>
    </xf>
    <xf numFmtId="58" fontId="9" fillId="0" borderId="1" xfId="0" applyNumberFormat="1" applyFont="1" applyFill="1" applyBorder="1" applyAlignment="1">
      <alignment horizontal="center" vertical="center"/>
    </xf>
    <xf numFmtId="177" fontId="9" fillId="0" borderId="2" xfId="0" applyNumberFormat="1" applyFont="1" applyFill="1" applyBorder="1" applyAlignment="1">
      <alignment horizontal="left" vertical="center"/>
    </xf>
    <xf numFmtId="43" fontId="9" fillId="0" borderId="1" xfId="8" applyFont="1" applyFill="1" applyBorder="1" applyAlignment="1" applyProtection="1">
      <alignment horizontal="right" vertical="center"/>
    </xf>
    <xf numFmtId="43" fontId="9" fillId="0" borderId="3" xfId="8" applyFont="1" applyFill="1" applyBorder="1" applyAlignment="1">
      <alignment horizontal="right" vertical="center"/>
    </xf>
    <xf numFmtId="43" fontId="9" fillId="0" borderId="3" xfId="8" applyFont="1" applyFill="1" applyBorder="1" applyAlignment="1" applyProtection="1">
      <alignment horizontal="right" vertical="center"/>
    </xf>
    <xf numFmtId="43" fontId="8" fillId="0" borderId="1" xfId="8" applyFont="1" applyFill="1" applyBorder="1" applyAlignment="1" applyProtection="1">
      <alignment horizontal="right" vertical="center"/>
    </xf>
    <xf numFmtId="41" fontId="9" fillId="0" borderId="1" xfId="49" applyNumberFormat="1" applyFont="1" applyFill="1" applyBorder="1" applyAlignment="1">
      <alignment horizontal="left" vertical="center"/>
    </xf>
    <xf numFmtId="41" fontId="9" fillId="0" borderId="1" xfId="8" applyNumberFormat="1" applyFont="1" applyFill="1" applyBorder="1" applyAlignment="1" applyProtection="1">
      <alignment horizontal="left" vertical="center"/>
    </xf>
    <xf numFmtId="41" fontId="9" fillId="0" borderId="24" xfId="8" applyNumberFormat="1" applyFont="1" applyFill="1" applyBorder="1" applyAlignment="1" applyProtection="1">
      <alignment horizontal="left" vertical="center"/>
    </xf>
    <xf numFmtId="43" fontId="8" fillId="0" borderId="1" xfId="8" applyFont="1" applyFill="1" applyBorder="1" applyAlignment="1">
      <alignment horizontal="right" vertical="center"/>
    </xf>
    <xf numFmtId="0" fontId="9" fillId="2" borderId="14" xfId="0" applyFont="1" applyFill="1" applyBorder="1" applyAlignment="1">
      <alignment horizontal="center" vertical="center"/>
    </xf>
    <xf numFmtId="0" fontId="9" fillId="2" borderId="15" xfId="0" applyFont="1" applyFill="1" applyBorder="1" applyAlignment="1">
      <alignment horizontal="center" vertical="center"/>
    </xf>
    <xf numFmtId="43" fontId="9" fillId="2" borderId="15" xfId="8" applyFont="1" applyFill="1" applyBorder="1" applyAlignment="1">
      <alignment vertical="center" wrapText="1"/>
    </xf>
    <xf numFmtId="179" fontId="9" fillId="2" borderId="21" xfId="8" applyNumberFormat="1" applyFont="1" applyFill="1" applyBorder="1" applyAlignment="1" applyProtection="1">
      <alignment horizontal="center" vertical="center" wrapText="1"/>
    </xf>
    <xf numFmtId="0" fontId="9" fillId="2" borderId="0" xfId="0" applyFont="1" applyFill="1" applyAlignment="1">
      <alignment horizontal="left" vertical="center"/>
    </xf>
    <xf numFmtId="0" fontId="9" fillId="2" borderId="20" xfId="49" applyNumberFormat="1" applyFont="1" applyFill="1" applyBorder="1" applyAlignment="1">
      <alignment horizontal="center" vertical="center"/>
    </xf>
    <xf numFmtId="0" fontId="9" fillId="2" borderId="1" xfId="0" applyNumberFormat="1" applyFont="1" applyFill="1" applyBorder="1" applyAlignment="1">
      <alignment horizontal="left" vertical="center"/>
    </xf>
    <xf numFmtId="0" fontId="9" fillId="2" borderId="1" xfId="49"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178" fontId="9" fillId="2" borderId="1" xfId="0" applyNumberFormat="1" applyFont="1" applyFill="1" applyBorder="1" applyAlignment="1">
      <alignment horizontal="center" vertical="center"/>
    </xf>
    <xf numFmtId="43" fontId="9" fillId="2" borderId="1" xfId="8" applyFont="1" applyFill="1" applyBorder="1" applyAlignment="1">
      <alignment horizontal="right" vertical="center"/>
    </xf>
    <xf numFmtId="0" fontId="9" fillId="2" borderId="24" xfId="0" applyNumberFormat="1" applyFont="1" applyFill="1" applyBorder="1" applyAlignment="1">
      <alignment horizontal="left" vertical="center"/>
    </xf>
    <xf numFmtId="177" fontId="9" fillId="2" borderId="8" xfId="0" applyNumberFormat="1" applyFont="1" applyFill="1" applyBorder="1" applyAlignment="1">
      <alignment horizontal="left" vertical="center"/>
    </xf>
    <xf numFmtId="43" fontId="9" fillId="2" borderId="1" xfId="8" applyFont="1" applyFill="1" applyBorder="1" applyAlignment="1">
      <alignment horizontal="center" vertical="center"/>
    </xf>
    <xf numFmtId="43" fontId="9" fillId="2" borderId="1" xfId="8" applyFont="1" applyFill="1" applyBorder="1" applyAlignment="1">
      <alignment horizontal="left" vertical="center"/>
    </xf>
    <xf numFmtId="43" fontId="9" fillId="2" borderId="9" xfId="8" applyFont="1" applyFill="1" applyBorder="1" applyAlignment="1">
      <alignment horizontal="center" vertical="center"/>
    </xf>
    <xf numFmtId="43" fontId="9" fillId="2" borderId="20" xfId="8" applyFont="1" applyFill="1" applyBorder="1" applyAlignment="1">
      <alignment horizontal="center" vertical="center"/>
    </xf>
    <xf numFmtId="43" fontId="9" fillId="2" borderId="1" xfId="8" applyFont="1" applyFill="1" applyBorder="1" applyAlignment="1" applyProtection="1">
      <alignment horizontal="center" vertical="center"/>
    </xf>
    <xf numFmtId="10" fontId="9" fillId="2" borderId="1" xfId="8" applyNumberFormat="1" applyFont="1" applyFill="1" applyBorder="1" applyAlignment="1" applyProtection="1">
      <alignment horizontal="center" vertical="center"/>
    </xf>
    <xf numFmtId="177" fontId="9" fillId="2" borderId="24" xfId="49" applyNumberFormat="1" applyFont="1" applyFill="1" applyBorder="1" applyAlignment="1">
      <alignment horizontal="center" vertical="center"/>
    </xf>
    <xf numFmtId="0" fontId="5" fillId="0" borderId="0" xfId="0" applyFont="1" applyAlignment="1">
      <alignment horizontal="center" vertical="center"/>
    </xf>
    <xf numFmtId="179" fontId="0" fillId="0" borderId="0" xfId="8" applyNumberFormat="1" applyAlignment="1">
      <alignment horizontal="center" vertical="center"/>
    </xf>
    <xf numFmtId="179" fontId="5" fillId="0" borderId="0" xfId="8" applyNumberFormat="1" applyFont="1" applyAlignment="1">
      <alignment horizontal="center" vertical="center"/>
    </xf>
    <xf numFmtId="179" fontId="8" fillId="0" borderId="15" xfId="8" applyNumberFormat="1" applyFont="1" applyFill="1" applyBorder="1" applyAlignment="1">
      <alignment horizontal="center" vertical="center" wrapText="1"/>
    </xf>
    <xf numFmtId="0" fontId="5" fillId="0" borderId="0" xfId="0" applyFont="1" applyFill="1" applyAlignment="1">
      <alignment horizontal="center" vertical="center"/>
    </xf>
    <xf numFmtId="0" fontId="9" fillId="0" borderId="21" xfId="49" applyNumberFormat="1" applyFont="1" applyFill="1" applyBorder="1" applyAlignment="1">
      <alignment horizontal="center" vertical="center" wrapText="1"/>
    </xf>
    <xf numFmtId="178" fontId="9" fillId="0" borderId="1" xfId="49" applyNumberFormat="1" applyFont="1" applyFill="1" applyBorder="1" applyAlignment="1">
      <alignment vertical="center"/>
    </xf>
    <xf numFmtId="0" fontId="8" fillId="0" borderId="21" xfId="49" applyNumberFormat="1" applyFont="1" applyFill="1" applyBorder="1" applyAlignment="1">
      <alignment horizontal="center" vertical="center" wrapText="1"/>
    </xf>
    <xf numFmtId="176" fontId="8" fillId="0" borderId="20" xfId="49" applyNumberFormat="1" applyFont="1" applyFill="1" applyBorder="1" applyAlignment="1">
      <alignment horizontal="center" vertical="center"/>
    </xf>
    <xf numFmtId="0" fontId="9" fillId="0" borderId="1" xfId="0" applyNumberFormat="1" applyFont="1" applyFill="1" applyBorder="1" applyAlignment="1">
      <alignment vertical="center"/>
    </xf>
    <xf numFmtId="176" fontId="9" fillId="0" borderId="20" xfId="49" applyNumberFormat="1" applyFont="1" applyFill="1" applyBorder="1" applyAlignment="1">
      <alignment horizontal="center" vertical="center"/>
    </xf>
    <xf numFmtId="177" fontId="8" fillId="0" borderId="1" xfId="49" applyNumberFormat="1" applyFont="1" applyFill="1" applyBorder="1" applyAlignment="1">
      <alignment horizontal="left" vertical="center"/>
    </xf>
    <xf numFmtId="177" fontId="9" fillId="0" borderId="1" xfId="49" applyNumberFormat="1" applyFont="1" applyFill="1" applyBorder="1" applyAlignment="1">
      <alignment horizontal="left" vertical="center"/>
    </xf>
    <xf numFmtId="0" fontId="8" fillId="0" borderId="1" xfId="49" applyNumberFormat="1" applyFont="1" applyFill="1" applyBorder="1" applyAlignment="1">
      <alignment vertical="center"/>
    </xf>
    <xf numFmtId="177" fontId="8" fillId="0" borderId="1" xfId="0" applyNumberFormat="1" applyFont="1" applyFill="1" applyBorder="1" applyAlignment="1">
      <alignment horizontal="left" vertical="center"/>
    </xf>
    <xf numFmtId="43" fontId="12" fillId="0" borderId="1" xfId="8" applyFont="1" applyFill="1" applyBorder="1" applyAlignment="1" applyProtection="1">
      <alignment horizontal="center" vertical="center"/>
    </xf>
    <xf numFmtId="179" fontId="0" fillId="0" borderId="0" xfId="0" applyNumberFormat="1" applyFill="1" applyAlignment="1">
      <alignment horizontal="center" vertical="center"/>
    </xf>
    <xf numFmtId="179" fontId="0" fillId="0" borderId="0" xfId="8" applyNumberFormat="1" applyFill="1" applyAlignment="1">
      <alignment horizontal="center" vertical="center"/>
    </xf>
    <xf numFmtId="43" fontId="6" fillId="0" borderId="0" xfId="8" applyFont="1" applyAlignment="1">
      <alignment horizontal="left" vertical="center"/>
    </xf>
    <xf numFmtId="0" fontId="0" fillId="0" borderId="0" xfId="8" applyNumberFormat="1" applyAlignment="1">
      <alignment horizontal="left" vertical="center"/>
    </xf>
    <xf numFmtId="178" fontId="0" fillId="0" borderId="0" xfId="0" applyNumberFormat="1">
      <alignment vertical="center"/>
    </xf>
    <xf numFmtId="43" fontId="0" fillId="0" borderId="0" xfId="8" applyAlignment="1">
      <alignment horizontal="left" vertical="center"/>
    </xf>
    <xf numFmtId="43" fontId="0" fillId="0" borderId="0" xfId="8" applyAlignment="1">
      <alignment horizontal="center" vertical="center"/>
    </xf>
    <xf numFmtId="10" fontId="0" fillId="0" borderId="0" xfId="8" applyNumberFormat="1" applyAlignment="1">
      <alignment horizontal="center" vertical="center"/>
    </xf>
    <xf numFmtId="43" fontId="8" fillId="3" borderId="14" xfId="8" applyFont="1" applyFill="1" applyBorder="1" applyAlignment="1">
      <alignment horizontal="left" vertical="center" wrapText="1"/>
    </xf>
    <xf numFmtId="43" fontId="8" fillId="3" borderId="15" xfId="8" applyFont="1" applyFill="1" applyBorder="1" applyAlignment="1">
      <alignment horizontal="left" vertical="center" wrapText="1"/>
    </xf>
    <xf numFmtId="179" fontId="8" fillId="3" borderId="15" xfId="8" applyNumberFormat="1" applyFont="1" applyFill="1" applyBorder="1" applyAlignment="1" applyProtection="1">
      <alignment horizontal="left" vertical="center" wrapText="1"/>
    </xf>
    <xf numFmtId="0" fontId="7" fillId="3" borderId="18" xfId="8" applyNumberFormat="1" applyFont="1" applyFill="1" applyBorder="1" applyAlignment="1" applyProtection="1">
      <alignment horizontal="left" vertical="center" wrapText="1"/>
    </xf>
    <xf numFmtId="178" fontId="7" fillId="3" borderId="18" xfId="49" applyNumberFormat="1" applyFont="1" applyFill="1" applyBorder="1" applyAlignment="1">
      <alignment horizontal="center" vertical="center" wrapText="1"/>
    </xf>
    <xf numFmtId="0" fontId="8" fillId="3" borderId="1" xfId="8" applyNumberFormat="1" applyFont="1" applyFill="1" applyBorder="1" applyAlignment="1" applyProtection="1">
      <alignment horizontal="left" vertical="center" wrapText="1"/>
    </xf>
    <xf numFmtId="43" fontId="8" fillId="3" borderId="19" xfId="8" applyFont="1" applyFill="1" applyBorder="1" applyAlignment="1">
      <alignment horizontal="left" vertical="center" wrapText="1"/>
    </xf>
    <xf numFmtId="43" fontId="11" fillId="0" borderId="0" xfId="8" applyFont="1" applyFill="1" applyBorder="1" applyAlignment="1">
      <alignment horizontal="left" vertical="center" wrapText="1"/>
    </xf>
    <xf numFmtId="43" fontId="8" fillId="3" borderId="20" xfId="8" applyFont="1" applyFill="1" applyBorder="1" applyAlignment="1" applyProtection="1">
      <alignment horizontal="left" vertical="center" wrapText="1"/>
    </xf>
    <xf numFmtId="0" fontId="9" fillId="0" borderId="1" xfId="8" applyNumberFormat="1" applyFont="1" applyFill="1" applyBorder="1" applyAlignment="1">
      <alignment horizontal="left" vertical="center"/>
    </xf>
    <xf numFmtId="178" fontId="9" fillId="0" borderId="1" xfId="0" applyNumberFormat="1" applyFont="1" applyFill="1" applyBorder="1" applyAlignment="1">
      <alignment horizontal="left" vertical="center"/>
    </xf>
    <xf numFmtId="179" fontId="7" fillId="3" borderId="18" xfId="8" applyNumberFormat="1" applyFont="1" applyFill="1" applyBorder="1" applyAlignment="1" applyProtection="1">
      <alignment horizontal="center" vertical="center" wrapText="1"/>
    </xf>
    <xf numFmtId="43" fontId="7" fillId="3" borderId="18" xfId="8" applyFont="1" applyFill="1" applyBorder="1" applyAlignment="1" applyProtection="1">
      <alignment horizontal="left" vertical="center" wrapText="1"/>
    </xf>
    <xf numFmtId="43" fontId="7" fillId="3" borderId="23" xfId="8" applyFont="1" applyFill="1" applyBorder="1" applyAlignment="1" applyProtection="1">
      <alignment horizontal="center" vertical="center" wrapText="1"/>
    </xf>
    <xf numFmtId="179" fontId="8" fillId="3" borderId="1" xfId="8" applyNumberFormat="1" applyFont="1" applyFill="1" applyBorder="1" applyAlignment="1" applyProtection="1">
      <alignment horizontal="center" vertical="center" wrapText="1"/>
    </xf>
    <xf numFmtId="43" fontId="8" fillId="3" borderId="25" xfId="8" applyFont="1" applyFill="1" applyBorder="1" applyAlignment="1">
      <alignment horizontal="center" vertical="center" wrapText="1"/>
    </xf>
    <xf numFmtId="179" fontId="8" fillId="3" borderId="1" xfId="8" applyNumberFormat="1" applyFont="1" applyFill="1" applyBorder="1" applyAlignment="1" applyProtection="1">
      <alignment horizontal="left" vertical="center" wrapText="1"/>
    </xf>
    <xf numFmtId="43" fontId="8" fillId="3" borderId="24" xfId="8" applyFont="1" applyFill="1" applyBorder="1" applyAlignment="1" applyProtection="1">
      <alignment horizontal="left" vertical="center" wrapText="1"/>
    </xf>
    <xf numFmtId="43" fontId="8" fillId="3" borderId="8" xfId="8" applyFont="1" applyFill="1" applyBorder="1" applyAlignment="1" applyProtection="1">
      <alignment horizontal="left" vertical="center" wrapText="1"/>
    </xf>
    <xf numFmtId="179" fontId="9" fillId="0" borderId="1" xfId="8" applyNumberFormat="1" applyFont="1" applyFill="1" applyBorder="1" applyAlignment="1">
      <alignment horizontal="center" vertical="center"/>
    </xf>
    <xf numFmtId="43" fontId="9" fillId="0" borderId="8" xfId="8" applyFont="1" applyFill="1" applyBorder="1" applyAlignment="1">
      <alignment horizontal="center" vertical="center"/>
    </xf>
    <xf numFmtId="10" fontId="7" fillId="3" borderId="18" xfId="8" applyNumberFormat="1" applyFont="1" applyFill="1" applyBorder="1" applyAlignment="1" applyProtection="1">
      <alignment horizontal="center" vertical="center" wrapText="1"/>
    </xf>
    <xf numFmtId="43" fontId="8" fillId="3" borderId="20" xfId="8" applyFont="1" applyFill="1" applyBorder="1" applyAlignment="1">
      <alignment horizontal="left" vertical="center"/>
    </xf>
    <xf numFmtId="43" fontId="8" fillId="3" borderId="1" xfId="8" applyFont="1" applyFill="1" applyBorder="1" applyAlignment="1">
      <alignment horizontal="left" vertical="center"/>
    </xf>
    <xf numFmtId="43" fontId="8" fillId="3" borderId="1" xfId="8" applyFont="1" applyFill="1" applyBorder="1" applyAlignment="1" applyProtection="1">
      <alignment horizontal="left" vertical="center"/>
    </xf>
    <xf numFmtId="43" fontId="8" fillId="3" borderId="24" xfId="8" applyFont="1" applyFill="1" applyBorder="1" applyAlignment="1" applyProtection="1">
      <alignment horizontal="left" vertical="center"/>
    </xf>
    <xf numFmtId="43" fontId="9" fillId="0" borderId="25" xfId="8" applyFont="1" applyFill="1" applyBorder="1" applyAlignment="1">
      <alignment horizontal="center" vertical="center"/>
    </xf>
    <xf numFmtId="0" fontId="1" fillId="0" borderId="0" xfId="0" applyFont="1" applyFill="1" applyAlignment="1">
      <alignment horizontal="center" vertical="center" wrapText="1"/>
    </xf>
    <xf numFmtId="0" fontId="0" fillId="0" borderId="0" xfId="0" applyFont="1" applyFill="1" applyAlignment="1">
      <alignment horizontal="center" vertical="center" wrapText="1"/>
    </xf>
    <xf numFmtId="0" fontId="13" fillId="0" borderId="0" xfId="0" applyFont="1" applyFill="1" applyAlignment="1">
      <alignment horizontal="center" vertical="center" wrapText="1"/>
    </xf>
    <xf numFmtId="0" fontId="3" fillId="4" borderId="0" xfId="0" applyFont="1" applyFill="1" applyAlignment="1">
      <alignment horizontal="center" vertical="center" wrapText="1"/>
    </xf>
    <xf numFmtId="43" fontId="0" fillId="0" borderId="0" xfId="8" applyFill="1" applyAlignment="1">
      <alignment horizontal="center" vertical="center" wrapText="1"/>
    </xf>
    <xf numFmtId="10" fontId="0" fillId="0" borderId="0" xfId="0" applyNumberFormat="1" applyFill="1" applyAlignment="1">
      <alignment horizontal="center" vertical="center" wrapText="1"/>
    </xf>
    <xf numFmtId="0" fontId="14" fillId="0" borderId="0" xfId="0" applyFont="1" applyFill="1" applyAlignment="1">
      <alignment horizontal="center" vertical="center" wrapText="1"/>
    </xf>
    <xf numFmtId="0" fontId="1" fillId="5" borderId="17" xfId="0" applyFont="1" applyFill="1" applyBorder="1" applyAlignment="1">
      <alignment horizontal="center" vertical="center" wrapText="1"/>
    </xf>
    <xf numFmtId="0" fontId="1" fillId="5" borderId="18" xfId="0" applyFont="1" applyFill="1" applyBorder="1" applyAlignment="1">
      <alignment horizontal="center" vertical="center" wrapText="1"/>
    </xf>
    <xf numFmtId="178" fontId="1" fillId="5" borderId="18" xfId="0" applyNumberFormat="1" applyFont="1" applyFill="1" applyBorder="1" applyAlignment="1">
      <alignment horizontal="center" vertical="center" wrapText="1"/>
    </xf>
    <xf numFmtId="43" fontId="1" fillId="5" borderId="18" xfId="8" applyFont="1" applyFill="1" applyBorder="1" applyAlignment="1">
      <alignment horizontal="center" vertical="center" wrapText="1"/>
    </xf>
    <xf numFmtId="0" fontId="1" fillId="5" borderId="29" xfId="0" applyFont="1" applyFill="1" applyBorder="1" applyAlignment="1">
      <alignment horizontal="center" vertical="center" wrapText="1"/>
    </xf>
    <xf numFmtId="0" fontId="1" fillId="5" borderId="11" xfId="0" applyFont="1" applyFill="1" applyBorder="1" applyAlignment="1">
      <alignment horizontal="center" vertical="center" wrapText="1"/>
    </xf>
    <xf numFmtId="43" fontId="1" fillId="5" borderId="11" xfId="8" applyFont="1" applyFill="1" applyBorder="1" applyAlignment="1">
      <alignment horizontal="center" vertical="center" wrapText="1"/>
    </xf>
    <xf numFmtId="0" fontId="1" fillId="5" borderId="11" xfId="8" applyNumberFormat="1" applyFont="1" applyFill="1" applyBorder="1" applyAlignment="1">
      <alignment horizontal="center" vertical="center" wrapText="1"/>
    </xf>
    <xf numFmtId="0" fontId="0" fillId="0" borderId="17" xfId="0" applyFont="1" applyFill="1" applyBorder="1" applyAlignment="1">
      <alignment horizontal="center" vertical="center" wrapText="1"/>
    </xf>
    <xf numFmtId="0" fontId="0" fillId="0" borderId="18" xfId="0" applyFont="1" applyFill="1" applyBorder="1" applyAlignment="1">
      <alignment horizontal="center" vertical="center" wrapText="1"/>
    </xf>
    <xf numFmtId="179" fontId="0" fillId="0" borderId="18" xfId="8" applyNumberFormat="1"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1" xfId="0" applyFont="1" applyFill="1" applyBorder="1" applyAlignment="1">
      <alignment horizontal="center" vertical="center" wrapText="1"/>
    </xf>
    <xf numFmtId="179" fontId="0" fillId="0" borderId="1" xfId="8" applyNumberFormat="1" applyFont="1" applyFill="1" applyBorder="1" applyAlignment="1">
      <alignment horizontal="center" vertical="center" wrapText="1"/>
    </xf>
    <xf numFmtId="0" fontId="0" fillId="0" borderId="29" xfId="0" applyFont="1" applyFill="1" applyBorder="1" applyAlignment="1">
      <alignment horizontal="center" vertical="center" wrapText="1"/>
    </xf>
    <xf numFmtId="0" fontId="0" fillId="0" borderId="11" xfId="0" applyFont="1" applyFill="1" applyBorder="1" applyAlignment="1">
      <alignment horizontal="center" vertical="center" wrapText="1"/>
    </xf>
    <xf numFmtId="179" fontId="0" fillId="0" borderId="11" xfId="8" applyNumberFormat="1" applyFont="1" applyFill="1" applyBorder="1" applyAlignment="1">
      <alignment horizontal="center" vertical="center" wrapText="1"/>
    </xf>
    <xf numFmtId="0" fontId="13" fillId="0" borderId="30" xfId="0" applyFont="1" applyFill="1" applyBorder="1" applyAlignment="1">
      <alignment horizontal="center" vertical="center" wrapText="1"/>
    </xf>
    <xf numFmtId="0" fontId="13" fillId="0" borderId="31" xfId="0" applyFont="1" applyFill="1" applyBorder="1" applyAlignment="1">
      <alignment horizontal="center" vertical="center" wrapText="1"/>
    </xf>
    <xf numFmtId="179" fontId="13" fillId="0" borderId="31" xfId="8" applyNumberFormat="1" applyFont="1" applyFill="1" applyBorder="1" applyAlignment="1">
      <alignment horizontal="center" vertical="center" wrapText="1"/>
    </xf>
    <xf numFmtId="43" fontId="1" fillId="0" borderId="0" xfId="8" applyFont="1" applyFill="1" applyAlignment="1">
      <alignment horizontal="center" vertical="center" wrapText="1"/>
    </xf>
    <xf numFmtId="0" fontId="1" fillId="0" borderId="0" xfId="0" applyFont="1" applyFill="1" applyAlignment="1">
      <alignment horizontal="left" vertical="top" wrapText="1"/>
    </xf>
    <xf numFmtId="0" fontId="0" fillId="4" borderId="0" xfId="0" applyFill="1" applyAlignment="1">
      <alignment horizontal="center" vertical="center" wrapText="1"/>
    </xf>
    <xf numFmtId="0" fontId="3" fillId="4" borderId="1" xfId="0" applyFont="1" applyFill="1" applyBorder="1" applyAlignment="1">
      <alignment horizontal="left" vertical="center" wrapText="1"/>
    </xf>
    <xf numFmtId="0" fontId="1" fillId="0" borderId="17" xfId="0" applyFont="1" applyFill="1" applyBorder="1" applyAlignment="1">
      <alignment horizontal="center" vertical="center" wrapText="1"/>
    </xf>
    <xf numFmtId="43" fontId="1" fillId="0" borderId="18" xfId="8" applyFont="1" applyFill="1" applyBorder="1" applyAlignment="1">
      <alignment horizontal="center" vertical="center" wrapText="1"/>
    </xf>
    <xf numFmtId="0" fontId="1" fillId="0" borderId="20" xfId="0" applyFont="1" applyFill="1" applyBorder="1" applyAlignment="1">
      <alignment horizontal="center" vertical="center" wrapText="1"/>
    </xf>
    <xf numFmtId="43" fontId="1" fillId="0" borderId="1" xfId="8" applyFont="1" applyFill="1" applyBorder="1" applyAlignment="1">
      <alignment horizontal="center" vertical="center" wrapText="1"/>
    </xf>
    <xf numFmtId="43" fontId="0" fillId="0" borderId="1" xfId="8" applyFont="1" applyFill="1" applyBorder="1" applyAlignment="1">
      <alignment horizontal="left" vertical="center" wrapText="1"/>
    </xf>
    <xf numFmtId="0" fontId="1" fillId="0" borderId="29" xfId="0" applyFont="1" applyFill="1" applyBorder="1" applyAlignment="1">
      <alignment horizontal="center" vertical="center" wrapText="1"/>
    </xf>
    <xf numFmtId="43" fontId="0" fillId="0" borderId="11" xfId="8" applyFont="1" applyFill="1" applyBorder="1" applyAlignment="1">
      <alignment horizontal="left" vertical="center" wrapText="1"/>
    </xf>
    <xf numFmtId="0" fontId="1" fillId="0" borderId="32" xfId="0" applyFont="1" applyFill="1" applyBorder="1" applyAlignment="1">
      <alignment horizontal="center" vertical="center" wrapText="1"/>
    </xf>
    <xf numFmtId="43" fontId="1" fillId="0" borderId="33" xfId="8" applyFont="1" applyFill="1" applyBorder="1" applyAlignment="1">
      <alignment horizontal="center" vertical="center" wrapText="1"/>
    </xf>
    <xf numFmtId="0" fontId="1" fillId="5" borderId="22" xfId="0" applyFont="1" applyFill="1" applyBorder="1" applyAlignment="1">
      <alignment horizontal="center" vertical="center" wrapText="1"/>
    </xf>
    <xf numFmtId="10" fontId="1" fillId="5" borderId="11" xfId="0" applyNumberFormat="1" applyFont="1" applyFill="1" applyBorder="1" applyAlignment="1">
      <alignment horizontal="center" vertical="center" wrapText="1"/>
    </xf>
    <xf numFmtId="0" fontId="1" fillId="5" borderId="34" xfId="0" applyFont="1" applyFill="1" applyBorder="1" applyAlignment="1">
      <alignment horizontal="center" vertical="center" wrapText="1"/>
    </xf>
    <xf numFmtId="10" fontId="0" fillId="0" borderId="18" xfId="0" applyNumberFormat="1" applyFont="1" applyFill="1" applyBorder="1" applyAlignment="1">
      <alignment horizontal="center" vertical="center" wrapText="1"/>
    </xf>
    <xf numFmtId="176" fontId="0" fillId="0" borderId="18" xfId="0" applyNumberFormat="1" applyFont="1" applyFill="1" applyBorder="1" applyAlignment="1">
      <alignment horizontal="center" vertical="center" wrapText="1"/>
    </xf>
    <xf numFmtId="176" fontId="0" fillId="0" borderId="22" xfId="0" applyNumberFormat="1" applyFont="1" applyFill="1" applyBorder="1" applyAlignment="1">
      <alignment horizontal="center" vertical="center" wrapText="1"/>
    </xf>
    <xf numFmtId="10" fontId="0" fillId="0" borderId="1" xfId="0" applyNumberFormat="1" applyFont="1" applyFill="1" applyBorder="1" applyAlignment="1">
      <alignment horizontal="center" vertical="center" wrapText="1"/>
    </xf>
    <xf numFmtId="176" fontId="0" fillId="0" borderId="1" xfId="0" applyNumberFormat="1" applyFont="1" applyFill="1" applyBorder="1" applyAlignment="1">
      <alignment horizontal="center" vertical="center" wrapText="1"/>
    </xf>
    <xf numFmtId="176" fontId="0" fillId="0" borderId="24" xfId="0" applyNumberFormat="1" applyFont="1" applyFill="1" applyBorder="1" applyAlignment="1">
      <alignment horizontal="center" vertical="center" wrapText="1"/>
    </xf>
    <xf numFmtId="10" fontId="0" fillId="0" borderId="11" xfId="0" applyNumberFormat="1" applyFont="1" applyFill="1" applyBorder="1" applyAlignment="1">
      <alignment horizontal="center" vertical="center" wrapText="1"/>
    </xf>
    <xf numFmtId="176" fontId="0" fillId="0" borderId="11" xfId="0" applyNumberFormat="1" applyFont="1" applyFill="1" applyBorder="1" applyAlignment="1">
      <alignment horizontal="center" vertical="center" wrapText="1"/>
    </xf>
    <xf numFmtId="176" fontId="0" fillId="0" borderId="34" xfId="0" applyNumberFormat="1" applyFont="1" applyFill="1" applyBorder="1" applyAlignment="1">
      <alignment horizontal="center" vertical="center" wrapText="1"/>
    </xf>
    <xf numFmtId="10" fontId="1" fillId="0" borderId="31" xfId="0" applyNumberFormat="1" applyFont="1" applyFill="1" applyBorder="1" applyAlignment="1">
      <alignment horizontal="center" vertical="center" wrapText="1"/>
    </xf>
    <xf numFmtId="176" fontId="13" fillId="0" borderId="31" xfId="0" applyNumberFormat="1" applyFont="1" applyFill="1" applyBorder="1" applyAlignment="1">
      <alignment horizontal="center" vertical="center" wrapText="1"/>
    </xf>
    <xf numFmtId="176" fontId="13" fillId="0" borderId="35" xfId="0" applyNumberFormat="1" applyFont="1" applyFill="1" applyBorder="1" applyAlignment="1">
      <alignment horizontal="center" vertical="center" wrapText="1"/>
    </xf>
    <xf numFmtId="0" fontId="15" fillId="0" borderId="0" xfId="0" applyFont="1" applyFill="1" applyAlignment="1">
      <alignment horizontal="center" vertical="center" wrapText="1"/>
    </xf>
    <xf numFmtId="0" fontId="15" fillId="4" borderId="0" xfId="0" applyFont="1" applyFill="1" applyAlignment="1">
      <alignment horizontal="center" vertical="center" wrapText="1"/>
    </xf>
    <xf numFmtId="0" fontId="1" fillId="0" borderId="22" xfId="0" applyFont="1" applyFill="1" applyBorder="1" applyAlignment="1">
      <alignment horizontal="center" vertical="center" wrapText="1"/>
    </xf>
    <xf numFmtId="176" fontId="1" fillId="0" borderId="1" xfId="8" applyNumberFormat="1" applyFont="1" applyFill="1" applyBorder="1" applyAlignment="1">
      <alignment horizontal="center" vertical="center" wrapText="1"/>
    </xf>
    <xf numFmtId="176" fontId="1" fillId="0" borderId="1" xfId="0" applyNumberFormat="1" applyFont="1" applyFill="1" applyBorder="1" applyAlignment="1">
      <alignment horizontal="center" vertical="center" wrapText="1"/>
    </xf>
    <xf numFmtId="176" fontId="1" fillId="0" borderId="24" xfId="0" applyNumberFormat="1" applyFont="1" applyFill="1" applyBorder="1" applyAlignment="1">
      <alignment horizontal="center" vertical="center" wrapText="1"/>
    </xf>
    <xf numFmtId="176" fontId="0" fillId="0" borderId="1" xfId="8" applyNumberFormat="1" applyFill="1" applyBorder="1" applyAlignment="1">
      <alignment horizontal="center" vertical="center" wrapText="1"/>
    </xf>
    <xf numFmtId="176" fontId="0" fillId="0" borderId="1" xfId="0" applyNumberFormat="1" applyFill="1" applyBorder="1" applyAlignment="1">
      <alignment horizontal="center" vertical="center" wrapText="1"/>
    </xf>
    <xf numFmtId="176" fontId="0" fillId="0" borderId="34" xfId="0" applyNumberFormat="1" applyFill="1" applyBorder="1" applyAlignment="1">
      <alignment horizontal="center" vertical="center" wrapText="1"/>
    </xf>
    <xf numFmtId="176" fontId="0" fillId="0" borderId="36" xfId="0" applyNumberFormat="1" applyFill="1" applyBorder="1" applyAlignment="1">
      <alignment horizontal="center" vertical="center" wrapText="1"/>
    </xf>
    <xf numFmtId="176" fontId="0" fillId="0" borderId="11" xfId="8" applyNumberFormat="1" applyFill="1" applyBorder="1" applyAlignment="1">
      <alignment horizontal="center" vertical="center" wrapText="1"/>
    </xf>
    <xf numFmtId="176" fontId="0" fillId="0" borderId="11" xfId="0" applyNumberFormat="1" applyFill="1" applyBorder="1" applyAlignment="1">
      <alignment horizontal="center" vertical="center" wrapText="1"/>
    </xf>
    <xf numFmtId="176" fontId="1" fillId="0" borderId="33" xfId="8" applyNumberFormat="1" applyFont="1" applyFill="1" applyBorder="1" applyAlignment="1">
      <alignment horizontal="center" vertical="center" wrapText="1"/>
    </xf>
    <xf numFmtId="176" fontId="1" fillId="0" borderId="37" xfId="0" applyNumberFormat="1" applyFont="1" applyFill="1" applyBorder="1" applyAlignment="1">
      <alignment horizontal="center" vertical="center" wrapText="1"/>
    </xf>
    <xf numFmtId="0" fontId="5" fillId="0" borderId="0" xfId="0" applyFont="1" applyFill="1" applyAlignment="1">
      <alignment horizontal="center" vertical="center" wrapText="1"/>
    </xf>
    <xf numFmtId="0" fontId="16" fillId="0" borderId="0" xfId="0" applyFont="1" applyFill="1" applyAlignment="1">
      <alignment horizontal="center" vertical="center" wrapText="1"/>
    </xf>
    <xf numFmtId="0" fontId="17" fillId="0" borderId="0" xfId="0" applyFont="1" applyFill="1" applyAlignment="1">
      <alignment horizontal="center" vertical="center" wrapText="1"/>
    </xf>
    <xf numFmtId="0" fontId="18" fillId="0" borderId="0" xfId="0" applyFont="1" applyFill="1" applyAlignment="1">
      <alignment horizontal="center" vertical="center" wrapText="1"/>
    </xf>
    <xf numFmtId="178" fontId="18" fillId="0" borderId="0" xfId="0" applyNumberFormat="1" applyFont="1" applyFill="1" applyAlignment="1">
      <alignment horizontal="center" vertical="center"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_x0001_ _H15009B-GS" xfId="50"/>
  </cellStyles>
  <tableStyles count="0" defaultTableStyle="TableStyleMedium2" defaultPivotStyle="PivotStyleLight16"/>
  <colors>
    <mruColors>
      <color rgb="00C0BF56"/>
      <color rgb="00FFFFCC"/>
      <color rgb="0092D05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E8"/>
  <sheetViews>
    <sheetView showGridLines="0" workbookViewId="0">
      <selection activeCell="D8" sqref="D8"/>
    </sheetView>
  </sheetViews>
  <sheetFormatPr defaultColWidth="9" defaultRowHeight="44" customHeight="1" outlineLevelRow="7" outlineLevelCol="4"/>
  <cols>
    <col min="1" max="1" width="13.375" style="352" customWidth="1"/>
    <col min="2" max="2" width="9" style="352"/>
    <col min="3" max="3" width="18.375" style="352" customWidth="1"/>
    <col min="4" max="4" width="19.875" style="353" customWidth="1"/>
    <col min="5" max="16384" width="9" style="352"/>
  </cols>
  <sheetData>
    <row r="1" s="352" customFormat="1" customHeight="1" spans="2:5">
      <c r="B1" s="354" t="s">
        <v>0</v>
      </c>
      <c r="C1" s="354"/>
      <c r="D1" s="354"/>
      <c r="E1" s="354"/>
    </row>
    <row r="2" s="352" customFormat="1" ht="64" customHeight="1" spans="3:4">
      <c r="C2" s="354" t="s">
        <v>1</v>
      </c>
      <c r="D2" s="354"/>
    </row>
    <row r="3" s="352" customFormat="1" ht="64" customHeight="1" spans="3:4">
      <c r="C3" s="354" t="s">
        <v>2</v>
      </c>
      <c r="D3" s="354"/>
    </row>
    <row r="4" s="352" customFormat="1" ht="64" customHeight="1" spans="3:4">
      <c r="C4" s="354" t="s">
        <v>3</v>
      </c>
      <c r="D4" s="354"/>
    </row>
    <row r="5" s="352" customFormat="1" ht="64" customHeight="1" spans="3:4">
      <c r="C5" s="354" t="s">
        <v>4</v>
      </c>
      <c r="D5" s="354"/>
    </row>
    <row r="6" s="352" customFormat="1" ht="64" customHeight="1" spans="3:4">
      <c r="C6" s="354" t="s">
        <v>5</v>
      </c>
      <c r="D6" s="354"/>
    </row>
    <row r="7" s="352" customFormat="1" customHeight="1" spans="2:4">
      <c r="B7" s="355" t="s">
        <v>6</v>
      </c>
      <c r="C7" s="355"/>
      <c r="D7" s="356">
        <v>43061</v>
      </c>
    </row>
    <row r="8" s="352" customFormat="1" customHeight="1" spans="2:4">
      <c r="B8" s="355" t="s">
        <v>7</v>
      </c>
      <c r="C8" s="355"/>
      <c r="D8" s="356">
        <f>D7</f>
        <v>43061</v>
      </c>
    </row>
  </sheetData>
  <mergeCells count="8">
    <mergeCell ref="B1:E1"/>
    <mergeCell ref="C2:D2"/>
    <mergeCell ref="C3:D3"/>
    <mergeCell ref="C4:D4"/>
    <mergeCell ref="C5:D5"/>
    <mergeCell ref="C6:D6"/>
    <mergeCell ref="B7:C7"/>
    <mergeCell ref="B8:C8"/>
  </mergeCells>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67"/>
  <sheetViews>
    <sheetView workbookViewId="0">
      <selection activeCell="H16" sqref="H16"/>
    </sheetView>
  </sheetViews>
  <sheetFormatPr defaultColWidth="9" defaultRowHeight="18" customHeight="1"/>
  <cols>
    <col min="1" max="1" width="3.375" style="1" customWidth="1"/>
    <col min="2" max="2" width="4.75" style="1" customWidth="1"/>
    <col min="3" max="3" width="11.25" style="1" customWidth="1"/>
    <col min="4" max="4" width="6.25" style="1" customWidth="1"/>
    <col min="5" max="5" width="18.125" style="287" customWidth="1"/>
    <col min="6" max="6" width="17.375" style="287" customWidth="1"/>
    <col min="7" max="7" width="13.5" style="287" customWidth="1"/>
    <col min="8" max="8" width="11.375" style="287" customWidth="1"/>
    <col min="9" max="9" width="11.25" style="287" customWidth="1"/>
    <col min="10" max="10" width="10.25" style="287" customWidth="1"/>
    <col min="11" max="11" width="13.875" style="287" customWidth="1"/>
    <col min="12" max="12" width="18.125" style="287" customWidth="1"/>
    <col min="13" max="13" width="10.625" style="288" customWidth="1"/>
    <col min="14" max="14" width="7.5" style="1" customWidth="1"/>
    <col min="15" max="15" width="7.125" style="1" customWidth="1"/>
    <col min="16" max="16" width="11.25" style="283" customWidth="1"/>
    <col min="17" max="17" width="12.625" style="1"/>
    <col min="18" max="16383" width="9" style="1"/>
  </cols>
  <sheetData>
    <row r="1" s="1" customFormat="1" ht="36" customHeight="1" spans="2:16">
      <c r="B1" s="289" t="s">
        <v>8</v>
      </c>
      <c r="C1" s="289"/>
      <c r="D1" s="289"/>
      <c r="E1" s="289"/>
      <c r="F1" s="289"/>
      <c r="G1" s="289"/>
      <c r="H1" s="289"/>
      <c r="I1" s="289"/>
      <c r="J1" s="289"/>
      <c r="K1" s="289"/>
      <c r="L1" s="289"/>
      <c r="M1" s="289"/>
      <c r="N1" s="289"/>
      <c r="O1" s="289"/>
      <c r="P1" s="283"/>
    </row>
    <row r="2" s="283" customFormat="1" ht="31" customHeight="1" spans="1:16383">
      <c r="A2" s="284"/>
      <c r="B2" s="290" t="s">
        <v>9</v>
      </c>
      <c r="C2" s="291"/>
      <c r="D2" s="292">
        <f>封面!D7</f>
        <v>43061</v>
      </c>
      <c r="E2" s="292"/>
      <c r="F2" s="293" t="s">
        <v>10</v>
      </c>
      <c r="G2" s="293"/>
      <c r="H2" s="293"/>
      <c r="I2" s="293"/>
      <c r="J2" s="293"/>
      <c r="K2" s="293" t="s">
        <v>11</v>
      </c>
      <c r="L2" s="293"/>
      <c r="M2" s="293"/>
      <c r="N2" s="291" t="s">
        <v>12</v>
      </c>
      <c r="O2" s="323"/>
      <c r="Q2" s="284"/>
      <c r="R2" s="284"/>
      <c r="S2" s="284"/>
      <c r="T2" s="284"/>
      <c r="U2" s="284"/>
      <c r="V2" s="284"/>
      <c r="W2" s="284"/>
      <c r="X2" s="284"/>
      <c r="Y2" s="284"/>
      <c r="Z2" s="284"/>
      <c r="AA2" s="284"/>
      <c r="AB2" s="284"/>
      <c r="AC2" s="284"/>
      <c r="AD2" s="284"/>
      <c r="AE2" s="284"/>
      <c r="AF2" s="284"/>
      <c r="AG2" s="284"/>
      <c r="AH2" s="284"/>
      <c r="AI2" s="284"/>
      <c r="AJ2" s="284"/>
      <c r="AK2" s="284"/>
      <c r="AL2" s="284"/>
      <c r="AM2" s="284"/>
      <c r="AN2" s="284"/>
      <c r="AO2" s="284"/>
      <c r="AP2" s="284"/>
      <c r="AQ2" s="284"/>
      <c r="AR2" s="284"/>
      <c r="AS2" s="284"/>
      <c r="AT2" s="284"/>
      <c r="AU2" s="284"/>
      <c r="AV2" s="284"/>
      <c r="AW2" s="284"/>
      <c r="AX2" s="284"/>
      <c r="AY2" s="284"/>
      <c r="AZ2" s="284"/>
      <c r="BA2" s="284"/>
      <c r="BB2" s="284"/>
      <c r="BC2" s="284"/>
      <c r="BD2" s="284"/>
      <c r="BE2" s="284"/>
      <c r="BF2" s="284"/>
      <c r="BG2" s="284"/>
      <c r="BH2" s="284"/>
      <c r="BI2" s="284"/>
      <c r="BJ2" s="284"/>
      <c r="BK2" s="284"/>
      <c r="BL2" s="284"/>
      <c r="BM2" s="284"/>
      <c r="BN2" s="284"/>
      <c r="BO2" s="284"/>
      <c r="BP2" s="284"/>
      <c r="BQ2" s="284"/>
      <c r="BR2" s="284"/>
      <c r="BS2" s="284"/>
      <c r="BT2" s="284"/>
      <c r="BU2" s="284"/>
      <c r="BV2" s="284"/>
      <c r="BW2" s="284"/>
      <c r="BX2" s="284"/>
      <c r="BY2" s="284"/>
      <c r="BZ2" s="284"/>
      <c r="CA2" s="284"/>
      <c r="CB2" s="284"/>
      <c r="CC2" s="284"/>
      <c r="CD2" s="284"/>
      <c r="CE2" s="284"/>
      <c r="CF2" s="284"/>
      <c r="CG2" s="284"/>
      <c r="CH2" s="284"/>
      <c r="CI2" s="284"/>
      <c r="CJ2" s="284"/>
      <c r="CK2" s="284"/>
      <c r="CL2" s="284"/>
      <c r="CM2" s="284"/>
      <c r="CN2" s="284"/>
      <c r="CO2" s="284"/>
      <c r="CP2" s="284"/>
      <c r="CQ2" s="284"/>
      <c r="CR2" s="284"/>
      <c r="CS2" s="284"/>
      <c r="CT2" s="284"/>
      <c r="CU2" s="284"/>
      <c r="CV2" s="284"/>
      <c r="CW2" s="284"/>
      <c r="CX2" s="284"/>
      <c r="CY2" s="284"/>
      <c r="CZ2" s="284"/>
      <c r="DA2" s="284"/>
      <c r="DB2" s="284"/>
      <c r="DC2" s="284"/>
      <c r="DD2" s="284"/>
      <c r="DE2" s="284"/>
      <c r="DF2" s="284"/>
      <c r="DG2" s="284"/>
      <c r="DH2" s="284"/>
      <c r="DI2" s="284"/>
      <c r="DJ2" s="284"/>
      <c r="DK2" s="284"/>
      <c r="DL2" s="284"/>
      <c r="DM2" s="284"/>
      <c r="DN2" s="284"/>
      <c r="DO2" s="284"/>
      <c r="DP2" s="284"/>
      <c r="DQ2" s="284"/>
      <c r="DR2" s="284"/>
      <c r="DS2" s="284"/>
      <c r="DT2" s="284"/>
      <c r="DU2" s="284"/>
      <c r="DV2" s="284"/>
      <c r="DW2" s="284"/>
      <c r="DX2" s="284"/>
      <c r="DY2" s="284"/>
      <c r="DZ2" s="284"/>
      <c r="EA2" s="284"/>
      <c r="EB2" s="284"/>
      <c r="EC2" s="284"/>
      <c r="ED2" s="284"/>
      <c r="EE2" s="284"/>
      <c r="EF2" s="284"/>
      <c r="EG2" s="284"/>
      <c r="EH2" s="284"/>
      <c r="EI2" s="284"/>
      <c r="EJ2" s="284"/>
      <c r="EK2" s="284"/>
      <c r="EL2" s="284"/>
      <c r="EM2" s="284"/>
      <c r="EN2" s="284"/>
      <c r="EO2" s="284"/>
      <c r="EP2" s="284"/>
      <c r="EQ2" s="284"/>
      <c r="ER2" s="284"/>
      <c r="ES2" s="284"/>
      <c r="ET2" s="284"/>
      <c r="EU2" s="284"/>
      <c r="EV2" s="284"/>
      <c r="EW2" s="284"/>
      <c r="EX2" s="284"/>
      <c r="EY2" s="284"/>
      <c r="EZ2" s="284"/>
      <c r="FA2" s="284"/>
      <c r="FB2" s="284"/>
      <c r="FC2" s="284"/>
      <c r="FD2" s="284"/>
      <c r="FE2" s="284"/>
      <c r="FF2" s="284"/>
      <c r="FG2" s="284"/>
      <c r="FH2" s="284"/>
      <c r="FI2" s="284"/>
      <c r="FJ2" s="284"/>
      <c r="FK2" s="284"/>
      <c r="FL2" s="284"/>
      <c r="FM2" s="284"/>
      <c r="FN2" s="284"/>
      <c r="FO2" s="284"/>
      <c r="FP2" s="284"/>
      <c r="FQ2" s="284"/>
      <c r="FR2" s="284"/>
      <c r="FS2" s="284"/>
      <c r="FT2" s="284"/>
      <c r="FU2" s="284"/>
      <c r="FV2" s="284"/>
      <c r="FW2" s="284"/>
      <c r="FX2" s="284"/>
      <c r="FY2" s="284"/>
      <c r="FZ2" s="284"/>
      <c r="GA2" s="284"/>
      <c r="GB2" s="284"/>
      <c r="GC2" s="284"/>
      <c r="GD2" s="284"/>
      <c r="GE2" s="284"/>
      <c r="GF2" s="284"/>
      <c r="GG2" s="284"/>
      <c r="GH2" s="284"/>
      <c r="GI2" s="284"/>
      <c r="GJ2" s="284"/>
      <c r="GK2" s="284"/>
      <c r="GL2" s="284"/>
      <c r="GM2" s="284"/>
      <c r="GN2" s="284"/>
      <c r="GO2" s="284"/>
      <c r="GP2" s="284"/>
      <c r="GQ2" s="284"/>
      <c r="GR2" s="284"/>
      <c r="GS2" s="284"/>
      <c r="GT2" s="284"/>
      <c r="GU2" s="284"/>
      <c r="GV2" s="284"/>
      <c r="GW2" s="284"/>
      <c r="GX2" s="284"/>
      <c r="GY2" s="284"/>
      <c r="GZ2" s="284"/>
      <c r="HA2" s="284"/>
      <c r="HB2" s="284"/>
      <c r="HC2" s="284"/>
      <c r="HD2" s="284"/>
      <c r="HE2" s="284"/>
      <c r="HF2" s="284"/>
      <c r="HG2" s="284"/>
      <c r="HH2" s="284"/>
      <c r="HI2" s="284"/>
      <c r="HJ2" s="284"/>
      <c r="HK2" s="284"/>
      <c r="HL2" s="284"/>
      <c r="HM2" s="284"/>
      <c r="HN2" s="284"/>
      <c r="HO2" s="284"/>
      <c r="HP2" s="284"/>
      <c r="HQ2" s="284"/>
      <c r="HR2" s="284"/>
      <c r="HS2" s="284"/>
      <c r="HT2" s="284"/>
      <c r="HU2" s="284"/>
      <c r="HV2" s="284"/>
      <c r="HW2" s="284"/>
      <c r="HX2" s="284"/>
      <c r="HY2" s="284"/>
      <c r="HZ2" s="284"/>
      <c r="IA2" s="284"/>
      <c r="IB2" s="284"/>
      <c r="IC2" s="284"/>
      <c r="ID2" s="284"/>
      <c r="IE2" s="284"/>
      <c r="IF2" s="284"/>
      <c r="IG2" s="284"/>
      <c r="IH2" s="284"/>
      <c r="II2" s="284"/>
      <c r="IJ2" s="284"/>
      <c r="IK2" s="284"/>
      <c r="IL2" s="284"/>
      <c r="IM2" s="284"/>
      <c r="IN2" s="284"/>
      <c r="IO2" s="284"/>
      <c r="IP2" s="284"/>
      <c r="IQ2" s="284"/>
      <c r="IR2" s="284"/>
      <c r="IS2" s="284"/>
      <c r="IT2" s="284"/>
      <c r="IU2" s="284"/>
      <c r="IV2" s="284"/>
      <c r="IW2" s="284"/>
      <c r="IX2" s="284"/>
      <c r="IY2" s="284"/>
      <c r="IZ2" s="284"/>
      <c r="JA2" s="284"/>
      <c r="JB2" s="284"/>
      <c r="JC2" s="284"/>
      <c r="JD2" s="284"/>
      <c r="JE2" s="284"/>
      <c r="JF2" s="284"/>
      <c r="JG2" s="284"/>
      <c r="JH2" s="284"/>
      <c r="JI2" s="284"/>
      <c r="JJ2" s="284"/>
      <c r="JK2" s="284"/>
      <c r="JL2" s="284"/>
      <c r="JM2" s="284"/>
      <c r="JN2" s="284"/>
      <c r="JO2" s="284"/>
      <c r="JP2" s="284"/>
      <c r="JQ2" s="284"/>
      <c r="JR2" s="284"/>
      <c r="JS2" s="284"/>
      <c r="JT2" s="284"/>
      <c r="JU2" s="284"/>
      <c r="JV2" s="284"/>
      <c r="JW2" s="284"/>
      <c r="JX2" s="284"/>
      <c r="JY2" s="284"/>
      <c r="JZ2" s="284"/>
      <c r="KA2" s="284"/>
      <c r="KB2" s="284"/>
      <c r="KC2" s="284"/>
      <c r="KD2" s="284"/>
      <c r="KE2" s="284"/>
      <c r="KF2" s="284"/>
      <c r="KG2" s="284"/>
      <c r="KH2" s="284"/>
      <c r="KI2" s="284"/>
      <c r="KJ2" s="284"/>
      <c r="KK2" s="284"/>
      <c r="KL2" s="284"/>
      <c r="KM2" s="284"/>
      <c r="KN2" s="284"/>
      <c r="KO2" s="284"/>
      <c r="KP2" s="284"/>
      <c r="KQ2" s="284"/>
      <c r="KR2" s="284"/>
      <c r="KS2" s="284"/>
      <c r="KT2" s="284"/>
      <c r="KU2" s="284"/>
      <c r="KV2" s="284"/>
      <c r="KW2" s="284"/>
      <c r="KX2" s="284"/>
      <c r="KY2" s="284"/>
      <c r="KZ2" s="284"/>
      <c r="LA2" s="284"/>
      <c r="LB2" s="284"/>
      <c r="LC2" s="284"/>
      <c r="LD2" s="284"/>
      <c r="LE2" s="284"/>
      <c r="LF2" s="284"/>
      <c r="LG2" s="284"/>
      <c r="LH2" s="284"/>
      <c r="LI2" s="284"/>
      <c r="LJ2" s="284"/>
      <c r="LK2" s="284"/>
      <c r="LL2" s="284"/>
      <c r="LM2" s="284"/>
      <c r="LN2" s="284"/>
      <c r="LO2" s="284"/>
      <c r="LP2" s="284"/>
      <c r="LQ2" s="284"/>
      <c r="LR2" s="284"/>
      <c r="LS2" s="284"/>
      <c r="LT2" s="284"/>
      <c r="LU2" s="284"/>
      <c r="LV2" s="284"/>
      <c r="LW2" s="284"/>
      <c r="LX2" s="284"/>
      <c r="LY2" s="284"/>
      <c r="LZ2" s="284"/>
      <c r="MA2" s="284"/>
      <c r="MB2" s="284"/>
      <c r="MC2" s="284"/>
      <c r="MD2" s="284"/>
      <c r="ME2" s="284"/>
      <c r="MF2" s="284"/>
      <c r="MG2" s="284"/>
      <c r="MH2" s="284"/>
      <c r="MI2" s="284"/>
      <c r="MJ2" s="284"/>
      <c r="MK2" s="284"/>
      <c r="ML2" s="284"/>
      <c r="MM2" s="284"/>
      <c r="MN2" s="284"/>
      <c r="MO2" s="284"/>
      <c r="MP2" s="284"/>
      <c r="MQ2" s="284"/>
      <c r="MR2" s="284"/>
      <c r="MS2" s="284"/>
      <c r="MT2" s="284"/>
      <c r="MU2" s="284"/>
      <c r="MV2" s="284"/>
      <c r="MW2" s="284"/>
      <c r="MX2" s="284"/>
      <c r="MY2" s="284"/>
      <c r="MZ2" s="284"/>
      <c r="NA2" s="284"/>
      <c r="NB2" s="284"/>
      <c r="NC2" s="284"/>
      <c r="ND2" s="284"/>
      <c r="NE2" s="284"/>
      <c r="NF2" s="284"/>
      <c r="NG2" s="284"/>
      <c r="NH2" s="284"/>
      <c r="NI2" s="284"/>
      <c r="NJ2" s="284"/>
      <c r="NK2" s="284"/>
      <c r="NL2" s="284"/>
      <c r="NM2" s="284"/>
      <c r="NN2" s="284"/>
      <c r="NO2" s="284"/>
      <c r="NP2" s="284"/>
      <c r="NQ2" s="284"/>
      <c r="NR2" s="284"/>
      <c r="NS2" s="284"/>
      <c r="NT2" s="284"/>
      <c r="NU2" s="284"/>
      <c r="NV2" s="284"/>
      <c r="NW2" s="284"/>
      <c r="NX2" s="284"/>
      <c r="NY2" s="284"/>
      <c r="NZ2" s="284"/>
      <c r="OA2" s="284"/>
      <c r="OB2" s="284"/>
      <c r="OC2" s="284"/>
      <c r="OD2" s="284"/>
      <c r="OE2" s="284"/>
      <c r="OF2" s="284"/>
      <c r="OG2" s="284"/>
      <c r="OH2" s="284"/>
      <c r="OI2" s="284"/>
      <c r="OJ2" s="284"/>
      <c r="OK2" s="284"/>
      <c r="OL2" s="284"/>
      <c r="OM2" s="284"/>
      <c r="ON2" s="284"/>
      <c r="OO2" s="284"/>
      <c r="OP2" s="284"/>
      <c r="OQ2" s="284"/>
      <c r="OR2" s="284"/>
      <c r="OS2" s="284"/>
      <c r="OT2" s="284"/>
      <c r="OU2" s="284"/>
      <c r="OV2" s="284"/>
      <c r="OW2" s="284"/>
      <c r="OX2" s="284"/>
      <c r="OY2" s="284"/>
      <c r="OZ2" s="284"/>
      <c r="PA2" s="284"/>
      <c r="PB2" s="284"/>
      <c r="PC2" s="284"/>
      <c r="PD2" s="284"/>
      <c r="PE2" s="284"/>
      <c r="PF2" s="284"/>
      <c r="PG2" s="284"/>
      <c r="PH2" s="284"/>
      <c r="PI2" s="284"/>
      <c r="PJ2" s="284"/>
      <c r="PK2" s="284"/>
      <c r="PL2" s="284"/>
      <c r="PM2" s="284"/>
      <c r="PN2" s="284"/>
      <c r="PO2" s="284"/>
      <c r="PP2" s="284"/>
      <c r="PQ2" s="284"/>
      <c r="PR2" s="284"/>
      <c r="PS2" s="284"/>
      <c r="PT2" s="284"/>
      <c r="PU2" s="284"/>
      <c r="PV2" s="284"/>
      <c r="PW2" s="284"/>
      <c r="PX2" s="284"/>
      <c r="PY2" s="284"/>
      <c r="PZ2" s="284"/>
      <c r="QA2" s="284"/>
      <c r="QB2" s="284"/>
      <c r="QC2" s="284"/>
      <c r="QD2" s="284"/>
      <c r="QE2" s="284"/>
      <c r="QF2" s="284"/>
      <c r="QG2" s="284"/>
      <c r="QH2" s="284"/>
      <c r="QI2" s="284"/>
      <c r="QJ2" s="284"/>
      <c r="QK2" s="284"/>
      <c r="QL2" s="284"/>
      <c r="QM2" s="284"/>
      <c r="QN2" s="284"/>
      <c r="QO2" s="284"/>
      <c r="QP2" s="284"/>
      <c r="QQ2" s="284"/>
      <c r="QR2" s="284"/>
      <c r="QS2" s="284"/>
      <c r="QT2" s="284"/>
      <c r="QU2" s="284"/>
      <c r="QV2" s="284"/>
      <c r="QW2" s="284"/>
      <c r="QX2" s="284"/>
      <c r="QY2" s="284"/>
      <c r="QZ2" s="284"/>
      <c r="RA2" s="284"/>
      <c r="RB2" s="284"/>
      <c r="RC2" s="284"/>
      <c r="RD2" s="284"/>
      <c r="RE2" s="284"/>
      <c r="RF2" s="284"/>
      <c r="RG2" s="284"/>
      <c r="RH2" s="284"/>
      <c r="RI2" s="284"/>
      <c r="RJ2" s="284"/>
      <c r="RK2" s="284"/>
      <c r="RL2" s="284"/>
      <c r="RM2" s="284"/>
      <c r="RN2" s="284"/>
      <c r="RO2" s="284"/>
      <c r="RP2" s="284"/>
      <c r="RQ2" s="284"/>
      <c r="RR2" s="284"/>
      <c r="RS2" s="284"/>
      <c r="RT2" s="284"/>
      <c r="RU2" s="284"/>
      <c r="RV2" s="284"/>
      <c r="RW2" s="284"/>
      <c r="RX2" s="284"/>
      <c r="RY2" s="284"/>
      <c r="RZ2" s="284"/>
      <c r="SA2" s="284"/>
      <c r="SB2" s="284"/>
      <c r="SC2" s="284"/>
      <c r="SD2" s="284"/>
      <c r="SE2" s="284"/>
      <c r="SF2" s="284"/>
      <c r="SG2" s="284"/>
      <c r="SH2" s="284"/>
      <c r="SI2" s="284"/>
      <c r="SJ2" s="284"/>
      <c r="SK2" s="284"/>
      <c r="SL2" s="284"/>
      <c r="SM2" s="284"/>
      <c r="SN2" s="284"/>
      <c r="SO2" s="284"/>
      <c r="SP2" s="284"/>
      <c r="SQ2" s="284"/>
      <c r="SR2" s="284"/>
      <c r="SS2" s="284"/>
      <c r="ST2" s="284"/>
      <c r="SU2" s="284"/>
      <c r="SV2" s="284"/>
      <c r="SW2" s="284"/>
      <c r="SX2" s="284"/>
      <c r="SY2" s="284"/>
      <c r="SZ2" s="284"/>
      <c r="TA2" s="284"/>
      <c r="TB2" s="284"/>
      <c r="TC2" s="284"/>
      <c r="TD2" s="284"/>
      <c r="TE2" s="284"/>
      <c r="TF2" s="284"/>
      <c r="TG2" s="284"/>
      <c r="TH2" s="284"/>
      <c r="TI2" s="284"/>
      <c r="TJ2" s="284"/>
      <c r="TK2" s="284"/>
      <c r="TL2" s="284"/>
      <c r="TM2" s="284"/>
      <c r="TN2" s="284"/>
      <c r="TO2" s="284"/>
      <c r="TP2" s="284"/>
      <c r="TQ2" s="284"/>
      <c r="TR2" s="284"/>
      <c r="TS2" s="284"/>
      <c r="TT2" s="284"/>
      <c r="TU2" s="284"/>
      <c r="TV2" s="284"/>
      <c r="TW2" s="284"/>
      <c r="TX2" s="284"/>
      <c r="TY2" s="284"/>
      <c r="TZ2" s="284"/>
      <c r="UA2" s="284"/>
      <c r="UB2" s="284"/>
      <c r="UC2" s="284"/>
      <c r="UD2" s="284"/>
      <c r="UE2" s="284"/>
      <c r="UF2" s="284"/>
      <c r="UG2" s="284"/>
      <c r="UH2" s="284"/>
      <c r="UI2" s="284"/>
      <c r="UJ2" s="284"/>
      <c r="UK2" s="284"/>
      <c r="UL2" s="284"/>
      <c r="UM2" s="284"/>
      <c r="UN2" s="284"/>
      <c r="UO2" s="284"/>
      <c r="UP2" s="284"/>
      <c r="UQ2" s="284"/>
      <c r="UR2" s="284"/>
      <c r="US2" s="284"/>
      <c r="UT2" s="284"/>
      <c r="UU2" s="284"/>
      <c r="UV2" s="284"/>
      <c r="UW2" s="284"/>
      <c r="UX2" s="284"/>
      <c r="UY2" s="284"/>
      <c r="UZ2" s="284"/>
      <c r="VA2" s="284"/>
      <c r="VB2" s="284"/>
      <c r="VC2" s="284"/>
      <c r="VD2" s="284"/>
      <c r="VE2" s="284"/>
      <c r="VF2" s="284"/>
      <c r="VG2" s="284"/>
      <c r="VH2" s="284"/>
      <c r="VI2" s="284"/>
      <c r="VJ2" s="284"/>
      <c r="VK2" s="284"/>
      <c r="VL2" s="284"/>
      <c r="VM2" s="284"/>
      <c r="VN2" s="284"/>
      <c r="VO2" s="284"/>
      <c r="VP2" s="284"/>
      <c r="VQ2" s="284"/>
      <c r="VR2" s="284"/>
      <c r="VS2" s="284"/>
      <c r="VT2" s="284"/>
      <c r="VU2" s="284"/>
      <c r="VV2" s="284"/>
      <c r="VW2" s="284"/>
      <c r="VX2" s="284"/>
      <c r="VY2" s="284"/>
      <c r="VZ2" s="284"/>
      <c r="WA2" s="284"/>
      <c r="WB2" s="284"/>
      <c r="WC2" s="284"/>
      <c r="WD2" s="284"/>
      <c r="WE2" s="284"/>
      <c r="WF2" s="284"/>
      <c r="WG2" s="284"/>
      <c r="WH2" s="284"/>
      <c r="WI2" s="284"/>
      <c r="WJ2" s="284"/>
      <c r="WK2" s="284"/>
      <c r="WL2" s="284"/>
      <c r="WM2" s="284"/>
      <c r="WN2" s="284"/>
      <c r="WO2" s="284"/>
      <c r="WP2" s="284"/>
      <c r="WQ2" s="284"/>
      <c r="WR2" s="284"/>
      <c r="WS2" s="284"/>
      <c r="WT2" s="284"/>
      <c r="WU2" s="284"/>
      <c r="WV2" s="284"/>
      <c r="WW2" s="284"/>
      <c r="WX2" s="284"/>
      <c r="WY2" s="284"/>
      <c r="WZ2" s="284"/>
      <c r="XA2" s="284"/>
      <c r="XB2" s="284"/>
      <c r="XC2" s="284"/>
      <c r="XD2" s="284"/>
      <c r="XE2" s="284"/>
      <c r="XF2" s="284"/>
      <c r="XG2" s="284"/>
      <c r="XH2" s="284"/>
      <c r="XI2" s="284"/>
      <c r="XJ2" s="284"/>
      <c r="XK2" s="284"/>
      <c r="XL2" s="284"/>
      <c r="XM2" s="284"/>
      <c r="XN2" s="284"/>
      <c r="XO2" s="284"/>
      <c r="XP2" s="284"/>
      <c r="XQ2" s="284"/>
      <c r="XR2" s="284"/>
      <c r="XS2" s="284"/>
      <c r="XT2" s="284"/>
      <c r="XU2" s="284"/>
      <c r="XV2" s="284"/>
      <c r="XW2" s="284"/>
      <c r="XX2" s="284"/>
      <c r="XY2" s="284"/>
      <c r="XZ2" s="284"/>
      <c r="YA2" s="284"/>
      <c r="YB2" s="284"/>
      <c r="YC2" s="284"/>
      <c r="YD2" s="284"/>
      <c r="YE2" s="284"/>
      <c r="YF2" s="284"/>
      <c r="YG2" s="284"/>
      <c r="YH2" s="284"/>
      <c r="YI2" s="284"/>
      <c r="YJ2" s="284"/>
      <c r="YK2" s="284"/>
      <c r="YL2" s="284"/>
      <c r="YM2" s="284"/>
      <c r="YN2" s="284"/>
      <c r="YO2" s="284"/>
      <c r="YP2" s="284"/>
      <c r="YQ2" s="284"/>
      <c r="YR2" s="284"/>
      <c r="YS2" s="284"/>
      <c r="YT2" s="284"/>
      <c r="YU2" s="284"/>
      <c r="YV2" s="284"/>
      <c r="YW2" s="284"/>
      <c r="YX2" s="284"/>
      <c r="YY2" s="284"/>
      <c r="YZ2" s="284"/>
      <c r="ZA2" s="284"/>
      <c r="ZB2" s="284"/>
      <c r="ZC2" s="284"/>
      <c r="ZD2" s="284"/>
      <c r="ZE2" s="284"/>
      <c r="ZF2" s="284"/>
      <c r="ZG2" s="284"/>
      <c r="ZH2" s="284"/>
      <c r="ZI2" s="284"/>
      <c r="ZJ2" s="284"/>
      <c r="ZK2" s="284"/>
      <c r="ZL2" s="284"/>
      <c r="ZM2" s="284"/>
      <c r="ZN2" s="284"/>
      <c r="ZO2" s="284"/>
      <c r="ZP2" s="284"/>
      <c r="ZQ2" s="284"/>
      <c r="ZR2" s="284"/>
      <c r="ZS2" s="284"/>
      <c r="ZT2" s="284"/>
      <c r="ZU2" s="284"/>
      <c r="ZV2" s="284"/>
      <c r="ZW2" s="284"/>
      <c r="ZX2" s="284"/>
      <c r="ZY2" s="284"/>
      <c r="ZZ2" s="284"/>
      <c r="AAA2" s="284"/>
      <c r="AAB2" s="284"/>
      <c r="AAC2" s="284"/>
      <c r="AAD2" s="284"/>
      <c r="AAE2" s="284"/>
      <c r="AAF2" s="284"/>
      <c r="AAG2" s="284"/>
      <c r="AAH2" s="284"/>
      <c r="AAI2" s="284"/>
      <c r="AAJ2" s="284"/>
      <c r="AAK2" s="284"/>
      <c r="AAL2" s="284"/>
      <c r="AAM2" s="284"/>
      <c r="AAN2" s="284"/>
      <c r="AAO2" s="284"/>
      <c r="AAP2" s="284"/>
      <c r="AAQ2" s="284"/>
      <c r="AAR2" s="284"/>
      <c r="AAS2" s="284"/>
      <c r="AAT2" s="284"/>
      <c r="AAU2" s="284"/>
      <c r="AAV2" s="284"/>
      <c r="AAW2" s="284"/>
      <c r="AAX2" s="284"/>
      <c r="AAY2" s="284"/>
      <c r="AAZ2" s="284"/>
      <c r="ABA2" s="284"/>
      <c r="ABB2" s="284"/>
      <c r="ABC2" s="284"/>
      <c r="ABD2" s="284"/>
      <c r="ABE2" s="284"/>
      <c r="ABF2" s="284"/>
      <c r="ABG2" s="284"/>
      <c r="ABH2" s="284"/>
      <c r="ABI2" s="284"/>
      <c r="ABJ2" s="284"/>
      <c r="ABK2" s="284"/>
      <c r="ABL2" s="284"/>
      <c r="ABM2" s="284"/>
      <c r="ABN2" s="284"/>
      <c r="ABO2" s="284"/>
      <c r="ABP2" s="284"/>
      <c r="ABQ2" s="284"/>
      <c r="ABR2" s="284"/>
      <c r="ABS2" s="284"/>
      <c r="ABT2" s="284"/>
      <c r="ABU2" s="284"/>
      <c r="ABV2" s="284"/>
      <c r="ABW2" s="284"/>
      <c r="ABX2" s="284"/>
      <c r="ABY2" s="284"/>
      <c r="ABZ2" s="284"/>
      <c r="ACA2" s="284"/>
      <c r="ACB2" s="284"/>
      <c r="ACC2" s="284"/>
      <c r="ACD2" s="284"/>
      <c r="ACE2" s="284"/>
      <c r="ACF2" s="284"/>
      <c r="ACG2" s="284"/>
      <c r="ACH2" s="284"/>
      <c r="ACI2" s="284"/>
      <c r="ACJ2" s="284"/>
      <c r="ACK2" s="284"/>
      <c r="ACL2" s="284"/>
      <c r="ACM2" s="284"/>
      <c r="ACN2" s="284"/>
      <c r="ACO2" s="284"/>
      <c r="ACP2" s="284"/>
      <c r="ACQ2" s="284"/>
      <c r="ACR2" s="284"/>
      <c r="ACS2" s="284"/>
      <c r="ACT2" s="284"/>
      <c r="ACU2" s="284"/>
      <c r="ACV2" s="284"/>
      <c r="ACW2" s="284"/>
      <c r="ACX2" s="284"/>
      <c r="ACY2" s="284"/>
      <c r="ACZ2" s="284"/>
      <c r="ADA2" s="284"/>
      <c r="ADB2" s="284"/>
      <c r="ADC2" s="284"/>
      <c r="ADD2" s="284"/>
      <c r="ADE2" s="284"/>
      <c r="ADF2" s="284"/>
      <c r="ADG2" s="284"/>
      <c r="ADH2" s="284"/>
      <c r="ADI2" s="284"/>
      <c r="ADJ2" s="284"/>
      <c r="ADK2" s="284"/>
      <c r="ADL2" s="284"/>
      <c r="ADM2" s="284"/>
      <c r="ADN2" s="284"/>
      <c r="ADO2" s="284"/>
      <c r="ADP2" s="284"/>
      <c r="ADQ2" s="284"/>
      <c r="ADR2" s="284"/>
      <c r="ADS2" s="284"/>
      <c r="ADT2" s="284"/>
      <c r="ADU2" s="284"/>
      <c r="ADV2" s="284"/>
      <c r="ADW2" s="284"/>
      <c r="ADX2" s="284"/>
      <c r="ADY2" s="284"/>
      <c r="ADZ2" s="284"/>
      <c r="AEA2" s="284"/>
      <c r="AEB2" s="284"/>
      <c r="AEC2" s="284"/>
      <c r="AED2" s="284"/>
      <c r="AEE2" s="284"/>
      <c r="AEF2" s="284"/>
      <c r="AEG2" s="284"/>
      <c r="AEH2" s="284"/>
      <c r="AEI2" s="284"/>
      <c r="AEJ2" s="284"/>
      <c r="AEK2" s="284"/>
      <c r="AEL2" s="284"/>
      <c r="AEM2" s="284"/>
      <c r="AEN2" s="284"/>
      <c r="AEO2" s="284"/>
      <c r="AEP2" s="284"/>
      <c r="AEQ2" s="284"/>
      <c r="AER2" s="284"/>
      <c r="AES2" s="284"/>
      <c r="AET2" s="284"/>
      <c r="AEU2" s="284"/>
      <c r="AEV2" s="284"/>
      <c r="AEW2" s="284"/>
      <c r="AEX2" s="284"/>
      <c r="AEY2" s="284"/>
      <c r="AEZ2" s="284"/>
      <c r="AFA2" s="284"/>
      <c r="AFB2" s="284"/>
      <c r="AFC2" s="284"/>
      <c r="AFD2" s="284"/>
      <c r="AFE2" s="284"/>
      <c r="AFF2" s="284"/>
      <c r="AFG2" s="284"/>
      <c r="AFH2" s="284"/>
      <c r="AFI2" s="284"/>
      <c r="AFJ2" s="284"/>
      <c r="AFK2" s="284"/>
      <c r="AFL2" s="284"/>
      <c r="AFM2" s="284"/>
      <c r="AFN2" s="284"/>
      <c r="AFO2" s="284"/>
      <c r="AFP2" s="284"/>
      <c r="AFQ2" s="284"/>
      <c r="AFR2" s="284"/>
      <c r="AFS2" s="284"/>
      <c r="AFT2" s="284"/>
      <c r="AFU2" s="284"/>
      <c r="AFV2" s="284"/>
      <c r="AFW2" s="284"/>
      <c r="AFX2" s="284"/>
      <c r="AFY2" s="284"/>
      <c r="AFZ2" s="284"/>
      <c r="AGA2" s="284"/>
      <c r="AGB2" s="284"/>
      <c r="AGC2" s="284"/>
      <c r="AGD2" s="284"/>
      <c r="AGE2" s="284"/>
      <c r="AGF2" s="284"/>
      <c r="AGG2" s="284"/>
      <c r="AGH2" s="284"/>
      <c r="AGI2" s="284"/>
      <c r="AGJ2" s="284"/>
      <c r="AGK2" s="284"/>
      <c r="AGL2" s="284"/>
      <c r="AGM2" s="284"/>
      <c r="AGN2" s="284"/>
      <c r="AGO2" s="284"/>
      <c r="AGP2" s="284"/>
      <c r="AGQ2" s="284"/>
      <c r="AGR2" s="284"/>
      <c r="AGS2" s="284"/>
      <c r="AGT2" s="284"/>
      <c r="AGU2" s="284"/>
      <c r="AGV2" s="284"/>
      <c r="AGW2" s="284"/>
      <c r="AGX2" s="284"/>
      <c r="AGY2" s="284"/>
      <c r="AGZ2" s="284"/>
      <c r="AHA2" s="284"/>
      <c r="AHB2" s="284"/>
      <c r="AHC2" s="284"/>
      <c r="AHD2" s="284"/>
      <c r="AHE2" s="284"/>
      <c r="AHF2" s="284"/>
      <c r="AHG2" s="284"/>
      <c r="AHH2" s="284"/>
      <c r="AHI2" s="284"/>
      <c r="AHJ2" s="284"/>
      <c r="AHK2" s="284"/>
      <c r="AHL2" s="284"/>
      <c r="AHM2" s="284"/>
      <c r="AHN2" s="284"/>
      <c r="AHO2" s="284"/>
      <c r="AHP2" s="284"/>
      <c r="AHQ2" s="284"/>
      <c r="AHR2" s="284"/>
      <c r="AHS2" s="284"/>
      <c r="AHT2" s="284"/>
      <c r="AHU2" s="284"/>
      <c r="AHV2" s="284"/>
      <c r="AHW2" s="284"/>
      <c r="AHX2" s="284"/>
      <c r="AHY2" s="284"/>
      <c r="AHZ2" s="284"/>
      <c r="AIA2" s="284"/>
      <c r="AIB2" s="284"/>
      <c r="AIC2" s="284"/>
      <c r="AID2" s="284"/>
      <c r="AIE2" s="284"/>
      <c r="AIF2" s="284"/>
      <c r="AIG2" s="284"/>
      <c r="AIH2" s="284"/>
      <c r="AII2" s="284"/>
      <c r="AIJ2" s="284"/>
      <c r="AIK2" s="284"/>
      <c r="AIL2" s="284"/>
      <c r="AIM2" s="284"/>
      <c r="AIN2" s="284"/>
      <c r="AIO2" s="284"/>
      <c r="AIP2" s="284"/>
      <c r="AIQ2" s="284"/>
      <c r="AIR2" s="284"/>
      <c r="AIS2" s="284"/>
      <c r="AIT2" s="284"/>
      <c r="AIU2" s="284"/>
      <c r="AIV2" s="284"/>
      <c r="AIW2" s="284"/>
      <c r="AIX2" s="284"/>
      <c r="AIY2" s="284"/>
      <c r="AIZ2" s="284"/>
      <c r="AJA2" s="284"/>
      <c r="AJB2" s="284"/>
      <c r="AJC2" s="284"/>
      <c r="AJD2" s="284"/>
      <c r="AJE2" s="284"/>
      <c r="AJF2" s="284"/>
      <c r="AJG2" s="284"/>
      <c r="AJH2" s="284"/>
      <c r="AJI2" s="284"/>
      <c r="AJJ2" s="284"/>
      <c r="AJK2" s="284"/>
      <c r="AJL2" s="284"/>
      <c r="AJM2" s="284"/>
      <c r="AJN2" s="284"/>
      <c r="AJO2" s="284"/>
      <c r="AJP2" s="284"/>
      <c r="AJQ2" s="284"/>
      <c r="AJR2" s="284"/>
      <c r="AJS2" s="284"/>
      <c r="AJT2" s="284"/>
      <c r="AJU2" s="284"/>
      <c r="AJV2" s="284"/>
      <c r="AJW2" s="284"/>
      <c r="AJX2" s="284"/>
      <c r="AJY2" s="284"/>
      <c r="AJZ2" s="284"/>
      <c r="AKA2" s="284"/>
      <c r="AKB2" s="284"/>
      <c r="AKC2" s="284"/>
      <c r="AKD2" s="284"/>
      <c r="AKE2" s="284"/>
      <c r="AKF2" s="284"/>
      <c r="AKG2" s="284"/>
      <c r="AKH2" s="284"/>
      <c r="AKI2" s="284"/>
      <c r="AKJ2" s="284"/>
      <c r="AKK2" s="284"/>
      <c r="AKL2" s="284"/>
      <c r="AKM2" s="284"/>
      <c r="AKN2" s="284"/>
      <c r="AKO2" s="284"/>
      <c r="AKP2" s="284"/>
      <c r="AKQ2" s="284"/>
      <c r="AKR2" s="284"/>
      <c r="AKS2" s="284"/>
      <c r="AKT2" s="284"/>
      <c r="AKU2" s="284"/>
      <c r="AKV2" s="284"/>
      <c r="AKW2" s="284"/>
      <c r="AKX2" s="284"/>
      <c r="AKY2" s="284"/>
      <c r="AKZ2" s="284"/>
      <c r="ALA2" s="284"/>
      <c r="ALB2" s="284"/>
      <c r="ALC2" s="284"/>
      <c r="ALD2" s="284"/>
      <c r="ALE2" s="284"/>
      <c r="ALF2" s="284"/>
      <c r="ALG2" s="284"/>
      <c r="ALH2" s="284"/>
      <c r="ALI2" s="284"/>
      <c r="ALJ2" s="284"/>
      <c r="ALK2" s="284"/>
      <c r="ALL2" s="284"/>
      <c r="ALM2" s="284"/>
      <c r="ALN2" s="284"/>
      <c r="ALO2" s="284"/>
      <c r="ALP2" s="284"/>
      <c r="ALQ2" s="284"/>
      <c r="ALR2" s="284"/>
      <c r="ALS2" s="284"/>
      <c r="ALT2" s="284"/>
      <c r="ALU2" s="284"/>
      <c r="ALV2" s="284"/>
      <c r="ALW2" s="284"/>
      <c r="ALX2" s="284"/>
      <c r="ALY2" s="284"/>
      <c r="ALZ2" s="284"/>
      <c r="AMA2" s="284"/>
      <c r="AMB2" s="284"/>
      <c r="AMC2" s="284"/>
      <c r="AMD2" s="284"/>
      <c r="AME2" s="284"/>
      <c r="AMF2" s="284"/>
      <c r="AMG2" s="284"/>
      <c r="AMH2" s="284"/>
      <c r="AMI2" s="284"/>
      <c r="AMJ2" s="284"/>
      <c r="AMK2" s="284"/>
      <c r="AML2" s="284"/>
      <c r="AMM2" s="284"/>
      <c r="AMN2" s="284"/>
      <c r="AMO2" s="284"/>
      <c r="AMP2" s="284"/>
      <c r="AMQ2" s="284"/>
      <c r="AMR2" s="284"/>
      <c r="AMS2" s="284"/>
      <c r="AMT2" s="284"/>
      <c r="AMU2" s="284"/>
      <c r="AMV2" s="284"/>
      <c r="AMW2" s="284"/>
      <c r="AMX2" s="284"/>
      <c r="AMY2" s="284"/>
      <c r="AMZ2" s="284"/>
      <c r="ANA2" s="284"/>
      <c r="ANB2" s="284"/>
      <c r="ANC2" s="284"/>
      <c r="AND2" s="284"/>
      <c r="ANE2" s="284"/>
      <c r="ANF2" s="284"/>
      <c r="ANG2" s="284"/>
      <c r="ANH2" s="284"/>
      <c r="ANI2" s="284"/>
      <c r="ANJ2" s="284"/>
      <c r="ANK2" s="284"/>
      <c r="ANL2" s="284"/>
      <c r="ANM2" s="284"/>
      <c r="ANN2" s="284"/>
      <c r="ANO2" s="284"/>
      <c r="ANP2" s="284"/>
      <c r="ANQ2" s="284"/>
      <c r="ANR2" s="284"/>
      <c r="ANS2" s="284"/>
      <c r="ANT2" s="284"/>
      <c r="ANU2" s="284"/>
      <c r="ANV2" s="284"/>
      <c r="ANW2" s="284"/>
      <c r="ANX2" s="284"/>
      <c r="ANY2" s="284"/>
      <c r="ANZ2" s="284"/>
      <c r="AOA2" s="284"/>
      <c r="AOB2" s="284"/>
      <c r="AOC2" s="284"/>
      <c r="AOD2" s="284"/>
      <c r="AOE2" s="284"/>
      <c r="AOF2" s="284"/>
      <c r="AOG2" s="284"/>
      <c r="AOH2" s="284"/>
      <c r="AOI2" s="284"/>
      <c r="AOJ2" s="284"/>
      <c r="AOK2" s="284"/>
      <c r="AOL2" s="284"/>
      <c r="AOM2" s="284"/>
      <c r="AON2" s="284"/>
      <c r="AOO2" s="284"/>
      <c r="AOP2" s="284"/>
      <c r="AOQ2" s="284"/>
      <c r="AOR2" s="284"/>
      <c r="AOS2" s="284"/>
      <c r="AOT2" s="284"/>
      <c r="AOU2" s="284"/>
      <c r="AOV2" s="284"/>
      <c r="AOW2" s="284"/>
      <c r="AOX2" s="284"/>
      <c r="AOY2" s="284"/>
      <c r="AOZ2" s="284"/>
      <c r="APA2" s="284"/>
      <c r="APB2" s="284"/>
      <c r="APC2" s="284"/>
      <c r="APD2" s="284"/>
      <c r="APE2" s="284"/>
      <c r="APF2" s="284"/>
      <c r="APG2" s="284"/>
      <c r="APH2" s="284"/>
      <c r="API2" s="284"/>
      <c r="APJ2" s="284"/>
      <c r="APK2" s="284"/>
      <c r="APL2" s="284"/>
      <c r="APM2" s="284"/>
      <c r="APN2" s="284"/>
      <c r="APO2" s="284"/>
      <c r="APP2" s="284"/>
      <c r="APQ2" s="284"/>
      <c r="APR2" s="284"/>
      <c r="APS2" s="284"/>
      <c r="APT2" s="284"/>
      <c r="APU2" s="284"/>
      <c r="APV2" s="284"/>
      <c r="APW2" s="284"/>
      <c r="APX2" s="284"/>
      <c r="APY2" s="284"/>
      <c r="APZ2" s="284"/>
      <c r="AQA2" s="284"/>
      <c r="AQB2" s="284"/>
      <c r="AQC2" s="284"/>
      <c r="AQD2" s="284"/>
      <c r="AQE2" s="284"/>
      <c r="AQF2" s="284"/>
      <c r="AQG2" s="284"/>
      <c r="AQH2" s="284"/>
      <c r="AQI2" s="284"/>
      <c r="AQJ2" s="284"/>
      <c r="AQK2" s="284"/>
      <c r="AQL2" s="284"/>
      <c r="AQM2" s="284"/>
      <c r="AQN2" s="284"/>
      <c r="AQO2" s="284"/>
      <c r="AQP2" s="284"/>
      <c r="AQQ2" s="284"/>
      <c r="AQR2" s="284"/>
      <c r="AQS2" s="284"/>
      <c r="AQT2" s="284"/>
      <c r="AQU2" s="284"/>
      <c r="AQV2" s="284"/>
      <c r="AQW2" s="284"/>
      <c r="AQX2" s="284"/>
      <c r="AQY2" s="284"/>
      <c r="AQZ2" s="284"/>
      <c r="ARA2" s="284"/>
      <c r="ARB2" s="284"/>
      <c r="ARC2" s="284"/>
      <c r="ARD2" s="284"/>
      <c r="ARE2" s="284"/>
      <c r="ARF2" s="284"/>
      <c r="ARG2" s="284"/>
      <c r="ARH2" s="284"/>
      <c r="ARI2" s="284"/>
      <c r="ARJ2" s="284"/>
      <c r="ARK2" s="284"/>
      <c r="ARL2" s="284"/>
      <c r="ARM2" s="284"/>
      <c r="ARN2" s="284"/>
      <c r="ARO2" s="284"/>
      <c r="ARP2" s="284"/>
      <c r="ARQ2" s="284"/>
      <c r="ARR2" s="284"/>
      <c r="ARS2" s="284"/>
      <c r="ART2" s="284"/>
      <c r="ARU2" s="284"/>
      <c r="ARV2" s="284"/>
      <c r="ARW2" s="284"/>
      <c r="ARX2" s="284"/>
      <c r="ARY2" s="284"/>
      <c r="ARZ2" s="284"/>
      <c r="ASA2" s="284"/>
      <c r="ASB2" s="284"/>
      <c r="ASC2" s="284"/>
      <c r="ASD2" s="284"/>
      <c r="ASE2" s="284"/>
      <c r="ASF2" s="284"/>
      <c r="ASG2" s="284"/>
      <c r="ASH2" s="284"/>
      <c r="ASI2" s="284"/>
      <c r="ASJ2" s="284"/>
      <c r="ASK2" s="284"/>
      <c r="ASL2" s="284"/>
      <c r="ASM2" s="284"/>
      <c r="ASN2" s="284"/>
      <c r="ASO2" s="284"/>
      <c r="ASP2" s="284"/>
      <c r="ASQ2" s="284"/>
      <c r="ASR2" s="284"/>
      <c r="ASS2" s="284"/>
      <c r="AST2" s="284"/>
      <c r="ASU2" s="284"/>
      <c r="ASV2" s="284"/>
      <c r="ASW2" s="284"/>
      <c r="ASX2" s="284"/>
      <c r="ASY2" s="284"/>
      <c r="ASZ2" s="284"/>
      <c r="ATA2" s="284"/>
      <c r="ATB2" s="284"/>
      <c r="ATC2" s="284"/>
      <c r="ATD2" s="284"/>
      <c r="ATE2" s="284"/>
      <c r="ATF2" s="284"/>
      <c r="ATG2" s="284"/>
      <c r="ATH2" s="284"/>
      <c r="ATI2" s="284"/>
      <c r="ATJ2" s="284"/>
      <c r="ATK2" s="284"/>
      <c r="ATL2" s="284"/>
      <c r="ATM2" s="284"/>
      <c r="ATN2" s="284"/>
      <c r="ATO2" s="284"/>
      <c r="ATP2" s="284"/>
      <c r="ATQ2" s="284"/>
      <c r="ATR2" s="284"/>
      <c r="ATS2" s="284"/>
      <c r="ATT2" s="284"/>
      <c r="ATU2" s="284"/>
      <c r="ATV2" s="284"/>
      <c r="ATW2" s="284"/>
      <c r="ATX2" s="284"/>
      <c r="ATY2" s="284"/>
      <c r="ATZ2" s="284"/>
      <c r="AUA2" s="284"/>
      <c r="AUB2" s="284"/>
      <c r="AUC2" s="284"/>
      <c r="AUD2" s="284"/>
      <c r="AUE2" s="284"/>
      <c r="AUF2" s="284"/>
      <c r="AUG2" s="284"/>
      <c r="AUH2" s="284"/>
      <c r="AUI2" s="284"/>
      <c r="AUJ2" s="284"/>
      <c r="AUK2" s="284"/>
      <c r="AUL2" s="284"/>
      <c r="AUM2" s="284"/>
      <c r="AUN2" s="284"/>
      <c r="AUO2" s="284"/>
      <c r="AUP2" s="284"/>
      <c r="AUQ2" s="284"/>
      <c r="AUR2" s="284"/>
      <c r="AUS2" s="284"/>
      <c r="AUT2" s="284"/>
      <c r="AUU2" s="284"/>
      <c r="AUV2" s="284"/>
      <c r="AUW2" s="284"/>
      <c r="AUX2" s="284"/>
      <c r="AUY2" s="284"/>
      <c r="AUZ2" s="284"/>
      <c r="AVA2" s="284"/>
      <c r="AVB2" s="284"/>
      <c r="AVC2" s="284"/>
      <c r="AVD2" s="284"/>
      <c r="AVE2" s="284"/>
      <c r="AVF2" s="284"/>
      <c r="AVG2" s="284"/>
      <c r="AVH2" s="284"/>
      <c r="AVI2" s="284"/>
      <c r="AVJ2" s="284"/>
      <c r="AVK2" s="284"/>
      <c r="AVL2" s="284"/>
      <c r="AVM2" s="284"/>
      <c r="AVN2" s="284"/>
      <c r="AVO2" s="284"/>
      <c r="AVP2" s="284"/>
      <c r="AVQ2" s="284"/>
      <c r="AVR2" s="284"/>
      <c r="AVS2" s="284"/>
      <c r="AVT2" s="284"/>
      <c r="AVU2" s="284"/>
      <c r="AVV2" s="284"/>
      <c r="AVW2" s="284"/>
      <c r="AVX2" s="284"/>
      <c r="AVY2" s="284"/>
      <c r="AVZ2" s="284"/>
      <c r="AWA2" s="284"/>
      <c r="AWB2" s="284"/>
      <c r="AWC2" s="284"/>
      <c r="AWD2" s="284"/>
      <c r="AWE2" s="284"/>
      <c r="AWF2" s="284"/>
      <c r="AWG2" s="284"/>
      <c r="AWH2" s="284"/>
      <c r="AWI2" s="284"/>
      <c r="AWJ2" s="284"/>
      <c r="AWK2" s="284"/>
      <c r="AWL2" s="284"/>
      <c r="AWM2" s="284"/>
      <c r="AWN2" s="284"/>
      <c r="AWO2" s="284"/>
      <c r="AWP2" s="284"/>
      <c r="AWQ2" s="284"/>
      <c r="AWR2" s="284"/>
      <c r="AWS2" s="284"/>
      <c r="AWT2" s="284"/>
      <c r="AWU2" s="284"/>
      <c r="AWV2" s="284"/>
      <c r="AWW2" s="284"/>
      <c r="AWX2" s="284"/>
      <c r="AWY2" s="284"/>
      <c r="AWZ2" s="284"/>
      <c r="AXA2" s="284"/>
      <c r="AXB2" s="284"/>
      <c r="AXC2" s="284"/>
      <c r="AXD2" s="284"/>
      <c r="AXE2" s="284"/>
      <c r="AXF2" s="284"/>
      <c r="AXG2" s="284"/>
      <c r="AXH2" s="284"/>
      <c r="AXI2" s="284"/>
      <c r="AXJ2" s="284"/>
      <c r="AXK2" s="284"/>
      <c r="AXL2" s="284"/>
      <c r="AXM2" s="284"/>
      <c r="AXN2" s="284"/>
      <c r="AXO2" s="284"/>
      <c r="AXP2" s="284"/>
      <c r="AXQ2" s="284"/>
      <c r="AXR2" s="284"/>
      <c r="AXS2" s="284"/>
      <c r="AXT2" s="284"/>
      <c r="AXU2" s="284"/>
      <c r="AXV2" s="284"/>
      <c r="AXW2" s="284"/>
      <c r="AXX2" s="284"/>
      <c r="AXY2" s="284"/>
      <c r="AXZ2" s="284"/>
      <c r="AYA2" s="284"/>
      <c r="AYB2" s="284"/>
      <c r="AYC2" s="284"/>
      <c r="AYD2" s="284"/>
      <c r="AYE2" s="284"/>
      <c r="AYF2" s="284"/>
      <c r="AYG2" s="284"/>
      <c r="AYH2" s="284"/>
      <c r="AYI2" s="284"/>
      <c r="AYJ2" s="284"/>
      <c r="AYK2" s="284"/>
      <c r="AYL2" s="284"/>
      <c r="AYM2" s="284"/>
      <c r="AYN2" s="284"/>
      <c r="AYO2" s="284"/>
      <c r="AYP2" s="284"/>
      <c r="AYQ2" s="284"/>
      <c r="AYR2" s="284"/>
      <c r="AYS2" s="284"/>
      <c r="AYT2" s="284"/>
      <c r="AYU2" s="284"/>
      <c r="AYV2" s="284"/>
      <c r="AYW2" s="284"/>
      <c r="AYX2" s="284"/>
      <c r="AYY2" s="284"/>
      <c r="AYZ2" s="284"/>
      <c r="AZA2" s="284"/>
      <c r="AZB2" s="284"/>
      <c r="AZC2" s="284"/>
      <c r="AZD2" s="284"/>
      <c r="AZE2" s="284"/>
      <c r="AZF2" s="284"/>
      <c r="AZG2" s="284"/>
      <c r="AZH2" s="284"/>
      <c r="AZI2" s="284"/>
      <c r="AZJ2" s="284"/>
      <c r="AZK2" s="284"/>
      <c r="AZL2" s="284"/>
      <c r="AZM2" s="284"/>
      <c r="AZN2" s="284"/>
      <c r="AZO2" s="284"/>
      <c r="AZP2" s="284"/>
      <c r="AZQ2" s="284"/>
      <c r="AZR2" s="284"/>
      <c r="AZS2" s="284"/>
      <c r="AZT2" s="284"/>
      <c r="AZU2" s="284"/>
      <c r="AZV2" s="284"/>
      <c r="AZW2" s="284"/>
      <c r="AZX2" s="284"/>
      <c r="AZY2" s="284"/>
      <c r="AZZ2" s="284"/>
      <c r="BAA2" s="284"/>
      <c r="BAB2" s="284"/>
      <c r="BAC2" s="284"/>
      <c r="BAD2" s="284"/>
      <c r="BAE2" s="284"/>
      <c r="BAF2" s="284"/>
      <c r="BAG2" s="284"/>
      <c r="BAH2" s="284"/>
      <c r="BAI2" s="284"/>
      <c r="BAJ2" s="284"/>
      <c r="BAK2" s="284"/>
      <c r="BAL2" s="284"/>
      <c r="BAM2" s="284"/>
      <c r="BAN2" s="284"/>
      <c r="BAO2" s="284"/>
      <c r="BAP2" s="284"/>
      <c r="BAQ2" s="284"/>
      <c r="BAR2" s="284"/>
      <c r="BAS2" s="284"/>
      <c r="BAT2" s="284"/>
      <c r="BAU2" s="284"/>
      <c r="BAV2" s="284"/>
      <c r="BAW2" s="284"/>
      <c r="BAX2" s="284"/>
      <c r="BAY2" s="284"/>
      <c r="BAZ2" s="284"/>
      <c r="BBA2" s="284"/>
      <c r="BBB2" s="284"/>
      <c r="BBC2" s="284"/>
      <c r="BBD2" s="284"/>
      <c r="BBE2" s="284"/>
      <c r="BBF2" s="284"/>
      <c r="BBG2" s="284"/>
      <c r="BBH2" s="284"/>
      <c r="BBI2" s="284"/>
      <c r="BBJ2" s="284"/>
      <c r="BBK2" s="284"/>
      <c r="BBL2" s="284"/>
      <c r="BBM2" s="284"/>
      <c r="BBN2" s="284"/>
      <c r="BBO2" s="284"/>
      <c r="BBP2" s="284"/>
      <c r="BBQ2" s="284"/>
      <c r="BBR2" s="284"/>
      <c r="BBS2" s="284"/>
      <c r="BBT2" s="284"/>
      <c r="BBU2" s="284"/>
      <c r="BBV2" s="284"/>
      <c r="BBW2" s="284"/>
      <c r="BBX2" s="284"/>
      <c r="BBY2" s="284"/>
      <c r="BBZ2" s="284"/>
      <c r="BCA2" s="284"/>
      <c r="BCB2" s="284"/>
      <c r="BCC2" s="284"/>
      <c r="BCD2" s="284"/>
      <c r="BCE2" s="284"/>
      <c r="BCF2" s="284"/>
      <c r="BCG2" s="284"/>
      <c r="BCH2" s="284"/>
      <c r="BCI2" s="284"/>
      <c r="BCJ2" s="284"/>
      <c r="BCK2" s="284"/>
      <c r="BCL2" s="284"/>
      <c r="BCM2" s="284"/>
      <c r="BCN2" s="284"/>
      <c r="BCO2" s="284"/>
      <c r="BCP2" s="284"/>
      <c r="BCQ2" s="284"/>
      <c r="BCR2" s="284"/>
      <c r="BCS2" s="284"/>
      <c r="BCT2" s="284"/>
      <c r="BCU2" s="284"/>
      <c r="BCV2" s="284"/>
      <c r="BCW2" s="284"/>
      <c r="BCX2" s="284"/>
      <c r="BCY2" s="284"/>
      <c r="BCZ2" s="284"/>
      <c r="BDA2" s="284"/>
      <c r="BDB2" s="284"/>
      <c r="BDC2" s="284"/>
      <c r="BDD2" s="284"/>
      <c r="BDE2" s="284"/>
      <c r="BDF2" s="284"/>
      <c r="BDG2" s="284"/>
      <c r="BDH2" s="284"/>
      <c r="BDI2" s="284"/>
      <c r="BDJ2" s="284"/>
      <c r="BDK2" s="284"/>
      <c r="BDL2" s="284"/>
      <c r="BDM2" s="284"/>
      <c r="BDN2" s="284"/>
      <c r="BDO2" s="284"/>
      <c r="BDP2" s="284"/>
      <c r="BDQ2" s="284"/>
      <c r="BDR2" s="284"/>
      <c r="BDS2" s="284"/>
      <c r="BDT2" s="284"/>
      <c r="BDU2" s="284"/>
      <c r="BDV2" s="284"/>
      <c r="BDW2" s="284"/>
      <c r="BDX2" s="284"/>
      <c r="BDY2" s="284"/>
      <c r="BDZ2" s="284"/>
      <c r="BEA2" s="284"/>
      <c r="BEB2" s="284"/>
      <c r="BEC2" s="284"/>
      <c r="BED2" s="284"/>
      <c r="BEE2" s="284"/>
      <c r="BEF2" s="284"/>
      <c r="BEG2" s="284"/>
      <c r="BEH2" s="284"/>
      <c r="BEI2" s="284"/>
      <c r="BEJ2" s="284"/>
      <c r="BEK2" s="284"/>
      <c r="BEL2" s="284"/>
      <c r="BEM2" s="284"/>
      <c r="BEN2" s="284"/>
      <c r="BEO2" s="284"/>
      <c r="BEP2" s="284"/>
      <c r="BEQ2" s="284"/>
      <c r="BER2" s="284"/>
      <c r="BES2" s="284"/>
      <c r="BET2" s="284"/>
      <c r="BEU2" s="284"/>
      <c r="BEV2" s="284"/>
      <c r="BEW2" s="284"/>
      <c r="BEX2" s="284"/>
      <c r="BEY2" s="284"/>
      <c r="BEZ2" s="284"/>
      <c r="BFA2" s="284"/>
      <c r="BFB2" s="284"/>
      <c r="BFC2" s="284"/>
      <c r="BFD2" s="284"/>
      <c r="BFE2" s="284"/>
      <c r="BFF2" s="284"/>
      <c r="BFG2" s="284"/>
      <c r="BFH2" s="284"/>
      <c r="BFI2" s="284"/>
      <c r="BFJ2" s="284"/>
      <c r="BFK2" s="284"/>
      <c r="BFL2" s="284"/>
      <c r="BFM2" s="284"/>
      <c r="BFN2" s="284"/>
      <c r="BFO2" s="284"/>
      <c r="BFP2" s="284"/>
      <c r="BFQ2" s="284"/>
      <c r="BFR2" s="284"/>
      <c r="BFS2" s="284"/>
      <c r="BFT2" s="284"/>
      <c r="BFU2" s="284"/>
      <c r="BFV2" s="284"/>
      <c r="BFW2" s="284"/>
      <c r="BFX2" s="284"/>
      <c r="BFY2" s="284"/>
      <c r="BFZ2" s="284"/>
      <c r="BGA2" s="284"/>
      <c r="BGB2" s="284"/>
      <c r="BGC2" s="284"/>
      <c r="BGD2" s="284"/>
      <c r="BGE2" s="284"/>
      <c r="BGF2" s="284"/>
      <c r="BGG2" s="284"/>
      <c r="BGH2" s="284"/>
      <c r="BGI2" s="284"/>
      <c r="BGJ2" s="284"/>
      <c r="BGK2" s="284"/>
      <c r="BGL2" s="284"/>
      <c r="BGM2" s="284"/>
      <c r="BGN2" s="284"/>
      <c r="BGO2" s="284"/>
      <c r="BGP2" s="284"/>
      <c r="BGQ2" s="284"/>
      <c r="BGR2" s="284"/>
      <c r="BGS2" s="284"/>
      <c r="BGT2" s="284"/>
      <c r="BGU2" s="284"/>
      <c r="BGV2" s="284"/>
      <c r="BGW2" s="284"/>
      <c r="BGX2" s="284"/>
      <c r="BGY2" s="284"/>
      <c r="BGZ2" s="284"/>
      <c r="BHA2" s="284"/>
      <c r="BHB2" s="284"/>
      <c r="BHC2" s="284"/>
      <c r="BHD2" s="284"/>
      <c r="BHE2" s="284"/>
      <c r="BHF2" s="284"/>
      <c r="BHG2" s="284"/>
      <c r="BHH2" s="284"/>
      <c r="BHI2" s="284"/>
      <c r="BHJ2" s="284"/>
      <c r="BHK2" s="284"/>
      <c r="BHL2" s="284"/>
      <c r="BHM2" s="284"/>
      <c r="BHN2" s="284"/>
      <c r="BHO2" s="284"/>
      <c r="BHP2" s="284"/>
      <c r="BHQ2" s="284"/>
      <c r="BHR2" s="284"/>
      <c r="BHS2" s="284"/>
      <c r="BHT2" s="284"/>
      <c r="BHU2" s="284"/>
      <c r="BHV2" s="284"/>
      <c r="BHW2" s="284"/>
      <c r="BHX2" s="284"/>
      <c r="BHY2" s="284"/>
      <c r="BHZ2" s="284"/>
      <c r="BIA2" s="284"/>
      <c r="BIB2" s="284"/>
      <c r="BIC2" s="284"/>
      <c r="BID2" s="284"/>
      <c r="BIE2" s="284"/>
      <c r="BIF2" s="284"/>
      <c r="BIG2" s="284"/>
      <c r="BIH2" s="284"/>
      <c r="BII2" s="284"/>
      <c r="BIJ2" s="284"/>
      <c r="BIK2" s="284"/>
      <c r="BIL2" s="284"/>
      <c r="BIM2" s="284"/>
      <c r="BIN2" s="284"/>
      <c r="BIO2" s="284"/>
      <c r="BIP2" s="284"/>
      <c r="BIQ2" s="284"/>
      <c r="BIR2" s="284"/>
      <c r="BIS2" s="284"/>
      <c r="BIT2" s="284"/>
      <c r="BIU2" s="284"/>
      <c r="BIV2" s="284"/>
      <c r="BIW2" s="284"/>
      <c r="BIX2" s="284"/>
      <c r="BIY2" s="284"/>
      <c r="BIZ2" s="284"/>
      <c r="BJA2" s="284"/>
      <c r="BJB2" s="284"/>
      <c r="BJC2" s="284"/>
      <c r="BJD2" s="284"/>
      <c r="BJE2" s="284"/>
      <c r="BJF2" s="284"/>
      <c r="BJG2" s="284"/>
      <c r="BJH2" s="284"/>
      <c r="BJI2" s="284"/>
      <c r="BJJ2" s="284"/>
      <c r="BJK2" s="284"/>
      <c r="BJL2" s="284"/>
      <c r="BJM2" s="284"/>
      <c r="BJN2" s="284"/>
      <c r="BJO2" s="284"/>
      <c r="BJP2" s="284"/>
      <c r="BJQ2" s="284"/>
      <c r="BJR2" s="284"/>
      <c r="BJS2" s="284"/>
      <c r="BJT2" s="284"/>
      <c r="BJU2" s="284"/>
      <c r="BJV2" s="284"/>
      <c r="BJW2" s="284"/>
      <c r="BJX2" s="284"/>
      <c r="BJY2" s="284"/>
      <c r="BJZ2" s="284"/>
      <c r="BKA2" s="284"/>
      <c r="BKB2" s="284"/>
      <c r="BKC2" s="284"/>
      <c r="BKD2" s="284"/>
      <c r="BKE2" s="284"/>
      <c r="BKF2" s="284"/>
      <c r="BKG2" s="284"/>
      <c r="BKH2" s="284"/>
      <c r="BKI2" s="284"/>
      <c r="BKJ2" s="284"/>
      <c r="BKK2" s="284"/>
      <c r="BKL2" s="284"/>
      <c r="BKM2" s="284"/>
      <c r="BKN2" s="284"/>
      <c r="BKO2" s="284"/>
      <c r="BKP2" s="284"/>
      <c r="BKQ2" s="284"/>
      <c r="BKR2" s="284"/>
      <c r="BKS2" s="284"/>
      <c r="BKT2" s="284"/>
      <c r="BKU2" s="284"/>
      <c r="BKV2" s="284"/>
      <c r="BKW2" s="284"/>
      <c r="BKX2" s="284"/>
      <c r="BKY2" s="284"/>
      <c r="BKZ2" s="284"/>
      <c r="BLA2" s="284"/>
      <c r="BLB2" s="284"/>
      <c r="BLC2" s="284"/>
      <c r="BLD2" s="284"/>
      <c r="BLE2" s="284"/>
      <c r="BLF2" s="284"/>
      <c r="BLG2" s="284"/>
      <c r="BLH2" s="284"/>
      <c r="BLI2" s="284"/>
      <c r="BLJ2" s="284"/>
      <c r="BLK2" s="284"/>
      <c r="BLL2" s="284"/>
      <c r="BLM2" s="284"/>
      <c r="BLN2" s="284"/>
      <c r="BLO2" s="284"/>
      <c r="BLP2" s="284"/>
      <c r="BLQ2" s="284"/>
      <c r="BLR2" s="284"/>
      <c r="BLS2" s="284"/>
      <c r="BLT2" s="284"/>
      <c r="BLU2" s="284"/>
      <c r="BLV2" s="284"/>
      <c r="BLW2" s="284"/>
      <c r="BLX2" s="284"/>
      <c r="BLY2" s="284"/>
      <c r="BLZ2" s="284"/>
      <c r="BMA2" s="284"/>
      <c r="BMB2" s="284"/>
      <c r="BMC2" s="284"/>
      <c r="BMD2" s="284"/>
      <c r="BME2" s="284"/>
      <c r="BMF2" s="284"/>
      <c r="BMG2" s="284"/>
      <c r="BMH2" s="284"/>
      <c r="BMI2" s="284"/>
      <c r="BMJ2" s="284"/>
      <c r="BMK2" s="284"/>
      <c r="BML2" s="284"/>
      <c r="BMM2" s="284"/>
      <c r="BMN2" s="284"/>
      <c r="BMO2" s="284"/>
      <c r="BMP2" s="284"/>
      <c r="BMQ2" s="284"/>
      <c r="BMR2" s="284"/>
      <c r="BMS2" s="284"/>
      <c r="BMT2" s="284"/>
      <c r="BMU2" s="284"/>
      <c r="BMV2" s="284"/>
      <c r="BMW2" s="284"/>
      <c r="BMX2" s="284"/>
      <c r="BMY2" s="284"/>
      <c r="BMZ2" s="284"/>
      <c r="BNA2" s="284"/>
      <c r="BNB2" s="284"/>
      <c r="BNC2" s="284"/>
      <c r="BND2" s="284"/>
      <c r="BNE2" s="284"/>
      <c r="BNF2" s="284"/>
      <c r="BNG2" s="284"/>
      <c r="BNH2" s="284"/>
      <c r="BNI2" s="284"/>
      <c r="BNJ2" s="284"/>
      <c r="BNK2" s="284"/>
      <c r="BNL2" s="284"/>
      <c r="BNM2" s="284"/>
      <c r="BNN2" s="284"/>
      <c r="BNO2" s="284"/>
      <c r="BNP2" s="284"/>
      <c r="BNQ2" s="284"/>
      <c r="BNR2" s="284"/>
      <c r="BNS2" s="284"/>
      <c r="BNT2" s="284"/>
      <c r="BNU2" s="284"/>
      <c r="BNV2" s="284"/>
      <c r="BNW2" s="284"/>
      <c r="BNX2" s="284"/>
      <c r="BNY2" s="284"/>
      <c r="BNZ2" s="284"/>
      <c r="BOA2" s="284"/>
      <c r="BOB2" s="284"/>
      <c r="BOC2" s="284"/>
      <c r="BOD2" s="284"/>
      <c r="BOE2" s="284"/>
      <c r="BOF2" s="284"/>
      <c r="BOG2" s="284"/>
      <c r="BOH2" s="284"/>
      <c r="BOI2" s="284"/>
      <c r="BOJ2" s="284"/>
      <c r="BOK2" s="284"/>
      <c r="BOL2" s="284"/>
      <c r="BOM2" s="284"/>
      <c r="BON2" s="284"/>
      <c r="BOO2" s="284"/>
      <c r="BOP2" s="284"/>
      <c r="BOQ2" s="284"/>
      <c r="BOR2" s="284"/>
      <c r="BOS2" s="284"/>
      <c r="BOT2" s="284"/>
      <c r="BOU2" s="284"/>
      <c r="BOV2" s="284"/>
      <c r="BOW2" s="284"/>
      <c r="BOX2" s="284"/>
      <c r="BOY2" s="284"/>
      <c r="BOZ2" s="284"/>
      <c r="BPA2" s="284"/>
      <c r="BPB2" s="284"/>
      <c r="BPC2" s="284"/>
      <c r="BPD2" s="284"/>
      <c r="BPE2" s="284"/>
      <c r="BPF2" s="284"/>
      <c r="BPG2" s="284"/>
      <c r="BPH2" s="284"/>
      <c r="BPI2" s="284"/>
      <c r="BPJ2" s="284"/>
      <c r="BPK2" s="284"/>
      <c r="BPL2" s="284"/>
      <c r="BPM2" s="284"/>
      <c r="BPN2" s="284"/>
      <c r="BPO2" s="284"/>
      <c r="BPP2" s="284"/>
      <c r="BPQ2" s="284"/>
      <c r="BPR2" s="284"/>
      <c r="BPS2" s="284"/>
      <c r="BPT2" s="284"/>
      <c r="BPU2" s="284"/>
      <c r="BPV2" s="284"/>
      <c r="BPW2" s="284"/>
      <c r="BPX2" s="284"/>
      <c r="BPY2" s="284"/>
      <c r="BPZ2" s="284"/>
      <c r="BQA2" s="284"/>
      <c r="BQB2" s="284"/>
      <c r="BQC2" s="284"/>
      <c r="BQD2" s="284"/>
      <c r="BQE2" s="284"/>
      <c r="BQF2" s="284"/>
      <c r="BQG2" s="284"/>
      <c r="BQH2" s="284"/>
      <c r="BQI2" s="284"/>
      <c r="BQJ2" s="284"/>
      <c r="BQK2" s="284"/>
      <c r="BQL2" s="284"/>
      <c r="BQM2" s="284"/>
      <c r="BQN2" s="284"/>
      <c r="BQO2" s="284"/>
      <c r="BQP2" s="284"/>
      <c r="BQQ2" s="284"/>
      <c r="BQR2" s="284"/>
      <c r="BQS2" s="284"/>
      <c r="BQT2" s="284"/>
      <c r="BQU2" s="284"/>
      <c r="BQV2" s="284"/>
      <c r="BQW2" s="284"/>
      <c r="BQX2" s="284"/>
      <c r="BQY2" s="284"/>
      <c r="BQZ2" s="284"/>
      <c r="BRA2" s="284"/>
      <c r="BRB2" s="284"/>
      <c r="BRC2" s="284"/>
      <c r="BRD2" s="284"/>
      <c r="BRE2" s="284"/>
      <c r="BRF2" s="284"/>
      <c r="BRG2" s="284"/>
      <c r="BRH2" s="284"/>
      <c r="BRI2" s="284"/>
      <c r="BRJ2" s="284"/>
      <c r="BRK2" s="284"/>
      <c r="BRL2" s="284"/>
      <c r="BRM2" s="284"/>
      <c r="BRN2" s="284"/>
      <c r="BRO2" s="284"/>
      <c r="BRP2" s="284"/>
      <c r="BRQ2" s="284"/>
      <c r="BRR2" s="284"/>
      <c r="BRS2" s="284"/>
      <c r="BRT2" s="284"/>
      <c r="BRU2" s="284"/>
      <c r="BRV2" s="284"/>
      <c r="BRW2" s="284"/>
      <c r="BRX2" s="284"/>
      <c r="BRY2" s="284"/>
      <c r="BRZ2" s="284"/>
      <c r="BSA2" s="284"/>
      <c r="BSB2" s="284"/>
      <c r="BSC2" s="284"/>
      <c r="BSD2" s="284"/>
      <c r="BSE2" s="284"/>
      <c r="BSF2" s="284"/>
      <c r="BSG2" s="284"/>
      <c r="BSH2" s="284"/>
      <c r="BSI2" s="284"/>
      <c r="BSJ2" s="284"/>
      <c r="BSK2" s="284"/>
      <c r="BSL2" s="284"/>
      <c r="BSM2" s="284"/>
      <c r="BSN2" s="284"/>
      <c r="BSO2" s="284"/>
      <c r="BSP2" s="284"/>
      <c r="BSQ2" s="284"/>
      <c r="BSR2" s="284"/>
      <c r="BSS2" s="284"/>
      <c r="BST2" s="284"/>
      <c r="BSU2" s="284"/>
      <c r="BSV2" s="284"/>
      <c r="BSW2" s="284"/>
      <c r="BSX2" s="284"/>
      <c r="BSY2" s="284"/>
      <c r="BSZ2" s="284"/>
      <c r="BTA2" s="284"/>
      <c r="BTB2" s="284"/>
      <c r="BTC2" s="284"/>
      <c r="BTD2" s="284"/>
      <c r="BTE2" s="284"/>
      <c r="BTF2" s="284"/>
      <c r="BTG2" s="284"/>
      <c r="BTH2" s="284"/>
      <c r="BTI2" s="284"/>
      <c r="BTJ2" s="284"/>
      <c r="BTK2" s="284"/>
      <c r="BTL2" s="284"/>
      <c r="BTM2" s="284"/>
      <c r="BTN2" s="284"/>
      <c r="BTO2" s="284"/>
      <c r="BTP2" s="284"/>
      <c r="BTQ2" s="284"/>
      <c r="BTR2" s="284"/>
      <c r="BTS2" s="284"/>
      <c r="BTT2" s="284"/>
      <c r="BTU2" s="284"/>
      <c r="BTV2" s="284"/>
      <c r="BTW2" s="284"/>
      <c r="BTX2" s="284"/>
      <c r="BTY2" s="284"/>
      <c r="BTZ2" s="284"/>
      <c r="BUA2" s="284"/>
      <c r="BUB2" s="284"/>
      <c r="BUC2" s="284"/>
      <c r="BUD2" s="284"/>
      <c r="BUE2" s="284"/>
      <c r="BUF2" s="284"/>
      <c r="BUG2" s="284"/>
      <c r="BUH2" s="284"/>
      <c r="BUI2" s="284"/>
      <c r="BUJ2" s="284"/>
      <c r="BUK2" s="284"/>
      <c r="BUL2" s="284"/>
      <c r="BUM2" s="284"/>
      <c r="BUN2" s="284"/>
      <c r="BUO2" s="284"/>
      <c r="BUP2" s="284"/>
      <c r="BUQ2" s="284"/>
      <c r="BUR2" s="284"/>
      <c r="BUS2" s="284"/>
      <c r="BUT2" s="284"/>
      <c r="BUU2" s="284"/>
      <c r="BUV2" s="284"/>
      <c r="BUW2" s="284"/>
      <c r="BUX2" s="284"/>
      <c r="BUY2" s="284"/>
      <c r="BUZ2" s="284"/>
      <c r="BVA2" s="284"/>
      <c r="BVB2" s="284"/>
      <c r="BVC2" s="284"/>
      <c r="BVD2" s="284"/>
      <c r="BVE2" s="284"/>
      <c r="BVF2" s="284"/>
      <c r="BVG2" s="284"/>
      <c r="BVH2" s="284"/>
      <c r="BVI2" s="284"/>
      <c r="BVJ2" s="284"/>
      <c r="BVK2" s="284"/>
      <c r="BVL2" s="284"/>
      <c r="BVM2" s="284"/>
      <c r="BVN2" s="284"/>
      <c r="BVO2" s="284"/>
      <c r="BVP2" s="284"/>
      <c r="BVQ2" s="284"/>
      <c r="BVR2" s="284"/>
      <c r="BVS2" s="284"/>
      <c r="BVT2" s="284"/>
      <c r="BVU2" s="284"/>
      <c r="BVV2" s="284"/>
      <c r="BVW2" s="284"/>
      <c r="BVX2" s="284"/>
      <c r="BVY2" s="284"/>
      <c r="BVZ2" s="284"/>
      <c r="BWA2" s="284"/>
      <c r="BWB2" s="284"/>
      <c r="BWC2" s="284"/>
      <c r="BWD2" s="284"/>
      <c r="BWE2" s="284"/>
      <c r="BWF2" s="284"/>
      <c r="BWG2" s="284"/>
      <c r="BWH2" s="284"/>
      <c r="BWI2" s="284"/>
      <c r="BWJ2" s="284"/>
      <c r="BWK2" s="284"/>
      <c r="BWL2" s="284"/>
      <c r="BWM2" s="284"/>
      <c r="BWN2" s="284"/>
      <c r="BWO2" s="284"/>
      <c r="BWP2" s="284"/>
      <c r="BWQ2" s="284"/>
      <c r="BWR2" s="284"/>
      <c r="BWS2" s="284"/>
      <c r="BWT2" s="284"/>
      <c r="BWU2" s="284"/>
      <c r="BWV2" s="284"/>
      <c r="BWW2" s="284"/>
      <c r="BWX2" s="284"/>
      <c r="BWY2" s="284"/>
      <c r="BWZ2" s="284"/>
      <c r="BXA2" s="284"/>
      <c r="BXB2" s="284"/>
      <c r="BXC2" s="284"/>
      <c r="BXD2" s="284"/>
      <c r="BXE2" s="284"/>
      <c r="BXF2" s="284"/>
      <c r="BXG2" s="284"/>
      <c r="BXH2" s="284"/>
      <c r="BXI2" s="284"/>
      <c r="BXJ2" s="284"/>
      <c r="BXK2" s="284"/>
      <c r="BXL2" s="284"/>
      <c r="BXM2" s="284"/>
      <c r="BXN2" s="284"/>
      <c r="BXO2" s="284"/>
      <c r="BXP2" s="284"/>
      <c r="BXQ2" s="284"/>
      <c r="BXR2" s="284"/>
      <c r="BXS2" s="284"/>
      <c r="BXT2" s="284"/>
      <c r="BXU2" s="284"/>
      <c r="BXV2" s="284"/>
      <c r="BXW2" s="284"/>
      <c r="BXX2" s="284"/>
      <c r="BXY2" s="284"/>
      <c r="BXZ2" s="284"/>
      <c r="BYA2" s="284"/>
      <c r="BYB2" s="284"/>
      <c r="BYC2" s="284"/>
      <c r="BYD2" s="284"/>
      <c r="BYE2" s="284"/>
      <c r="BYF2" s="284"/>
      <c r="BYG2" s="284"/>
      <c r="BYH2" s="284"/>
      <c r="BYI2" s="284"/>
      <c r="BYJ2" s="284"/>
      <c r="BYK2" s="284"/>
      <c r="BYL2" s="284"/>
      <c r="BYM2" s="284"/>
      <c r="BYN2" s="284"/>
      <c r="BYO2" s="284"/>
      <c r="BYP2" s="284"/>
      <c r="BYQ2" s="284"/>
      <c r="BYR2" s="284"/>
      <c r="BYS2" s="284"/>
      <c r="BYT2" s="284"/>
      <c r="BYU2" s="284"/>
      <c r="BYV2" s="284"/>
      <c r="BYW2" s="284"/>
      <c r="BYX2" s="284"/>
      <c r="BYY2" s="284"/>
      <c r="BYZ2" s="284"/>
      <c r="BZA2" s="284"/>
      <c r="BZB2" s="284"/>
      <c r="BZC2" s="284"/>
      <c r="BZD2" s="284"/>
      <c r="BZE2" s="284"/>
      <c r="BZF2" s="284"/>
      <c r="BZG2" s="284"/>
      <c r="BZH2" s="284"/>
      <c r="BZI2" s="284"/>
      <c r="BZJ2" s="284"/>
      <c r="BZK2" s="284"/>
      <c r="BZL2" s="284"/>
      <c r="BZM2" s="284"/>
      <c r="BZN2" s="284"/>
      <c r="BZO2" s="284"/>
      <c r="BZP2" s="284"/>
      <c r="BZQ2" s="284"/>
      <c r="BZR2" s="284"/>
      <c r="BZS2" s="284"/>
      <c r="BZT2" s="284"/>
      <c r="BZU2" s="284"/>
      <c r="BZV2" s="284"/>
      <c r="BZW2" s="284"/>
      <c r="BZX2" s="284"/>
      <c r="BZY2" s="284"/>
      <c r="BZZ2" s="284"/>
      <c r="CAA2" s="284"/>
      <c r="CAB2" s="284"/>
      <c r="CAC2" s="284"/>
      <c r="CAD2" s="284"/>
      <c r="CAE2" s="284"/>
      <c r="CAF2" s="284"/>
      <c r="CAG2" s="284"/>
      <c r="CAH2" s="284"/>
      <c r="CAI2" s="284"/>
      <c r="CAJ2" s="284"/>
      <c r="CAK2" s="284"/>
      <c r="CAL2" s="284"/>
      <c r="CAM2" s="284"/>
      <c r="CAN2" s="284"/>
      <c r="CAO2" s="284"/>
      <c r="CAP2" s="284"/>
      <c r="CAQ2" s="284"/>
      <c r="CAR2" s="284"/>
      <c r="CAS2" s="284"/>
      <c r="CAT2" s="284"/>
      <c r="CAU2" s="284"/>
      <c r="CAV2" s="284"/>
      <c r="CAW2" s="284"/>
      <c r="CAX2" s="284"/>
      <c r="CAY2" s="284"/>
      <c r="CAZ2" s="284"/>
      <c r="CBA2" s="284"/>
      <c r="CBB2" s="284"/>
      <c r="CBC2" s="284"/>
      <c r="CBD2" s="284"/>
      <c r="CBE2" s="284"/>
      <c r="CBF2" s="284"/>
      <c r="CBG2" s="284"/>
      <c r="CBH2" s="284"/>
      <c r="CBI2" s="284"/>
      <c r="CBJ2" s="284"/>
      <c r="CBK2" s="284"/>
      <c r="CBL2" s="284"/>
      <c r="CBM2" s="284"/>
      <c r="CBN2" s="284"/>
      <c r="CBO2" s="284"/>
      <c r="CBP2" s="284"/>
      <c r="CBQ2" s="284"/>
      <c r="CBR2" s="284"/>
      <c r="CBS2" s="284"/>
      <c r="CBT2" s="284"/>
      <c r="CBU2" s="284"/>
      <c r="CBV2" s="284"/>
      <c r="CBW2" s="284"/>
      <c r="CBX2" s="284"/>
      <c r="CBY2" s="284"/>
      <c r="CBZ2" s="284"/>
      <c r="CCA2" s="284"/>
      <c r="CCB2" s="284"/>
      <c r="CCC2" s="284"/>
      <c r="CCD2" s="284"/>
      <c r="CCE2" s="284"/>
      <c r="CCF2" s="284"/>
      <c r="CCG2" s="284"/>
      <c r="CCH2" s="284"/>
      <c r="CCI2" s="284"/>
      <c r="CCJ2" s="284"/>
      <c r="CCK2" s="284"/>
      <c r="CCL2" s="284"/>
      <c r="CCM2" s="284"/>
      <c r="CCN2" s="284"/>
      <c r="CCO2" s="284"/>
      <c r="CCP2" s="284"/>
      <c r="CCQ2" s="284"/>
      <c r="CCR2" s="284"/>
      <c r="CCS2" s="284"/>
      <c r="CCT2" s="284"/>
      <c r="CCU2" s="284"/>
      <c r="CCV2" s="284"/>
      <c r="CCW2" s="284"/>
      <c r="CCX2" s="284"/>
      <c r="CCY2" s="284"/>
      <c r="CCZ2" s="284"/>
      <c r="CDA2" s="284"/>
      <c r="CDB2" s="284"/>
      <c r="CDC2" s="284"/>
      <c r="CDD2" s="284"/>
      <c r="CDE2" s="284"/>
      <c r="CDF2" s="284"/>
      <c r="CDG2" s="284"/>
      <c r="CDH2" s="284"/>
      <c r="CDI2" s="284"/>
      <c r="CDJ2" s="284"/>
      <c r="CDK2" s="284"/>
      <c r="CDL2" s="284"/>
      <c r="CDM2" s="284"/>
      <c r="CDN2" s="284"/>
      <c r="CDO2" s="284"/>
      <c r="CDP2" s="284"/>
      <c r="CDQ2" s="284"/>
      <c r="CDR2" s="284"/>
      <c r="CDS2" s="284"/>
      <c r="CDT2" s="284"/>
      <c r="CDU2" s="284"/>
      <c r="CDV2" s="284"/>
      <c r="CDW2" s="284"/>
      <c r="CDX2" s="284"/>
      <c r="CDY2" s="284"/>
      <c r="CDZ2" s="284"/>
      <c r="CEA2" s="284"/>
      <c r="CEB2" s="284"/>
      <c r="CEC2" s="284"/>
      <c r="CED2" s="284"/>
      <c r="CEE2" s="284"/>
      <c r="CEF2" s="284"/>
      <c r="CEG2" s="284"/>
      <c r="CEH2" s="284"/>
      <c r="CEI2" s="284"/>
      <c r="CEJ2" s="284"/>
      <c r="CEK2" s="284"/>
      <c r="CEL2" s="284"/>
      <c r="CEM2" s="284"/>
      <c r="CEN2" s="284"/>
      <c r="CEO2" s="284"/>
      <c r="CEP2" s="284"/>
      <c r="CEQ2" s="284"/>
      <c r="CER2" s="284"/>
      <c r="CES2" s="284"/>
      <c r="CET2" s="284"/>
      <c r="CEU2" s="284"/>
      <c r="CEV2" s="284"/>
      <c r="CEW2" s="284"/>
      <c r="CEX2" s="284"/>
      <c r="CEY2" s="284"/>
      <c r="CEZ2" s="284"/>
      <c r="CFA2" s="284"/>
      <c r="CFB2" s="284"/>
      <c r="CFC2" s="284"/>
      <c r="CFD2" s="284"/>
      <c r="CFE2" s="284"/>
      <c r="CFF2" s="284"/>
      <c r="CFG2" s="284"/>
      <c r="CFH2" s="284"/>
      <c r="CFI2" s="284"/>
      <c r="CFJ2" s="284"/>
      <c r="CFK2" s="284"/>
      <c r="CFL2" s="284"/>
      <c r="CFM2" s="284"/>
      <c r="CFN2" s="284"/>
      <c r="CFO2" s="284"/>
      <c r="CFP2" s="284"/>
      <c r="CFQ2" s="284"/>
      <c r="CFR2" s="284"/>
      <c r="CFS2" s="284"/>
      <c r="CFT2" s="284"/>
      <c r="CFU2" s="284"/>
      <c r="CFV2" s="284"/>
      <c r="CFW2" s="284"/>
      <c r="CFX2" s="284"/>
      <c r="CFY2" s="284"/>
      <c r="CFZ2" s="284"/>
      <c r="CGA2" s="284"/>
      <c r="CGB2" s="284"/>
      <c r="CGC2" s="284"/>
      <c r="CGD2" s="284"/>
      <c r="CGE2" s="284"/>
      <c r="CGF2" s="284"/>
      <c r="CGG2" s="284"/>
      <c r="CGH2" s="284"/>
      <c r="CGI2" s="284"/>
      <c r="CGJ2" s="284"/>
      <c r="CGK2" s="284"/>
      <c r="CGL2" s="284"/>
      <c r="CGM2" s="284"/>
      <c r="CGN2" s="284"/>
      <c r="CGO2" s="284"/>
      <c r="CGP2" s="284"/>
      <c r="CGQ2" s="284"/>
      <c r="CGR2" s="284"/>
      <c r="CGS2" s="284"/>
      <c r="CGT2" s="284"/>
      <c r="CGU2" s="284"/>
      <c r="CGV2" s="284"/>
      <c r="CGW2" s="284"/>
      <c r="CGX2" s="284"/>
      <c r="CGY2" s="284"/>
      <c r="CGZ2" s="284"/>
      <c r="CHA2" s="284"/>
      <c r="CHB2" s="284"/>
      <c r="CHC2" s="284"/>
      <c r="CHD2" s="284"/>
      <c r="CHE2" s="284"/>
      <c r="CHF2" s="284"/>
      <c r="CHG2" s="284"/>
      <c r="CHH2" s="284"/>
      <c r="CHI2" s="284"/>
      <c r="CHJ2" s="284"/>
      <c r="CHK2" s="284"/>
      <c r="CHL2" s="284"/>
      <c r="CHM2" s="284"/>
      <c r="CHN2" s="284"/>
      <c r="CHO2" s="284"/>
      <c r="CHP2" s="284"/>
      <c r="CHQ2" s="284"/>
      <c r="CHR2" s="284"/>
      <c r="CHS2" s="284"/>
      <c r="CHT2" s="284"/>
      <c r="CHU2" s="284"/>
      <c r="CHV2" s="284"/>
      <c r="CHW2" s="284"/>
      <c r="CHX2" s="284"/>
      <c r="CHY2" s="284"/>
      <c r="CHZ2" s="284"/>
      <c r="CIA2" s="284"/>
      <c r="CIB2" s="284"/>
      <c r="CIC2" s="284"/>
      <c r="CID2" s="284"/>
      <c r="CIE2" s="284"/>
      <c r="CIF2" s="284"/>
      <c r="CIG2" s="284"/>
      <c r="CIH2" s="284"/>
      <c r="CII2" s="284"/>
      <c r="CIJ2" s="284"/>
      <c r="CIK2" s="284"/>
      <c r="CIL2" s="284"/>
      <c r="CIM2" s="284"/>
      <c r="CIN2" s="284"/>
      <c r="CIO2" s="284"/>
      <c r="CIP2" s="284"/>
      <c r="CIQ2" s="284"/>
      <c r="CIR2" s="284"/>
      <c r="CIS2" s="284"/>
      <c r="CIT2" s="284"/>
      <c r="CIU2" s="284"/>
      <c r="CIV2" s="284"/>
      <c r="CIW2" s="284"/>
      <c r="CIX2" s="284"/>
      <c r="CIY2" s="284"/>
      <c r="CIZ2" s="284"/>
      <c r="CJA2" s="284"/>
      <c r="CJB2" s="284"/>
      <c r="CJC2" s="284"/>
      <c r="CJD2" s="284"/>
      <c r="CJE2" s="284"/>
      <c r="CJF2" s="284"/>
      <c r="CJG2" s="284"/>
      <c r="CJH2" s="284"/>
      <c r="CJI2" s="284"/>
      <c r="CJJ2" s="284"/>
      <c r="CJK2" s="284"/>
      <c r="CJL2" s="284"/>
      <c r="CJM2" s="284"/>
      <c r="CJN2" s="284"/>
      <c r="CJO2" s="284"/>
      <c r="CJP2" s="284"/>
      <c r="CJQ2" s="284"/>
      <c r="CJR2" s="284"/>
      <c r="CJS2" s="284"/>
      <c r="CJT2" s="284"/>
      <c r="CJU2" s="284"/>
      <c r="CJV2" s="284"/>
      <c r="CJW2" s="284"/>
      <c r="CJX2" s="284"/>
      <c r="CJY2" s="284"/>
      <c r="CJZ2" s="284"/>
      <c r="CKA2" s="284"/>
      <c r="CKB2" s="284"/>
      <c r="CKC2" s="284"/>
      <c r="CKD2" s="284"/>
      <c r="CKE2" s="284"/>
      <c r="CKF2" s="284"/>
      <c r="CKG2" s="284"/>
      <c r="CKH2" s="284"/>
      <c r="CKI2" s="284"/>
      <c r="CKJ2" s="284"/>
      <c r="CKK2" s="284"/>
      <c r="CKL2" s="284"/>
      <c r="CKM2" s="284"/>
      <c r="CKN2" s="284"/>
      <c r="CKO2" s="284"/>
      <c r="CKP2" s="284"/>
      <c r="CKQ2" s="284"/>
      <c r="CKR2" s="284"/>
      <c r="CKS2" s="284"/>
      <c r="CKT2" s="284"/>
      <c r="CKU2" s="284"/>
      <c r="CKV2" s="284"/>
      <c r="CKW2" s="284"/>
      <c r="CKX2" s="284"/>
      <c r="CKY2" s="284"/>
      <c r="CKZ2" s="284"/>
      <c r="CLA2" s="284"/>
      <c r="CLB2" s="284"/>
      <c r="CLC2" s="284"/>
      <c r="CLD2" s="284"/>
      <c r="CLE2" s="284"/>
      <c r="CLF2" s="284"/>
      <c r="CLG2" s="284"/>
      <c r="CLH2" s="284"/>
      <c r="CLI2" s="284"/>
      <c r="CLJ2" s="284"/>
      <c r="CLK2" s="284"/>
      <c r="CLL2" s="284"/>
      <c r="CLM2" s="284"/>
      <c r="CLN2" s="284"/>
      <c r="CLO2" s="284"/>
      <c r="CLP2" s="284"/>
      <c r="CLQ2" s="284"/>
      <c r="CLR2" s="284"/>
      <c r="CLS2" s="284"/>
      <c r="CLT2" s="284"/>
      <c r="CLU2" s="284"/>
      <c r="CLV2" s="284"/>
      <c r="CLW2" s="284"/>
      <c r="CLX2" s="284"/>
      <c r="CLY2" s="284"/>
      <c r="CLZ2" s="284"/>
      <c r="CMA2" s="284"/>
      <c r="CMB2" s="284"/>
      <c r="CMC2" s="284"/>
      <c r="CMD2" s="284"/>
      <c r="CME2" s="284"/>
      <c r="CMF2" s="284"/>
      <c r="CMG2" s="284"/>
      <c r="CMH2" s="284"/>
      <c r="CMI2" s="284"/>
      <c r="CMJ2" s="284"/>
      <c r="CMK2" s="284"/>
      <c r="CML2" s="284"/>
      <c r="CMM2" s="284"/>
      <c r="CMN2" s="284"/>
      <c r="CMO2" s="284"/>
      <c r="CMP2" s="284"/>
      <c r="CMQ2" s="284"/>
      <c r="CMR2" s="284"/>
      <c r="CMS2" s="284"/>
      <c r="CMT2" s="284"/>
      <c r="CMU2" s="284"/>
      <c r="CMV2" s="284"/>
      <c r="CMW2" s="284"/>
      <c r="CMX2" s="284"/>
      <c r="CMY2" s="284"/>
      <c r="CMZ2" s="284"/>
      <c r="CNA2" s="284"/>
      <c r="CNB2" s="284"/>
      <c r="CNC2" s="284"/>
      <c r="CND2" s="284"/>
      <c r="CNE2" s="284"/>
      <c r="CNF2" s="284"/>
      <c r="CNG2" s="284"/>
      <c r="CNH2" s="284"/>
      <c r="CNI2" s="284"/>
      <c r="CNJ2" s="284"/>
      <c r="CNK2" s="284"/>
      <c r="CNL2" s="284"/>
      <c r="CNM2" s="284"/>
      <c r="CNN2" s="284"/>
      <c r="CNO2" s="284"/>
      <c r="CNP2" s="284"/>
      <c r="CNQ2" s="284"/>
      <c r="CNR2" s="284"/>
      <c r="CNS2" s="284"/>
      <c r="CNT2" s="284"/>
      <c r="CNU2" s="284"/>
      <c r="CNV2" s="284"/>
      <c r="CNW2" s="284"/>
      <c r="CNX2" s="284"/>
      <c r="CNY2" s="284"/>
      <c r="CNZ2" s="284"/>
      <c r="COA2" s="284"/>
      <c r="COB2" s="284"/>
      <c r="COC2" s="284"/>
      <c r="COD2" s="284"/>
      <c r="COE2" s="284"/>
      <c r="COF2" s="284"/>
      <c r="COG2" s="284"/>
      <c r="COH2" s="284"/>
      <c r="COI2" s="284"/>
      <c r="COJ2" s="284"/>
      <c r="COK2" s="284"/>
      <c r="COL2" s="284"/>
      <c r="COM2" s="284"/>
      <c r="CON2" s="284"/>
      <c r="COO2" s="284"/>
      <c r="COP2" s="284"/>
      <c r="COQ2" s="284"/>
      <c r="COR2" s="284"/>
      <c r="COS2" s="284"/>
      <c r="COT2" s="284"/>
      <c r="COU2" s="284"/>
      <c r="COV2" s="284"/>
      <c r="COW2" s="284"/>
      <c r="COX2" s="284"/>
      <c r="COY2" s="284"/>
      <c r="COZ2" s="284"/>
      <c r="CPA2" s="284"/>
      <c r="CPB2" s="284"/>
      <c r="CPC2" s="284"/>
      <c r="CPD2" s="284"/>
      <c r="CPE2" s="284"/>
      <c r="CPF2" s="284"/>
      <c r="CPG2" s="284"/>
      <c r="CPH2" s="284"/>
      <c r="CPI2" s="284"/>
      <c r="CPJ2" s="284"/>
      <c r="CPK2" s="284"/>
      <c r="CPL2" s="284"/>
      <c r="CPM2" s="284"/>
      <c r="CPN2" s="284"/>
      <c r="CPO2" s="284"/>
      <c r="CPP2" s="284"/>
      <c r="CPQ2" s="284"/>
      <c r="CPR2" s="284"/>
      <c r="CPS2" s="284"/>
      <c r="CPT2" s="284"/>
      <c r="CPU2" s="284"/>
      <c r="CPV2" s="284"/>
      <c r="CPW2" s="284"/>
      <c r="CPX2" s="284"/>
      <c r="CPY2" s="284"/>
      <c r="CPZ2" s="284"/>
      <c r="CQA2" s="284"/>
      <c r="CQB2" s="284"/>
      <c r="CQC2" s="284"/>
      <c r="CQD2" s="284"/>
      <c r="CQE2" s="284"/>
      <c r="CQF2" s="284"/>
      <c r="CQG2" s="284"/>
      <c r="CQH2" s="284"/>
      <c r="CQI2" s="284"/>
      <c r="CQJ2" s="284"/>
      <c r="CQK2" s="284"/>
      <c r="CQL2" s="284"/>
      <c r="CQM2" s="284"/>
      <c r="CQN2" s="284"/>
      <c r="CQO2" s="284"/>
      <c r="CQP2" s="284"/>
      <c r="CQQ2" s="284"/>
      <c r="CQR2" s="284"/>
      <c r="CQS2" s="284"/>
      <c r="CQT2" s="284"/>
      <c r="CQU2" s="284"/>
      <c r="CQV2" s="284"/>
      <c r="CQW2" s="284"/>
      <c r="CQX2" s="284"/>
      <c r="CQY2" s="284"/>
      <c r="CQZ2" s="284"/>
      <c r="CRA2" s="284"/>
      <c r="CRB2" s="284"/>
      <c r="CRC2" s="284"/>
      <c r="CRD2" s="284"/>
      <c r="CRE2" s="284"/>
      <c r="CRF2" s="284"/>
      <c r="CRG2" s="284"/>
      <c r="CRH2" s="284"/>
      <c r="CRI2" s="284"/>
      <c r="CRJ2" s="284"/>
      <c r="CRK2" s="284"/>
      <c r="CRL2" s="284"/>
      <c r="CRM2" s="284"/>
      <c r="CRN2" s="284"/>
      <c r="CRO2" s="284"/>
      <c r="CRP2" s="284"/>
      <c r="CRQ2" s="284"/>
      <c r="CRR2" s="284"/>
      <c r="CRS2" s="284"/>
      <c r="CRT2" s="284"/>
      <c r="CRU2" s="284"/>
      <c r="CRV2" s="284"/>
      <c r="CRW2" s="284"/>
      <c r="CRX2" s="284"/>
      <c r="CRY2" s="284"/>
      <c r="CRZ2" s="284"/>
      <c r="CSA2" s="284"/>
      <c r="CSB2" s="284"/>
      <c r="CSC2" s="284"/>
      <c r="CSD2" s="284"/>
      <c r="CSE2" s="284"/>
      <c r="CSF2" s="284"/>
      <c r="CSG2" s="284"/>
      <c r="CSH2" s="284"/>
      <c r="CSI2" s="284"/>
      <c r="CSJ2" s="284"/>
      <c r="CSK2" s="284"/>
      <c r="CSL2" s="284"/>
      <c r="CSM2" s="284"/>
      <c r="CSN2" s="284"/>
      <c r="CSO2" s="284"/>
      <c r="CSP2" s="284"/>
      <c r="CSQ2" s="284"/>
      <c r="CSR2" s="284"/>
      <c r="CSS2" s="284"/>
      <c r="CST2" s="284"/>
      <c r="CSU2" s="284"/>
      <c r="CSV2" s="284"/>
      <c r="CSW2" s="284"/>
      <c r="CSX2" s="284"/>
      <c r="CSY2" s="284"/>
      <c r="CSZ2" s="284"/>
      <c r="CTA2" s="284"/>
      <c r="CTB2" s="284"/>
      <c r="CTC2" s="284"/>
      <c r="CTD2" s="284"/>
      <c r="CTE2" s="284"/>
      <c r="CTF2" s="284"/>
      <c r="CTG2" s="284"/>
      <c r="CTH2" s="284"/>
      <c r="CTI2" s="284"/>
      <c r="CTJ2" s="284"/>
      <c r="CTK2" s="284"/>
      <c r="CTL2" s="284"/>
      <c r="CTM2" s="284"/>
      <c r="CTN2" s="284"/>
      <c r="CTO2" s="284"/>
      <c r="CTP2" s="284"/>
      <c r="CTQ2" s="284"/>
      <c r="CTR2" s="284"/>
      <c r="CTS2" s="284"/>
      <c r="CTT2" s="284"/>
      <c r="CTU2" s="284"/>
      <c r="CTV2" s="284"/>
      <c r="CTW2" s="284"/>
      <c r="CTX2" s="284"/>
      <c r="CTY2" s="284"/>
      <c r="CTZ2" s="284"/>
      <c r="CUA2" s="284"/>
      <c r="CUB2" s="284"/>
      <c r="CUC2" s="284"/>
      <c r="CUD2" s="284"/>
      <c r="CUE2" s="284"/>
      <c r="CUF2" s="284"/>
      <c r="CUG2" s="284"/>
      <c r="CUH2" s="284"/>
      <c r="CUI2" s="284"/>
      <c r="CUJ2" s="284"/>
      <c r="CUK2" s="284"/>
      <c r="CUL2" s="284"/>
      <c r="CUM2" s="284"/>
      <c r="CUN2" s="284"/>
      <c r="CUO2" s="284"/>
      <c r="CUP2" s="284"/>
      <c r="CUQ2" s="284"/>
      <c r="CUR2" s="284"/>
      <c r="CUS2" s="284"/>
      <c r="CUT2" s="284"/>
      <c r="CUU2" s="284"/>
      <c r="CUV2" s="284"/>
      <c r="CUW2" s="284"/>
      <c r="CUX2" s="284"/>
      <c r="CUY2" s="284"/>
      <c r="CUZ2" s="284"/>
      <c r="CVA2" s="284"/>
      <c r="CVB2" s="284"/>
      <c r="CVC2" s="284"/>
      <c r="CVD2" s="284"/>
      <c r="CVE2" s="284"/>
      <c r="CVF2" s="284"/>
      <c r="CVG2" s="284"/>
      <c r="CVH2" s="284"/>
      <c r="CVI2" s="284"/>
      <c r="CVJ2" s="284"/>
      <c r="CVK2" s="284"/>
      <c r="CVL2" s="284"/>
      <c r="CVM2" s="284"/>
      <c r="CVN2" s="284"/>
      <c r="CVO2" s="284"/>
      <c r="CVP2" s="284"/>
      <c r="CVQ2" s="284"/>
      <c r="CVR2" s="284"/>
      <c r="CVS2" s="284"/>
      <c r="CVT2" s="284"/>
      <c r="CVU2" s="284"/>
      <c r="CVV2" s="284"/>
      <c r="CVW2" s="284"/>
      <c r="CVX2" s="284"/>
      <c r="CVY2" s="284"/>
      <c r="CVZ2" s="284"/>
      <c r="CWA2" s="284"/>
      <c r="CWB2" s="284"/>
      <c r="CWC2" s="284"/>
      <c r="CWD2" s="284"/>
      <c r="CWE2" s="284"/>
      <c r="CWF2" s="284"/>
      <c r="CWG2" s="284"/>
      <c r="CWH2" s="284"/>
      <c r="CWI2" s="284"/>
      <c r="CWJ2" s="284"/>
      <c r="CWK2" s="284"/>
      <c r="CWL2" s="284"/>
      <c r="CWM2" s="284"/>
      <c r="CWN2" s="284"/>
      <c r="CWO2" s="284"/>
      <c r="CWP2" s="284"/>
      <c r="CWQ2" s="284"/>
      <c r="CWR2" s="284"/>
      <c r="CWS2" s="284"/>
      <c r="CWT2" s="284"/>
      <c r="CWU2" s="284"/>
      <c r="CWV2" s="284"/>
      <c r="CWW2" s="284"/>
      <c r="CWX2" s="284"/>
      <c r="CWY2" s="284"/>
      <c r="CWZ2" s="284"/>
      <c r="CXA2" s="284"/>
      <c r="CXB2" s="284"/>
      <c r="CXC2" s="284"/>
      <c r="CXD2" s="284"/>
      <c r="CXE2" s="284"/>
      <c r="CXF2" s="284"/>
      <c r="CXG2" s="284"/>
      <c r="CXH2" s="284"/>
      <c r="CXI2" s="284"/>
      <c r="CXJ2" s="284"/>
      <c r="CXK2" s="284"/>
      <c r="CXL2" s="284"/>
      <c r="CXM2" s="284"/>
      <c r="CXN2" s="284"/>
      <c r="CXO2" s="284"/>
      <c r="CXP2" s="284"/>
      <c r="CXQ2" s="284"/>
      <c r="CXR2" s="284"/>
      <c r="CXS2" s="284"/>
      <c r="CXT2" s="284"/>
      <c r="CXU2" s="284"/>
      <c r="CXV2" s="284"/>
      <c r="CXW2" s="284"/>
      <c r="CXX2" s="284"/>
      <c r="CXY2" s="284"/>
      <c r="CXZ2" s="284"/>
      <c r="CYA2" s="284"/>
      <c r="CYB2" s="284"/>
      <c r="CYC2" s="284"/>
      <c r="CYD2" s="284"/>
      <c r="CYE2" s="284"/>
      <c r="CYF2" s="284"/>
      <c r="CYG2" s="284"/>
      <c r="CYH2" s="284"/>
      <c r="CYI2" s="284"/>
      <c r="CYJ2" s="284"/>
      <c r="CYK2" s="284"/>
      <c r="CYL2" s="284"/>
      <c r="CYM2" s="284"/>
      <c r="CYN2" s="284"/>
      <c r="CYO2" s="284"/>
      <c r="CYP2" s="284"/>
      <c r="CYQ2" s="284"/>
      <c r="CYR2" s="284"/>
      <c r="CYS2" s="284"/>
      <c r="CYT2" s="284"/>
      <c r="CYU2" s="284"/>
      <c r="CYV2" s="284"/>
      <c r="CYW2" s="284"/>
      <c r="CYX2" s="284"/>
      <c r="CYY2" s="284"/>
      <c r="CYZ2" s="284"/>
      <c r="CZA2" s="284"/>
      <c r="CZB2" s="284"/>
      <c r="CZC2" s="284"/>
      <c r="CZD2" s="284"/>
      <c r="CZE2" s="284"/>
      <c r="CZF2" s="284"/>
      <c r="CZG2" s="284"/>
      <c r="CZH2" s="284"/>
      <c r="CZI2" s="284"/>
      <c r="CZJ2" s="284"/>
      <c r="CZK2" s="284"/>
      <c r="CZL2" s="284"/>
      <c r="CZM2" s="284"/>
      <c r="CZN2" s="284"/>
      <c r="CZO2" s="284"/>
      <c r="CZP2" s="284"/>
      <c r="CZQ2" s="284"/>
      <c r="CZR2" s="284"/>
      <c r="CZS2" s="284"/>
      <c r="CZT2" s="284"/>
      <c r="CZU2" s="284"/>
      <c r="CZV2" s="284"/>
      <c r="CZW2" s="284"/>
      <c r="CZX2" s="284"/>
      <c r="CZY2" s="284"/>
      <c r="CZZ2" s="284"/>
      <c r="DAA2" s="284"/>
      <c r="DAB2" s="284"/>
      <c r="DAC2" s="284"/>
      <c r="DAD2" s="284"/>
      <c r="DAE2" s="284"/>
      <c r="DAF2" s="284"/>
      <c r="DAG2" s="284"/>
      <c r="DAH2" s="284"/>
      <c r="DAI2" s="284"/>
      <c r="DAJ2" s="284"/>
      <c r="DAK2" s="284"/>
      <c r="DAL2" s="284"/>
      <c r="DAM2" s="284"/>
      <c r="DAN2" s="284"/>
      <c r="DAO2" s="284"/>
      <c r="DAP2" s="284"/>
      <c r="DAQ2" s="284"/>
      <c r="DAR2" s="284"/>
      <c r="DAS2" s="284"/>
      <c r="DAT2" s="284"/>
      <c r="DAU2" s="284"/>
      <c r="DAV2" s="284"/>
      <c r="DAW2" s="284"/>
      <c r="DAX2" s="284"/>
      <c r="DAY2" s="284"/>
      <c r="DAZ2" s="284"/>
      <c r="DBA2" s="284"/>
      <c r="DBB2" s="284"/>
      <c r="DBC2" s="284"/>
      <c r="DBD2" s="284"/>
      <c r="DBE2" s="284"/>
      <c r="DBF2" s="284"/>
      <c r="DBG2" s="284"/>
      <c r="DBH2" s="284"/>
      <c r="DBI2" s="284"/>
      <c r="DBJ2" s="284"/>
      <c r="DBK2" s="284"/>
      <c r="DBL2" s="284"/>
      <c r="DBM2" s="284"/>
      <c r="DBN2" s="284"/>
      <c r="DBO2" s="284"/>
      <c r="DBP2" s="284"/>
      <c r="DBQ2" s="284"/>
      <c r="DBR2" s="284"/>
      <c r="DBS2" s="284"/>
      <c r="DBT2" s="284"/>
      <c r="DBU2" s="284"/>
      <c r="DBV2" s="284"/>
      <c r="DBW2" s="284"/>
      <c r="DBX2" s="284"/>
      <c r="DBY2" s="284"/>
      <c r="DBZ2" s="284"/>
      <c r="DCA2" s="284"/>
      <c r="DCB2" s="284"/>
      <c r="DCC2" s="284"/>
      <c r="DCD2" s="284"/>
      <c r="DCE2" s="284"/>
      <c r="DCF2" s="284"/>
      <c r="DCG2" s="284"/>
      <c r="DCH2" s="284"/>
      <c r="DCI2" s="284"/>
      <c r="DCJ2" s="284"/>
      <c r="DCK2" s="284"/>
      <c r="DCL2" s="284"/>
      <c r="DCM2" s="284"/>
      <c r="DCN2" s="284"/>
      <c r="DCO2" s="284"/>
      <c r="DCP2" s="284"/>
      <c r="DCQ2" s="284"/>
      <c r="DCR2" s="284"/>
      <c r="DCS2" s="284"/>
      <c r="DCT2" s="284"/>
      <c r="DCU2" s="284"/>
      <c r="DCV2" s="284"/>
      <c r="DCW2" s="284"/>
      <c r="DCX2" s="284"/>
      <c r="DCY2" s="284"/>
      <c r="DCZ2" s="284"/>
      <c r="DDA2" s="284"/>
      <c r="DDB2" s="284"/>
      <c r="DDC2" s="284"/>
      <c r="DDD2" s="284"/>
      <c r="DDE2" s="284"/>
      <c r="DDF2" s="284"/>
      <c r="DDG2" s="284"/>
      <c r="DDH2" s="284"/>
      <c r="DDI2" s="284"/>
      <c r="DDJ2" s="284"/>
      <c r="DDK2" s="284"/>
      <c r="DDL2" s="284"/>
      <c r="DDM2" s="284"/>
      <c r="DDN2" s="284"/>
      <c r="DDO2" s="284"/>
      <c r="DDP2" s="284"/>
      <c r="DDQ2" s="284"/>
      <c r="DDR2" s="284"/>
      <c r="DDS2" s="284"/>
      <c r="DDT2" s="284"/>
      <c r="DDU2" s="284"/>
      <c r="DDV2" s="284"/>
      <c r="DDW2" s="284"/>
      <c r="DDX2" s="284"/>
      <c r="DDY2" s="284"/>
      <c r="DDZ2" s="284"/>
      <c r="DEA2" s="284"/>
      <c r="DEB2" s="284"/>
      <c r="DEC2" s="284"/>
      <c r="DED2" s="284"/>
      <c r="DEE2" s="284"/>
      <c r="DEF2" s="284"/>
      <c r="DEG2" s="284"/>
      <c r="DEH2" s="284"/>
      <c r="DEI2" s="284"/>
      <c r="DEJ2" s="284"/>
      <c r="DEK2" s="284"/>
      <c r="DEL2" s="284"/>
      <c r="DEM2" s="284"/>
      <c r="DEN2" s="284"/>
      <c r="DEO2" s="284"/>
      <c r="DEP2" s="284"/>
      <c r="DEQ2" s="284"/>
      <c r="DER2" s="284"/>
      <c r="DES2" s="284"/>
      <c r="DET2" s="284"/>
      <c r="DEU2" s="284"/>
      <c r="DEV2" s="284"/>
      <c r="DEW2" s="284"/>
      <c r="DEX2" s="284"/>
      <c r="DEY2" s="284"/>
      <c r="DEZ2" s="284"/>
      <c r="DFA2" s="284"/>
      <c r="DFB2" s="284"/>
      <c r="DFC2" s="284"/>
      <c r="DFD2" s="284"/>
      <c r="DFE2" s="284"/>
      <c r="DFF2" s="284"/>
      <c r="DFG2" s="284"/>
      <c r="DFH2" s="284"/>
      <c r="DFI2" s="284"/>
      <c r="DFJ2" s="284"/>
      <c r="DFK2" s="284"/>
      <c r="DFL2" s="284"/>
      <c r="DFM2" s="284"/>
      <c r="DFN2" s="284"/>
      <c r="DFO2" s="284"/>
      <c r="DFP2" s="284"/>
      <c r="DFQ2" s="284"/>
      <c r="DFR2" s="284"/>
      <c r="DFS2" s="284"/>
      <c r="DFT2" s="284"/>
      <c r="DFU2" s="284"/>
      <c r="DFV2" s="284"/>
      <c r="DFW2" s="284"/>
      <c r="DFX2" s="284"/>
      <c r="DFY2" s="284"/>
      <c r="DFZ2" s="284"/>
      <c r="DGA2" s="284"/>
      <c r="DGB2" s="284"/>
      <c r="DGC2" s="284"/>
      <c r="DGD2" s="284"/>
      <c r="DGE2" s="284"/>
      <c r="DGF2" s="284"/>
      <c r="DGG2" s="284"/>
      <c r="DGH2" s="284"/>
      <c r="DGI2" s="284"/>
      <c r="DGJ2" s="284"/>
      <c r="DGK2" s="284"/>
      <c r="DGL2" s="284"/>
      <c r="DGM2" s="284"/>
      <c r="DGN2" s="284"/>
      <c r="DGO2" s="284"/>
      <c r="DGP2" s="284"/>
      <c r="DGQ2" s="284"/>
      <c r="DGR2" s="284"/>
      <c r="DGS2" s="284"/>
      <c r="DGT2" s="284"/>
      <c r="DGU2" s="284"/>
      <c r="DGV2" s="284"/>
      <c r="DGW2" s="284"/>
      <c r="DGX2" s="284"/>
      <c r="DGY2" s="284"/>
      <c r="DGZ2" s="284"/>
      <c r="DHA2" s="284"/>
      <c r="DHB2" s="284"/>
      <c r="DHC2" s="284"/>
      <c r="DHD2" s="284"/>
      <c r="DHE2" s="284"/>
      <c r="DHF2" s="284"/>
      <c r="DHG2" s="284"/>
      <c r="DHH2" s="284"/>
      <c r="DHI2" s="284"/>
      <c r="DHJ2" s="284"/>
      <c r="DHK2" s="284"/>
      <c r="DHL2" s="284"/>
      <c r="DHM2" s="284"/>
      <c r="DHN2" s="284"/>
      <c r="DHO2" s="284"/>
      <c r="DHP2" s="284"/>
      <c r="DHQ2" s="284"/>
      <c r="DHR2" s="284"/>
      <c r="DHS2" s="284"/>
      <c r="DHT2" s="284"/>
      <c r="DHU2" s="284"/>
      <c r="DHV2" s="284"/>
      <c r="DHW2" s="284"/>
      <c r="DHX2" s="284"/>
      <c r="DHY2" s="284"/>
      <c r="DHZ2" s="284"/>
      <c r="DIA2" s="284"/>
      <c r="DIB2" s="284"/>
      <c r="DIC2" s="284"/>
      <c r="DID2" s="284"/>
      <c r="DIE2" s="284"/>
      <c r="DIF2" s="284"/>
      <c r="DIG2" s="284"/>
      <c r="DIH2" s="284"/>
      <c r="DII2" s="284"/>
      <c r="DIJ2" s="284"/>
      <c r="DIK2" s="284"/>
      <c r="DIL2" s="284"/>
      <c r="DIM2" s="284"/>
      <c r="DIN2" s="284"/>
      <c r="DIO2" s="284"/>
      <c r="DIP2" s="284"/>
      <c r="DIQ2" s="284"/>
      <c r="DIR2" s="284"/>
      <c r="DIS2" s="284"/>
      <c r="DIT2" s="284"/>
      <c r="DIU2" s="284"/>
      <c r="DIV2" s="284"/>
      <c r="DIW2" s="284"/>
      <c r="DIX2" s="284"/>
      <c r="DIY2" s="284"/>
      <c r="DIZ2" s="284"/>
      <c r="DJA2" s="284"/>
      <c r="DJB2" s="284"/>
      <c r="DJC2" s="284"/>
      <c r="DJD2" s="284"/>
      <c r="DJE2" s="284"/>
      <c r="DJF2" s="284"/>
      <c r="DJG2" s="284"/>
      <c r="DJH2" s="284"/>
      <c r="DJI2" s="284"/>
      <c r="DJJ2" s="284"/>
      <c r="DJK2" s="284"/>
      <c r="DJL2" s="284"/>
      <c r="DJM2" s="284"/>
      <c r="DJN2" s="284"/>
      <c r="DJO2" s="284"/>
      <c r="DJP2" s="284"/>
      <c r="DJQ2" s="284"/>
      <c r="DJR2" s="284"/>
      <c r="DJS2" s="284"/>
      <c r="DJT2" s="284"/>
      <c r="DJU2" s="284"/>
      <c r="DJV2" s="284"/>
      <c r="DJW2" s="284"/>
      <c r="DJX2" s="284"/>
      <c r="DJY2" s="284"/>
      <c r="DJZ2" s="284"/>
      <c r="DKA2" s="284"/>
      <c r="DKB2" s="284"/>
      <c r="DKC2" s="284"/>
      <c r="DKD2" s="284"/>
      <c r="DKE2" s="284"/>
      <c r="DKF2" s="284"/>
      <c r="DKG2" s="284"/>
      <c r="DKH2" s="284"/>
      <c r="DKI2" s="284"/>
      <c r="DKJ2" s="284"/>
      <c r="DKK2" s="284"/>
      <c r="DKL2" s="284"/>
      <c r="DKM2" s="284"/>
      <c r="DKN2" s="284"/>
      <c r="DKO2" s="284"/>
      <c r="DKP2" s="284"/>
      <c r="DKQ2" s="284"/>
      <c r="DKR2" s="284"/>
      <c r="DKS2" s="284"/>
      <c r="DKT2" s="284"/>
      <c r="DKU2" s="284"/>
      <c r="DKV2" s="284"/>
      <c r="DKW2" s="284"/>
      <c r="DKX2" s="284"/>
      <c r="DKY2" s="284"/>
      <c r="DKZ2" s="284"/>
      <c r="DLA2" s="284"/>
      <c r="DLB2" s="284"/>
      <c r="DLC2" s="284"/>
      <c r="DLD2" s="284"/>
      <c r="DLE2" s="284"/>
      <c r="DLF2" s="284"/>
      <c r="DLG2" s="284"/>
      <c r="DLH2" s="284"/>
      <c r="DLI2" s="284"/>
      <c r="DLJ2" s="284"/>
      <c r="DLK2" s="284"/>
      <c r="DLL2" s="284"/>
      <c r="DLM2" s="284"/>
      <c r="DLN2" s="284"/>
      <c r="DLO2" s="284"/>
      <c r="DLP2" s="284"/>
      <c r="DLQ2" s="284"/>
      <c r="DLR2" s="284"/>
      <c r="DLS2" s="284"/>
      <c r="DLT2" s="284"/>
      <c r="DLU2" s="284"/>
      <c r="DLV2" s="284"/>
      <c r="DLW2" s="284"/>
      <c r="DLX2" s="284"/>
      <c r="DLY2" s="284"/>
      <c r="DLZ2" s="284"/>
      <c r="DMA2" s="284"/>
      <c r="DMB2" s="284"/>
      <c r="DMC2" s="284"/>
      <c r="DMD2" s="284"/>
      <c r="DME2" s="284"/>
      <c r="DMF2" s="284"/>
      <c r="DMG2" s="284"/>
      <c r="DMH2" s="284"/>
      <c r="DMI2" s="284"/>
      <c r="DMJ2" s="284"/>
      <c r="DMK2" s="284"/>
      <c r="DML2" s="284"/>
      <c r="DMM2" s="284"/>
      <c r="DMN2" s="284"/>
      <c r="DMO2" s="284"/>
      <c r="DMP2" s="284"/>
      <c r="DMQ2" s="284"/>
      <c r="DMR2" s="284"/>
      <c r="DMS2" s="284"/>
      <c r="DMT2" s="284"/>
      <c r="DMU2" s="284"/>
      <c r="DMV2" s="284"/>
      <c r="DMW2" s="284"/>
      <c r="DMX2" s="284"/>
      <c r="DMY2" s="284"/>
      <c r="DMZ2" s="284"/>
      <c r="DNA2" s="284"/>
      <c r="DNB2" s="284"/>
      <c r="DNC2" s="284"/>
      <c r="DND2" s="284"/>
      <c r="DNE2" s="284"/>
      <c r="DNF2" s="284"/>
      <c r="DNG2" s="284"/>
      <c r="DNH2" s="284"/>
      <c r="DNI2" s="284"/>
      <c r="DNJ2" s="284"/>
      <c r="DNK2" s="284"/>
      <c r="DNL2" s="284"/>
      <c r="DNM2" s="284"/>
      <c r="DNN2" s="284"/>
      <c r="DNO2" s="284"/>
      <c r="DNP2" s="284"/>
      <c r="DNQ2" s="284"/>
      <c r="DNR2" s="284"/>
      <c r="DNS2" s="284"/>
      <c r="DNT2" s="284"/>
      <c r="DNU2" s="284"/>
      <c r="DNV2" s="284"/>
      <c r="DNW2" s="284"/>
      <c r="DNX2" s="284"/>
      <c r="DNY2" s="284"/>
      <c r="DNZ2" s="284"/>
      <c r="DOA2" s="284"/>
      <c r="DOB2" s="284"/>
      <c r="DOC2" s="284"/>
      <c r="DOD2" s="284"/>
      <c r="DOE2" s="284"/>
      <c r="DOF2" s="284"/>
      <c r="DOG2" s="284"/>
      <c r="DOH2" s="284"/>
      <c r="DOI2" s="284"/>
      <c r="DOJ2" s="284"/>
      <c r="DOK2" s="284"/>
      <c r="DOL2" s="284"/>
      <c r="DOM2" s="284"/>
      <c r="DON2" s="284"/>
      <c r="DOO2" s="284"/>
      <c r="DOP2" s="284"/>
      <c r="DOQ2" s="284"/>
      <c r="DOR2" s="284"/>
      <c r="DOS2" s="284"/>
      <c r="DOT2" s="284"/>
      <c r="DOU2" s="284"/>
      <c r="DOV2" s="284"/>
      <c r="DOW2" s="284"/>
      <c r="DOX2" s="284"/>
      <c r="DOY2" s="284"/>
      <c r="DOZ2" s="284"/>
      <c r="DPA2" s="284"/>
      <c r="DPB2" s="284"/>
      <c r="DPC2" s="284"/>
      <c r="DPD2" s="284"/>
      <c r="DPE2" s="284"/>
      <c r="DPF2" s="284"/>
      <c r="DPG2" s="284"/>
      <c r="DPH2" s="284"/>
      <c r="DPI2" s="284"/>
      <c r="DPJ2" s="284"/>
      <c r="DPK2" s="284"/>
      <c r="DPL2" s="284"/>
      <c r="DPM2" s="284"/>
      <c r="DPN2" s="284"/>
      <c r="DPO2" s="284"/>
      <c r="DPP2" s="284"/>
      <c r="DPQ2" s="284"/>
      <c r="DPR2" s="284"/>
      <c r="DPS2" s="284"/>
      <c r="DPT2" s="284"/>
      <c r="DPU2" s="284"/>
      <c r="DPV2" s="284"/>
      <c r="DPW2" s="284"/>
      <c r="DPX2" s="284"/>
      <c r="DPY2" s="284"/>
      <c r="DPZ2" s="284"/>
      <c r="DQA2" s="284"/>
      <c r="DQB2" s="284"/>
      <c r="DQC2" s="284"/>
      <c r="DQD2" s="284"/>
      <c r="DQE2" s="284"/>
      <c r="DQF2" s="284"/>
      <c r="DQG2" s="284"/>
      <c r="DQH2" s="284"/>
      <c r="DQI2" s="284"/>
      <c r="DQJ2" s="284"/>
      <c r="DQK2" s="284"/>
      <c r="DQL2" s="284"/>
      <c r="DQM2" s="284"/>
      <c r="DQN2" s="284"/>
      <c r="DQO2" s="284"/>
      <c r="DQP2" s="284"/>
      <c r="DQQ2" s="284"/>
      <c r="DQR2" s="284"/>
      <c r="DQS2" s="284"/>
      <c r="DQT2" s="284"/>
      <c r="DQU2" s="284"/>
      <c r="DQV2" s="284"/>
      <c r="DQW2" s="284"/>
      <c r="DQX2" s="284"/>
      <c r="DQY2" s="284"/>
      <c r="DQZ2" s="284"/>
      <c r="DRA2" s="284"/>
      <c r="DRB2" s="284"/>
      <c r="DRC2" s="284"/>
      <c r="DRD2" s="284"/>
      <c r="DRE2" s="284"/>
      <c r="DRF2" s="284"/>
      <c r="DRG2" s="284"/>
      <c r="DRH2" s="284"/>
      <c r="DRI2" s="284"/>
      <c r="DRJ2" s="284"/>
      <c r="DRK2" s="284"/>
      <c r="DRL2" s="284"/>
      <c r="DRM2" s="284"/>
      <c r="DRN2" s="284"/>
      <c r="DRO2" s="284"/>
      <c r="DRP2" s="284"/>
      <c r="DRQ2" s="284"/>
      <c r="DRR2" s="284"/>
      <c r="DRS2" s="284"/>
      <c r="DRT2" s="284"/>
      <c r="DRU2" s="284"/>
      <c r="DRV2" s="284"/>
      <c r="DRW2" s="284"/>
      <c r="DRX2" s="284"/>
      <c r="DRY2" s="284"/>
      <c r="DRZ2" s="284"/>
      <c r="DSA2" s="284"/>
      <c r="DSB2" s="284"/>
      <c r="DSC2" s="284"/>
      <c r="DSD2" s="284"/>
      <c r="DSE2" s="284"/>
      <c r="DSF2" s="284"/>
      <c r="DSG2" s="284"/>
      <c r="DSH2" s="284"/>
      <c r="DSI2" s="284"/>
      <c r="DSJ2" s="284"/>
      <c r="DSK2" s="284"/>
      <c r="DSL2" s="284"/>
      <c r="DSM2" s="284"/>
      <c r="DSN2" s="284"/>
      <c r="DSO2" s="284"/>
      <c r="DSP2" s="284"/>
      <c r="DSQ2" s="284"/>
      <c r="DSR2" s="284"/>
      <c r="DSS2" s="284"/>
      <c r="DST2" s="284"/>
      <c r="DSU2" s="284"/>
      <c r="DSV2" s="284"/>
      <c r="DSW2" s="284"/>
      <c r="DSX2" s="284"/>
      <c r="DSY2" s="284"/>
      <c r="DSZ2" s="284"/>
      <c r="DTA2" s="284"/>
      <c r="DTB2" s="284"/>
      <c r="DTC2" s="284"/>
      <c r="DTD2" s="284"/>
      <c r="DTE2" s="284"/>
      <c r="DTF2" s="284"/>
      <c r="DTG2" s="284"/>
      <c r="DTH2" s="284"/>
      <c r="DTI2" s="284"/>
      <c r="DTJ2" s="284"/>
      <c r="DTK2" s="284"/>
      <c r="DTL2" s="284"/>
      <c r="DTM2" s="284"/>
      <c r="DTN2" s="284"/>
      <c r="DTO2" s="284"/>
      <c r="DTP2" s="284"/>
      <c r="DTQ2" s="284"/>
      <c r="DTR2" s="284"/>
      <c r="DTS2" s="284"/>
      <c r="DTT2" s="284"/>
      <c r="DTU2" s="284"/>
      <c r="DTV2" s="284"/>
      <c r="DTW2" s="284"/>
      <c r="DTX2" s="284"/>
      <c r="DTY2" s="284"/>
      <c r="DTZ2" s="284"/>
      <c r="DUA2" s="284"/>
      <c r="DUB2" s="284"/>
      <c r="DUC2" s="284"/>
      <c r="DUD2" s="284"/>
      <c r="DUE2" s="284"/>
      <c r="DUF2" s="284"/>
      <c r="DUG2" s="284"/>
      <c r="DUH2" s="284"/>
      <c r="DUI2" s="284"/>
      <c r="DUJ2" s="284"/>
      <c r="DUK2" s="284"/>
      <c r="DUL2" s="284"/>
      <c r="DUM2" s="284"/>
      <c r="DUN2" s="284"/>
      <c r="DUO2" s="284"/>
      <c r="DUP2" s="284"/>
      <c r="DUQ2" s="284"/>
      <c r="DUR2" s="284"/>
      <c r="DUS2" s="284"/>
      <c r="DUT2" s="284"/>
      <c r="DUU2" s="284"/>
      <c r="DUV2" s="284"/>
      <c r="DUW2" s="284"/>
      <c r="DUX2" s="284"/>
      <c r="DUY2" s="284"/>
      <c r="DUZ2" s="284"/>
      <c r="DVA2" s="284"/>
      <c r="DVB2" s="284"/>
      <c r="DVC2" s="284"/>
      <c r="DVD2" s="284"/>
      <c r="DVE2" s="284"/>
      <c r="DVF2" s="284"/>
      <c r="DVG2" s="284"/>
      <c r="DVH2" s="284"/>
      <c r="DVI2" s="284"/>
      <c r="DVJ2" s="284"/>
      <c r="DVK2" s="284"/>
      <c r="DVL2" s="284"/>
      <c r="DVM2" s="284"/>
      <c r="DVN2" s="284"/>
      <c r="DVO2" s="284"/>
      <c r="DVP2" s="284"/>
      <c r="DVQ2" s="284"/>
      <c r="DVR2" s="284"/>
      <c r="DVS2" s="284"/>
      <c r="DVT2" s="284"/>
      <c r="DVU2" s="284"/>
      <c r="DVV2" s="284"/>
      <c r="DVW2" s="284"/>
      <c r="DVX2" s="284"/>
      <c r="DVY2" s="284"/>
      <c r="DVZ2" s="284"/>
      <c r="DWA2" s="284"/>
      <c r="DWB2" s="284"/>
      <c r="DWC2" s="284"/>
      <c r="DWD2" s="284"/>
      <c r="DWE2" s="284"/>
      <c r="DWF2" s="284"/>
      <c r="DWG2" s="284"/>
      <c r="DWH2" s="284"/>
      <c r="DWI2" s="284"/>
      <c r="DWJ2" s="284"/>
      <c r="DWK2" s="284"/>
      <c r="DWL2" s="284"/>
      <c r="DWM2" s="284"/>
      <c r="DWN2" s="284"/>
      <c r="DWO2" s="284"/>
      <c r="DWP2" s="284"/>
      <c r="DWQ2" s="284"/>
      <c r="DWR2" s="284"/>
      <c r="DWS2" s="284"/>
      <c r="DWT2" s="284"/>
      <c r="DWU2" s="284"/>
      <c r="DWV2" s="284"/>
      <c r="DWW2" s="284"/>
      <c r="DWX2" s="284"/>
      <c r="DWY2" s="284"/>
      <c r="DWZ2" s="284"/>
      <c r="DXA2" s="284"/>
      <c r="DXB2" s="284"/>
      <c r="DXC2" s="284"/>
      <c r="DXD2" s="284"/>
      <c r="DXE2" s="284"/>
      <c r="DXF2" s="284"/>
      <c r="DXG2" s="284"/>
      <c r="DXH2" s="284"/>
      <c r="DXI2" s="284"/>
      <c r="DXJ2" s="284"/>
      <c r="DXK2" s="284"/>
      <c r="DXL2" s="284"/>
      <c r="DXM2" s="284"/>
      <c r="DXN2" s="284"/>
      <c r="DXO2" s="284"/>
      <c r="DXP2" s="284"/>
      <c r="DXQ2" s="284"/>
      <c r="DXR2" s="284"/>
      <c r="DXS2" s="284"/>
      <c r="DXT2" s="284"/>
      <c r="DXU2" s="284"/>
      <c r="DXV2" s="284"/>
      <c r="DXW2" s="284"/>
      <c r="DXX2" s="284"/>
      <c r="DXY2" s="284"/>
      <c r="DXZ2" s="284"/>
      <c r="DYA2" s="284"/>
      <c r="DYB2" s="284"/>
      <c r="DYC2" s="284"/>
      <c r="DYD2" s="284"/>
      <c r="DYE2" s="284"/>
      <c r="DYF2" s="284"/>
      <c r="DYG2" s="284"/>
      <c r="DYH2" s="284"/>
      <c r="DYI2" s="284"/>
      <c r="DYJ2" s="284"/>
      <c r="DYK2" s="284"/>
      <c r="DYL2" s="284"/>
      <c r="DYM2" s="284"/>
      <c r="DYN2" s="284"/>
      <c r="DYO2" s="284"/>
      <c r="DYP2" s="284"/>
      <c r="DYQ2" s="284"/>
      <c r="DYR2" s="284"/>
      <c r="DYS2" s="284"/>
      <c r="DYT2" s="284"/>
      <c r="DYU2" s="284"/>
      <c r="DYV2" s="284"/>
      <c r="DYW2" s="284"/>
      <c r="DYX2" s="284"/>
      <c r="DYY2" s="284"/>
      <c r="DYZ2" s="284"/>
      <c r="DZA2" s="284"/>
      <c r="DZB2" s="284"/>
      <c r="DZC2" s="284"/>
      <c r="DZD2" s="284"/>
      <c r="DZE2" s="284"/>
      <c r="DZF2" s="284"/>
      <c r="DZG2" s="284"/>
      <c r="DZH2" s="284"/>
      <c r="DZI2" s="284"/>
      <c r="DZJ2" s="284"/>
      <c r="DZK2" s="284"/>
      <c r="DZL2" s="284"/>
      <c r="DZM2" s="284"/>
      <c r="DZN2" s="284"/>
      <c r="DZO2" s="284"/>
      <c r="DZP2" s="284"/>
      <c r="DZQ2" s="284"/>
      <c r="DZR2" s="284"/>
      <c r="DZS2" s="284"/>
      <c r="DZT2" s="284"/>
      <c r="DZU2" s="284"/>
      <c r="DZV2" s="284"/>
      <c r="DZW2" s="284"/>
      <c r="DZX2" s="284"/>
      <c r="DZY2" s="284"/>
      <c r="DZZ2" s="284"/>
      <c r="EAA2" s="284"/>
      <c r="EAB2" s="284"/>
      <c r="EAC2" s="284"/>
      <c r="EAD2" s="284"/>
      <c r="EAE2" s="284"/>
      <c r="EAF2" s="284"/>
      <c r="EAG2" s="284"/>
      <c r="EAH2" s="284"/>
      <c r="EAI2" s="284"/>
      <c r="EAJ2" s="284"/>
      <c r="EAK2" s="284"/>
      <c r="EAL2" s="284"/>
      <c r="EAM2" s="284"/>
      <c r="EAN2" s="284"/>
      <c r="EAO2" s="284"/>
      <c r="EAP2" s="284"/>
      <c r="EAQ2" s="284"/>
      <c r="EAR2" s="284"/>
      <c r="EAS2" s="284"/>
      <c r="EAT2" s="284"/>
      <c r="EAU2" s="284"/>
      <c r="EAV2" s="284"/>
      <c r="EAW2" s="284"/>
      <c r="EAX2" s="284"/>
      <c r="EAY2" s="284"/>
      <c r="EAZ2" s="284"/>
      <c r="EBA2" s="284"/>
      <c r="EBB2" s="284"/>
      <c r="EBC2" s="284"/>
      <c r="EBD2" s="284"/>
      <c r="EBE2" s="284"/>
      <c r="EBF2" s="284"/>
      <c r="EBG2" s="284"/>
      <c r="EBH2" s="284"/>
      <c r="EBI2" s="284"/>
      <c r="EBJ2" s="284"/>
      <c r="EBK2" s="284"/>
      <c r="EBL2" s="284"/>
      <c r="EBM2" s="284"/>
      <c r="EBN2" s="284"/>
      <c r="EBO2" s="284"/>
      <c r="EBP2" s="284"/>
      <c r="EBQ2" s="284"/>
      <c r="EBR2" s="284"/>
      <c r="EBS2" s="284"/>
      <c r="EBT2" s="284"/>
      <c r="EBU2" s="284"/>
      <c r="EBV2" s="284"/>
      <c r="EBW2" s="284"/>
      <c r="EBX2" s="284"/>
      <c r="EBY2" s="284"/>
      <c r="EBZ2" s="284"/>
      <c r="ECA2" s="284"/>
      <c r="ECB2" s="284"/>
      <c r="ECC2" s="284"/>
      <c r="ECD2" s="284"/>
      <c r="ECE2" s="284"/>
      <c r="ECF2" s="284"/>
      <c r="ECG2" s="284"/>
      <c r="ECH2" s="284"/>
      <c r="ECI2" s="284"/>
      <c r="ECJ2" s="284"/>
      <c r="ECK2" s="284"/>
      <c r="ECL2" s="284"/>
      <c r="ECM2" s="284"/>
      <c r="ECN2" s="284"/>
      <c r="ECO2" s="284"/>
      <c r="ECP2" s="284"/>
      <c r="ECQ2" s="284"/>
      <c r="ECR2" s="284"/>
      <c r="ECS2" s="284"/>
      <c r="ECT2" s="284"/>
      <c r="ECU2" s="284"/>
      <c r="ECV2" s="284"/>
      <c r="ECW2" s="284"/>
      <c r="ECX2" s="284"/>
      <c r="ECY2" s="284"/>
      <c r="ECZ2" s="284"/>
      <c r="EDA2" s="284"/>
      <c r="EDB2" s="284"/>
      <c r="EDC2" s="284"/>
      <c r="EDD2" s="284"/>
      <c r="EDE2" s="284"/>
      <c r="EDF2" s="284"/>
      <c r="EDG2" s="284"/>
      <c r="EDH2" s="284"/>
      <c r="EDI2" s="284"/>
      <c r="EDJ2" s="284"/>
      <c r="EDK2" s="284"/>
      <c r="EDL2" s="284"/>
      <c r="EDM2" s="284"/>
      <c r="EDN2" s="284"/>
      <c r="EDO2" s="284"/>
      <c r="EDP2" s="284"/>
      <c r="EDQ2" s="284"/>
      <c r="EDR2" s="284"/>
      <c r="EDS2" s="284"/>
      <c r="EDT2" s="284"/>
      <c r="EDU2" s="284"/>
      <c r="EDV2" s="284"/>
      <c r="EDW2" s="284"/>
      <c r="EDX2" s="284"/>
      <c r="EDY2" s="284"/>
      <c r="EDZ2" s="284"/>
      <c r="EEA2" s="284"/>
      <c r="EEB2" s="284"/>
      <c r="EEC2" s="284"/>
      <c r="EED2" s="284"/>
      <c r="EEE2" s="284"/>
      <c r="EEF2" s="284"/>
      <c r="EEG2" s="284"/>
      <c r="EEH2" s="284"/>
      <c r="EEI2" s="284"/>
      <c r="EEJ2" s="284"/>
      <c r="EEK2" s="284"/>
      <c r="EEL2" s="284"/>
      <c r="EEM2" s="284"/>
      <c r="EEN2" s="284"/>
      <c r="EEO2" s="284"/>
      <c r="EEP2" s="284"/>
      <c r="EEQ2" s="284"/>
      <c r="EER2" s="284"/>
      <c r="EES2" s="284"/>
      <c r="EET2" s="284"/>
      <c r="EEU2" s="284"/>
      <c r="EEV2" s="284"/>
      <c r="EEW2" s="284"/>
      <c r="EEX2" s="284"/>
      <c r="EEY2" s="284"/>
      <c r="EEZ2" s="284"/>
      <c r="EFA2" s="284"/>
      <c r="EFB2" s="284"/>
      <c r="EFC2" s="284"/>
      <c r="EFD2" s="284"/>
      <c r="EFE2" s="284"/>
      <c r="EFF2" s="284"/>
      <c r="EFG2" s="284"/>
      <c r="EFH2" s="284"/>
      <c r="EFI2" s="284"/>
      <c r="EFJ2" s="284"/>
      <c r="EFK2" s="284"/>
      <c r="EFL2" s="284"/>
      <c r="EFM2" s="284"/>
      <c r="EFN2" s="284"/>
      <c r="EFO2" s="284"/>
      <c r="EFP2" s="284"/>
      <c r="EFQ2" s="284"/>
      <c r="EFR2" s="284"/>
      <c r="EFS2" s="284"/>
      <c r="EFT2" s="284"/>
      <c r="EFU2" s="284"/>
      <c r="EFV2" s="284"/>
      <c r="EFW2" s="284"/>
      <c r="EFX2" s="284"/>
      <c r="EFY2" s="284"/>
      <c r="EFZ2" s="284"/>
      <c r="EGA2" s="284"/>
      <c r="EGB2" s="284"/>
      <c r="EGC2" s="284"/>
      <c r="EGD2" s="284"/>
      <c r="EGE2" s="284"/>
      <c r="EGF2" s="284"/>
      <c r="EGG2" s="284"/>
      <c r="EGH2" s="284"/>
      <c r="EGI2" s="284"/>
      <c r="EGJ2" s="284"/>
      <c r="EGK2" s="284"/>
      <c r="EGL2" s="284"/>
      <c r="EGM2" s="284"/>
      <c r="EGN2" s="284"/>
      <c r="EGO2" s="284"/>
      <c r="EGP2" s="284"/>
      <c r="EGQ2" s="284"/>
      <c r="EGR2" s="284"/>
      <c r="EGS2" s="284"/>
      <c r="EGT2" s="284"/>
      <c r="EGU2" s="284"/>
      <c r="EGV2" s="284"/>
      <c r="EGW2" s="284"/>
      <c r="EGX2" s="284"/>
      <c r="EGY2" s="284"/>
      <c r="EGZ2" s="284"/>
      <c r="EHA2" s="284"/>
      <c r="EHB2" s="284"/>
      <c r="EHC2" s="284"/>
      <c r="EHD2" s="284"/>
      <c r="EHE2" s="284"/>
      <c r="EHF2" s="284"/>
      <c r="EHG2" s="284"/>
      <c r="EHH2" s="284"/>
      <c r="EHI2" s="284"/>
      <c r="EHJ2" s="284"/>
      <c r="EHK2" s="284"/>
      <c r="EHL2" s="284"/>
      <c r="EHM2" s="284"/>
      <c r="EHN2" s="284"/>
      <c r="EHO2" s="284"/>
      <c r="EHP2" s="284"/>
      <c r="EHQ2" s="284"/>
      <c r="EHR2" s="284"/>
      <c r="EHS2" s="284"/>
      <c r="EHT2" s="284"/>
      <c r="EHU2" s="284"/>
      <c r="EHV2" s="284"/>
      <c r="EHW2" s="284"/>
      <c r="EHX2" s="284"/>
      <c r="EHY2" s="284"/>
      <c r="EHZ2" s="284"/>
      <c r="EIA2" s="284"/>
      <c r="EIB2" s="284"/>
      <c r="EIC2" s="284"/>
      <c r="EID2" s="284"/>
      <c r="EIE2" s="284"/>
      <c r="EIF2" s="284"/>
      <c r="EIG2" s="284"/>
      <c r="EIH2" s="284"/>
      <c r="EII2" s="284"/>
      <c r="EIJ2" s="284"/>
      <c r="EIK2" s="284"/>
      <c r="EIL2" s="284"/>
      <c r="EIM2" s="284"/>
      <c r="EIN2" s="284"/>
      <c r="EIO2" s="284"/>
      <c r="EIP2" s="284"/>
      <c r="EIQ2" s="284"/>
      <c r="EIR2" s="284"/>
      <c r="EIS2" s="284"/>
      <c r="EIT2" s="284"/>
      <c r="EIU2" s="284"/>
      <c r="EIV2" s="284"/>
      <c r="EIW2" s="284"/>
      <c r="EIX2" s="284"/>
      <c r="EIY2" s="284"/>
      <c r="EIZ2" s="284"/>
      <c r="EJA2" s="284"/>
      <c r="EJB2" s="284"/>
      <c r="EJC2" s="284"/>
      <c r="EJD2" s="284"/>
      <c r="EJE2" s="284"/>
      <c r="EJF2" s="284"/>
      <c r="EJG2" s="284"/>
      <c r="EJH2" s="284"/>
      <c r="EJI2" s="284"/>
      <c r="EJJ2" s="284"/>
      <c r="EJK2" s="284"/>
      <c r="EJL2" s="284"/>
      <c r="EJM2" s="284"/>
      <c r="EJN2" s="284"/>
      <c r="EJO2" s="284"/>
      <c r="EJP2" s="284"/>
      <c r="EJQ2" s="284"/>
      <c r="EJR2" s="284"/>
      <c r="EJS2" s="284"/>
      <c r="EJT2" s="284"/>
      <c r="EJU2" s="284"/>
      <c r="EJV2" s="284"/>
      <c r="EJW2" s="284"/>
      <c r="EJX2" s="284"/>
      <c r="EJY2" s="284"/>
      <c r="EJZ2" s="284"/>
      <c r="EKA2" s="284"/>
      <c r="EKB2" s="284"/>
      <c r="EKC2" s="284"/>
      <c r="EKD2" s="284"/>
      <c r="EKE2" s="284"/>
      <c r="EKF2" s="284"/>
      <c r="EKG2" s="284"/>
      <c r="EKH2" s="284"/>
      <c r="EKI2" s="284"/>
      <c r="EKJ2" s="284"/>
      <c r="EKK2" s="284"/>
      <c r="EKL2" s="284"/>
      <c r="EKM2" s="284"/>
      <c r="EKN2" s="284"/>
      <c r="EKO2" s="284"/>
      <c r="EKP2" s="284"/>
      <c r="EKQ2" s="284"/>
      <c r="EKR2" s="284"/>
      <c r="EKS2" s="284"/>
      <c r="EKT2" s="284"/>
      <c r="EKU2" s="284"/>
      <c r="EKV2" s="284"/>
      <c r="EKW2" s="284"/>
      <c r="EKX2" s="284"/>
      <c r="EKY2" s="284"/>
      <c r="EKZ2" s="284"/>
      <c r="ELA2" s="284"/>
      <c r="ELB2" s="284"/>
      <c r="ELC2" s="284"/>
      <c r="ELD2" s="284"/>
      <c r="ELE2" s="284"/>
      <c r="ELF2" s="284"/>
      <c r="ELG2" s="284"/>
      <c r="ELH2" s="284"/>
      <c r="ELI2" s="284"/>
      <c r="ELJ2" s="284"/>
      <c r="ELK2" s="284"/>
      <c r="ELL2" s="284"/>
      <c r="ELM2" s="284"/>
      <c r="ELN2" s="284"/>
      <c r="ELO2" s="284"/>
      <c r="ELP2" s="284"/>
      <c r="ELQ2" s="284"/>
      <c r="ELR2" s="284"/>
      <c r="ELS2" s="284"/>
      <c r="ELT2" s="284"/>
      <c r="ELU2" s="284"/>
      <c r="ELV2" s="284"/>
      <c r="ELW2" s="284"/>
      <c r="ELX2" s="284"/>
      <c r="ELY2" s="284"/>
      <c r="ELZ2" s="284"/>
      <c r="EMA2" s="284"/>
      <c r="EMB2" s="284"/>
      <c r="EMC2" s="284"/>
      <c r="EMD2" s="284"/>
      <c r="EME2" s="284"/>
      <c r="EMF2" s="284"/>
      <c r="EMG2" s="284"/>
      <c r="EMH2" s="284"/>
      <c r="EMI2" s="284"/>
      <c r="EMJ2" s="284"/>
      <c r="EMK2" s="284"/>
      <c r="EML2" s="284"/>
      <c r="EMM2" s="284"/>
      <c r="EMN2" s="284"/>
      <c r="EMO2" s="284"/>
      <c r="EMP2" s="284"/>
      <c r="EMQ2" s="284"/>
      <c r="EMR2" s="284"/>
      <c r="EMS2" s="284"/>
      <c r="EMT2" s="284"/>
      <c r="EMU2" s="284"/>
      <c r="EMV2" s="284"/>
      <c r="EMW2" s="284"/>
      <c r="EMX2" s="284"/>
      <c r="EMY2" s="284"/>
      <c r="EMZ2" s="284"/>
      <c r="ENA2" s="284"/>
      <c r="ENB2" s="284"/>
      <c r="ENC2" s="284"/>
      <c r="END2" s="284"/>
      <c r="ENE2" s="284"/>
      <c r="ENF2" s="284"/>
      <c r="ENG2" s="284"/>
      <c r="ENH2" s="284"/>
      <c r="ENI2" s="284"/>
      <c r="ENJ2" s="284"/>
      <c r="ENK2" s="284"/>
      <c r="ENL2" s="284"/>
      <c r="ENM2" s="284"/>
      <c r="ENN2" s="284"/>
      <c r="ENO2" s="284"/>
      <c r="ENP2" s="284"/>
      <c r="ENQ2" s="284"/>
      <c r="ENR2" s="284"/>
      <c r="ENS2" s="284"/>
      <c r="ENT2" s="284"/>
      <c r="ENU2" s="284"/>
      <c r="ENV2" s="284"/>
      <c r="ENW2" s="284"/>
      <c r="ENX2" s="284"/>
      <c r="ENY2" s="284"/>
      <c r="ENZ2" s="284"/>
      <c r="EOA2" s="284"/>
      <c r="EOB2" s="284"/>
      <c r="EOC2" s="284"/>
      <c r="EOD2" s="284"/>
      <c r="EOE2" s="284"/>
      <c r="EOF2" s="284"/>
      <c r="EOG2" s="284"/>
      <c r="EOH2" s="284"/>
      <c r="EOI2" s="284"/>
      <c r="EOJ2" s="284"/>
      <c r="EOK2" s="284"/>
      <c r="EOL2" s="284"/>
      <c r="EOM2" s="284"/>
      <c r="EON2" s="284"/>
      <c r="EOO2" s="284"/>
      <c r="EOP2" s="284"/>
      <c r="EOQ2" s="284"/>
      <c r="EOR2" s="284"/>
      <c r="EOS2" s="284"/>
      <c r="EOT2" s="284"/>
      <c r="EOU2" s="284"/>
      <c r="EOV2" s="284"/>
      <c r="EOW2" s="284"/>
      <c r="EOX2" s="284"/>
      <c r="EOY2" s="284"/>
      <c r="EOZ2" s="284"/>
      <c r="EPA2" s="284"/>
      <c r="EPB2" s="284"/>
      <c r="EPC2" s="284"/>
      <c r="EPD2" s="284"/>
      <c r="EPE2" s="284"/>
      <c r="EPF2" s="284"/>
      <c r="EPG2" s="284"/>
      <c r="EPH2" s="284"/>
      <c r="EPI2" s="284"/>
      <c r="EPJ2" s="284"/>
      <c r="EPK2" s="284"/>
      <c r="EPL2" s="284"/>
      <c r="EPM2" s="284"/>
      <c r="EPN2" s="284"/>
      <c r="EPO2" s="284"/>
      <c r="EPP2" s="284"/>
      <c r="EPQ2" s="284"/>
      <c r="EPR2" s="284"/>
      <c r="EPS2" s="284"/>
      <c r="EPT2" s="284"/>
      <c r="EPU2" s="284"/>
      <c r="EPV2" s="284"/>
      <c r="EPW2" s="284"/>
      <c r="EPX2" s="284"/>
      <c r="EPY2" s="284"/>
      <c r="EPZ2" s="284"/>
      <c r="EQA2" s="284"/>
      <c r="EQB2" s="284"/>
      <c r="EQC2" s="284"/>
      <c r="EQD2" s="284"/>
      <c r="EQE2" s="284"/>
      <c r="EQF2" s="284"/>
      <c r="EQG2" s="284"/>
      <c r="EQH2" s="284"/>
      <c r="EQI2" s="284"/>
      <c r="EQJ2" s="284"/>
      <c r="EQK2" s="284"/>
      <c r="EQL2" s="284"/>
      <c r="EQM2" s="284"/>
      <c r="EQN2" s="284"/>
      <c r="EQO2" s="284"/>
      <c r="EQP2" s="284"/>
      <c r="EQQ2" s="284"/>
      <c r="EQR2" s="284"/>
      <c r="EQS2" s="284"/>
      <c r="EQT2" s="284"/>
      <c r="EQU2" s="284"/>
      <c r="EQV2" s="284"/>
      <c r="EQW2" s="284"/>
      <c r="EQX2" s="284"/>
      <c r="EQY2" s="284"/>
      <c r="EQZ2" s="284"/>
      <c r="ERA2" s="284"/>
      <c r="ERB2" s="284"/>
      <c r="ERC2" s="284"/>
      <c r="ERD2" s="284"/>
      <c r="ERE2" s="284"/>
      <c r="ERF2" s="284"/>
      <c r="ERG2" s="284"/>
      <c r="ERH2" s="284"/>
      <c r="ERI2" s="284"/>
      <c r="ERJ2" s="284"/>
      <c r="ERK2" s="284"/>
      <c r="ERL2" s="284"/>
      <c r="ERM2" s="284"/>
      <c r="ERN2" s="284"/>
      <c r="ERO2" s="284"/>
      <c r="ERP2" s="284"/>
      <c r="ERQ2" s="284"/>
      <c r="ERR2" s="284"/>
      <c r="ERS2" s="284"/>
      <c r="ERT2" s="284"/>
      <c r="ERU2" s="284"/>
      <c r="ERV2" s="284"/>
      <c r="ERW2" s="284"/>
      <c r="ERX2" s="284"/>
      <c r="ERY2" s="284"/>
      <c r="ERZ2" s="284"/>
      <c r="ESA2" s="284"/>
      <c r="ESB2" s="284"/>
      <c r="ESC2" s="284"/>
      <c r="ESD2" s="284"/>
      <c r="ESE2" s="284"/>
      <c r="ESF2" s="284"/>
      <c r="ESG2" s="284"/>
      <c r="ESH2" s="284"/>
      <c r="ESI2" s="284"/>
      <c r="ESJ2" s="284"/>
      <c r="ESK2" s="284"/>
      <c r="ESL2" s="284"/>
      <c r="ESM2" s="284"/>
      <c r="ESN2" s="284"/>
      <c r="ESO2" s="284"/>
      <c r="ESP2" s="284"/>
      <c r="ESQ2" s="284"/>
      <c r="ESR2" s="284"/>
      <c r="ESS2" s="284"/>
      <c r="EST2" s="284"/>
      <c r="ESU2" s="284"/>
      <c r="ESV2" s="284"/>
      <c r="ESW2" s="284"/>
      <c r="ESX2" s="284"/>
      <c r="ESY2" s="284"/>
      <c r="ESZ2" s="284"/>
      <c r="ETA2" s="284"/>
      <c r="ETB2" s="284"/>
      <c r="ETC2" s="284"/>
      <c r="ETD2" s="284"/>
      <c r="ETE2" s="284"/>
      <c r="ETF2" s="284"/>
      <c r="ETG2" s="284"/>
      <c r="ETH2" s="284"/>
      <c r="ETI2" s="284"/>
      <c r="ETJ2" s="284"/>
      <c r="ETK2" s="284"/>
      <c r="ETL2" s="284"/>
      <c r="ETM2" s="284"/>
      <c r="ETN2" s="284"/>
      <c r="ETO2" s="284"/>
      <c r="ETP2" s="284"/>
      <c r="ETQ2" s="284"/>
      <c r="ETR2" s="284"/>
      <c r="ETS2" s="284"/>
      <c r="ETT2" s="284"/>
      <c r="ETU2" s="284"/>
      <c r="ETV2" s="284"/>
      <c r="ETW2" s="284"/>
      <c r="ETX2" s="284"/>
      <c r="ETY2" s="284"/>
      <c r="ETZ2" s="284"/>
      <c r="EUA2" s="284"/>
      <c r="EUB2" s="284"/>
      <c r="EUC2" s="284"/>
      <c r="EUD2" s="284"/>
      <c r="EUE2" s="284"/>
      <c r="EUF2" s="284"/>
      <c r="EUG2" s="284"/>
      <c r="EUH2" s="284"/>
      <c r="EUI2" s="284"/>
      <c r="EUJ2" s="284"/>
      <c r="EUK2" s="284"/>
      <c r="EUL2" s="284"/>
      <c r="EUM2" s="284"/>
      <c r="EUN2" s="284"/>
      <c r="EUO2" s="284"/>
      <c r="EUP2" s="284"/>
      <c r="EUQ2" s="284"/>
      <c r="EUR2" s="284"/>
      <c r="EUS2" s="284"/>
      <c r="EUT2" s="284"/>
      <c r="EUU2" s="284"/>
      <c r="EUV2" s="284"/>
      <c r="EUW2" s="284"/>
      <c r="EUX2" s="284"/>
      <c r="EUY2" s="284"/>
      <c r="EUZ2" s="284"/>
      <c r="EVA2" s="284"/>
      <c r="EVB2" s="284"/>
      <c r="EVC2" s="284"/>
      <c r="EVD2" s="284"/>
      <c r="EVE2" s="284"/>
      <c r="EVF2" s="284"/>
      <c r="EVG2" s="284"/>
      <c r="EVH2" s="284"/>
      <c r="EVI2" s="284"/>
      <c r="EVJ2" s="284"/>
      <c r="EVK2" s="284"/>
      <c r="EVL2" s="284"/>
      <c r="EVM2" s="284"/>
      <c r="EVN2" s="284"/>
      <c r="EVO2" s="284"/>
      <c r="EVP2" s="284"/>
      <c r="EVQ2" s="284"/>
      <c r="EVR2" s="284"/>
      <c r="EVS2" s="284"/>
      <c r="EVT2" s="284"/>
      <c r="EVU2" s="284"/>
      <c r="EVV2" s="284"/>
      <c r="EVW2" s="284"/>
      <c r="EVX2" s="284"/>
      <c r="EVY2" s="284"/>
      <c r="EVZ2" s="284"/>
      <c r="EWA2" s="284"/>
      <c r="EWB2" s="284"/>
      <c r="EWC2" s="284"/>
      <c r="EWD2" s="284"/>
      <c r="EWE2" s="284"/>
      <c r="EWF2" s="284"/>
      <c r="EWG2" s="284"/>
      <c r="EWH2" s="284"/>
      <c r="EWI2" s="284"/>
      <c r="EWJ2" s="284"/>
      <c r="EWK2" s="284"/>
      <c r="EWL2" s="284"/>
      <c r="EWM2" s="284"/>
      <c r="EWN2" s="284"/>
      <c r="EWO2" s="284"/>
      <c r="EWP2" s="284"/>
      <c r="EWQ2" s="284"/>
      <c r="EWR2" s="284"/>
      <c r="EWS2" s="284"/>
      <c r="EWT2" s="284"/>
      <c r="EWU2" s="284"/>
      <c r="EWV2" s="284"/>
      <c r="EWW2" s="284"/>
      <c r="EWX2" s="284"/>
      <c r="EWY2" s="284"/>
      <c r="EWZ2" s="284"/>
      <c r="EXA2" s="284"/>
      <c r="EXB2" s="284"/>
      <c r="EXC2" s="284"/>
      <c r="EXD2" s="284"/>
      <c r="EXE2" s="284"/>
      <c r="EXF2" s="284"/>
      <c r="EXG2" s="284"/>
      <c r="EXH2" s="284"/>
      <c r="EXI2" s="284"/>
      <c r="EXJ2" s="284"/>
      <c r="EXK2" s="284"/>
      <c r="EXL2" s="284"/>
      <c r="EXM2" s="284"/>
      <c r="EXN2" s="284"/>
      <c r="EXO2" s="284"/>
      <c r="EXP2" s="284"/>
      <c r="EXQ2" s="284"/>
      <c r="EXR2" s="284"/>
      <c r="EXS2" s="284"/>
      <c r="EXT2" s="284"/>
      <c r="EXU2" s="284"/>
      <c r="EXV2" s="284"/>
      <c r="EXW2" s="284"/>
      <c r="EXX2" s="284"/>
      <c r="EXY2" s="284"/>
      <c r="EXZ2" s="284"/>
      <c r="EYA2" s="284"/>
      <c r="EYB2" s="284"/>
      <c r="EYC2" s="284"/>
      <c r="EYD2" s="284"/>
      <c r="EYE2" s="284"/>
      <c r="EYF2" s="284"/>
      <c r="EYG2" s="284"/>
      <c r="EYH2" s="284"/>
      <c r="EYI2" s="284"/>
      <c r="EYJ2" s="284"/>
      <c r="EYK2" s="284"/>
      <c r="EYL2" s="284"/>
      <c r="EYM2" s="284"/>
      <c r="EYN2" s="284"/>
      <c r="EYO2" s="284"/>
      <c r="EYP2" s="284"/>
      <c r="EYQ2" s="284"/>
      <c r="EYR2" s="284"/>
      <c r="EYS2" s="284"/>
      <c r="EYT2" s="284"/>
      <c r="EYU2" s="284"/>
      <c r="EYV2" s="284"/>
      <c r="EYW2" s="284"/>
      <c r="EYX2" s="284"/>
      <c r="EYY2" s="284"/>
      <c r="EYZ2" s="284"/>
      <c r="EZA2" s="284"/>
      <c r="EZB2" s="284"/>
      <c r="EZC2" s="284"/>
      <c r="EZD2" s="284"/>
      <c r="EZE2" s="284"/>
      <c r="EZF2" s="284"/>
      <c r="EZG2" s="284"/>
      <c r="EZH2" s="284"/>
      <c r="EZI2" s="284"/>
      <c r="EZJ2" s="284"/>
      <c r="EZK2" s="284"/>
      <c r="EZL2" s="284"/>
      <c r="EZM2" s="284"/>
      <c r="EZN2" s="284"/>
      <c r="EZO2" s="284"/>
      <c r="EZP2" s="284"/>
      <c r="EZQ2" s="284"/>
      <c r="EZR2" s="284"/>
      <c r="EZS2" s="284"/>
      <c r="EZT2" s="284"/>
      <c r="EZU2" s="284"/>
      <c r="EZV2" s="284"/>
      <c r="EZW2" s="284"/>
      <c r="EZX2" s="284"/>
      <c r="EZY2" s="284"/>
      <c r="EZZ2" s="284"/>
      <c r="FAA2" s="284"/>
      <c r="FAB2" s="284"/>
      <c r="FAC2" s="284"/>
      <c r="FAD2" s="284"/>
      <c r="FAE2" s="284"/>
      <c r="FAF2" s="284"/>
      <c r="FAG2" s="284"/>
      <c r="FAH2" s="284"/>
      <c r="FAI2" s="284"/>
      <c r="FAJ2" s="284"/>
      <c r="FAK2" s="284"/>
      <c r="FAL2" s="284"/>
      <c r="FAM2" s="284"/>
      <c r="FAN2" s="284"/>
      <c r="FAO2" s="284"/>
      <c r="FAP2" s="284"/>
      <c r="FAQ2" s="284"/>
      <c r="FAR2" s="284"/>
      <c r="FAS2" s="284"/>
      <c r="FAT2" s="284"/>
      <c r="FAU2" s="284"/>
      <c r="FAV2" s="284"/>
      <c r="FAW2" s="284"/>
      <c r="FAX2" s="284"/>
      <c r="FAY2" s="284"/>
      <c r="FAZ2" s="284"/>
      <c r="FBA2" s="284"/>
      <c r="FBB2" s="284"/>
      <c r="FBC2" s="284"/>
      <c r="FBD2" s="284"/>
      <c r="FBE2" s="284"/>
      <c r="FBF2" s="284"/>
      <c r="FBG2" s="284"/>
      <c r="FBH2" s="284"/>
      <c r="FBI2" s="284"/>
      <c r="FBJ2" s="284"/>
      <c r="FBK2" s="284"/>
      <c r="FBL2" s="284"/>
      <c r="FBM2" s="284"/>
      <c r="FBN2" s="284"/>
      <c r="FBO2" s="284"/>
      <c r="FBP2" s="284"/>
      <c r="FBQ2" s="284"/>
      <c r="FBR2" s="284"/>
      <c r="FBS2" s="284"/>
      <c r="FBT2" s="284"/>
      <c r="FBU2" s="284"/>
      <c r="FBV2" s="284"/>
      <c r="FBW2" s="284"/>
      <c r="FBX2" s="284"/>
      <c r="FBY2" s="284"/>
      <c r="FBZ2" s="284"/>
      <c r="FCA2" s="284"/>
      <c r="FCB2" s="284"/>
      <c r="FCC2" s="284"/>
      <c r="FCD2" s="284"/>
      <c r="FCE2" s="284"/>
      <c r="FCF2" s="284"/>
      <c r="FCG2" s="284"/>
      <c r="FCH2" s="284"/>
      <c r="FCI2" s="284"/>
      <c r="FCJ2" s="284"/>
      <c r="FCK2" s="284"/>
      <c r="FCL2" s="284"/>
      <c r="FCM2" s="284"/>
      <c r="FCN2" s="284"/>
      <c r="FCO2" s="284"/>
      <c r="FCP2" s="284"/>
      <c r="FCQ2" s="284"/>
      <c r="FCR2" s="284"/>
      <c r="FCS2" s="284"/>
      <c r="FCT2" s="284"/>
      <c r="FCU2" s="284"/>
      <c r="FCV2" s="284"/>
      <c r="FCW2" s="284"/>
      <c r="FCX2" s="284"/>
      <c r="FCY2" s="284"/>
      <c r="FCZ2" s="284"/>
      <c r="FDA2" s="284"/>
      <c r="FDB2" s="284"/>
      <c r="FDC2" s="284"/>
      <c r="FDD2" s="284"/>
      <c r="FDE2" s="284"/>
      <c r="FDF2" s="284"/>
      <c r="FDG2" s="284"/>
      <c r="FDH2" s="284"/>
      <c r="FDI2" s="284"/>
      <c r="FDJ2" s="284"/>
      <c r="FDK2" s="284"/>
      <c r="FDL2" s="284"/>
      <c r="FDM2" s="284"/>
      <c r="FDN2" s="284"/>
      <c r="FDO2" s="284"/>
      <c r="FDP2" s="284"/>
      <c r="FDQ2" s="284"/>
      <c r="FDR2" s="284"/>
      <c r="FDS2" s="284"/>
      <c r="FDT2" s="284"/>
      <c r="FDU2" s="284"/>
      <c r="FDV2" s="284"/>
      <c r="FDW2" s="284"/>
      <c r="FDX2" s="284"/>
      <c r="FDY2" s="284"/>
      <c r="FDZ2" s="284"/>
      <c r="FEA2" s="284"/>
      <c r="FEB2" s="284"/>
      <c r="FEC2" s="284"/>
      <c r="FED2" s="284"/>
      <c r="FEE2" s="284"/>
      <c r="FEF2" s="284"/>
      <c r="FEG2" s="284"/>
      <c r="FEH2" s="284"/>
      <c r="FEI2" s="284"/>
      <c r="FEJ2" s="284"/>
      <c r="FEK2" s="284"/>
      <c r="FEL2" s="284"/>
      <c r="FEM2" s="284"/>
      <c r="FEN2" s="284"/>
      <c r="FEO2" s="284"/>
      <c r="FEP2" s="284"/>
      <c r="FEQ2" s="284"/>
      <c r="FER2" s="284"/>
      <c r="FES2" s="284"/>
      <c r="FET2" s="284"/>
      <c r="FEU2" s="284"/>
      <c r="FEV2" s="284"/>
      <c r="FEW2" s="284"/>
      <c r="FEX2" s="284"/>
      <c r="FEY2" s="284"/>
      <c r="FEZ2" s="284"/>
      <c r="FFA2" s="284"/>
      <c r="FFB2" s="284"/>
      <c r="FFC2" s="284"/>
      <c r="FFD2" s="284"/>
      <c r="FFE2" s="284"/>
      <c r="FFF2" s="284"/>
      <c r="FFG2" s="284"/>
      <c r="FFH2" s="284"/>
      <c r="FFI2" s="284"/>
      <c r="FFJ2" s="284"/>
      <c r="FFK2" s="284"/>
      <c r="FFL2" s="284"/>
      <c r="FFM2" s="284"/>
      <c r="FFN2" s="284"/>
      <c r="FFO2" s="284"/>
      <c r="FFP2" s="284"/>
      <c r="FFQ2" s="284"/>
      <c r="FFR2" s="284"/>
      <c r="FFS2" s="284"/>
      <c r="FFT2" s="284"/>
      <c r="FFU2" s="284"/>
      <c r="FFV2" s="284"/>
      <c r="FFW2" s="284"/>
      <c r="FFX2" s="284"/>
      <c r="FFY2" s="284"/>
      <c r="FFZ2" s="284"/>
      <c r="FGA2" s="284"/>
      <c r="FGB2" s="284"/>
      <c r="FGC2" s="284"/>
      <c r="FGD2" s="284"/>
      <c r="FGE2" s="284"/>
      <c r="FGF2" s="284"/>
      <c r="FGG2" s="284"/>
      <c r="FGH2" s="284"/>
      <c r="FGI2" s="284"/>
      <c r="FGJ2" s="284"/>
      <c r="FGK2" s="284"/>
      <c r="FGL2" s="284"/>
      <c r="FGM2" s="284"/>
      <c r="FGN2" s="284"/>
      <c r="FGO2" s="284"/>
      <c r="FGP2" s="284"/>
      <c r="FGQ2" s="284"/>
      <c r="FGR2" s="284"/>
      <c r="FGS2" s="284"/>
      <c r="FGT2" s="284"/>
      <c r="FGU2" s="284"/>
      <c r="FGV2" s="284"/>
      <c r="FGW2" s="284"/>
      <c r="FGX2" s="284"/>
      <c r="FGY2" s="284"/>
      <c r="FGZ2" s="284"/>
      <c r="FHA2" s="284"/>
      <c r="FHB2" s="284"/>
      <c r="FHC2" s="284"/>
      <c r="FHD2" s="284"/>
      <c r="FHE2" s="284"/>
      <c r="FHF2" s="284"/>
      <c r="FHG2" s="284"/>
      <c r="FHH2" s="284"/>
      <c r="FHI2" s="284"/>
      <c r="FHJ2" s="284"/>
      <c r="FHK2" s="284"/>
      <c r="FHL2" s="284"/>
      <c r="FHM2" s="284"/>
      <c r="FHN2" s="284"/>
      <c r="FHO2" s="284"/>
      <c r="FHP2" s="284"/>
      <c r="FHQ2" s="284"/>
      <c r="FHR2" s="284"/>
      <c r="FHS2" s="284"/>
      <c r="FHT2" s="284"/>
      <c r="FHU2" s="284"/>
      <c r="FHV2" s="284"/>
      <c r="FHW2" s="284"/>
      <c r="FHX2" s="284"/>
      <c r="FHY2" s="284"/>
      <c r="FHZ2" s="284"/>
      <c r="FIA2" s="284"/>
      <c r="FIB2" s="284"/>
      <c r="FIC2" s="284"/>
      <c r="FID2" s="284"/>
      <c r="FIE2" s="284"/>
      <c r="FIF2" s="284"/>
      <c r="FIG2" s="284"/>
      <c r="FIH2" s="284"/>
      <c r="FII2" s="284"/>
      <c r="FIJ2" s="284"/>
      <c r="FIK2" s="284"/>
      <c r="FIL2" s="284"/>
      <c r="FIM2" s="284"/>
      <c r="FIN2" s="284"/>
      <c r="FIO2" s="284"/>
      <c r="FIP2" s="284"/>
      <c r="FIQ2" s="284"/>
      <c r="FIR2" s="284"/>
      <c r="FIS2" s="284"/>
      <c r="FIT2" s="284"/>
      <c r="FIU2" s="284"/>
      <c r="FIV2" s="284"/>
      <c r="FIW2" s="284"/>
      <c r="FIX2" s="284"/>
      <c r="FIY2" s="284"/>
      <c r="FIZ2" s="284"/>
      <c r="FJA2" s="284"/>
      <c r="FJB2" s="284"/>
      <c r="FJC2" s="284"/>
      <c r="FJD2" s="284"/>
      <c r="FJE2" s="284"/>
      <c r="FJF2" s="284"/>
      <c r="FJG2" s="284"/>
      <c r="FJH2" s="284"/>
      <c r="FJI2" s="284"/>
      <c r="FJJ2" s="284"/>
      <c r="FJK2" s="284"/>
      <c r="FJL2" s="284"/>
      <c r="FJM2" s="284"/>
      <c r="FJN2" s="284"/>
      <c r="FJO2" s="284"/>
      <c r="FJP2" s="284"/>
      <c r="FJQ2" s="284"/>
      <c r="FJR2" s="284"/>
      <c r="FJS2" s="284"/>
      <c r="FJT2" s="284"/>
      <c r="FJU2" s="284"/>
      <c r="FJV2" s="284"/>
      <c r="FJW2" s="284"/>
      <c r="FJX2" s="284"/>
      <c r="FJY2" s="284"/>
      <c r="FJZ2" s="284"/>
      <c r="FKA2" s="284"/>
      <c r="FKB2" s="284"/>
      <c r="FKC2" s="284"/>
      <c r="FKD2" s="284"/>
      <c r="FKE2" s="284"/>
      <c r="FKF2" s="284"/>
      <c r="FKG2" s="284"/>
      <c r="FKH2" s="284"/>
      <c r="FKI2" s="284"/>
      <c r="FKJ2" s="284"/>
      <c r="FKK2" s="284"/>
      <c r="FKL2" s="284"/>
      <c r="FKM2" s="284"/>
      <c r="FKN2" s="284"/>
      <c r="FKO2" s="284"/>
      <c r="FKP2" s="284"/>
      <c r="FKQ2" s="284"/>
      <c r="FKR2" s="284"/>
      <c r="FKS2" s="284"/>
      <c r="FKT2" s="284"/>
      <c r="FKU2" s="284"/>
      <c r="FKV2" s="284"/>
      <c r="FKW2" s="284"/>
      <c r="FKX2" s="284"/>
      <c r="FKY2" s="284"/>
      <c r="FKZ2" s="284"/>
      <c r="FLA2" s="284"/>
      <c r="FLB2" s="284"/>
      <c r="FLC2" s="284"/>
      <c r="FLD2" s="284"/>
      <c r="FLE2" s="284"/>
      <c r="FLF2" s="284"/>
      <c r="FLG2" s="284"/>
      <c r="FLH2" s="284"/>
      <c r="FLI2" s="284"/>
      <c r="FLJ2" s="284"/>
      <c r="FLK2" s="284"/>
      <c r="FLL2" s="284"/>
      <c r="FLM2" s="284"/>
      <c r="FLN2" s="284"/>
      <c r="FLO2" s="284"/>
      <c r="FLP2" s="284"/>
      <c r="FLQ2" s="284"/>
      <c r="FLR2" s="284"/>
      <c r="FLS2" s="284"/>
      <c r="FLT2" s="284"/>
      <c r="FLU2" s="284"/>
      <c r="FLV2" s="284"/>
      <c r="FLW2" s="284"/>
      <c r="FLX2" s="284"/>
      <c r="FLY2" s="284"/>
      <c r="FLZ2" s="284"/>
      <c r="FMA2" s="284"/>
      <c r="FMB2" s="284"/>
      <c r="FMC2" s="284"/>
      <c r="FMD2" s="284"/>
      <c r="FME2" s="284"/>
      <c r="FMF2" s="284"/>
      <c r="FMG2" s="284"/>
      <c r="FMH2" s="284"/>
      <c r="FMI2" s="284"/>
      <c r="FMJ2" s="284"/>
      <c r="FMK2" s="284"/>
      <c r="FML2" s="284"/>
      <c r="FMM2" s="284"/>
      <c r="FMN2" s="284"/>
      <c r="FMO2" s="284"/>
      <c r="FMP2" s="284"/>
      <c r="FMQ2" s="284"/>
      <c r="FMR2" s="284"/>
      <c r="FMS2" s="284"/>
      <c r="FMT2" s="284"/>
      <c r="FMU2" s="284"/>
      <c r="FMV2" s="284"/>
      <c r="FMW2" s="284"/>
      <c r="FMX2" s="284"/>
      <c r="FMY2" s="284"/>
      <c r="FMZ2" s="284"/>
      <c r="FNA2" s="284"/>
      <c r="FNB2" s="284"/>
      <c r="FNC2" s="284"/>
      <c r="FND2" s="284"/>
      <c r="FNE2" s="284"/>
      <c r="FNF2" s="284"/>
      <c r="FNG2" s="284"/>
      <c r="FNH2" s="284"/>
      <c r="FNI2" s="284"/>
      <c r="FNJ2" s="284"/>
      <c r="FNK2" s="284"/>
      <c r="FNL2" s="284"/>
      <c r="FNM2" s="284"/>
      <c r="FNN2" s="284"/>
      <c r="FNO2" s="284"/>
      <c r="FNP2" s="284"/>
      <c r="FNQ2" s="284"/>
      <c r="FNR2" s="284"/>
      <c r="FNS2" s="284"/>
      <c r="FNT2" s="284"/>
      <c r="FNU2" s="284"/>
      <c r="FNV2" s="284"/>
      <c r="FNW2" s="284"/>
      <c r="FNX2" s="284"/>
      <c r="FNY2" s="284"/>
      <c r="FNZ2" s="284"/>
      <c r="FOA2" s="284"/>
      <c r="FOB2" s="284"/>
      <c r="FOC2" s="284"/>
      <c r="FOD2" s="284"/>
      <c r="FOE2" s="284"/>
      <c r="FOF2" s="284"/>
      <c r="FOG2" s="284"/>
      <c r="FOH2" s="284"/>
      <c r="FOI2" s="284"/>
      <c r="FOJ2" s="284"/>
      <c r="FOK2" s="284"/>
      <c r="FOL2" s="284"/>
      <c r="FOM2" s="284"/>
      <c r="FON2" s="284"/>
      <c r="FOO2" s="284"/>
      <c r="FOP2" s="284"/>
      <c r="FOQ2" s="284"/>
      <c r="FOR2" s="284"/>
      <c r="FOS2" s="284"/>
      <c r="FOT2" s="284"/>
      <c r="FOU2" s="284"/>
      <c r="FOV2" s="284"/>
      <c r="FOW2" s="284"/>
      <c r="FOX2" s="284"/>
      <c r="FOY2" s="284"/>
      <c r="FOZ2" s="284"/>
      <c r="FPA2" s="284"/>
      <c r="FPB2" s="284"/>
      <c r="FPC2" s="284"/>
      <c r="FPD2" s="284"/>
      <c r="FPE2" s="284"/>
      <c r="FPF2" s="284"/>
      <c r="FPG2" s="284"/>
      <c r="FPH2" s="284"/>
      <c r="FPI2" s="284"/>
      <c r="FPJ2" s="284"/>
      <c r="FPK2" s="284"/>
      <c r="FPL2" s="284"/>
      <c r="FPM2" s="284"/>
      <c r="FPN2" s="284"/>
      <c r="FPO2" s="284"/>
      <c r="FPP2" s="284"/>
      <c r="FPQ2" s="284"/>
      <c r="FPR2" s="284"/>
      <c r="FPS2" s="284"/>
      <c r="FPT2" s="284"/>
      <c r="FPU2" s="284"/>
      <c r="FPV2" s="284"/>
      <c r="FPW2" s="284"/>
      <c r="FPX2" s="284"/>
      <c r="FPY2" s="284"/>
      <c r="FPZ2" s="284"/>
      <c r="FQA2" s="284"/>
      <c r="FQB2" s="284"/>
      <c r="FQC2" s="284"/>
      <c r="FQD2" s="284"/>
      <c r="FQE2" s="284"/>
      <c r="FQF2" s="284"/>
      <c r="FQG2" s="284"/>
      <c r="FQH2" s="284"/>
      <c r="FQI2" s="284"/>
      <c r="FQJ2" s="284"/>
      <c r="FQK2" s="284"/>
      <c r="FQL2" s="284"/>
      <c r="FQM2" s="284"/>
      <c r="FQN2" s="284"/>
      <c r="FQO2" s="284"/>
      <c r="FQP2" s="284"/>
      <c r="FQQ2" s="284"/>
      <c r="FQR2" s="284"/>
      <c r="FQS2" s="284"/>
      <c r="FQT2" s="284"/>
      <c r="FQU2" s="284"/>
      <c r="FQV2" s="284"/>
      <c r="FQW2" s="284"/>
      <c r="FQX2" s="284"/>
      <c r="FQY2" s="284"/>
      <c r="FQZ2" s="284"/>
      <c r="FRA2" s="284"/>
      <c r="FRB2" s="284"/>
      <c r="FRC2" s="284"/>
      <c r="FRD2" s="284"/>
      <c r="FRE2" s="284"/>
      <c r="FRF2" s="284"/>
      <c r="FRG2" s="284"/>
      <c r="FRH2" s="284"/>
      <c r="FRI2" s="284"/>
      <c r="FRJ2" s="284"/>
      <c r="FRK2" s="284"/>
      <c r="FRL2" s="284"/>
      <c r="FRM2" s="284"/>
      <c r="FRN2" s="284"/>
      <c r="FRO2" s="284"/>
      <c r="FRP2" s="284"/>
      <c r="FRQ2" s="284"/>
      <c r="FRR2" s="284"/>
      <c r="FRS2" s="284"/>
      <c r="FRT2" s="284"/>
      <c r="FRU2" s="284"/>
      <c r="FRV2" s="284"/>
      <c r="FRW2" s="284"/>
      <c r="FRX2" s="284"/>
      <c r="FRY2" s="284"/>
      <c r="FRZ2" s="284"/>
      <c r="FSA2" s="284"/>
      <c r="FSB2" s="284"/>
      <c r="FSC2" s="284"/>
      <c r="FSD2" s="284"/>
      <c r="FSE2" s="284"/>
      <c r="FSF2" s="284"/>
      <c r="FSG2" s="284"/>
      <c r="FSH2" s="284"/>
      <c r="FSI2" s="284"/>
      <c r="FSJ2" s="284"/>
      <c r="FSK2" s="284"/>
      <c r="FSL2" s="284"/>
      <c r="FSM2" s="284"/>
      <c r="FSN2" s="284"/>
      <c r="FSO2" s="284"/>
      <c r="FSP2" s="284"/>
      <c r="FSQ2" s="284"/>
      <c r="FSR2" s="284"/>
      <c r="FSS2" s="284"/>
      <c r="FST2" s="284"/>
      <c r="FSU2" s="284"/>
      <c r="FSV2" s="284"/>
      <c r="FSW2" s="284"/>
      <c r="FSX2" s="284"/>
      <c r="FSY2" s="284"/>
      <c r="FSZ2" s="284"/>
      <c r="FTA2" s="284"/>
      <c r="FTB2" s="284"/>
      <c r="FTC2" s="284"/>
      <c r="FTD2" s="284"/>
      <c r="FTE2" s="284"/>
      <c r="FTF2" s="284"/>
      <c r="FTG2" s="284"/>
      <c r="FTH2" s="284"/>
      <c r="FTI2" s="284"/>
      <c r="FTJ2" s="284"/>
      <c r="FTK2" s="284"/>
      <c r="FTL2" s="284"/>
      <c r="FTM2" s="284"/>
      <c r="FTN2" s="284"/>
      <c r="FTO2" s="284"/>
      <c r="FTP2" s="284"/>
      <c r="FTQ2" s="284"/>
      <c r="FTR2" s="284"/>
      <c r="FTS2" s="284"/>
      <c r="FTT2" s="284"/>
      <c r="FTU2" s="284"/>
      <c r="FTV2" s="284"/>
      <c r="FTW2" s="284"/>
      <c r="FTX2" s="284"/>
      <c r="FTY2" s="284"/>
      <c r="FTZ2" s="284"/>
      <c r="FUA2" s="284"/>
      <c r="FUB2" s="284"/>
      <c r="FUC2" s="284"/>
      <c r="FUD2" s="284"/>
      <c r="FUE2" s="284"/>
      <c r="FUF2" s="284"/>
      <c r="FUG2" s="284"/>
      <c r="FUH2" s="284"/>
      <c r="FUI2" s="284"/>
      <c r="FUJ2" s="284"/>
      <c r="FUK2" s="284"/>
      <c r="FUL2" s="284"/>
      <c r="FUM2" s="284"/>
      <c r="FUN2" s="284"/>
      <c r="FUO2" s="284"/>
      <c r="FUP2" s="284"/>
      <c r="FUQ2" s="284"/>
      <c r="FUR2" s="284"/>
      <c r="FUS2" s="284"/>
      <c r="FUT2" s="284"/>
      <c r="FUU2" s="284"/>
      <c r="FUV2" s="284"/>
      <c r="FUW2" s="284"/>
      <c r="FUX2" s="284"/>
      <c r="FUY2" s="284"/>
      <c r="FUZ2" s="284"/>
      <c r="FVA2" s="284"/>
      <c r="FVB2" s="284"/>
      <c r="FVC2" s="284"/>
      <c r="FVD2" s="284"/>
      <c r="FVE2" s="284"/>
      <c r="FVF2" s="284"/>
      <c r="FVG2" s="284"/>
      <c r="FVH2" s="284"/>
      <c r="FVI2" s="284"/>
      <c r="FVJ2" s="284"/>
      <c r="FVK2" s="284"/>
      <c r="FVL2" s="284"/>
      <c r="FVM2" s="284"/>
      <c r="FVN2" s="284"/>
      <c r="FVO2" s="284"/>
      <c r="FVP2" s="284"/>
      <c r="FVQ2" s="284"/>
      <c r="FVR2" s="284"/>
      <c r="FVS2" s="284"/>
      <c r="FVT2" s="284"/>
      <c r="FVU2" s="284"/>
      <c r="FVV2" s="284"/>
      <c r="FVW2" s="284"/>
      <c r="FVX2" s="284"/>
      <c r="FVY2" s="284"/>
      <c r="FVZ2" s="284"/>
      <c r="FWA2" s="284"/>
      <c r="FWB2" s="284"/>
      <c r="FWC2" s="284"/>
      <c r="FWD2" s="284"/>
      <c r="FWE2" s="284"/>
      <c r="FWF2" s="284"/>
      <c r="FWG2" s="284"/>
      <c r="FWH2" s="284"/>
      <c r="FWI2" s="284"/>
      <c r="FWJ2" s="284"/>
      <c r="FWK2" s="284"/>
      <c r="FWL2" s="284"/>
      <c r="FWM2" s="284"/>
      <c r="FWN2" s="284"/>
      <c r="FWO2" s="284"/>
      <c r="FWP2" s="284"/>
      <c r="FWQ2" s="284"/>
      <c r="FWR2" s="284"/>
      <c r="FWS2" s="284"/>
      <c r="FWT2" s="284"/>
      <c r="FWU2" s="284"/>
      <c r="FWV2" s="284"/>
      <c r="FWW2" s="284"/>
      <c r="FWX2" s="284"/>
      <c r="FWY2" s="284"/>
      <c r="FWZ2" s="284"/>
      <c r="FXA2" s="284"/>
      <c r="FXB2" s="284"/>
      <c r="FXC2" s="284"/>
      <c r="FXD2" s="284"/>
      <c r="FXE2" s="284"/>
      <c r="FXF2" s="284"/>
      <c r="FXG2" s="284"/>
      <c r="FXH2" s="284"/>
      <c r="FXI2" s="284"/>
      <c r="FXJ2" s="284"/>
      <c r="FXK2" s="284"/>
      <c r="FXL2" s="284"/>
      <c r="FXM2" s="284"/>
      <c r="FXN2" s="284"/>
      <c r="FXO2" s="284"/>
      <c r="FXP2" s="284"/>
      <c r="FXQ2" s="284"/>
      <c r="FXR2" s="284"/>
      <c r="FXS2" s="284"/>
      <c r="FXT2" s="284"/>
      <c r="FXU2" s="284"/>
      <c r="FXV2" s="284"/>
      <c r="FXW2" s="284"/>
      <c r="FXX2" s="284"/>
      <c r="FXY2" s="284"/>
      <c r="FXZ2" s="284"/>
      <c r="FYA2" s="284"/>
      <c r="FYB2" s="284"/>
      <c r="FYC2" s="284"/>
      <c r="FYD2" s="284"/>
      <c r="FYE2" s="284"/>
      <c r="FYF2" s="284"/>
      <c r="FYG2" s="284"/>
      <c r="FYH2" s="284"/>
      <c r="FYI2" s="284"/>
      <c r="FYJ2" s="284"/>
      <c r="FYK2" s="284"/>
      <c r="FYL2" s="284"/>
      <c r="FYM2" s="284"/>
      <c r="FYN2" s="284"/>
      <c r="FYO2" s="284"/>
      <c r="FYP2" s="284"/>
      <c r="FYQ2" s="284"/>
      <c r="FYR2" s="284"/>
      <c r="FYS2" s="284"/>
      <c r="FYT2" s="284"/>
      <c r="FYU2" s="284"/>
      <c r="FYV2" s="284"/>
      <c r="FYW2" s="284"/>
      <c r="FYX2" s="284"/>
      <c r="FYY2" s="284"/>
      <c r="FYZ2" s="284"/>
      <c r="FZA2" s="284"/>
      <c r="FZB2" s="284"/>
      <c r="FZC2" s="284"/>
      <c r="FZD2" s="284"/>
      <c r="FZE2" s="284"/>
      <c r="FZF2" s="284"/>
      <c r="FZG2" s="284"/>
      <c r="FZH2" s="284"/>
      <c r="FZI2" s="284"/>
      <c r="FZJ2" s="284"/>
      <c r="FZK2" s="284"/>
      <c r="FZL2" s="284"/>
      <c r="FZM2" s="284"/>
      <c r="FZN2" s="284"/>
      <c r="FZO2" s="284"/>
      <c r="FZP2" s="284"/>
      <c r="FZQ2" s="284"/>
      <c r="FZR2" s="284"/>
      <c r="FZS2" s="284"/>
      <c r="FZT2" s="284"/>
      <c r="FZU2" s="284"/>
      <c r="FZV2" s="284"/>
      <c r="FZW2" s="284"/>
      <c r="FZX2" s="284"/>
      <c r="FZY2" s="284"/>
      <c r="FZZ2" s="284"/>
      <c r="GAA2" s="284"/>
      <c r="GAB2" s="284"/>
      <c r="GAC2" s="284"/>
      <c r="GAD2" s="284"/>
      <c r="GAE2" s="284"/>
      <c r="GAF2" s="284"/>
      <c r="GAG2" s="284"/>
      <c r="GAH2" s="284"/>
      <c r="GAI2" s="284"/>
      <c r="GAJ2" s="284"/>
      <c r="GAK2" s="284"/>
      <c r="GAL2" s="284"/>
      <c r="GAM2" s="284"/>
      <c r="GAN2" s="284"/>
      <c r="GAO2" s="284"/>
      <c r="GAP2" s="284"/>
      <c r="GAQ2" s="284"/>
      <c r="GAR2" s="284"/>
      <c r="GAS2" s="284"/>
      <c r="GAT2" s="284"/>
      <c r="GAU2" s="284"/>
      <c r="GAV2" s="284"/>
      <c r="GAW2" s="284"/>
      <c r="GAX2" s="284"/>
      <c r="GAY2" s="284"/>
      <c r="GAZ2" s="284"/>
      <c r="GBA2" s="284"/>
      <c r="GBB2" s="284"/>
      <c r="GBC2" s="284"/>
      <c r="GBD2" s="284"/>
      <c r="GBE2" s="284"/>
      <c r="GBF2" s="284"/>
      <c r="GBG2" s="284"/>
      <c r="GBH2" s="284"/>
      <c r="GBI2" s="284"/>
      <c r="GBJ2" s="284"/>
      <c r="GBK2" s="284"/>
      <c r="GBL2" s="284"/>
      <c r="GBM2" s="284"/>
      <c r="GBN2" s="284"/>
      <c r="GBO2" s="284"/>
      <c r="GBP2" s="284"/>
      <c r="GBQ2" s="284"/>
      <c r="GBR2" s="284"/>
      <c r="GBS2" s="284"/>
      <c r="GBT2" s="284"/>
      <c r="GBU2" s="284"/>
      <c r="GBV2" s="284"/>
      <c r="GBW2" s="284"/>
      <c r="GBX2" s="284"/>
      <c r="GBY2" s="284"/>
      <c r="GBZ2" s="284"/>
      <c r="GCA2" s="284"/>
      <c r="GCB2" s="284"/>
      <c r="GCC2" s="284"/>
      <c r="GCD2" s="284"/>
      <c r="GCE2" s="284"/>
      <c r="GCF2" s="284"/>
      <c r="GCG2" s="284"/>
      <c r="GCH2" s="284"/>
      <c r="GCI2" s="284"/>
      <c r="GCJ2" s="284"/>
      <c r="GCK2" s="284"/>
      <c r="GCL2" s="284"/>
      <c r="GCM2" s="284"/>
      <c r="GCN2" s="284"/>
      <c r="GCO2" s="284"/>
      <c r="GCP2" s="284"/>
      <c r="GCQ2" s="284"/>
      <c r="GCR2" s="284"/>
      <c r="GCS2" s="284"/>
      <c r="GCT2" s="284"/>
      <c r="GCU2" s="284"/>
      <c r="GCV2" s="284"/>
      <c r="GCW2" s="284"/>
      <c r="GCX2" s="284"/>
      <c r="GCY2" s="284"/>
      <c r="GCZ2" s="284"/>
      <c r="GDA2" s="284"/>
      <c r="GDB2" s="284"/>
      <c r="GDC2" s="284"/>
      <c r="GDD2" s="284"/>
      <c r="GDE2" s="284"/>
      <c r="GDF2" s="284"/>
      <c r="GDG2" s="284"/>
      <c r="GDH2" s="284"/>
      <c r="GDI2" s="284"/>
      <c r="GDJ2" s="284"/>
      <c r="GDK2" s="284"/>
      <c r="GDL2" s="284"/>
      <c r="GDM2" s="284"/>
      <c r="GDN2" s="284"/>
      <c r="GDO2" s="284"/>
      <c r="GDP2" s="284"/>
      <c r="GDQ2" s="284"/>
      <c r="GDR2" s="284"/>
      <c r="GDS2" s="284"/>
      <c r="GDT2" s="284"/>
      <c r="GDU2" s="284"/>
      <c r="GDV2" s="284"/>
      <c r="GDW2" s="284"/>
      <c r="GDX2" s="284"/>
      <c r="GDY2" s="284"/>
      <c r="GDZ2" s="284"/>
      <c r="GEA2" s="284"/>
      <c r="GEB2" s="284"/>
      <c r="GEC2" s="284"/>
      <c r="GED2" s="284"/>
      <c r="GEE2" s="284"/>
      <c r="GEF2" s="284"/>
      <c r="GEG2" s="284"/>
      <c r="GEH2" s="284"/>
      <c r="GEI2" s="284"/>
      <c r="GEJ2" s="284"/>
      <c r="GEK2" s="284"/>
      <c r="GEL2" s="284"/>
      <c r="GEM2" s="284"/>
      <c r="GEN2" s="284"/>
      <c r="GEO2" s="284"/>
      <c r="GEP2" s="284"/>
      <c r="GEQ2" s="284"/>
      <c r="GER2" s="284"/>
      <c r="GES2" s="284"/>
      <c r="GET2" s="284"/>
      <c r="GEU2" s="284"/>
      <c r="GEV2" s="284"/>
      <c r="GEW2" s="284"/>
      <c r="GEX2" s="284"/>
      <c r="GEY2" s="284"/>
      <c r="GEZ2" s="284"/>
      <c r="GFA2" s="284"/>
      <c r="GFB2" s="284"/>
      <c r="GFC2" s="284"/>
      <c r="GFD2" s="284"/>
      <c r="GFE2" s="284"/>
      <c r="GFF2" s="284"/>
      <c r="GFG2" s="284"/>
      <c r="GFH2" s="284"/>
      <c r="GFI2" s="284"/>
      <c r="GFJ2" s="284"/>
      <c r="GFK2" s="284"/>
      <c r="GFL2" s="284"/>
      <c r="GFM2" s="284"/>
      <c r="GFN2" s="284"/>
      <c r="GFO2" s="284"/>
      <c r="GFP2" s="284"/>
      <c r="GFQ2" s="284"/>
      <c r="GFR2" s="284"/>
      <c r="GFS2" s="284"/>
      <c r="GFT2" s="284"/>
      <c r="GFU2" s="284"/>
      <c r="GFV2" s="284"/>
      <c r="GFW2" s="284"/>
      <c r="GFX2" s="284"/>
      <c r="GFY2" s="284"/>
      <c r="GFZ2" s="284"/>
      <c r="GGA2" s="284"/>
      <c r="GGB2" s="284"/>
      <c r="GGC2" s="284"/>
      <c r="GGD2" s="284"/>
      <c r="GGE2" s="284"/>
      <c r="GGF2" s="284"/>
      <c r="GGG2" s="284"/>
      <c r="GGH2" s="284"/>
      <c r="GGI2" s="284"/>
      <c r="GGJ2" s="284"/>
      <c r="GGK2" s="284"/>
      <c r="GGL2" s="284"/>
      <c r="GGM2" s="284"/>
      <c r="GGN2" s="284"/>
      <c r="GGO2" s="284"/>
      <c r="GGP2" s="284"/>
      <c r="GGQ2" s="284"/>
      <c r="GGR2" s="284"/>
      <c r="GGS2" s="284"/>
      <c r="GGT2" s="284"/>
      <c r="GGU2" s="284"/>
      <c r="GGV2" s="284"/>
      <c r="GGW2" s="284"/>
      <c r="GGX2" s="284"/>
      <c r="GGY2" s="284"/>
      <c r="GGZ2" s="284"/>
      <c r="GHA2" s="284"/>
      <c r="GHB2" s="284"/>
      <c r="GHC2" s="284"/>
      <c r="GHD2" s="284"/>
      <c r="GHE2" s="284"/>
      <c r="GHF2" s="284"/>
      <c r="GHG2" s="284"/>
      <c r="GHH2" s="284"/>
      <c r="GHI2" s="284"/>
      <c r="GHJ2" s="284"/>
      <c r="GHK2" s="284"/>
      <c r="GHL2" s="284"/>
      <c r="GHM2" s="284"/>
      <c r="GHN2" s="284"/>
      <c r="GHO2" s="284"/>
      <c r="GHP2" s="284"/>
      <c r="GHQ2" s="284"/>
      <c r="GHR2" s="284"/>
      <c r="GHS2" s="284"/>
      <c r="GHT2" s="284"/>
      <c r="GHU2" s="284"/>
      <c r="GHV2" s="284"/>
      <c r="GHW2" s="284"/>
      <c r="GHX2" s="284"/>
      <c r="GHY2" s="284"/>
      <c r="GHZ2" s="284"/>
      <c r="GIA2" s="284"/>
      <c r="GIB2" s="284"/>
      <c r="GIC2" s="284"/>
      <c r="GID2" s="284"/>
      <c r="GIE2" s="284"/>
      <c r="GIF2" s="284"/>
      <c r="GIG2" s="284"/>
      <c r="GIH2" s="284"/>
      <c r="GII2" s="284"/>
      <c r="GIJ2" s="284"/>
      <c r="GIK2" s="284"/>
      <c r="GIL2" s="284"/>
      <c r="GIM2" s="284"/>
      <c r="GIN2" s="284"/>
      <c r="GIO2" s="284"/>
      <c r="GIP2" s="284"/>
      <c r="GIQ2" s="284"/>
      <c r="GIR2" s="284"/>
      <c r="GIS2" s="284"/>
      <c r="GIT2" s="284"/>
      <c r="GIU2" s="284"/>
      <c r="GIV2" s="284"/>
      <c r="GIW2" s="284"/>
      <c r="GIX2" s="284"/>
      <c r="GIY2" s="284"/>
      <c r="GIZ2" s="284"/>
      <c r="GJA2" s="284"/>
      <c r="GJB2" s="284"/>
      <c r="GJC2" s="284"/>
      <c r="GJD2" s="284"/>
      <c r="GJE2" s="284"/>
      <c r="GJF2" s="284"/>
      <c r="GJG2" s="284"/>
      <c r="GJH2" s="284"/>
      <c r="GJI2" s="284"/>
      <c r="GJJ2" s="284"/>
      <c r="GJK2" s="284"/>
      <c r="GJL2" s="284"/>
      <c r="GJM2" s="284"/>
      <c r="GJN2" s="284"/>
      <c r="GJO2" s="284"/>
      <c r="GJP2" s="284"/>
      <c r="GJQ2" s="284"/>
      <c r="GJR2" s="284"/>
      <c r="GJS2" s="284"/>
      <c r="GJT2" s="284"/>
      <c r="GJU2" s="284"/>
      <c r="GJV2" s="284"/>
      <c r="GJW2" s="284"/>
      <c r="GJX2" s="284"/>
      <c r="GJY2" s="284"/>
      <c r="GJZ2" s="284"/>
      <c r="GKA2" s="284"/>
      <c r="GKB2" s="284"/>
      <c r="GKC2" s="284"/>
      <c r="GKD2" s="284"/>
      <c r="GKE2" s="284"/>
      <c r="GKF2" s="284"/>
      <c r="GKG2" s="284"/>
      <c r="GKH2" s="284"/>
      <c r="GKI2" s="284"/>
      <c r="GKJ2" s="284"/>
      <c r="GKK2" s="284"/>
      <c r="GKL2" s="284"/>
      <c r="GKM2" s="284"/>
      <c r="GKN2" s="284"/>
      <c r="GKO2" s="284"/>
      <c r="GKP2" s="284"/>
      <c r="GKQ2" s="284"/>
      <c r="GKR2" s="284"/>
      <c r="GKS2" s="284"/>
      <c r="GKT2" s="284"/>
      <c r="GKU2" s="284"/>
      <c r="GKV2" s="284"/>
      <c r="GKW2" s="284"/>
      <c r="GKX2" s="284"/>
      <c r="GKY2" s="284"/>
      <c r="GKZ2" s="284"/>
      <c r="GLA2" s="284"/>
      <c r="GLB2" s="284"/>
      <c r="GLC2" s="284"/>
      <c r="GLD2" s="284"/>
      <c r="GLE2" s="284"/>
      <c r="GLF2" s="284"/>
      <c r="GLG2" s="284"/>
      <c r="GLH2" s="284"/>
      <c r="GLI2" s="284"/>
      <c r="GLJ2" s="284"/>
      <c r="GLK2" s="284"/>
      <c r="GLL2" s="284"/>
      <c r="GLM2" s="284"/>
      <c r="GLN2" s="284"/>
      <c r="GLO2" s="284"/>
      <c r="GLP2" s="284"/>
      <c r="GLQ2" s="284"/>
      <c r="GLR2" s="284"/>
      <c r="GLS2" s="284"/>
      <c r="GLT2" s="284"/>
      <c r="GLU2" s="284"/>
      <c r="GLV2" s="284"/>
      <c r="GLW2" s="284"/>
      <c r="GLX2" s="284"/>
      <c r="GLY2" s="284"/>
      <c r="GLZ2" s="284"/>
      <c r="GMA2" s="284"/>
      <c r="GMB2" s="284"/>
      <c r="GMC2" s="284"/>
      <c r="GMD2" s="284"/>
      <c r="GME2" s="284"/>
      <c r="GMF2" s="284"/>
      <c r="GMG2" s="284"/>
      <c r="GMH2" s="284"/>
      <c r="GMI2" s="284"/>
      <c r="GMJ2" s="284"/>
      <c r="GMK2" s="284"/>
      <c r="GML2" s="284"/>
      <c r="GMM2" s="284"/>
      <c r="GMN2" s="284"/>
      <c r="GMO2" s="284"/>
      <c r="GMP2" s="284"/>
      <c r="GMQ2" s="284"/>
      <c r="GMR2" s="284"/>
      <c r="GMS2" s="284"/>
      <c r="GMT2" s="284"/>
      <c r="GMU2" s="284"/>
      <c r="GMV2" s="284"/>
      <c r="GMW2" s="284"/>
      <c r="GMX2" s="284"/>
      <c r="GMY2" s="284"/>
      <c r="GMZ2" s="284"/>
      <c r="GNA2" s="284"/>
      <c r="GNB2" s="284"/>
      <c r="GNC2" s="284"/>
      <c r="GND2" s="284"/>
      <c r="GNE2" s="284"/>
      <c r="GNF2" s="284"/>
      <c r="GNG2" s="284"/>
      <c r="GNH2" s="284"/>
      <c r="GNI2" s="284"/>
      <c r="GNJ2" s="284"/>
      <c r="GNK2" s="284"/>
      <c r="GNL2" s="284"/>
      <c r="GNM2" s="284"/>
      <c r="GNN2" s="284"/>
      <c r="GNO2" s="284"/>
      <c r="GNP2" s="284"/>
      <c r="GNQ2" s="284"/>
      <c r="GNR2" s="284"/>
      <c r="GNS2" s="284"/>
      <c r="GNT2" s="284"/>
      <c r="GNU2" s="284"/>
      <c r="GNV2" s="284"/>
      <c r="GNW2" s="284"/>
      <c r="GNX2" s="284"/>
      <c r="GNY2" s="284"/>
      <c r="GNZ2" s="284"/>
      <c r="GOA2" s="284"/>
      <c r="GOB2" s="284"/>
      <c r="GOC2" s="284"/>
      <c r="GOD2" s="284"/>
      <c r="GOE2" s="284"/>
      <c r="GOF2" s="284"/>
      <c r="GOG2" s="284"/>
      <c r="GOH2" s="284"/>
      <c r="GOI2" s="284"/>
      <c r="GOJ2" s="284"/>
      <c r="GOK2" s="284"/>
      <c r="GOL2" s="284"/>
      <c r="GOM2" s="284"/>
      <c r="GON2" s="284"/>
      <c r="GOO2" s="284"/>
      <c r="GOP2" s="284"/>
      <c r="GOQ2" s="284"/>
      <c r="GOR2" s="284"/>
      <c r="GOS2" s="284"/>
      <c r="GOT2" s="284"/>
      <c r="GOU2" s="284"/>
      <c r="GOV2" s="284"/>
      <c r="GOW2" s="284"/>
      <c r="GOX2" s="284"/>
      <c r="GOY2" s="284"/>
      <c r="GOZ2" s="284"/>
      <c r="GPA2" s="284"/>
      <c r="GPB2" s="284"/>
      <c r="GPC2" s="284"/>
      <c r="GPD2" s="284"/>
      <c r="GPE2" s="284"/>
      <c r="GPF2" s="284"/>
      <c r="GPG2" s="284"/>
      <c r="GPH2" s="284"/>
      <c r="GPI2" s="284"/>
      <c r="GPJ2" s="284"/>
      <c r="GPK2" s="284"/>
      <c r="GPL2" s="284"/>
      <c r="GPM2" s="284"/>
      <c r="GPN2" s="284"/>
      <c r="GPO2" s="284"/>
      <c r="GPP2" s="284"/>
      <c r="GPQ2" s="284"/>
      <c r="GPR2" s="284"/>
      <c r="GPS2" s="284"/>
      <c r="GPT2" s="284"/>
      <c r="GPU2" s="284"/>
      <c r="GPV2" s="284"/>
      <c r="GPW2" s="284"/>
      <c r="GPX2" s="284"/>
      <c r="GPY2" s="284"/>
      <c r="GPZ2" s="284"/>
      <c r="GQA2" s="284"/>
      <c r="GQB2" s="284"/>
      <c r="GQC2" s="284"/>
      <c r="GQD2" s="284"/>
      <c r="GQE2" s="284"/>
      <c r="GQF2" s="284"/>
      <c r="GQG2" s="284"/>
      <c r="GQH2" s="284"/>
      <c r="GQI2" s="284"/>
      <c r="GQJ2" s="284"/>
      <c r="GQK2" s="284"/>
      <c r="GQL2" s="284"/>
      <c r="GQM2" s="284"/>
      <c r="GQN2" s="284"/>
      <c r="GQO2" s="284"/>
      <c r="GQP2" s="284"/>
      <c r="GQQ2" s="284"/>
      <c r="GQR2" s="284"/>
      <c r="GQS2" s="284"/>
      <c r="GQT2" s="284"/>
      <c r="GQU2" s="284"/>
      <c r="GQV2" s="284"/>
      <c r="GQW2" s="284"/>
      <c r="GQX2" s="284"/>
      <c r="GQY2" s="284"/>
      <c r="GQZ2" s="284"/>
      <c r="GRA2" s="284"/>
      <c r="GRB2" s="284"/>
      <c r="GRC2" s="284"/>
      <c r="GRD2" s="284"/>
      <c r="GRE2" s="284"/>
      <c r="GRF2" s="284"/>
      <c r="GRG2" s="284"/>
      <c r="GRH2" s="284"/>
      <c r="GRI2" s="284"/>
      <c r="GRJ2" s="284"/>
      <c r="GRK2" s="284"/>
      <c r="GRL2" s="284"/>
      <c r="GRM2" s="284"/>
      <c r="GRN2" s="284"/>
      <c r="GRO2" s="284"/>
      <c r="GRP2" s="284"/>
      <c r="GRQ2" s="284"/>
      <c r="GRR2" s="284"/>
      <c r="GRS2" s="284"/>
      <c r="GRT2" s="284"/>
      <c r="GRU2" s="284"/>
      <c r="GRV2" s="284"/>
      <c r="GRW2" s="284"/>
      <c r="GRX2" s="284"/>
      <c r="GRY2" s="284"/>
      <c r="GRZ2" s="284"/>
      <c r="GSA2" s="284"/>
      <c r="GSB2" s="284"/>
      <c r="GSC2" s="284"/>
      <c r="GSD2" s="284"/>
      <c r="GSE2" s="284"/>
      <c r="GSF2" s="284"/>
      <c r="GSG2" s="284"/>
      <c r="GSH2" s="284"/>
      <c r="GSI2" s="284"/>
      <c r="GSJ2" s="284"/>
      <c r="GSK2" s="284"/>
      <c r="GSL2" s="284"/>
      <c r="GSM2" s="284"/>
      <c r="GSN2" s="284"/>
      <c r="GSO2" s="284"/>
      <c r="GSP2" s="284"/>
      <c r="GSQ2" s="284"/>
      <c r="GSR2" s="284"/>
      <c r="GSS2" s="284"/>
      <c r="GST2" s="284"/>
      <c r="GSU2" s="284"/>
      <c r="GSV2" s="284"/>
      <c r="GSW2" s="284"/>
      <c r="GSX2" s="284"/>
      <c r="GSY2" s="284"/>
      <c r="GSZ2" s="284"/>
      <c r="GTA2" s="284"/>
      <c r="GTB2" s="284"/>
      <c r="GTC2" s="284"/>
      <c r="GTD2" s="284"/>
      <c r="GTE2" s="284"/>
      <c r="GTF2" s="284"/>
      <c r="GTG2" s="284"/>
      <c r="GTH2" s="284"/>
      <c r="GTI2" s="284"/>
      <c r="GTJ2" s="284"/>
      <c r="GTK2" s="284"/>
      <c r="GTL2" s="284"/>
      <c r="GTM2" s="284"/>
      <c r="GTN2" s="284"/>
      <c r="GTO2" s="284"/>
      <c r="GTP2" s="284"/>
      <c r="GTQ2" s="284"/>
      <c r="GTR2" s="284"/>
      <c r="GTS2" s="284"/>
      <c r="GTT2" s="284"/>
      <c r="GTU2" s="284"/>
      <c r="GTV2" s="284"/>
      <c r="GTW2" s="284"/>
      <c r="GTX2" s="284"/>
      <c r="GTY2" s="284"/>
      <c r="GTZ2" s="284"/>
      <c r="GUA2" s="284"/>
      <c r="GUB2" s="284"/>
      <c r="GUC2" s="284"/>
      <c r="GUD2" s="284"/>
      <c r="GUE2" s="284"/>
      <c r="GUF2" s="284"/>
      <c r="GUG2" s="284"/>
      <c r="GUH2" s="284"/>
      <c r="GUI2" s="284"/>
      <c r="GUJ2" s="284"/>
      <c r="GUK2" s="284"/>
      <c r="GUL2" s="284"/>
      <c r="GUM2" s="284"/>
      <c r="GUN2" s="284"/>
      <c r="GUO2" s="284"/>
      <c r="GUP2" s="284"/>
      <c r="GUQ2" s="284"/>
      <c r="GUR2" s="284"/>
      <c r="GUS2" s="284"/>
      <c r="GUT2" s="284"/>
      <c r="GUU2" s="284"/>
      <c r="GUV2" s="284"/>
      <c r="GUW2" s="284"/>
      <c r="GUX2" s="284"/>
      <c r="GUY2" s="284"/>
      <c r="GUZ2" s="284"/>
      <c r="GVA2" s="284"/>
      <c r="GVB2" s="284"/>
      <c r="GVC2" s="284"/>
      <c r="GVD2" s="284"/>
      <c r="GVE2" s="284"/>
      <c r="GVF2" s="284"/>
      <c r="GVG2" s="284"/>
      <c r="GVH2" s="284"/>
      <c r="GVI2" s="284"/>
      <c r="GVJ2" s="284"/>
      <c r="GVK2" s="284"/>
      <c r="GVL2" s="284"/>
      <c r="GVM2" s="284"/>
      <c r="GVN2" s="284"/>
      <c r="GVO2" s="284"/>
      <c r="GVP2" s="284"/>
      <c r="GVQ2" s="284"/>
      <c r="GVR2" s="284"/>
      <c r="GVS2" s="284"/>
      <c r="GVT2" s="284"/>
      <c r="GVU2" s="284"/>
      <c r="GVV2" s="284"/>
      <c r="GVW2" s="284"/>
      <c r="GVX2" s="284"/>
      <c r="GVY2" s="284"/>
      <c r="GVZ2" s="284"/>
      <c r="GWA2" s="284"/>
      <c r="GWB2" s="284"/>
      <c r="GWC2" s="284"/>
      <c r="GWD2" s="284"/>
      <c r="GWE2" s="284"/>
      <c r="GWF2" s="284"/>
      <c r="GWG2" s="284"/>
      <c r="GWH2" s="284"/>
      <c r="GWI2" s="284"/>
      <c r="GWJ2" s="284"/>
      <c r="GWK2" s="284"/>
      <c r="GWL2" s="284"/>
      <c r="GWM2" s="284"/>
      <c r="GWN2" s="284"/>
      <c r="GWO2" s="284"/>
      <c r="GWP2" s="284"/>
      <c r="GWQ2" s="284"/>
      <c r="GWR2" s="284"/>
      <c r="GWS2" s="284"/>
      <c r="GWT2" s="284"/>
      <c r="GWU2" s="284"/>
      <c r="GWV2" s="284"/>
      <c r="GWW2" s="284"/>
      <c r="GWX2" s="284"/>
      <c r="GWY2" s="284"/>
      <c r="GWZ2" s="284"/>
      <c r="GXA2" s="284"/>
      <c r="GXB2" s="284"/>
      <c r="GXC2" s="284"/>
      <c r="GXD2" s="284"/>
      <c r="GXE2" s="284"/>
      <c r="GXF2" s="284"/>
      <c r="GXG2" s="284"/>
      <c r="GXH2" s="284"/>
      <c r="GXI2" s="284"/>
      <c r="GXJ2" s="284"/>
      <c r="GXK2" s="284"/>
      <c r="GXL2" s="284"/>
      <c r="GXM2" s="284"/>
      <c r="GXN2" s="284"/>
      <c r="GXO2" s="284"/>
      <c r="GXP2" s="284"/>
      <c r="GXQ2" s="284"/>
      <c r="GXR2" s="284"/>
      <c r="GXS2" s="284"/>
      <c r="GXT2" s="284"/>
      <c r="GXU2" s="284"/>
      <c r="GXV2" s="284"/>
      <c r="GXW2" s="284"/>
      <c r="GXX2" s="284"/>
      <c r="GXY2" s="284"/>
      <c r="GXZ2" s="284"/>
      <c r="GYA2" s="284"/>
      <c r="GYB2" s="284"/>
      <c r="GYC2" s="284"/>
      <c r="GYD2" s="284"/>
      <c r="GYE2" s="284"/>
      <c r="GYF2" s="284"/>
      <c r="GYG2" s="284"/>
      <c r="GYH2" s="284"/>
      <c r="GYI2" s="284"/>
      <c r="GYJ2" s="284"/>
      <c r="GYK2" s="284"/>
      <c r="GYL2" s="284"/>
      <c r="GYM2" s="284"/>
      <c r="GYN2" s="284"/>
      <c r="GYO2" s="284"/>
      <c r="GYP2" s="284"/>
      <c r="GYQ2" s="284"/>
      <c r="GYR2" s="284"/>
      <c r="GYS2" s="284"/>
      <c r="GYT2" s="284"/>
      <c r="GYU2" s="284"/>
      <c r="GYV2" s="284"/>
      <c r="GYW2" s="284"/>
      <c r="GYX2" s="284"/>
      <c r="GYY2" s="284"/>
      <c r="GYZ2" s="284"/>
      <c r="GZA2" s="284"/>
      <c r="GZB2" s="284"/>
      <c r="GZC2" s="284"/>
      <c r="GZD2" s="284"/>
      <c r="GZE2" s="284"/>
      <c r="GZF2" s="284"/>
      <c r="GZG2" s="284"/>
      <c r="GZH2" s="284"/>
      <c r="GZI2" s="284"/>
      <c r="GZJ2" s="284"/>
      <c r="GZK2" s="284"/>
      <c r="GZL2" s="284"/>
      <c r="GZM2" s="284"/>
      <c r="GZN2" s="284"/>
      <c r="GZO2" s="284"/>
      <c r="GZP2" s="284"/>
      <c r="GZQ2" s="284"/>
      <c r="GZR2" s="284"/>
      <c r="GZS2" s="284"/>
      <c r="GZT2" s="284"/>
      <c r="GZU2" s="284"/>
      <c r="GZV2" s="284"/>
      <c r="GZW2" s="284"/>
      <c r="GZX2" s="284"/>
      <c r="GZY2" s="284"/>
      <c r="GZZ2" s="284"/>
      <c r="HAA2" s="284"/>
      <c r="HAB2" s="284"/>
      <c r="HAC2" s="284"/>
      <c r="HAD2" s="284"/>
      <c r="HAE2" s="284"/>
      <c r="HAF2" s="284"/>
      <c r="HAG2" s="284"/>
      <c r="HAH2" s="284"/>
      <c r="HAI2" s="284"/>
      <c r="HAJ2" s="284"/>
      <c r="HAK2" s="284"/>
      <c r="HAL2" s="284"/>
      <c r="HAM2" s="284"/>
      <c r="HAN2" s="284"/>
      <c r="HAO2" s="284"/>
      <c r="HAP2" s="284"/>
      <c r="HAQ2" s="284"/>
      <c r="HAR2" s="284"/>
      <c r="HAS2" s="284"/>
      <c r="HAT2" s="284"/>
      <c r="HAU2" s="284"/>
      <c r="HAV2" s="284"/>
      <c r="HAW2" s="284"/>
      <c r="HAX2" s="284"/>
      <c r="HAY2" s="284"/>
      <c r="HAZ2" s="284"/>
      <c r="HBA2" s="284"/>
      <c r="HBB2" s="284"/>
      <c r="HBC2" s="284"/>
      <c r="HBD2" s="284"/>
      <c r="HBE2" s="284"/>
      <c r="HBF2" s="284"/>
      <c r="HBG2" s="284"/>
      <c r="HBH2" s="284"/>
      <c r="HBI2" s="284"/>
      <c r="HBJ2" s="284"/>
      <c r="HBK2" s="284"/>
      <c r="HBL2" s="284"/>
      <c r="HBM2" s="284"/>
      <c r="HBN2" s="284"/>
      <c r="HBO2" s="284"/>
      <c r="HBP2" s="284"/>
      <c r="HBQ2" s="284"/>
      <c r="HBR2" s="284"/>
      <c r="HBS2" s="284"/>
      <c r="HBT2" s="284"/>
      <c r="HBU2" s="284"/>
      <c r="HBV2" s="284"/>
      <c r="HBW2" s="284"/>
      <c r="HBX2" s="284"/>
      <c r="HBY2" s="284"/>
      <c r="HBZ2" s="284"/>
      <c r="HCA2" s="284"/>
      <c r="HCB2" s="284"/>
      <c r="HCC2" s="284"/>
      <c r="HCD2" s="284"/>
      <c r="HCE2" s="284"/>
      <c r="HCF2" s="284"/>
      <c r="HCG2" s="284"/>
      <c r="HCH2" s="284"/>
      <c r="HCI2" s="284"/>
      <c r="HCJ2" s="284"/>
      <c r="HCK2" s="284"/>
      <c r="HCL2" s="284"/>
      <c r="HCM2" s="284"/>
      <c r="HCN2" s="284"/>
      <c r="HCO2" s="284"/>
      <c r="HCP2" s="284"/>
      <c r="HCQ2" s="284"/>
      <c r="HCR2" s="284"/>
      <c r="HCS2" s="284"/>
      <c r="HCT2" s="284"/>
      <c r="HCU2" s="284"/>
      <c r="HCV2" s="284"/>
      <c r="HCW2" s="284"/>
      <c r="HCX2" s="284"/>
      <c r="HCY2" s="284"/>
      <c r="HCZ2" s="284"/>
      <c r="HDA2" s="284"/>
      <c r="HDB2" s="284"/>
      <c r="HDC2" s="284"/>
      <c r="HDD2" s="284"/>
      <c r="HDE2" s="284"/>
      <c r="HDF2" s="284"/>
      <c r="HDG2" s="284"/>
      <c r="HDH2" s="284"/>
      <c r="HDI2" s="284"/>
      <c r="HDJ2" s="284"/>
      <c r="HDK2" s="284"/>
      <c r="HDL2" s="284"/>
      <c r="HDM2" s="284"/>
      <c r="HDN2" s="284"/>
      <c r="HDO2" s="284"/>
      <c r="HDP2" s="284"/>
      <c r="HDQ2" s="284"/>
      <c r="HDR2" s="284"/>
      <c r="HDS2" s="284"/>
      <c r="HDT2" s="284"/>
      <c r="HDU2" s="284"/>
      <c r="HDV2" s="284"/>
      <c r="HDW2" s="284"/>
      <c r="HDX2" s="284"/>
      <c r="HDY2" s="284"/>
      <c r="HDZ2" s="284"/>
      <c r="HEA2" s="284"/>
      <c r="HEB2" s="284"/>
      <c r="HEC2" s="284"/>
      <c r="HED2" s="284"/>
      <c r="HEE2" s="284"/>
      <c r="HEF2" s="284"/>
      <c r="HEG2" s="284"/>
      <c r="HEH2" s="284"/>
      <c r="HEI2" s="284"/>
      <c r="HEJ2" s="284"/>
      <c r="HEK2" s="284"/>
      <c r="HEL2" s="284"/>
      <c r="HEM2" s="284"/>
      <c r="HEN2" s="284"/>
      <c r="HEO2" s="284"/>
      <c r="HEP2" s="284"/>
      <c r="HEQ2" s="284"/>
      <c r="HER2" s="284"/>
      <c r="HES2" s="284"/>
      <c r="HET2" s="284"/>
      <c r="HEU2" s="284"/>
      <c r="HEV2" s="284"/>
      <c r="HEW2" s="284"/>
      <c r="HEX2" s="284"/>
      <c r="HEY2" s="284"/>
      <c r="HEZ2" s="284"/>
      <c r="HFA2" s="284"/>
      <c r="HFB2" s="284"/>
      <c r="HFC2" s="284"/>
      <c r="HFD2" s="284"/>
      <c r="HFE2" s="284"/>
      <c r="HFF2" s="284"/>
      <c r="HFG2" s="284"/>
      <c r="HFH2" s="284"/>
      <c r="HFI2" s="284"/>
      <c r="HFJ2" s="284"/>
      <c r="HFK2" s="284"/>
      <c r="HFL2" s="284"/>
      <c r="HFM2" s="284"/>
      <c r="HFN2" s="284"/>
      <c r="HFO2" s="284"/>
      <c r="HFP2" s="284"/>
      <c r="HFQ2" s="284"/>
      <c r="HFR2" s="284"/>
      <c r="HFS2" s="284"/>
      <c r="HFT2" s="284"/>
      <c r="HFU2" s="284"/>
      <c r="HFV2" s="284"/>
      <c r="HFW2" s="284"/>
      <c r="HFX2" s="284"/>
      <c r="HFY2" s="284"/>
      <c r="HFZ2" s="284"/>
      <c r="HGA2" s="284"/>
      <c r="HGB2" s="284"/>
      <c r="HGC2" s="284"/>
      <c r="HGD2" s="284"/>
      <c r="HGE2" s="284"/>
      <c r="HGF2" s="284"/>
      <c r="HGG2" s="284"/>
      <c r="HGH2" s="284"/>
      <c r="HGI2" s="284"/>
      <c r="HGJ2" s="284"/>
      <c r="HGK2" s="284"/>
      <c r="HGL2" s="284"/>
      <c r="HGM2" s="284"/>
      <c r="HGN2" s="284"/>
      <c r="HGO2" s="284"/>
      <c r="HGP2" s="284"/>
      <c r="HGQ2" s="284"/>
      <c r="HGR2" s="284"/>
      <c r="HGS2" s="284"/>
      <c r="HGT2" s="284"/>
      <c r="HGU2" s="284"/>
      <c r="HGV2" s="284"/>
      <c r="HGW2" s="284"/>
      <c r="HGX2" s="284"/>
      <c r="HGY2" s="284"/>
      <c r="HGZ2" s="284"/>
      <c r="HHA2" s="284"/>
      <c r="HHB2" s="284"/>
      <c r="HHC2" s="284"/>
      <c r="HHD2" s="284"/>
      <c r="HHE2" s="284"/>
      <c r="HHF2" s="284"/>
      <c r="HHG2" s="284"/>
      <c r="HHH2" s="284"/>
      <c r="HHI2" s="284"/>
      <c r="HHJ2" s="284"/>
      <c r="HHK2" s="284"/>
      <c r="HHL2" s="284"/>
      <c r="HHM2" s="284"/>
      <c r="HHN2" s="284"/>
      <c r="HHO2" s="284"/>
      <c r="HHP2" s="284"/>
      <c r="HHQ2" s="284"/>
      <c r="HHR2" s="284"/>
      <c r="HHS2" s="284"/>
      <c r="HHT2" s="284"/>
      <c r="HHU2" s="284"/>
      <c r="HHV2" s="284"/>
      <c r="HHW2" s="284"/>
      <c r="HHX2" s="284"/>
      <c r="HHY2" s="284"/>
      <c r="HHZ2" s="284"/>
      <c r="HIA2" s="284"/>
      <c r="HIB2" s="284"/>
      <c r="HIC2" s="284"/>
      <c r="HID2" s="284"/>
      <c r="HIE2" s="284"/>
      <c r="HIF2" s="284"/>
      <c r="HIG2" s="284"/>
      <c r="HIH2" s="284"/>
      <c r="HII2" s="284"/>
      <c r="HIJ2" s="284"/>
      <c r="HIK2" s="284"/>
      <c r="HIL2" s="284"/>
      <c r="HIM2" s="284"/>
      <c r="HIN2" s="284"/>
      <c r="HIO2" s="284"/>
      <c r="HIP2" s="284"/>
      <c r="HIQ2" s="284"/>
      <c r="HIR2" s="284"/>
      <c r="HIS2" s="284"/>
      <c r="HIT2" s="284"/>
      <c r="HIU2" s="284"/>
      <c r="HIV2" s="284"/>
      <c r="HIW2" s="284"/>
      <c r="HIX2" s="284"/>
      <c r="HIY2" s="284"/>
      <c r="HIZ2" s="284"/>
      <c r="HJA2" s="284"/>
      <c r="HJB2" s="284"/>
      <c r="HJC2" s="284"/>
      <c r="HJD2" s="284"/>
      <c r="HJE2" s="284"/>
      <c r="HJF2" s="284"/>
      <c r="HJG2" s="284"/>
      <c r="HJH2" s="284"/>
      <c r="HJI2" s="284"/>
      <c r="HJJ2" s="284"/>
      <c r="HJK2" s="284"/>
      <c r="HJL2" s="284"/>
      <c r="HJM2" s="284"/>
      <c r="HJN2" s="284"/>
      <c r="HJO2" s="284"/>
      <c r="HJP2" s="284"/>
      <c r="HJQ2" s="284"/>
      <c r="HJR2" s="284"/>
      <c r="HJS2" s="284"/>
      <c r="HJT2" s="284"/>
      <c r="HJU2" s="284"/>
      <c r="HJV2" s="284"/>
      <c r="HJW2" s="284"/>
      <c r="HJX2" s="284"/>
      <c r="HJY2" s="284"/>
      <c r="HJZ2" s="284"/>
      <c r="HKA2" s="284"/>
      <c r="HKB2" s="284"/>
      <c r="HKC2" s="284"/>
      <c r="HKD2" s="284"/>
      <c r="HKE2" s="284"/>
      <c r="HKF2" s="284"/>
      <c r="HKG2" s="284"/>
      <c r="HKH2" s="284"/>
      <c r="HKI2" s="284"/>
      <c r="HKJ2" s="284"/>
      <c r="HKK2" s="284"/>
      <c r="HKL2" s="284"/>
      <c r="HKM2" s="284"/>
      <c r="HKN2" s="284"/>
      <c r="HKO2" s="284"/>
      <c r="HKP2" s="284"/>
      <c r="HKQ2" s="284"/>
      <c r="HKR2" s="284"/>
      <c r="HKS2" s="284"/>
      <c r="HKT2" s="284"/>
      <c r="HKU2" s="284"/>
      <c r="HKV2" s="284"/>
      <c r="HKW2" s="284"/>
      <c r="HKX2" s="284"/>
      <c r="HKY2" s="284"/>
      <c r="HKZ2" s="284"/>
      <c r="HLA2" s="284"/>
      <c r="HLB2" s="284"/>
      <c r="HLC2" s="284"/>
      <c r="HLD2" s="284"/>
      <c r="HLE2" s="284"/>
      <c r="HLF2" s="284"/>
      <c r="HLG2" s="284"/>
      <c r="HLH2" s="284"/>
      <c r="HLI2" s="284"/>
      <c r="HLJ2" s="284"/>
      <c r="HLK2" s="284"/>
      <c r="HLL2" s="284"/>
      <c r="HLM2" s="284"/>
      <c r="HLN2" s="284"/>
      <c r="HLO2" s="284"/>
      <c r="HLP2" s="284"/>
      <c r="HLQ2" s="284"/>
      <c r="HLR2" s="284"/>
      <c r="HLS2" s="284"/>
      <c r="HLT2" s="284"/>
      <c r="HLU2" s="284"/>
      <c r="HLV2" s="284"/>
      <c r="HLW2" s="284"/>
      <c r="HLX2" s="284"/>
      <c r="HLY2" s="284"/>
      <c r="HLZ2" s="284"/>
      <c r="HMA2" s="284"/>
      <c r="HMB2" s="284"/>
      <c r="HMC2" s="284"/>
      <c r="HMD2" s="284"/>
      <c r="HME2" s="284"/>
      <c r="HMF2" s="284"/>
      <c r="HMG2" s="284"/>
      <c r="HMH2" s="284"/>
      <c r="HMI2" s="284"/>
      <c r="HMJ2" s="284"/>
      <c r="HMK2" s="284"/>
      <c r="HML2" s="284"/>
      <c r="HMM2" s="284"/>
      <c r="HMN2" s="284"/>
      <c r="HMO2" s="284"/>
      <c r="HMP2" s="284"/>
      <c r="HMQ2" s="284"/>
      <c r="HMR2" s="284"/>
      <c r="HMS2" s="284"/>
      <c r="HMT2" s="284"/>
      <c r="HMU2" s="284"/>
      <c r="HMV2" s="284"/>
      <c r="HMW2" s="284"/>
      <c r="HMX2" s="284"/>
      <c r="HMY2" s="284"/>
      <c r="HMZ2" s="284"/>
      <c r="HNA2" s="284"/>
      <c r="HNB2" s="284"/>
      <c r="HNC2" s="284"/>
      <c r="HND2" s="284"/>
      <c r="HNE2" s="284"/>
      <c r="HNF2" s="284"/>
      <c r="HNG2" s="284"/>
      <c r="HNH2" s="284"/>
      <c r="HNI2" s="284"/>
      <c r="HNJ2" s="284"/>
      <c r="HNK2" s="284"/>
      <c r="HNL2" s="284"/>
      <c r="HNM2" s="284"/>
      <c r="HNN2" s="284"/>
      <c r="HNO2" s="284"/>
      <c r="HNP2" s="284"/>
      <c r="HNQ2" s="284"/>
      <c r="HNR2" s="284"/>
      <c r="HNS2" s="284"/>
      <c r="HNT2" s="284"/>
      <c r="HNU2" s="284"/>
      <c r="HNV2" s="284"/>
      <c r="HNW2" s="284"/>
      <c r="HNX2" s="284"/>
      <c r="HNY2" s="284"/>
      <c r="HNZ2" s="284"/>
      <c r="HOA2" s="284"/>
      <c r="HOB2" s="284"/>
      <c r="HOC2" s="284"/>
      <c r="HOD2" s="284"/>
      <c r="HOE2" s="284"/>
      <c r="HOF2" s="284"/>
      <c r="HOG2" s="284"/>
      <c r="HOH2" s="284"/>
      <c r="HOI2" s="284"/>
      <c r="HOJ2" s="284"/>
      <c r="HOK2" s="284"/>
      <c r="HOL2" s="284"/>
      <c r="HOM2" s="284"/>
      <c r="HON2" s="284"/>
      <c r="HOO2" s="284"/>
      <c r="HOP2" s="284"/>
      <c r="HOQ2" s="284"/>
      <c r="HOR2" s="284"/>
      <c r="HOS2" s="284"/>
      <c r="HOT2" s="284"/>
      <c r="HOU2" s="284"/>
      <c r="HOV2" s="284"/>
      <c r="HOW2" s="284"/>
      <c r="HOX2" s="284"/>
      <c r="HOY2" s="284"/>
      <c r="HOZ2" s="284"/>
      <c r="HPA2" s="284"/>
      <c r="HPB2" s="284"/>
      <c r="HPC2" s="284"/>
      <c r="HPD2" s="284"/>
      <c r="HPE2" s="284"/>
      <c r="HPF2" s="284"/>
      <c r="HPG2" s="284"/>
      <c r="HPH2" s="284"/>
      <c r="HPI2" s="284"/>
      <c r="HPJ2" s="284"/>
      <c r="HPK2" s="284"/>
      <c r="HPL2" s="284"/>
      <c r="HPM2" s="284"/>
      <c r="HPN2" s="284"/>
      <c r="HPO2" s="284"/>
      <c r="HPP2" s="284"/>
      <c r="HPQ2" s="284"/>
      <c r="HPR2" s="284"/>
      <c r="HPS2" s="284"/>
      <c r="HPT2" s="284"/>
      <c r="HPU2" s="284"/>
      <c r="HPV2" s="284"/>
      <c r="HPW2" s="284"/>
      <c r="HPX2" s="284"/>
      <c r="HPY2" s="284"/>
      <c r="HPZ2" s="284"/>
      <c r="HQA2" s="284"/>
      <c r="HQB2" s="284"/>
      <c r="HQC2" s="284"/>
      <c r="HQD2" s="284"/>
      <c r="HQE2" s="284"/>
      <c r="HQF2" s="284"/>
      <c r="HQG2" s="284"/>
      <c r="HQH2" s="284"/>
      <c r="HQI2" s="284"/>
      <c r="HQJ2" s="284"/>
      <c r="HQK2" s="284"/>
      <c r="HQL2" s="284"/>
      <c r="HQM2" s="284"/>
      <c r="HQN2" s="284"/>
      <c r="HQO2" s="284"/>
      <c r="HQP2" s="284"/>
      <c r="HQQ2" s="284"/>
      <c r="HQR2" s="284"/>
      <c r="HQS2" s="284"/>
      <c r="HQT2" s="284"/>
      <c r="HQU2" s="284"/>
      <c r="HQV2" s="284"/>
      <c r="HQW2" s="284"/>
      <c r="HQX2" s="284"/>
      <c r="HQY2" s="284"/>
      <c r="HQZ2" s="284"/>
      <c r="HRA2" s="284"/>
      <c r="HRB2" s="284"/>
      <c r="HRC2" s="284"/>
      <c r="HRD2" s="284"/>
      <c r="HRE2" s="284"/>
      <c r="HRF2" s="284"/>
      <c r="HRG2" s="284"/>
      <c r="HRH2" s="284"/>
      <c r="HRI2" s="284"/>
      <c r="HRJ2" s="284"/>
      <c r="HRK2" s="284"/>
      <c r="HRL2" s="284"/>
      <c r="HRM2" s="284"/>
      <c r="HRN2" s="284"/>
      <c r="HRO2" s="284"/>
      <c r="HRP2" s="284"/>
      <c r="HRQ2" s="284"/>
      <c r="HRR2" s="284"/>
      <c r="HRS2" s="284"/>
      <c r="HRT2" s="284"/>
      <c r="HRU2" s="284"/>
      <c r="HRV2" s="284"/>
      <c r="HRW2" s="284"/>
      <c r="HRX2" s="284"/>
      <c r="HRY2" s="284"/>
      <c r="HRZ2" s="284"/>
      <c r="HSA2" s="284"/>
      <c r="HSB2" s="284"/>
      <c r="HSC2" s="284"/>
      <c r="HSD2" s="284"/>
      <c r="HSE2" s="284"/>
      <c r="HSF2" s="284"/>
      <c r="HSG2" s="284"/>
      <c r="HSH2" s="284"/>
      <c r="HSI2" s="284"/>
      <c r="HSJ2" s="284"/>
      <c r="HSK2" s="284"/>
      <c r="HSL2" s="284"/>
      <c r="HSM2" s="284"/>
      <c r="HSN2" s="284"/>
      <c r="HSO2" s="284"/>
      <c r="HSP2" s="284"/>
      <c r="HSQ2" s="284"/>
      <c r="HSR2" s="284"/>
      <c r="HSS2" s="284"/>
      <c r="HST2" s="284"/>
      <c r="HSU2" s="284"/>
      <c r="HSV2" s="284"/>
      <c r="HSW2" s="284"/>
      <c r="HSX2" s="284"/>
      <c r="HSY2" s="284"/>
      <c r="HSZ2" s="284"/>
      <c r="HTA2" s="284"/>
      <c r="HTB2" s="284"/>
      <c r="HTC2" s="284"/>
      <c r="HTD2" s="284"/>
      <c r="HTE2" s="284"/>
      <c r="HTF2" s="284"/>
      <c r="HTG2" s="284"/>
      <c r="HTH2" s="284"/>
      <c r="HTI2" s="284"/>
      <c r="HTJ2" s="284"/>
      <c r="HTK2" s="284"/>
      <c r="HTL2" s="284"/>
      <c r="HTM2" s="284"/>
      <c r="HTN2" s="284"/>
      <c r="HTO2" s="284"/>
      <c r="HTP2" s="284"/>
      <c r="HTQ2" s="284"/>
      <c r="HTR2" s="284"/>
      <c r="HTS2" s="284"/>
      <c r="HTT2" s="284"/>
      <c r="HTU2" s="284"/>
      <c r="HTV2" s="284"/>
      <c r="HTW2" s="284"/>
      <c r="HTX2" s="284"/>
      <c r="HTY2" s="284"/>
      <c r="HTZ2" s="284"/>
      <c r="HUA2" s="284"/>
      <c r="HUB2" s="284"/>
      <c r="HUC2" s="284"/>
      <c r="HUD2" s="284"/>
      <c r="HUE2" s="284"/>
      <c r="HUF2" s="284"/>
      <c r="HUG2" s="284"/>
      <c r="HUH2" s="284"/>
      <c r="HUI2" s="284"/>
      <c r="HUJ2" s="284"/>
      <c r="HUK2" s="284"/>
      <c r="HUL2" s="284"/>
      <c r="HUM2" s="284"/>
      <c r="HUN2" s="284"/>
      <c r="HUO2" s="284"/>
      <c r="HUP2" s="284"/>
      <c r="HUQ2" s="284"/>
      <c r="HUR2" s="284"/>
      <c r="HUS2" s="284"/>
      <c r="HUT2" s="284"/>
      <c r="HUU2" s="284"/>
      <c r="HUV2" s="284"/>
      <c r="HUW2" s="284"/>
      <c r="HUX2" s="284"/>
      <c r="HUY2" s="284"/>
      <c r="HUZ2" s="284"/>
      <c r="HVA2" s="284"/>
      <c r="HVB2" s="284"/>
      <c r="HVC2" s="284"/>
      <c r="HVD2" s="284"/>
      <c r="HVE2" s="284"/>
      <c r="HVF2" s="284"/>
      <c r="HVG2" s="284"/>
      <c r="HVH2" s="284"/>
      <c r="HVI2" s="284"/>
      <c r="HVJ2" s="284"/>
      <c r="HVK2" s="284"/>
      <c r="HVL2" s="284"/>
      <c r="HVM2" s="284"/>
      <c r="HVN2" s="284"/>
      <c r="HVO2" s="284"/>
      <c r="HVP2" s="284"/>
      <c r="HVQ2" s="284"/>
      <c r="HVR2" s="284"/>
      <c r="HVS2" s="284"/>
      <c r="HVT2" s="284"/>
      <c r="HVU2" s="284"/>
      <c r="HVV2" s="284"/>
      <c r="HVW2" s="284"/>
      <c r="HVX2" s="284"/>
      <c r="HVY2" s="284"/>
      <c r="HVZ2" s="284"/>
      <c r="HWA2" s="284"/>
      <c r="HWB2" s="284"/>
      <c r="HWC2" s="284"/>
      <c r="HWD2" s="284"/>
      <c r="HWE2" s="284"/>
      <c r="HWF2" s="284"/>
      <c r="HWG2" s="284"/>
      <c r="HWH2" s="284"/>
      <c r="HWI2" s="284"/>
      <c r="HWJ2" s="284"/>
      <c r="HWK2" s="284"/>
      <c r="HWL2" s="284"/>
      <c r="HWM2" s="284"/>
      <c r="HWN2" s="284"/>
      <c r="HWO2" s="284"/>
      <c r="HWP2" s="284"/>
      <c r="HWQ2" s="284"/>
      <c r="HWR2" s="284"/>
      <c r="HWS2" s="284"/>
      <c r="HWT2" s="284"/>
      <c r="HWU2" s="284"/>
      <c r="HWV2" s="284"/>
      <c r="HWW2" s="284"/>
      <c r="HWX2" s="284"/>
      <c r="HWY2" s="284"/>
      <c r="HWZ2" s="284"/>
      <c r="HXA2" s="284"/>
      <c r="HXB2" s="284"/>
      <c r="HXC2" s="284"/>
      <c r="HXD2" s="284"/>
      <c r="HXE2" s="284"/>
      <c r="HXF2" s="284"/>
      <c r="HXG2" s="284"/>
      <c r="HXH2" s="284"/>
      <c r="HXI2" s="284"/>
      <c r="HXJ2" s="284"/>
      <c r="HXK2" s="284"/>
      <c r="HXL2" s="284"/>
      <c r="HXM2" s="284"/>
      <c r="HXN2" s="284"/>
      <c r="HXO2" s="284"/>
      <c r="HXP2" s="284"/>
      <c r="HXQ2" s="284"/>
      <c r="HXR2" s="284"/>
      <c r="HXS2" s="284"/>
      <c r="HXT2" s="284"/>
      <c r="HXU2" s="284"/>
      <c r="HXV2" s="284"/>
      <c r="HXW2" s="284"/>
      <c r="HXX2" s="284"/>
      <c r="HXY2" s="284"/>
      <c r="HXZ2" s="284"/>
      <c r="HYA2" s="284"/>
      <c r="HYB2" s="284"/>
      <c r="HYC2" s="284"/>
      <c r="HYD2" s="284"/>
      <c r="HYE2" s="284"/>
      <c r="HYF2" s="284"/>
      <c r="HYG2" s="284"/>
      <c r="HYH2" s="284"/>
      <c r="HYI2" s="284"/>
      <c r="HYJ2" s="284"/>
      <c r="HYK2" s="284"/>
      <c r="HYL2" s="284"/>
      <c r="HYM2" s="284"/>
      <c r="HYN2" s="284"/>
      <c r="HYO2" s="284"/>
      <c r="HYP2" s="284"/>
      <c r="HYQ2" s="284"/>
      <c r="HYR2" s="284"/>
      <c r="HYS2" s="284"/>
      <c r="HYT2" s="284"/>
      <c r="HYU2" s="284"/>
      <c r="HYV2" s="284"/>
      <c r="HYW2" s="284"/>
      <c r="HYX2" s="284"/>
      <c r="HYY2" s="284"/>
      <c r="HYZ2" s="284"/>
      <c r="HZA2" s="284"/>
      <c r="HZB2" s="284"/>
      <c r="HZC2" s="284"/>
      <c r="HZD2" s="284"/>
      <c r="HZE2" s="284"/>
      <c r="HZF2" s="284"/>
      <c r="HZG2" s="284"/>
      <c r="HZH2" s="284"/>
      <c r="HZI2" s="284"/>
      <c r="HZJ2" s="284"/>
      <c r="HZK2" s="284"/>
      <c r="HZL2" s="284"/>
      <c r="HZM2" s="284"/>
      <c r="HZN2" s="284"/>
      <c r="HZO2" s="284"/>
      <c r="HZP2" s="284"/>
      <c r="HZQ2" s="284"/>
      <c r="HZR2" s="284"/>
      <c r="HZS2" s="284"/>
      <c r="HZT2" s="284"/>
      <c r="HZU2" s="284"/>
      <c r="HZV2" s="284"/>
      <c r="HZW2" s="284"/>
      <c r="HZX2" s="284"/>
      <c r="HZY2" s="284"/>
      <c r="HZZ2" s="284"/>
      <c r="IAA2" s="284"/>
      <c r="IAB2" s="284"/>
      <c r="IAC2" s="284"/>
      <c r="IAD2" s="284"/>
      <c r="IAE2" s="284"/>
      <c r="IAF2" s="284"/>
      <c r="IAG2" s="284"/>
      <c r="IAH2" s="284"/>
      <c r="IAI2" s="284"/>
      <c r="IAJ2" s="284"/>
      <c r="IAK2" s="284"/>
      <c r="IAL2" s="284"/>
      <c r="IAM2" s="284"/>
      <c r="IAN2" s="284"/>
      <c r="IAO2" s="284"/>
      <c r="IAP2" s="284"/>
      <c r="IAQ2" s="284"/>
      <c r="IAR2" s="284"/>
      <c r="IAS2" s="284"/>
      <c r="IAT2" s="284"/>
      <c r="IAU2" s="284"/>
      <c r="IAV2" s="284"/>
      <c r="IAW2" s="284"/>
      <c r="IAX2" s="284"/>
      <c r="IAY2" s="284"/>
      <c r="IAZ2" s="284"/>
      <c r="IBA2" s="284"/>
      <c r="IBB2" s="284"/>
      <c r="IBC2" s="284"/>
      <c r="IBD2" s="284"/>
      <c r="IBE2" s="284"/>
      <c r="IBF2" s="284"/>
      <c r="IBG2" s="284"/>
      <c r="IBH2" s="284"/>
      <c r="IBI2" s="284"/>
      <c r="IBJ2" s="284"/>
      <c r="IBK2" s="284"/>
      <c r="IBL2" s="284"/>
      <c r="IBM2" s="284"/>
      <c r="IBN2" s="284"/>
      <c r="IBO2" s="284"/>
      <c r="IBP2" s="284"/>
      <c r="IBQ2" s="284"/>
      <c r="IBR2" s="284"/>
      <c r="IBS2" s="284"/>
      <c r="IBT2" s="284"/>
      <c r="IBU2" s="284"/>
      <c r="IBV2" s="284"/>
      <c r="IBW2" s="284"/>
      <c r="IBX2" s="284"/>
      <c r="IBY2" s="284"/>
      <c r="IBZ2" s="284"/>
      <c r="ICA2" s="284"/>
      <c r="ICB2" s="284"/>
      <c r="ICC2" s="284"/>
      <c r="ICD2" s="284"/>
      <c r="ICE2" s="284"/>
      <c r="ICF2" s="284"/>
      <c r="ICG2" s="284"/>
      <c r="ICH2" s="284"/>
      <c r="ICI2" s="284"/>
      <c r="ICJ2" s="284"/>
      <c r="ICK2" s="284"/>
      <c r="ICL2" s="284"/>
      <c r="ICM2" s="284"/>
      <c r="ICN2" s="284"/>
      <c r="ICO2" s="284"/>
      <c r="ICP2" s="284"/>
      <c r="ICQ2" s="284"/>
      <c r="ICR2" s="284"/>
      <c r="ICS2" s="284"/>
      <c r="ICT2" s="284"/>
      <c r="ICU2" s="284"/>
      <c r="ICV2" s="284"/>
      <c r="ICW2" s="284"/>
      <c r="ICX2" s="284"/>
      <c r="ICY2" s="284"/>
      <c r="ICZ2" s="284"/>
      <c r="IDA2" s="284"/>
      <c r="IDB2" s="284"/>
      <c r="IDC2" s="284"/>
      <c r="IDD2" s="284"/>
      <c r="IDE2" s="284"/>
      <c r="IDF2" s="284"/>
      <c r="IDG2" s="284"/>
      <c r="IDH2" s="284"/>
      <c r="IDI2" s="284"/>
      <c r="IDJ2" s="284"/>
      <c r="IDK2" s="284"/>
      <c r="IDL2" s="284"/>
      <c r="IDM2" s="284"/>
      <c r="IDN2" s="284"/>
      <c r="IDO2" s="284"/>
      <c r="IDP2" s="284"/>
      <c r="IDQ2" s="284"/>
      <c r="IDR2" s="284"/>
      <c r="IDS2" s="284"/>
      <c r="IDT2" s="284"/>
      <c r="IDU2" s="284"/>
      <c r="IDV2" s="284"/>
      <c r="IDW2" s="284"/>
      <c r="IDX2" s="284"/>
      <c r="IDY2" s="284"/>
      <c r="IDZ2" s="284"/>
      <c r="IEA2" s="284"/>
      <c r="IEB2" s="284"/>
      <c r="IEC2" s="284"/>
      <c r="IED2" s="284"/>
      <c r="IEE2" s="284"/>
      <c r="IEF2" s="284"/>
      <c r="IEG2" s="284"/>
      <c r="IEH2" s="284"/>
      <c r="IEI2" s="284"/>
      <c r="IEJ2" s="284"/>
      <c r="IEK2" s="284"/>
      <c r="IEL2" s="284"/>
      <c r="IEM2" s="284"/>
      <c r="IEN2" s="284"/>
      <c r="IEO2" s="284"/>
      <c r="IEP2" s="284"/>
      <c r="IEQ2" s="284"/>
      <c r="IER2" s="284"/>
      <c r="IES2" s="284"/>
      <c r="IET2" s="284"/>
      <c r="IEU2" s="284"/>
      <c r="IEV2" s="284"/>
      <c r="IEW2" s="284"/>
      <c r="IEX2" s="284"/>
      <c r="IEY2" s="284"/>
      <c r="IEZ2" s="284"/>
      <c r="IFA2" s="284"/>
      <c r="IFB2" s="284"/>
      <c r="IFC2" s="284"/>
      <c r="IFD2" s="284"/>
      <c r="IFE2" s="284"/>
      <c r="IFF2" s="284"/>
      <c r="IFG2" s="284"/>
      <c r="IFH2" s="284"/>
      <c r="IFI2" s="284"/>
      <c r="IFJ2" s="284"/>
      <c r="IFK2" s="284"/>
      <c r="IFL2" s="284"/>
      <c r="IFM2" s="284"/>
      <c r="IFN2" s="284"/>
      <c r="IFO2" s="284"/>
      <c r="IFP2" s="284"/>
      <c r="IFQ2" s="284"/>
      <c r="IFR2" s="284"/>
      <c r="IFS2" s="284"/>
      <c r="IFT2" s="284"/>
      <c r="IFU2" s="284"/>
      <c r="IFV2" s="284"/>
      <c r="IFW2" s="284"/>
      <c r="IFX2" s="284"/>
      <c r="IFY2" s="284"/>
      <c r="IFZ2" s="284"/>
      <c r="IGA2" s="284"/>
      <c r="IGB2" s="284"/>
      <c r="IGC2" s="284"/>
      <c r="IGD2" s="284"/>
      <c r="IGE2" s="284"/>
      <c r="IGF2" s="284"/>
      <c r="IGG2" s="284"/>
      <c r="IGH2" s="284"/>
      <c r="IGI2" s="284"/>
      <c r="IGJ2" s="284"/>
      <c r="IGK2" s="284"/>
      <c r="IGL2" s="284"/>
      <c r="IGM2" s="284"/>
      <c r="IGN2" s="284"/>
      <c r="IGO2" s="284"/>
      <c r="IGP2" s="284"/>
      <c r="IGQ2" s="284"/>
      <c r="IGR2" s="284"/>
      <c r="IGS2" s="284"/>
      <c r="IGT2" s="284"/>
      <c r="IGU2" s="284"/>
      <c r="IGV2" s="284"/>
      <c r="IGW2" s="284"/>
      <c r="IGX2" s="284"/>
      <c r="IGY2" s="284"/>
      <c r="IGZ2" s="284"/>
      <c r="IHA2" s="284"/>
      <c r="IHB2" s="284"/>
      <c r="IHC2" s="284"/>
      <c r="IHD2" s="284"/>
      <c r="IHE2" s="284"/>
      <c r="IHF2" s="284"/>
      <c r="IHG2" s="284"/>
      <c r="IHH2" s="284"/>
      <c r="IHI2" s="284"/>
      <c r="IHJ2" s="284"/>
      <c r="IHK2" s="284"/>
      <c r="IHL2" s="284"/>
      <c r="IHM2" s="284"/>
      <c r="IHN2" s="284"/>
      <c r="IHO2" s="284"/>
      <c r="IHP2" s="284"/>
      <c r="IHQ2" s="284"/>
      <c r="IHR2" s="284"/>
      <c r="IHS2" s="284"/>
      <c r="IHT2" s="284"/>
      <c r="IHU2" s="284"/>
      <c r="IHV2" s="284"/>
      <c r="IHW2" s="284"/>
      <c r="IHX2" s="284"/>
      <c r="IHY2" s="284"/>
      <c r="IHZ2" s="284"/>
      <c r="IIA2" s="284"/>
      <c r="IIB2" s="284"/>
      <c r="IIC2" s="284"/>
      <c r="IID2" s="284"/>
      <c r="IIE2" s="284"/>
      <c r="IIF2" s="284"/>
      <c r="IIG2" s="284"/>
      <c r="IIH2" s="284"/>
      <c r="III2" s="284"/>
      <c r="IIJ2" s="284"/>
      <c r="IIK2" s="284"/>
      <c r="IIL2" s="284"/>
      <c r="IIM2" s="284"/>
      <c r="IIN2" s="284"/>
      <c r="IIO2" s="284"/>
      <c r="IIP2" s="284"/>
      <c r="IIQ2" s="284"/>
      <c r="IIR2" s="284"/>
      <c r="IIS2" s="284"/>
      <c r="IIT2" s="284"/>
      <c r="IIU2" s="284"/>
      <c r="IIV2" s="284"/>
      <c r="IIW2" s="284"/>
      <c r="IIX2" s="284"/>
      <c r="IIY2" s="284"/>
      <c r="IIZ2" s="284"/>
      <c r="IJA2" s="284"/>
      <c r="IJB2" s="284"/>
      <c r="IJC2" s="284"/>
      <c r="IJD2" s="284"/>
      <c r="IJE2" s="284"/>
      <c r="IJF2" s="284"/>
      <c r="IJG2" s="284"/>
      <c r="IJH2" s="284"/>
      <c r="IJI2" s="284"/>
      <c r="IJJ2" s="284"/>
      <c r="IJK2" s="284"/>
      <c r="IJL2" s="284"/>
      <c r="IJM2" s="284"/>
      <c r="IJN2" s="284"/>
      <c r="IJO2" s="284"/>
      <c r="IJP2" s="284"/>
      <c r="IJQ2" s="284"/>
      <c r="IJR2" s="284"/>
      <c r="IJS2" s="284"/>
      <c r="IJT2" s="284"/>
      <c r="IJU2" s="284"/>
      <c r="IJV2" s="284"/>
      <c r="IJW2" s="284"/>
      <c r="IJX2" s="284"/>
      <c r="IJY2" s="284"/>
      <c r="IJZ2" s="284"/>
      <c r="IKA2" s="284"/>
      <c r="IKB2" s="284"/>
      <c r="IKC2" s="284"/>
      <c r="IKD2" s="284"/>
      <c r="IKE2" s="284"/>
      <c r="IKF2" s="284"/>
      <c r="IKG2" s="284"/>
      <c r="IKH2" s="284"/>
      <c r="IKI2" s="284"/>
      <c r="IKJ2" s="284"/>
      <c r="IKK2" s="284"/>
      <c r="IKL2" s="284"/>
      <c r="IKM2" s="284"/>
      <c r="IKN2" s="284"/>
      <c r="IKO2" s="284"/>
      <c r="IKP2" s="284"/>
      <c r="IKQ2" s="284"/>
      <c r="IKR2" s="284"/>
      <c r="IKS2" s="284"/>
      <c r="IKT2" s="284"/>
      <c r="IKU2" s="284"/>
      <c r="IKV2" s="284"/>
      <c r="IKW2" s="284"/>
      <c r="IKX2" s="284"/>
      <c r="IKY2" s="284"/>
      <c r="IKZ2" s="284"/>
      <c r="ILA2" s="284"/>
      <c r="ILB2" s="284"/>
      <c r="ILC2" s="284"/>
      <c r="ILD2" s="284"/>
      <c r="ILE2" s="284"/>
      <c r="ILF2" s="284"/>
      <c r="ILG2" s="284"/>
      <c r="ILH2" s="284"/>
      <c r="ILI2" s="284"/>
      <c r="ILJ2" s="284"/>
      <c r="ILK2" s="284"/>
      <c r="ILL2" s="284"/>
      <c r="ILM2" s="284"/>
      <c r="ILN2" s="284"/>
      <c r="ILO2" s="284"/>
      <c r="ILP2" s="284"/>
      <c r="ILQ2" s="284"/>
      <c r="ILR2" s="284"/>
      <c r="ILS2" s="284"/>
      <c r="ILT2" s="284"/>
      <c r="ILU2" s="284"/>
      <c r="ILV2" s="284"/>
      <c r="ILW2" s="284"/>
      <c r="ILX2" s="284"/>
      <c r="ILY2" s="284"/>
      <c r="ILZ2" s="284"/>
      <c r="IMA2" s="284"/>
      <c r="IMB2" s="284"/>
      <c r="IMC2" s="284"/>
      <c r="IMD2" s="284"/>
      <c r="IME2" s="284"/>
      <c r="IMF2" s="284"/>
      <c r="IMG2" s="284"/>
      <c r="IMH2" s="284"/>
      <c r="IMI2" s="284"/>
      <c r="IMJ2" s="284"/>
      <c r="IMK2" s="284"/>
      <c r="IML2" s="284"/>
      <c r="IMM2" s="284"/>
      <c r="IMN2" s="284"/>
      <c r="IMO2" s="284"/>
      <c r="IMP2" s="284"/>
      <c r="IMQ2" s="284"/>
      <c r="IMR2" s="284"/>
      <c r="IMS2" s="284"/>
      <c r="IMT2" s="284"/>
      <c r="IMU2" s="284"/>
      <c r="IMV2" s="284"/>
      <c r="IMW2" s="284"/>
      <c r="IMX2" s="284"/>
      <c r="IMY2" s="284"/>
      <c r="IMZ2" s="284"/>
      <c r="INA2" s="284"/>
      <c r="INB2" s="284"/>
      <c r="INC2" s="284"/>
      <c r="IND2" s="284"/>
      <c r="INE2" s="284"/>
      <c r="INF2" s="284"/>
      <c r="ING2" s="284"/>
      <c r="INH2" s="284"/>
      <c r="INI2" s="284"/>
      <c r="INJ2" s="284"/>
      <c r="INK2" s="284"/>
      <c r="INL2" s="284"/>
      <c r="INM2" s="284"/>
      <c r="INN2" s="284"/>
      <c r="INO2" s="284"/>
      <c r="INP2" s="284"/>
      <c r="INQ2" s="284"/>
      <c r="INR2" s="284"/>
      <c r="INS2" s="284"/>
      <c r="INT2" s="284"/>
      <c r="INU2" s="284"/>
      <c r="INV2" s="284"/>
      <c r="INW2" s="284"/>
      <c r="INX2" s="284"/>
      <c r="INY2" s="284"/>
      <c r="INZ2" s="284"/>
      <c r="IOA2" s="284"/>
      <c r="IOB2" s="284"/>
      <c r="IOC2" s="284"/>
      <c r="IOD2" s="284"/>
      <c r="IOE2" s="284"/>
      <c r="IOF2" s="284"/>
      <c r="IOG2" s="284"/>
      <c r="IOH2" s="284"/>
      <c r="IOI2" s="284"/>
      <c r="IOJ2" s="284"/>
      <c r="IOK2" s="284"/>
      <c r="IOL2" s="284"/>
      <c r="IOM2" s="284"/>
      <c r="ION2" s="284"/>
      <c r="IOO2" s="284"/>
      <c r="IOP2" s="284"/>
      <c r="IOQ2" s="284"/>
      <c r="IOR2" s="284"/>
      <c r="IOS2" s="284"/>
      <c r="IOT2" s="284"/>
      <c r="IOU2" s="284"/>
      <c r="IOV2" s="284"/>
      <c r="IOW2" s="284"/>
      <c r="IOX2" s="284"/>
      <c r="IOY2" s="284"/>
      <c r="IOZ2" s="284"/>
      <c r="IPA2" s="284"/>
      <c r="IPB2" s="284"/>
      <c r="IPC2" s="284"/>
      <c r="IPD2" s="284"/>
      <c r="IPE2" s="284"/>
      <c r="IPF2" s="284"/>
      <c r="IPG2" s="284"/>
      <c r="IPH2" s="284"/>
      <c r="IPI2" s="284"/>
      <c r="IPJ2" s="284"/>
      <c r="IPK2" s="284"/>
      <c r="IPL2" s="284"/>
      <c r="IPM2" s="284"/>
      <c r="IPN2" s="284"/>
      <c r="IPO2" s="284"/>
      <c r="IPP2" s="284"/>
      <c r="IPQ2" s="284"/>
      <c r="IPR2" s="284"/>
      <c r="IPS2" s="284"/>
      <c r="IPT2" s="284"/>
      <c r="IPU2" s="284"/>
      <c r="IPV2" s="284"/>
      <c r="IPW2" s="284"/>
      <c r="IPX2" s="284"/>
      <c r="IPY2" s="284"/>
      <c r="IPZ2" s="284"/>
      <c r="IQA2" s="284"/>
      <c r="IQB2" s="284"/>
      <c r="IQC2" s="284"/>
      <c r="IQD2" s="284"/>
      <c r="IQE2" s="284"/>
      <c r="IQF2" s="284"/>
      <c r="IQG2" s="284"/>
      <c r="IQH2" s="284"/>
      <c r="IQI2" s="284"/>
      <c r="IQJ2" s="284"/>
      <c r="IQK2" s="284"/>
      <c r="IQL2" s="284"/>
      <c r="IQM2" s="284"/>
      <c r="IQN2" s="284"/>
      <c r="IQO2" s="284"/>
      <c r="IQP2" s="284"/>
      <c r="IQQ2" s="284"/>
      <c r="IQR2" s="284"/>
      <c r="IQS2" s="284"/>
      <c r="IQT2" s="284"/>
      <c r="IQU2" s="284"/>
      <c r="IQV2" s="284"/>
      <c r="IQW2" s="284"/>
      <c r="IQX2" s="284"/>
      <c r="IQY2" s="284"/>
      <c r="IQZ2" s="284"/>
      <c r="IRA2" s="284"/>
      <c r="IRB2" s="284"/>
      <c r="IRC2" s="284"/>
      <c r="IRD2" s="284"/>
      <c r="IRE2" s="284"/>
      <c r="IRF2" s="284"/>
      <c r="IRG2" s="284"/>
      <c r="IRH2" s="284"/>
      <c r="IRI2" s="284"/>
      <c r="IRJ2" s="284"/>
      <c r="IRK2" s="284"/>
      <c r="IRL2" s="284"/>
      <c r="IRM2" s="284"/>
      <c r="IRN2" s="284"/>
      <c r="IRO2" s="284"/>
      <c r="IRP2" s="284"/>
      <c r="IRQ2" s="284"/>
      <c r="IRR2" s="284"/>
      <c r="IRS2" s="284"/>
      <c r="IRT2" s="284"/>
      <c r="IRU2" s="284"/>
      <c r="IRV2" s="284"/>
      <c r="IRW2" s="284"/>
      <c r="IRX2" s="284"/>
      <c r="IRY2" s="284"/>
      <c r="IRZ2" s="284"/>
      <c r="ISA2" s="284"/>
      <c r="ISB2" s="284"/>
      <c r="ISC2" s="284"/>
      <c r="ISD2" s="284"/>
      <c r="ISE2" s="284"/>
      <c r="ISF2" s="284"/>
      <c r="ISG2" s="284"/>
      <c r="ISH2" s="284"/>
      <c r="ISI2" s="284"/>
      <c r="ISJ2" s="284"/>
      <c r="ISK2" s="284"/>
      <c r="ISL2" s="284"/>
      <c r="ISM2" s="284"/>
      <c r="ISN2" s="284"/>
      <c r="ISO2" s="284"/>
      <c r="ISP2" s="284"/>
      <c r="ISQ2" s="284"/>
      <c r="ISR2" s="284"/>
      <c r="ISS2" s="284"/>
      <c r="IST2" s="284"/>
      <c r="ISU2" s="284"/>
      <c r="ISV2" s="284"/>
      <c r="ISW2" s="284"/>
      <c r="ISX2" s="284"/>
      <c r="ISY2" s="284"/>
      <c r="ISZ2" s="284"/>
      <c r="ITA2" s="284"/>
      <c r="ITB2" s="284"/>
      <c r="ITC2" s="284"/>
      <c r="ITD2" s="284"/>
      <c r="ITE2" s="284"/>
      <c r="ITF2" s="284"/>
      <c r="ITG2" s="284"/>
      <c r="ITH2" s="284"/>
      <c r="ITI2" s="284"/>
      <c r="ITJ2" s="284"/>
      <c r="ITK2" s="284"/>
      <c r="ITL2" s="284"/>
      <c r="ITM2" s="284"/>
      <c r="ITN2" s="284"/>
      <c r="ITO2" s="284"/>
      <c r="ITP2" s="284"/>
      <c r="ITQ2" s="284"/>
      <c r="ITR2" s="284"/>
      <c r="ITS2" s="284"/>
      <c r="ITT2" s="284"/>
      <c r="ITU2" s="284"/>
      <c r="ITV2" s="284"/>
      <c r="ITW2" s="284"/>
      <c r="ITX2" s="284"/>
      <c r="ITY2" s="284"/>
      <c r="ITZ2" s="284"/>
      <c r="IUA2" s="284"/>
      <c r="IUB2" s="284"/>
      <c r="IUC2" s="284"/>
      <c r="IUD2" s="284"/>
      <c r="IUE2" s="284"/>
      <c r="IUF2" s="284"/>
      <c r="IUG2" s="284"/>
      <c r="IUH2" s="284"/>
      <c r="IUI2" s="284"/>
      <c r="IUJ2" s="284"/>
      <c r="IUK2" s="284"/>
      <c r="IUL2" s="284"/>
      <c r="IUM2" s="284"/>
      <c r="IUN2" s="284"/>
      <c r="IUO2" s="284"/>
      <c r="IUP2" s="284"/>
      <c r="IUQ2" s="284"/>
      <c r="IUR2" s="284"/>
      <c r="IUS2" s="284"/>
      <c r="IUT2" s="284"/>
      <c r="IUU2" s="284"/>
      <c r="IUV2" s="284"/>
      <c r="IUW2" s="284"/>
      <c r="IUX2" s="284"/>
      <c r="IUY2" s="284"/>
      <c r="IUZ2" s="284"/>
      <c r="IVA2" s="284"/>
      <c r="IVB2" s="284"/>
      <c r="IVC2" s="284"/>
      <c r="IVD2" s="284"/>
      <c r="IVE2" s="284"/>
      <c r="IVF2" s="284"/>
      <c r="IVG2" s="284"/>
      <c r="IVH2" s="284"/>
      <c r="IVI2" s="284"/>
      <c r="IVJ2" s="284"/>
      <c r="IVK2" s="284"/>
      <c r="IVL2" s="284"/>
      <c r="IVM2" s="284"/>
      <c r="IVN2" s="284"/>
      <c r="IVO2" s="284"/>
      <c r="IVP2" s="284"/>
      <c r="IVQ2" s="284"/>
      <c r="IVR2" s="284"/>
      <c r="IVS2" s="284"/>
      <c r="IVT2" s="284"/>
      <c r="IVU2" s="284"/>
      <c r="IVV2" s="284"/>
      <c r="IVW2" s="284"/>
      <c r="IVX2" s="284"/>
      <c r="IVY2" s="284"/>
      <c r="IVZ2" s="284"/>
      <c r="IWA2" s="284"/>
      <c r="IWB2" s="284"/>
      <c r="IWC2" s="284"/>
      <c r="IWD2" s="284"/>
      <c r="IWE2" s="284"/>
      <c r="IWF2" s="284"/>
      <c r="IWG2" s="284"/>
      <c r="IWH2" s="284"/>
      <c r="IWI2" s="284"/>
      <c r="IWJ2" s="284"/>
      <c r="IWK2" s="284"/>
      <c r="IWL2" s="284"/>
      <c r="IWM2" s="284"/>
      <c r="IWN2" s="284"/>
      <c r="IWO2" s="284"/>
      <c r="IWP2" s="284"/>
      <c r="IWQ2" s="284"/>
      <c r="IWR2" s="284"/>
      <c r="IWS2" s="284"/>
      <c r="IWT2" s="284"/>
      <c r="IWU2" s="284"/>
      <c r="IWV2" s="284"/>
      <c r="IWW2" s="284"/>
      <c r="IWX2" s="284"/>
      <c r="IWY2" s="284"/>
      <c r="IWZ2" s="284"/>
      <c r="IXA2" s="284"/>
      <c r="IXB2" s="284"/>
      <c r="IXC2" s="284"/>
      <c r="IXD2" s="284"/>
      <c r="IXE2" s="284"/>
      <c r="IXF2" s="284"/>
      <c r="IXG2" s="284"/>
      <c r="IXH2" s="284"/>
      <c r="IXI2" s="284"/>
      <c r="IXJ2" s="284"/>
      <c r="IXK2" s="284"/>
      <c r="IXL2" s="284"/>
      <c r="IXM2" s="284"/>
      <c r="IXN2" s="284"/>
      <c r="IXO2" s="284"/>
      <c r="IXP2" s="284"/>
      <c r="IXQ2" s="284"/>
      <c r="IXR2" s="284"/>
      <c r="IXS2" s="284"/>
      <c r="IXT2" s="284"/>
      <c r="IXU2" s="284"/>
      <c r="IXV2" s="284"/>
      <c r="IXW2" s="284"/>
      <c r="IXX2" s="284"/>
      <c r="IXY2" s="284"/>
      <c r="IXZ2" s="284"/>
      <c r="IYA2" s="284"/>
      <c r="IYB2" s="284"/>
      <c r="IYC2" s="284"/>
      <c r="IYD2" s="284"/>
      <c r="IYE2" s="284"/>
      <c r="IYF2" s="284"/>
      <c r="IYG2" s="284"/>
      <c r="IYH2" s="284"/>
      <c r="IYI2" s="284"/>
      <c r="IYJ2" s="284"/>
      <c r="IYK2" s="284"/>
      <c r="IYL2" s="284"/>
      <c r="IYM2" s="284"/>
      <c r="IYN2" s="284"/>
      <c r="IYO2" s="284"/>
      <c r="IYP2" s="284"/>
      <c r="IYQ2" s="284"/>
      <c r="IYR2" s="284"/>
      <c r="IYS2" s="284"/>
      <c r="IYT2" s="284"/>
      <c r="IYU2" s="284"/>
      <c r="IYV2" s="284"/>
      <c r="IYW2" s="284"/>
      <c r="IYX2" s="284"/>
      <c r="IYY2" s="284"/>
      <c r="IYZ2" s="284"/>
      <c r="IZA2" s="284"/>
      <c r="IZB2" s="284"/>
      <c r="IZC2" s="284"/>
      <c r="IZD2" s="284"/>
      <c r="IZE2" s="284"/>
      <c r="IZF2" s="284"/>
      <c r="IZG2" s="284"/>
      <c r="IZH2" s="284"/>
      <c r="IZI2" s="284"/>
      <c r="IZJ2" s="284"/>
      <c r="IZK2" s="284"/>
      <c r="IZL2" s="284"/>
      <c r="IZM2" s="284"/>
      <c r="IZN2" s="284"/>
      <c r="IZO2" s="284"/>
      <c r="IZP2" s="284"/>
      <c r="IZQ2" s="284"/>
      <c r="IZR2" s="284"/>
      <c r="IZS2" s="284"/>
      <c r="IZT2" s="284"/>
      <c r="IZU2" s="284"/>
      <c r="IZV2" s="284"/>
      <c r="IZW2" s="284"/>
      <c r="IZX2" s="284"/>
      <c r="IZY2" s="284"/>
      <c r="IZZ2" s="284"/>
      <c r="JAA2" s="284"/>
      <c r="JAB2" s="284"/>
      <c r="JAC2" s="284"/>
      <c r="JAD2" s="284"/>
      <c r="JAE2" s="284"/>
      <c r="JAF2" s="284"/>
      <c r="JAG2" s="284"/>
      <c r="JAH2" s="284"/>
      <c r="JAI2" s="284"/>
      <c r="JAJ2" s="284"/>
      <c r="JAK2" s="284"/>
      <c r="JAL2" s="284"/>
      <c r="JAM2" s="284"/>
      <c r="JAN2" s="284"/>
      <c r="JAO2" s="284"/>
      <c r="JAP2" s="284"/>
      <c r="JAQ2" s="284"/>
      <c r="JAR2" s="284"/>
      <c r="JAS2" s="284"/>
      <c r="JAT2" s="284"/>
      <c r="JAU2" s="284"/>
      <c r="JAV2" s="284"/>
      <c r="JAW2" s="284"/>
      <c r="JAX2" s="284"/>
      <c r="JAY2" s="284"/>
      <c r="JAZ2" s="284"/>
      <c r="JBA2" s="284"/>
      <c r="JBB2" s="284"/>
      <c r="JBC2" s="284"/>
      <c r="JBD2" s="284"/>
      <c r="JBE2" s="284"/>
      <c r="JBF2" s="284"/>
      <c r="JBG2" s="284"/>
      <c r="JBH2" s="284"/>
      <c r="JBI2" s="284"/>
      <c r="JBJ2" s="284"/>
      <c r="JBK2" s="284"/>
      <c r="JBL2" s="284"/>
      <c r="JBM2" s="284"/>
      <c r="JBN2" s="284"/>
      <c r="JBO2" s="284"/>
      <c r="JBP2" s="284"/>
      <c r="JBQ2" s="284"/>
      <c r="JBR2" s="284"/>
      <c r="JBS2" s="284"/>
      <c r="JBT2" s="284"/>
      <c r="JBU2" s="284"/>
      <c r="JBV2" s="284"/>
      <c r="JBW2" s="284"/>
      <c r="JBX2" s="284"/>
      <c r="JBY2" s="284"/>
      <c r="JBZ2" s="284"/>
      <c r="JCA2" s="284"/>
      <c r="JCB2" s="284"/>
      <c r="JCC2" s="284"/>
      <c r="JCD2" s="284"/>
      <c r="JCE2" s="284"/>
      <c r="JCF2" s="284"/>
      <c r="JCG2" s="284"/>
      <c r="JCH2" s="284"/>
      <c r="JCI2" s="284"/>
      <c r="JCJ2" s="284"/>
      <c r="JCK2" s="284"/>
      <c r="JCL2" s="284"/>
      <c r="JCM2" s="284"/>
      <c r="JCN2" s="284"/>
      <c r="JCO2" s="284"/>
      <c r="JCP2" s="284"/>
      <c r="JCQ2" s="284"/>
      <c r="JCR2" s="284"/>
      <c r="JCS2" s="284"/>
      <c r="JCT2" s="284"/>
      <c r="JCU2" s="284"/>
      <c r="JCV2" s="284"/>
      <c r="JCW2" s="284"/>
      <c r="JCX2" s="284"/>
      <c r="JCY2" s="284"/>
      <c r="JCZ2" s="284"/>
      <c r="JDA2" s="284"/>
      <c r="JDB2" s="284"/>
      <c r="JDC2" s="284"/>
      <c r="JDD2" s="284"/>
      <c r="JDE2" s="284"/>
      <c r="JDF2" s="284"/>
      <c r="JDG2" s="284"/>
      <c r="JDH2" s="284"/>
      <c r="JDI2" s="284"/>
      <c r="JDJ2" s="284"/>
      <c r="JDK2" s="284"/>
      <c r="JDL2" s="284"/>
      <c r="JDM2" s="284"/>
      <c r="JDN2" s="284"/>
      <c r="JDO2" s="284"/>
      <c r="JDP2" s="284"/>
      <c r="JDQ2" s="284"/>
      <c r="JDR2" s="284"/>
      <c r="JDS2" s="284"/>
      <c r="JDT2" s="284"/>
      <c r="JDU2" s="284"/>
      <c r="JDV2" s="284"/>
      <c r="JDW2" s="284"/>
      <c r="JDX2" s="284"/>
      <c r="JDY2" s="284"/>
      <c r="JDZ2" s="284"/>
      <c r="JEA2" s="284"/>
      <c r="JEB2" s="284"/>
      <c r="JEC2" s="284"/>
      <c r="JED2" s="284"/>
      <c r="JEE2" s="284"/>
      <c r="JEF2" s="284"/>
      <c r="JEG2" s="284"/>
      <c r="JEH2" s="284"/>
      <c r="JEI2" s="284"/>
      <c r="JEJ2" s="284"/>
      <c r="JEK2" s="284"/>
      <c r="JEL2" s="284"/>
      <c r="JEM2" s="284"/>
      <c r="JEN2" s="284"/>
      <c r="JEO2" s="284"/>
      <c r="JEP2" s="284"/>
      <c r="JEQ2" s="284"/>
      <c r="JER2" s="284"/>
      <c r="JES2" s="284"/>
      <c r="JET2" s="284"/>
      <c r="JEU2" s="284"/>
      <c r="JEV2" s="284"/>
      <c r="JEW2" s="284"/>
      <c r="JEX2" s="284"/>
      <c r="JEY2" s="284"/>
      <c r="JEZ2" s="284"/>
      <c r="JFA2" s="284"/>
      <c r="JFB2" s="284"/>
      <c r="JFC2" s="284"/>
      <c r="JFD2" s="284"/>
      <c r="JFE2" s="284"/>
      <c r="JFF2" s="284"/>
      <c r="JFG2" s="284"/>
      <c r="JFH2" s="284"/>
      <c r="JFI2" s="284"/>
      <c r="JFJ2" s="284"/>
      <c r="JFK2" s="284"/>
      <c r="JFL2" s="284"/>
      <c r="JFM2" s="284"/>
      <c r="JFN2" s="284"/>
      <c r="JFO2" s="284"/>
      <c r="JFP2" s="284"/>
      <c r="JFQ2" s="284"/>
      <c r="JFR2" s="284"/>
      <c r="JFS2" s="284"/>
      <c r="JFT2" s="284"/>
      <c r="JFU2" s="284"/>
      <c r="JFV2" s="284"/>
      <c r="JFW2" s="284"/>
      <c r="JFX2" s="284"/>
      <c r="JFY2" s="284"/>
      <c r="JFZ2" s="284"/>
      <c r="JGA2" s="284"/>
      <c r="JGB2" s="284"/>
      <c r="JGC2" s="284"/>
      <c r="JGD2" s="284"/>
      <c r="JGE2" s="284"/>
      <c r="JGF2" s="284"/>
      <c r="JGG2" s="284"/>
      <c r="JGH2" s="284"/>
      <c r="JGI2" s="284"/>
      <c r="JGJ2" s="284"/>
      <c r="JGK2" s="284"/>
      <c r="JGL2" s="284"/>
      <c r="JGM2" s="284"/>
      <c r="JGN2" s="284"/>
      <c r="JGO2" s="284"/>
      <c r="JGP2" s="284"/>
      <c r="JGQ2" s="284"/>
      <c r="JGR2" s="284"/>
      <c r="JGS2" s="284"/>
      <c r="JGT2" s="284"/>
      <c r="JGU2" s="284"/>
      <c r="JGV2" s="284"/>
      <c r="JGW2" s="284"/>
      <c r="JGX2" s="284"/>
      <c r="JGY2" s="284"/>
      <c r="JGZ2" s="284"/>
      <c r="JHA2" s="284"/>
      <c r="JHB2" s="284"/>
      <c r="JHC2" s="284"/>
      <c r="JHD2" s="284"/>
      <c r="JHE2" s="284"/>
      <c r="JHF2" s="284"/>
      <c r="JHG2" s="284"/>
      <c r="JHH2" s="284"/>
      <c r="JHI2" s="284"/>
      <c r="JHJ2" s="284"/>
      <c r="JHK2" s="284"/>
      <c r="JHL2" s="284"/>
      <c r="JHM2" s="284"/>
      <c r="JHN2" s="284"/>
      <c r="JHO2" s="284"/>
      <c r="JHP2" s="284"/>
      <c r="JHQ2" s="284"/>
      <c r="JHR2" s="284"/>
      <c r="JHS2" s="284"/>
      <c r="JHT2" s="284"/>
      <c r="JHU2" s="284"/>
      <c r="JHV2" s="284"/>
      <c r="JHW2" s="284"/>
      <c r="JHX2" s="284"/>
      <c r="JHY2" s="284"/>
      <c r="JHZ2" s="284"/>
      <c r="JIA2" s="284"/>
      <c r="JIB2" s="284"/>
      <c r="JIC2" s="284"/>
      <c r="JID2" s="284"/>
      <c r="JIE2" s="284"/>
      <c r="JIF2" s="284"/>
      <c r="JIG2" s="284"/>
      <c r="JIH2" s="284"/>
      <c r="JII2" s="284"/>
      <c r="JIJ2" s="284"/>
      <c r="JIK2" s="284"/>
      <c r="JIL2" s="284"/>
      <c r="JIM2" s="284"/>
      <c r="JIN2" s="284"/>
      <c r="JIO2" s="284"/>
      <c r="JIP2" s="284"/>
      <c r="JIQ2" s="284"/>
      <c r="JIR2" s="284"/>
      <c r="JIS2" s="284"/>
      <c r="JIT2" s="284"/>
      <c r="JIU2" s="284"/>
      <c r="JIV2" s="284"/>
      <c r="JIW2" s="284"/>
      <c r="JIX2" s="284"/>
      <c r="JIY2" s="284"/>
      <c r="JIZ2" s="284"/>
      <c r="JJA2" s="284"/>
      <c r="JJB2" s="284"/>
      <c r="JJC2" s="284"/>
      <c r="JJD2" s="284"/>
      <c r="JJE2" s="284"/>
      <c r="JJF2" s="284"/>
      <c r="JJG2" s="284"/>
      <c r="JJH2" s="284"/>
      <c r="JJI2" s="284"/>
      <c r="JJJ2" s="284"/>
      <c r="JJK2" s="284"/>
      <c r="JJL2" s="284"/>
      <c r="JJM2" s="284"/>
      <c r="JJN2" s="284"/>
      <c r="JJO2" s="284"/>
      <c r="JJP2" s="284"/>
      <c r="JJQ2" s="284"/>
      <c r="JJR2" s="284"/>
      <c r="JJS2" s="284"/>
      <c r="JJT2" s="284"/>
      <c r="JJU2" s="284"/>
      <c r="JJV2" s="284"/>
      <c r="JJW2" s="284"/>
      <c r="JJX2" s="284"/>
      <c r="JJY2" s="284"/>
      <c r="JJZ2" s="284"/>
      <c r="JKA2" s="284"/>
      <c r="JKB2" s="284"/>
      <c r="JKC2" s="284"/>
      <c r="JKD2" s="284"/>
      <c r="JKE2" s="284"/>
      <c r="JKF2" s="284"/>
      <c r="JKG2" s="284"/>
      <c r="JKH2" s="284"/>
      <c r="JKI2" s="284"/>
      <c r="JKJ2" s="284"/>
      <c r="JKK2" s="284"/>
      <c r="JKL2" s="284"/>
      <c r="JKM2" s="284"/>
      <c r="JKN2" s="284"/>
      <c r="JKO2" s="284"/>
      <c r="JKP2" s="284"/>
      <c r="JKQ2" s="284"/>
      <c r="JKR2" s="284"/>
      <c r="JKS2" s="284"/>
      <c r="JKT2" s="284"/>
      <c r="JKU2" s="284"/>
      <c r="JKV2" s="284"/>
      <c r="JKW2" s="284"/>
      <c r="JKX2" s="284"/>
      <c r="JKY2" s="284"/>
      <c r="JKZ2" s="284"/>
      <c r="JLA2" s="284"/>
      <c r="JLB2" s="284"/>
      <c r="JLC2" s="284"/>
      <c r="JLD2" s="284"/>
      <c r="JLE2" s="284"/>
      <c r="JLF2" s="284"/>
      <c r="JLG2" s="284"/>
      <c r="JLH2" s="284"/>
      <c r="JLI2" s="284"/>
      <c r="JLJ2" s="284"/>
      <c r="JLK2" s="284"/>
      <c r="JLL2" s="284"/>
      <c r="JLM2" s="284"/>
      <c r="JLN2" s="284"/>
      <c r="JLO2" s="284"/>
      <c r="JLP2" s="284"/>
      <c r="JLQ2" s="284"/>
      <c r="JLR2" s="284"/>
      <c r="JLS2" s="284"/>
      <c r="JLT2" s="284"/>
      <c r="JLU2" s="284"/>
      <c r="JLV2" s="284"/>
      <c r="JLW2" s="284"/>
      <c r="JLX2" s="284"/>
      <c r="JLY2" s="284"/>
      <c r="JLZ2" s="284"/>
      <c r="JMA2" s="284"/>
      <c r="JMB2" s="284"/>
      <c r="JMC2" s="284"/>
      <c r="JMD2" s="284"/>
      <c r="JME2" s="284"/>
      <c r="JMF2" s="284"/>
      <c r="JMG2" s="284"/>
      <c r="JMH2" s="284"/>
      <c r="JMI2" s="284"/>
      <c r="JMJ2" s="284"/>
      <c r="JMK2" s="284"/>
      <c r="JML2" s="284"/>
      <c r="JMM2" s="284"/>
      <c r="JMN2" s="284"/>
      <c r="JMO2" s="284"/>
      <c r="JMP2" s="284"/>
      <c r="JMQ2" s="284"/>
      <c r="JMR2" s="284"/>
      <c r="JMS2" s="284"/>
      <c r="JMT2" s="284"/>
      <c r="JMU2" s="284"/>
      <c r="JMV2" s="284"/>
      <c r="JMW2" s="284"/>
      <c r="JMX2" s="284"/>
      <c r="JMY2" s="284"/>
      <c r="JMZ2" s="284"/>
      <c r="JNA2" s="284"/>
      <c r="JNB2" s="284"/>
      <c r="JNC2" s="284"/>
      <c r="JND2" s="284"/>
      <c r="JNE2" s="284"/>
      <c r="JNF2" s="284"/>
      <c r="JNG2" s="284"/>
      <c r="JNH2" s="284"/>
      <c r="JNI2" s="284"/>
      <c r="JNJ2" s="284"/>
      <c r="JNK2" s="284"/>
      <c r="JNL2" s="284"/>
      <c r="JNM2" s="284"/>
      <c r="JNN2" s="284"/>
      <c r="JNO2" s="284"/>
      <c r="JNP2" s="284"/>
      <c r="JNQ2" s="284"/>
      <c r="JNR2" s="284"/>
      <c r="JNS2" s="284"/>
      <c r="JNT2" s="284"/>
      <c r="JNU2" s="284"/>
      <c r="JNV2" s="284"/>
      <c r="JNW2" s="284"/>
      <c r="JNX2" s="284"/>
      <c r="JNY2" s="284"/>
      <c r="JNZ2" s="284"/>
      <c r="JOA2" s="284"/>
      <c r="JOB2" s="284"/>
      <c r="JOC2" s="284"/>
      <c r="JOD2" s="284"/>
      <c r="JOE2" s="284"/>
      <c r="JOF2" s="284"/>
      <c r="JOG2" s="284"/>
      <c r="JOH2" s="284"/>
      <c r="JOI2" s="284"/>
      <c r="JOJ2" s="284"/>
      <c r="JOK2" s="284"/>
      <c r="JOL2" s="284"/>
      <c r="JOM2" s="284"/>
      <c r="JON2" s="284"/>
      <c r="JOO2" s="284"/>
      <c r="JOP2" s="284"/>
      <c r="JOQ2" s="284"/>
      <c r="JOR2" s="284"/>
      <c r="JOS2" s="284"/>
      <c r="JOT2" s="284"/>
      <c r="JOU2" s="284"/>
      <c r="JOV2" s="284"/>
      <c r="JOW2" s="284"/>
      <c r="JOX2" s="284"/>
      <c r="JOY2" s="284"/>
      <c r="JOZ2" s="284"/>
      <c r="JPA2" s="284"/>
      <c r="JPB2" s="284"/>
      <c r="JPC2" s="284"/>
      <c r="JPD2" s="284"/>
      <c r="JPE2" s="284"/>
      <c r="JPF2" s="284"/>
      <c r="JPG2" s="284"/>
      <c r="JPH2" s="284"/>
      <c r="JPI2" s="284"/>
      <c r="JPJ2" s="284"/>
      <c r="JPK2" s="284"/>
      <c r="JPL2" s="284"/>
      <c r="JPM2" s="284"/>
      <c r="JPN2" s="284"/>
      <c r="JPO2" s="284"/>
      <c r="JPP2" s="284"/>
      <c r="JPQ2" s="284"/>
      <c r="JPR2" s="284"/>
      <c r="JPS2" s="284"/>
      <c r="JPT2" s="284"/>
      <c r="JPU2" s="284"/>
      <c r="JPV2" s="284"/>
      <c r="JPW2" s="284"/>
      <c r="JPX2" s="284"/>
      <c r="JPY2" s="284"/>
      <c r="JPZ2" s="284"/>
      <c r="JQA2" s="284"/>
      <c r="JQB2" s="284"/>
      <c r="JQC2" s="284"/>
      <c r="JQD2" s="284"/>
      <c r="JQE2" s="284"/>
      <c r="JQF2" s="284"/>
      <c r="JQG2" s="284"/>
      <c r="JQH2" s="284"/>
      <c r="JQI2" s="284"/>
      <c r="JQJ2" s="284"/>
      <c r="JQK2" s="284"/>
      <c r="JQL2" s="284"/>
      <c r="JQM2" s="284"/>
      <c r="JQN2" s="284"/>
      <c r="JQO2" s="284"/>
      <c r="JQP2" s="284"/>
      <c r="JQQ2" s="284"/>
      <c r="JQR2" s="284"/>
      <c r="JQS2" s="284"/>
      <c r="JQT2" s="284"/>
      <c r="JQU2" s="284"/>
      <c r="JQV2" s="284"/>
      <c r="JQW2" s="284"/>
      <c r="JQX2" s="284"/>
      <c r="JQY2" s="284"/>
      <c r="JQZ2" s="284"/>
      <c r="JRA2" s="284"/>
      <c r="JRB2" s="284"/>
      <c r="JRC2" s="284"/>
      <c r="JRD2" s="284"/>
      <c r="JRE2" s="284"/>
      <c r="JRF2" s="284"/>
      <c r="JRG2" s="284"/>
      <c r="JRH2" s="284"/>
      <c r="JRI2" s="284"/>
      <c r="JRJ2" s="284"/>
      <c r="JRK2" s="284"/>
      <c r="JRL2" s="284"/>
      <c r="JRM2" s="284"/>
      <c r="JRN2" s="284"/>
      <c r="JRO2" s="284"/>
      <c r="JRP2" s="284"/>
      <c r="JRQ2" s="284"/>
      <c r="JRR2" s="284"/>
      <c r="JRS2" s="284"/>
      <c r="JRT2" s="284"/>
      <c r="JRU2" s="284"/>
      <c r="JRV2" s="284"/>
      <c r="JRW2" s="284"/>
      <c r="JRX2" s="284"/>
      <c r="JRY2" s="284"/>
      <c r="JRZ2" s="284"/>
      <c r="JSA2" s="284"/>
      <c r="JSB2" s="284"/>
      <c r="JSC2" s="284"/>
      <c r="JSD2" s="284"/>
      <c r="JSE2" s="284"/>
      <c r="JSF2" s="284"/>
      <c r="JSG2" s="284"/>
      <c r="JSH2" s="284"/>
      <c r="JSI2" s="284"/>
      <c r="JSJ2" s="284"/>
      <c r="JSK2" s="284"/>
      <c r="JSL2" s="284"/>
      <c r="JSM2" s="284"/>
      <c r="JSN2" s="284"/>
      <c r="JSO2" s="284"/>
      <c r="JSP2" s="284"/>
      <c r="JSQ2" s="284"/>
      <c r="JSR2" s="284"/>
      <c r="JSS2" s="284"/>
      <c r="JST2" s="284"/>
      <c r="JSU2" s="284"/>
      <c r="JSV2" s="284"/>
      <c r="JSW2" s="284"/>
      <c r="JSX2" s="284"/>
      <c r="JSY2" s="284"/>
      <c r="JSZ2" s="284"/>
      <c r="JTA2" s="284"/>
      <c r="JTB2" s="284"/>
      <c r="JTC2" s="284"/>
      <c r="JTD2" s="284"/>
      <c r="JTE2" s="284"/>
      <c r="JTF2" s="284"/>
      <c r="JTG2" s="284"/>
      <c r="JTH2" s="284"/>
      <c r="JTI2" s="284"/>
      <c r="JTJ2" s="284"/>
      <c r="JTK2" s="284"/>
      <c r="JTL2" s="284"/>
      <c r="JTM2" s="284"/>
      <c r="JTN2" s="284"/>
      <c r="JTO2" s="284"/>
      <c r="JTP2" s="284"/>
      <c r="JTQ2" s="284"/>
      <c r="JTR2" s="284"/>
      <c r="JTS2" s="284"/>
      <c r="JTT2" s="284"/>
      <c r="JTU2" s="284"/>
      <c r="JTV2" s="284"/>
      <c r="JTW2" s="284"/>
      <c r="JTX2" s="284"/>
      <c r="JTY2" s="284"/>
      <c r="JTZ2" s="284"/>
      <c r="JUA2" s="284"/>
      <c r="JUB2" s="284"/>
      <c r="JUC2" s="284"/>
      <c r="JUD2" s="284"/>
      <c r="JUE2" s="284"/>
      <c r="JUF2" s="284"/>
      <c r="JUG2" s="284"/>
      <c r="JUH2" s="284"/>
      <c r="JUI2" s="284"/>
      <c r="JUJ2" s="284"/>
      <c r="JUK2" s="284"/>
      <c r="JUL2" s="284"/>
      <c r="JUM2" s="284"/>
      <c r="JUN2" s="284"/>
      <c r="JUO2" s="284"/>
      <c r="JUP2" s="284"/>
      <c r="JUQ2" s="284"/>
      <c r="JUR2" s="284"/>
      <c r="JUS2" s="284"/>
      <c r="JUT2" s="284"/>
      <c r="JUU2" s="284"/>
      <c r="JUV2" s="284"/>
      <c r="JUW2" s="284"/>
      <c r="JUX2" s="284"/>
      <c r="JUY2" s="284"/>
      <c r="JUZ2" s="284"/>
      <c r="JVA2" s="284"/>
      <c r="JVB2" s="284"/>
      <c r="JVC2" s="284"/>
      <c r="JVD2" s="284"/>
      <c r="JVE2" s="284"/>
      <c r="JVF2" s="284"/>
      <c r="JVG2" s="284"/>
      <c r="JVH2" s="284"/>
      <c r="JVI2" s="284"/>
      <c r="JVJ2" s="284"/>
      <c r="JVK2" s="284"/>
      <c r="JVL2" s="284"/>
      <c r="JVM2" s="284"/>
      <c r="JVN2" s="284"/>
      <c r="JVO2" s="284"/>
      <c r="JVP2" s="284"/>
      <c r="JVQ2" s="284"/>
      <c r="JVR2" s="284"/>
      <c r="JVS2" s="284"/>
      <c r="JVT2" s="284"/>
      <c r="JVU2" s="284"/>
      <c r="JVV2" s="284"/>
      <c r="JVW2" s="284"/>
      <c r="JVX2" s="284"/>
      <c r="JVY2" s="284"/>
      <c r="JVZ2" s="284"/>
      <c r="JWA2" s="284"/>
      <c r="JWB2" s="284"/>
      <c r="JWC2" s="284"/>
      <c r="JWD2" s="284"/>
      <c r="JWE2" s="284"/>
      <c r="JWF2" s="284"/>
      <c r="JWG2" s="284"/>
      <c r="JWH2" s="284"/>
      <c r="JWI2" s="284"/>
      <c r="JWJ2" s="284"/>
      <c r="JWK2" s="284"/>
      <c r="JWL2" s="284"/>
      <c r="JWM2" s="284"/>
      <c r="JWN2" s="284"/>
      <c r="JWO2" s="284"/>
      <c r="JWP2" s="284"/>
      <c r="JWQ2" s="284"/>
      <c r="JWR2" s="284"/>
      <c r="JWS2" s="284"/>
      <c r="JWT2" s="284"/>
      <c r="JWU2" s="284"/>
      <c r="JWV2" s="284"/>
      <c r="JWW2" s="284"/>
      <c r="JWX2" s="284"/>
      <c r="JWY2" s="284"/>
      <c r="JWZ2" s="284"/>
      <c r="JXA2" s="284"/>
      <c r="JXB2" s="284"/>
      <c r="JXC2" s="284"/>
      <c r="JXD2" s="284"/>
      <c r="JXE2" s="284"/>
      <c r="JXF2" s="284"/>
      <c r="JXG2" s="284"/>
      <c r="JXH2" s="284"/>
      <c r="JXI2" s="284"/>
      <c r="JXJ2" s="284"/>
      <c r="JXK2" s="284"/>
      <c r="JXL2" s="284"/>
      <c r="JXM2" s="284"/>
      <c r="JXN2" s="284"/>
      <c r="JXO2" s="284"/>
      <c r="JXP2" s="284"/>
      <c r="JXQ2" s="284"/>
      <c r="JXR2" s="284"/>
      <c r="JXS2" s="284"/>
      <c r="JXT2" s="284"/>
      <c r="JXU2" s="284"/>
      <c r="JXV2" s="284"/>
      <c r="JXW2" s="284"/>
      <c r="JXX2" s="284"/>
      <c r="JXY2" s="284"/>
      <c r="JXZ2" s="284"/>
      <c r="JYA2" s="284"/>
      <c r="JYB2" s="284"/>
      <c r="JYC2" s="284"/>
      <c r="JYD2" s="284"/>
      <c r="JYE2" s="284"/>
      <c r="JYF2" s="284"/>
      <c r="JYG2" s="284"/>
      <c r="JYH2" s="284"/>
      <c r="JYI2" s="284"/>
      <c r="JYJ2" s="284"/>
      <c r="JYK2" s="284"/>
      <c r="JYL2" s="284"/>
      <c r="JYM2" s="284"/>
      <c r="JYN2" s="284"/>
      <c r="JYO2" s="284"/>
      <c r="JYP2" s="284"/>
      <c r="JYQ2" s="284"/>
      <c r="JYR2" s="284"/>
      <c r="JYS2" s="284"/>
      <c r="JYT2" s="284"/>
      <c r="JYU2" s="284"/>
      <c r="JYV2" s="284"/>
      <c r="JYW2" s="284"/>
      <c r="JYX2" s="284"/>
      <c r="JYY2" s="284"/>
      <c r="JYZ2" s="284"/>
      <c r="JZA2" s="284"/>
      <c r="JZB2" s="284"/>
      <c r="JZC2" s="284"/>
      <c r="JZD2" s="284"/>
      <c r="JZE2" s="284"/>
      <c r="JZF2" s="284"/>
      <c r="JZG2" s="284"/>
      <c r="JZH2" s="284"/>
      <c r="JZI2" s="284"/>
      <c r="JZJ2" s="284"/>
      <c r="JZK2" s="284"/>
      <c r="JZL2" s="284"/>
      <c r="JZM2" s="284"/>
      <c r="JZN2" s="284"/>
      <c r="JZO2" s="284"/>
      <c r="JZP2" s="284"/>
      <c r="JZQ2" s="284"/>
      <c r="JZR2" s="284"/>
      <c r="JZS2" s="284"/>
      <c r="JZT2" s="284"/>
      <c r="JZU2" s="284"/>
      <c r="JZV2" s="284"/>
      <c r="JZW2" s="284"/>
      <c r="JZX2" s="284"/>
      <c r="JZY2" s="284"/>
      <c r="JZZ2" s="284"/>
      <c r="KAA2" s="284"/>
      <c r="KAB2" s="284"/>
      <c r="KAC2" s="284"/>
      <c r="KAD2" s="284"/>
      <c r="KAE2" s="284"/>
      <c r="KAF2" s="284"/>
      <c r="KAG2" s="284"/>
      <c r="KAH2" s="284"/>
      <c r="KAI2" s="284"/>
      <c r="KAJ2" s="284"/>
      <c r="KAK2" s="284"/>
      <c r="KAL2" s="284"/>
      <c r="KAM2" s="284"/>
      <c r="KAN2" s="284"/>
      <c r="KAO2" s="284"/>
      <c r="KAP2" s="284"/>
      <c r="KAQ2" s="284"/>
      <c r="KAR2" s="284"/>
      <c r="KAS2" s="284"/>
      <c r="KAT2" s="284"/>
      <c r="KAU2" s="284"/>
      <c r="KAV2" s="284"/>
      <c r="KAW2" s="284"/>
      <c r="KAX2" s="284"/>
      <c r="KAY2" s="284"/>
      <c r="KAZ2" s="284"/>
      <c r="KBA2" s="284"/>
      <c r="KBB2" s="284"/>
      <c r="KBC2" s="284"/>
      <c r="KBD2" s="284"/>
      <c r="KBE2" s="284"/>
      <c r="KBF2" s="284"/>
      <c r="KBG2" s="284"/>
      <c r="KBH2" s="284"/>
      <c r="KBI2" s="284"/>
      <c r="KBJ2" s="284"/>
      <c r="KBK2" s="284"/>
      <c r="KBL2" s="284"/>
      <c r="KBM2" s="284"/>
      <c r="KBN2" s="284"/>
      <c r="KBO2" s="284"/>
      <c r="KBP2" s="284"/>
      <c r="KBQ2" s="284"/>
      <c r="KBR2" s="284"/>
      <c r="KBS2" s="284"/>
      <c r="KBT2" s="284"/>
      <c r="KBU2" s="284"/>
      <c r="KBV2" s="284"/>
      <c r="KBW2" s="284"/>
      <c r="KBX2" s="284"/>
      <c r="KBY2" s="284"/>
      <c r="KBZ2" s="284"/>
      <c r="KCA2" s="284"/>
      <c r="KCB2" s="284"/>
      <c r="KCC2" s="284"/>
      <c r="KCD2" s="284"/>
      <c r="KCE2" s="284"/>
      <c r="KCF2" s="284"/>
      <c r="KCG2" s="284"/>
      <c r="KCH2" s="284"/>
      <c r="KCI2" s="284"/>
      <c r="KCJ2" s="284"/>
      <c r="KCK2" s="284"/>
      <c r="KCL2" s="284"/>
      <c r="KCM2" s="284"/>
      <c r="KCN2" s="284"/>
      <c r="KCO2" s="284"/>
      <c r="KCP2" s="284"/>
      <c r="KCQ2" s="284"/>
      <c r="KCR2" s="284"/>
      <c r="KCS2" s="284"/>
      <c r="KCT2" s="284"/>
      <c r="KCU2" s="284"/>
      <c r="KCV2" s="284"/>
      <c r="KCW2" s="284"/>
      <c r="KCX2" s="284"/>
      <c r="KCY2" s="284"/>
      <c r="KCZ2" s="284"/>
      <c r="KDA2" s="284"/>
      <c r="KDB2" s="284"/>
      <c r="KDC2" s="284"/>
      <c r="KDD2" s="284"/>
      <c r="KDE2" s="284"/>
      <c r="KDF2" s="284"/>
      <c r="KDG2" s="284"/>
      <c r="KDH2" s="284"/>
      <c r="KDI2" s="284"/>
      <c r="KDJ2" s="284"/>
      <c r="KDK2" s="284"/>
      <c r="KDL2" s="284"/>
      <c r="KDM2" s="284"/>
      <c r="KDN2" s="284"/>
      <c r="KDO2" s="284"/>
      <c r="KDP2" s="284"/>
      <c r="KDQ2" s="284"/>
      <c r="KDR2" s="284"/>
      <c r="KDS2" s="284"/>
      <c r="KDT2" s="284"/>
      <c r="KDU2" s="284"/>
      <c r="KDV2" s="284"/>
      <c r="KDW2" s="284"/>
      <c r="KDX2" s="284"/>
      <c r="KDY2" s="284"/>
      <c r="KDZ2" s="284"/>
      <c r="KEA2" s="284"/>
      <c r="KEB2" s="284"/>
      <c r="KEC2" s="284"/>
      <c r="KED2" s="284"/>
      <c r="KEE2" s="284"/>
      <c r="KEF2" s="284"/>
      <c r="KEG2" s="284"/>
      <c r="KEH2" s="284"/>
      <c r="KEI2" s="284"/>
      <c r="KEJ2" s="284"/>
      <c r="KEK2" s="284"/>
      <c r="KEL2" s="284"/>
      <c r="KEM2" s="284"/>
      <c r="KEN2" s="284"/>
      <c r="KEO2" s="284"/>
      <c r="KEP2" s="284"/>
      <c r="KEQ2" s="284"/>
      <c r="KER2" s="284"/>
      <c r="KES2" s="284"/>
      <c r="KET2" s="284"/>
      <c r="KEU2" s="284"/>
      <c r="KEV2" s="284"/>
      <c r="KEW2" s="284"/>
      <c r="KEX2" s="284"/>
      <c r="KEY2" s="284"/>
      <c r="KEZ2" s="284"/>
      <c r="KFA2" s="284"/>
      <c r="KFB2" s="284"/>
      <c r="KFC2" s="284"/>
      <c r="KFD2" s="284"/>
      <c r="KFE2" s="284"/>
      <c r="KFF2" s="284"/>
      <c r="KFG2" s="284"/>
      <c r="KFH2" s="284"/>
      <c r="KFI2" s="284"/>
      <c r="KFJ2" s="284"/>
      <c r="KFK2" s="284"/>
      <c r="KFL2" s="284"/>
      <c r="KFM2" s="284"/>
      <c r="KFN2" s="284"/>
      <c r="KFO2" s="284"/>
      <c r="KFP2" s="284"/>
      <c r="KFQ2" s="284"/>
      <c r="KFR2" s="284"/>
      <c r="KFS2" s="284"/>
      <c r="KFT2" s="284"/>
      <c r="KFU2" s="284"/>
      <c r="KFV2" s="284"/>
      <c r="KFW2" s="284"/>
      <c r="KFX2" s="284"/>
      <c r="KFY2" s="284"/>
      <c r="KFZ2" s="284"/>
      <c r="KGA2" s="284"/>
      <c r="KGB2" s="284"/>
      <c r="KGC2" s="284"/>
      <c r="KGD2" s="284"/>
      <c r="KGE2" s="284"/>
      <c r="KGF2" s="284"/>
      <c r="KGG2" s="284"/>
      <c r="KGH2" s="284"/>
      <c r="KGI2" s="284"/>
      <c r="KGJ2" s="284"/>
      <c r="KGK2" s="284"/>
      <c r="KGL2" s="284"/>
      <c r="KGM2" s="284"/>
      <c r="KGN2" s="284"/>
      <c r="KGO2" s="284"/>
      <c r="KGP2" s="284"/>
      <c r="KGQ2" s="284"/>
      <c r="KGR2" s="284"/>
      <c r="KGS2" s="284"/>
      <c r="KGT2" s="284"/>
      <c r="KGU2" s="284"/>
      <c r="KGV2" s="284"/>
      <c r="KGW2" s="284"/>
      <c r="KGX2" s="284"/>
      <c r="KGY2" s="284"/>
      <c r="KGZ2" s="284"/>
      <c r="KHA2" s="284"/>
      <c r="KHB2" s="284"/>
      <c r="KHC2" s="284"/>
      <c r="KHD2" s="284"/>
      <c r="KHE2" s="284"/>
      <c r="KHF2" s="284"/>
      <c r="KHG2" s="284"/>
      <c r="KHH2" s="284"/>
      <c r="KHI2" s="284"/>
      <c r="KHJ2" s="284"/>
      <c r="KHK2" s="284"/>
      <c r="KHL2" s="284"/>
      <c r="KHM2" s="284"/>
      <c r="KHN2" s="284"/>
      <c r="KHO2" s="284"/>
      <c r="KHP2" s="284"/>
      <c r="KHQ2" s="284"/>
      <c r="KHR2" s="284"/>
      <c r="KHS2" s="284"/>
      <c r="KHT2" s="284"/>
      <c r="KHU2" s="284"/>
      <c r="KHV2" s="284"/>
      <c r="KHW2" s="284"/>
      <c r="KHX2" s="284"/>
      <c r="KHY2" s="284"/>
      <c r="KHZ2" s="284"/>
      <c r="KIA2" s="284"/>
      <c r="KIB2" s="284"/>
      <c r="KIC2" s="284"/>
      <c r="KID2" s="284"/>
      <c r="KIE2" s="284"/>
      <c r="KIF2" s="284"/>
      <c r="KIG2" s="284"/>
      <c r="KIH2" s="284"/>
      <c r="KII2" s="284"/>
      <c r="KIJ2" s="284"/>
      <c r="KIK2" s="284"/>
      <c r="KIL2" s="284"/>
      <c r="KIM2" s="284"/>
      <c r="KIN2" s="284"/>
      <c r="KIO2" s="284"/>
      <c r="KIP2" s="284"/>
      <c r="KIQ2" s="284"/>
      <c r="KIR2" s="284"/>
      <c r="KIS2" s="284"/>
      <c r="KIT2" s="284"/>
      <c r="KIU2" s="284"/>
      <c r="KIV2" s="284"/>
      <c r="KIW2" s="284"/>
      <c r="KIX2" s="284"/>
      <c r="KIY2" s="284"/>
      <c r="KIZ2" s="284"/>
      <c r="KJA2" s="284"/>
      <c r="KJB2" s="284"/>
      <c r="KJC2" s="284"/>
      <c r="KJD2" s="284"/>
      <c r="KJE2" s="284"/>
      <c r="KJF2" s="284"/>
      <c r="KJG2" s="284"/>
      <c r="KJH2" s="284"/>
      <c r="KJI2" s="284"/>
      <c r="KJJ2" s="284"/>
      <c r="KJK2" s="284"/>
      <c r="KJL2" s="284"/>
      <c r="KJM2" s="284"/>
      <c r="KJN2" s="284"/>
      <c r="KJO2" s="284"/>
      <c r="KJP2" s="284"/>
      <c r="KJQ2" s="284"/>
      <c r="KJR2" s="284"/>
      <c r="KJS2" s="284"/>
      <c r="KJT2" s="284"/>
      <c r="KJU2" s="284"/>
      <c r="KJV2" s="284"/>
      <c r="KJW2" s="284"/>
      <c r="KJX2" s="284"/>
      <c r="KJY2" s="284"/>
      <c r="KJZ2" s="284"/>
      <c r="KKA2" s="284"/>
      <c r="KKB2" s="284"/>
      <c r="KKC2" s="284"/>
      <c r="KKD2" s="284"/>
      <c r="KKE2" s="284"/>
      <c r="KKF2" s="284"/>
      <c r="KKG2" s="284"/>
      <c r="KKH2" s="284"/>
      <c r="KKI2" s="284"/>
      <c r="KKJ2" s="284"/>
      <c r="KKK2" s="284"/>
      <c r="KKL2" s="284"/>
      <c r="KKM2" s="284"/>
      <c r="KKN2" s="284"/>
      <c r="KKO2" s="284"/>
      <c r="KKP2" s="284"/>
      <c r="KKQ2" s="284"/>
      <c r="KKR2" s="284"/>
      <c r="KKS2" s="284"/>
      <c r="KKT2" s="284"/>
      <c r="KKU2" s="284"/>
      <c r="KKV2" s="284"/>
      <c r="KKW2" s="284"/>
      <c r="KKX2" s="284"/>
      <c r="KKY2" s="284"/>
      <c r="KKZ2" s="284"/>
      <c r="KLA2" s="284"/>
      <c r="KLB2" s="284"/>
      <c r="KLC2" s="284"/>
      <c r="KLD2" s="284"/>
      <c r="KLE2" s="284"/>
      <c r="KLF2" s="284"/>
      <c r="KLG2" s="284"/>
      <c r="KLH2" s="284"/>
      <c r="KLI2" s="284"/>
      <c r="KLJ2" s="284"/>
      <c r="KLK2" s="284"/>
      <c r="KLL2" s="284"/>
      <c r="KLM2" s="284"/>
      <c r="KLN2" s="284"/>
      <c r="KLO2" s="284"/>
      <c r="KLP2" s="284"/>
      <c r="KLQ2" s="284"/>
      <c r="KLR2" s="284"/>
      <c r="KLS2" s="284"/>
      <c r="KLT2" s="284"/>
      <c r="KLU2" s="284"/>
      <c r="KLV2" s="284"/>
      <c r="KLW2" s="284"/>
      <c r="KLX2" s="284"/>
      <c r="KLY2" s="284"/>
      <c r="KLZ2" s="284"/>
      <c r="KMA2" s="284"/>
      <c r="KMB2" s="284"/>
      <c r="KMC2" s="284"/>
      <c r="KMD2" s="284"/>
      <c r="KME2" s="284"/>
      <c r="KMF2" s="284"/>
      <c r="KMG2" s="284"/>
      <c r="KMH2" s="284"/>
      <c r="KMI2" s="284"/>
      <c r="KMJ2" s="284"/>
      <c r="KMK2" s="284"/>
      <c r="KML2" s="284"/>
      <c r="KMM2" s="284"/>
      <c r="KMN2" s="284"/>
      <c r="KMO2" s="284"/>
      <c r="KMP2" s="284"/>
      <c r="KMQ2" s="284"/>
      <c r="KMR2" s="284"/>
      <c r="KMS2" s="284"/>
      <c r="KMT2" s="284"/>
      <c r="KMU2" s="284"/>
      <c r="KMV2" s="284"/>
      <c r="KMW2" s="284"/>
      <c r="KMX2" s="284"/>
      <c r="KMY2" s="284"/>
      <c r="KMZ2" s="284"/>
      <c r="KNA2" s="284"/>
      <c r="KNB2" s="284"/>
      <c r="KNC2" s="284"/>
      <c r="KND2" s="284"/>
      <c r="KNE2" s="284"/>
      <c r="KNF2" s="284"/>
      <c r="KNG2" s="284"/>
      <c r="KNH2" s="284"/>
      <c r="KNI2" s="284"/>
      <c r="KNJ2" s="284"/>
      <c r="KNK2" s="284"/>
      <c r="KNL2" s="284"/>
      <c r="KNM2" s="284"/>
      <c r="KNN2" s="284"/>
      <c r="KNO2" s="284"/>
      <c r="KNP2" s="284"/>
      <c r="KNQ2" s="284"/>
      <c r="KNR2" s="284"/>
      <c r="KNS2" s="284"/>
      <c r="KNT2" s="284"/>
      <c r="KNU2" s="284"/>
      <c r="KNV2" s="284"/>
      <c r="KNW2" s="284"/>
      <c r="KNX2" s="284"/>
      <c r="KNY2" s="284"/>
      <c r="KNZ2" s="284"/>
      <c r="KOA2" s="284"/>
      <c r="KOB2" s="284"/>
      <c r="KOC2" s="284"/>
      <c r="KOD2" s="284"/>
      <c r="KOE2" s="284"/>
      <c r="KOF2" s="284"/>
      <c r="KOG2" s="284"/>
      <c r="KOH2" s="284"/>
      <c r="KOI2" s="284"/>
      <c r="KOJ2" s="284"/>
      <c r="KOK2" s="284"/>
      <c r="KOL2" s="284"/>
      <c r="KOM2" s="284"/>
      <c r="KON2" s="284"/>
      <c r="KOO2" s="284"/>
      <c r="KOP2" s="284"/>
      <c r="KOQ2" s="284"/>
      <c r="KOR2" s="284"/>
      <c r="KOS2" s="284"/>
      <c r="KOT2" s="284"/>
      <c r="KOU2" s="284"/>
      <c r="KOV2" s="284"/>
      <c r="KOW2" s="284"/>
      <c r="KOX2" s="284"/>
      <c r="KOY2" s="284"/>
      <c r="KOZ2" s="284"/>
      <c r="KPA2" s="284"/>
      <c r="KPB2" s="284"/>
      <c r="KPC2" s="284"/>
      <c r="KPD2" s="284"/>
      <c r="KPE2" s="284"/>
      <c r="KPF2" s="284"/>
      <c r="KPG2" s="284"/>
      <c r="KPH2" s="284"/>
      <c r="KPI2" s="284"/>
      <c r="KPJ2" s="284"/>
      <c r="KPK2" s="284"/>
      <c r="KPL2" s="284"/>
      <c r="KPM2" s="284"/>
      <c r="KPN2" s="284"/>
      <c r="KPO2" s="284"/>
      <c r="KPP2" s="284"/>
      <c r="KPQ2" s="284"/>
      <c r="KPR2" s="284"/>
      <c r="KPS2" s="284"/>
      <c r="KPT2" s="284"/>
      <c r="KPU2" s="284"/>
      <c r="KPV2" s="284"/>
      <c r="KPW2" s="284"/>
      <c r="KPX2" s="284"/>
      <c r="KPY2" s="284"/>
      <c r="KPZ2" s="284"/>
      <c r="KQA2" s="284"/>
      <c r="KQB2" s="284"/>
      <c r="KQC2" s="284"/>
      <c r="KQD2" s="284"/>
      <c r="KQE2" s="284"/>
      <c r="KQF2" s="284"/>
      <c r="KQG2" s="284"/>
      <c r="KQH2" s="284"/>
      <c r="KQI2" s="284"/>
      <c r="KQJ2" s="284"/>
      <c r="KQK2" s="284"/>
      <c r="KQL2" s="284"/>
      <c r="KQM2" s="284"/>
      <c r="KQN2" s="284"/>
      <c r="KQO2" s="284"/>
      <c r="KQP2" s="284"/>
      <c r="KQQ2" s="284"/>
      <c r="KQR2" s="284"/>
      <c r="KQS2" s="284"/>
      <c r="KQT2" s="284"/>
      <c r="KQU2" s="284"/>
      <c r="KQV2" s="284"/>
      <c r="KQW2" s="284"/>
      <c r="KQX2" s="284"/>
      <c r="KQY2" s="284"/>
      <c r="KQZ2" s="284"/>
      <c r="KRA2" s="284"/>
      <c r="KRB2" s="284"/>
      <c r="KRC2" s="284"/>
      <c r="KRD2" s="284"/>
      <c r="KRE2" s="284"/>
      <c r="KRF2" s="284"/>
      <c r="KRG2" s="284"/>
      <c r="KRH2" s="284"/>
      <c r="KRI2" s="284"/>
      <c r="KRJ2" s="284"/>
      <c r="KRK2" s="284"/>
      <c r="KRL2" s="284"/>
      <c r="KRM2" s="284"/>
      <c r="KRN2" s="284"/>
      <c r="KRO2" s="284"/>
      <c r="KRP2" s="284"/>
      <c r="KRQ2" s="284"/>
      <c r="KRR2" s="284"/>
      <c r="KRS2" s="284"/>
      <c r="KRT2" s="284"/>
      <c r="KRU2" s="284"/>
      <c r="KRV2" s="284"/>
      <c r="KRW2" s="284"/>
      <c r="KRX2" s="284"/>
      <c r="KRY2" s="284"/>
      <c r="KRZ2" s="284"/>
      <c r="KSA2" s="284"/>
      <c r="KSB2" s="284"/>
      <c r="KSC2" s="284"/>
      <c r="KSD2" s="284"/>
      <c r="KSE2" s="284"/>
      <c r="KSF2" s="284"/>
      <c r="KSG2" s="284"/>
      <c r="KSH2" s="284"/>
      <c r="KSI2" s="284"/>
      <c r="KSJ2" s="284"/>
      <c r="KSK2" s="284"/>
      <c r="KSL2" s="284"/>
      <c r="KSM2" s="284"/>
      <c r="KSN2" s="284"/>
      <c r="KSO2" s="284"/>
      <c r="KSP2" s="284"/>
      <c r="KSQ2" s="284"/>
      <c r="KSR2" s="284"/>
      <c r="KSS2" s="284"/>
      <c r="KST2" s="284"/>
      <c r="KSU2" s="284"/>
      <c r="KSV2" s="284"/>
      <c r="KSW2" s="284"/>
      <c r="KSX2" s="284"/>
      <c r="KSY2" s="284"/>
      <c r="KSZ2" s="284"/>
      <c r="KTA2" s="284"/>
      <c r="KTB2" s="284"/>
      <c r="KTC2" s="284"/>
      <c r="KTD2" s="284"/>
      <c r="KTE2" s="284"/>
      <c r="KTF2" s="284"/>
      <c r="KTG2" s="284"/>
      <c r="KTH2" s="284"/>
      <c r="KTI2" s="284"/>
      <c r="KTJ2" s="284"/>
      <c r="KTK2" s="284"/>
      <c r="KTL2" s="284"/>
      <c r="KTM2" s="284"/>
      <c r="KTN2" s="284"/>
      <c r="KTO2" s="284"/>
      <c r="KTP2" s="284"/>
      <c r="KTQ2" s="284"/>
      <c r="KTR2" s="284"/>
      <c r="KTS2" s="284"/>
      <c r="KTT2" s="284"/>
      <c r="KTU2" s="284"/>
      <c r="KTV2" s="284"/>
      <c r="KTW2" s="284"/>
      <c r="KTX2" s="284"/>
      <c r="KTY2" s="284"/>
      <c r="KTZ2" s="284"/>
      <c r="KUA2" s="284"/>
      <c r="KUB2" s="284"/>
      <c r="KUC2" s="284"/>
      <c r="KUD2" s="284"/>
      <c r="KUE2" s="284"/>
      <c r="KUF2" s="284"/>
      <c r="KUG2" s="284"/>
      <c r="KUH2" s="284"/>
      <c r="KUI2" s="284"/>
      <c r="KUJ2" s="284"/>
      <c r="KUK2" s="284"/>
      <c r="KUL2" s="284"/>
      <c r="KUM2" s="284"/>
      <c r="KUN2" s="284"/>
      <c r="KUO2" s="284"/>
      <c r="KUP2" s="284"/>
      <c r="KUQ2" s="284"/>
      <c r="KUR2" s="284"/>
      <c r="KUS2" s="284"/>
      <c r="KUT2" s="284"/>
      <c r="KUU2" s="284"/>
      <c r="KUV2" s="284"/>
      <c r="KUW2" s="284"/>
      <c r="KUX2" s="284"/>
      <c r="KUY2" s="284"/>
      <c r="KUZ2" s="284"/>
      <c r="KVA2" s="284"/>
      <c r="KVB2" s="284"/>
      <c r="KVC2" s="284"/>
      <c r="KVD2" s="284"/>
      <c r="KVE2" s="284"/>
      <c r="KVF2" s="284"/>
      <c r="KVG2" s="284"/>
      <c r="KVH2" s="284"/>
      <c r="KVI2" s="284"/>
      <c r="KVJ2" s="284"/>
      <c r="KVK2" s="284"/>
      <c r="KVL2" s="284"/>
      <c r="KVM2" s="284"/>
      <c r="KVN2" s="284"/>
      <c r="KVO2" s="284"/>
      <c r="KVP2" s="284"/>
      <c r="KVQ2" s="284"/>
      <c r="KVR2" s="284"/>
      <c r="KVS2" s="284"/>
      <c r="KVT2" s="284"/>
      <c r="KVU2" s="284"/>
      <c r="KVV2" s="284"/>
      <c r="KVW2" s="284"/>
      <c r="KVX2" s="284"/>
      <c r="KVY2" s="284"/>
      <c r="KVZ2" s="284"/>
      <c r="KWA2" s="284"/>
      <c r="KWB2" s="284"/>
      <c r="KWC2" s="284"/>
      <c r="KWD2" s="284"/>
      <c r="KWE2" s="284"/>
      <c r="KWF2" s="284"/>
      <c r="KWG2" s="284"/>
      <c r="KWH2" s="284"/>
      <c r="KWI2" s="284"/>
      <c r="KWJ2" s="284"/>
      <c r="KWK2" s="284"/>
      <c r="KWL2" s="284"/>
      <c r="KWM2" s="284"/>
      <c r="KWN2" s="284"/>
      <c r="KWO2" s="284"/>
      <c r="KWP2" s="284"/>
      <c r="KWQ2" s="284"/>
      <c r="KWR2" s="284"/>
      <c r="KWS2" s="284"/>
      <c r="KWT2" s="284"/>
      <c r="KWU2" s="284"/>
      <c r="KWV2" s="284"/>
      <c r="KWW2" s="284"/>
      <c r="KWX2" s="284"/>
      <c r="KWY2" s="284"/>
      <c r="KWZ2" s="284"/>
      <c r="KXA2" s="284"/>
      <c r="KXB2" s="284"/>
      <c r="KXC2" s="284"/>
      <c r="KXD2" s="284"/>
      <c r="KXE2" s="284"/>
      <c r="KXF2" s="284"/>
      <c r="KXG2" s="284"/>
      <c r="KXH2" s="284"/>
      <c r="KXI2" s="284"/>
      <c r="KXJ2" s="284"/>
      <c r="KXK2" s="284"/>
      <c r="KXL2" s="284"/>
      <c r="KXM2" s="284"/>
      <c r="KXN2" s="284"/>
      <c r="KXO2" s="284"/>
      <c r="KXP2" s="284"/>
      <c r="KXQ2" s="284"/>
      <c r="KXR2" s="284"/>
      <c r="KXS2" s="284"/>
      <c r="KXT2" s="284"/>
      <c r="KXU2" s="284"/>
      <c r="KXV2" s="284"/>
      <c r="KXW2" s="284"/>
      <c r="KXX2" s="284"/>
      <c r="KXY2" s="284"/>
      <c r="KXZ2" s="284"/>
      <c r="KYA2" s="284"/>
      <c r="KYB2" s="284"/>
      <c r="KYC2" s="284"/>
      <c r="KYD2" s="284"/>
      <c r="KYE2" s="284"/>
      <c r="KYF2" s="284"/>
      <c r="KYG2" s="284"/>
      <c r="KYH2" s="284"/>
      <c r="KYI2" s="284"/>
      <c r="KYJ2" s="284"/>
      <c r="KYK2" s="284"/>
      <c r="KYL2" s="284"/>
      <c r="KYM2" s="284"/>
      <c r="KYN2" s="284"/>
      <c r="KYO2" s="284"/>
      <c r="KYP2" s="284"/>
      <c r="KYQ2" s="284"/>
      <c r="KYR2" s="284"/>
      <c r="KYS2" s="284"/>
      <c r="KYT2" s="284"/>
      <c r="KYU2" s="284"/>
      <c r="KYV2" s="284"/>
      <c r="KYW2" s="284"/>
      <c r="KYX2" s="284"/>
      <c r="KYY2" s="284"/>
      <c r="KYZ2" s="284"/>
      <c r="KZA2" s="284"/>
      <c r="KZB2" s="284"/>
      <c r="KZC2" s="284"/>
      <c r="KZD2" s="284"/>
      <c r="KZE2" s="284"/>
      <c r="KZF2" s="284"/>
      <c r="KZG2" s="284"/>
      <c r="KZH2" s="284"/>
      <c r="KZI2" s="284"/>
      <c r="KZJ2" s="284"/>
      <c r="KZK2" s="284"/>
      <c r="KZL2" s="284"/>
      <c r="KZM2" s="284"/>
      <c r="KZN2" s="284"/>
      <c r="KZO2" s="284"/>
      <c r="KZP2" s="284"/>
      <c r="KZQ2" s="284"/>
      <c r="KZR2" s="284"/>
      <c r="KZS2" s="284"/>
      <c r="KZT2" s="284"/>
      <c r="KZU2" s="284"/>
      <c r="KZV2" s="284"/>
      <c r="KZW2" s="284"/>
      <c r="KZX2" s="284"/>
      <c r="KZY2" s="284"/>
      <c r="KZZ2" s="284"/>
      <c r="LAA2" s="284"/>
      <c r="LAB2" s="284"/>
      <c r="LAC2" s="284"/>
      <c r="LAD2" s="284"/>
      <c r="LAE2" s="284"/>
      <c r="LAF2" s="284"/>
      <c r="LAG2" s="284"/>
      <c r="LAH2" s="284"/>
      <c r="LAI2" s="284"/>
      <c r="LAJ2" s="284"/>
      <c r="LAK2" s="284"/>
      <c r="LAL2" s="284"/>
      <c r="LAM2" s="284"/>
      <c r="LAN2" s="284"/>
      <c r="LAO2" s="284"/>
      <c r="LAP2" s="284"/>
      <c r="LAQ2" s="284"/>
      <c r="LAR2" s="284"/>
      <c r="LAS2" s="284"/>
      <c r="LAT2" s="284"/>
      <c r="LAU2" s="284"/>
      <c r="LAV2" s="284"/>
      <c r="LAW2" s="284"/>
      <c r="LAX2" s="284"/>
      <c r="LAY2" s="284"/>
      <c r="LAZ2" s="284"/>
      <c r="LBA2" s="284"/>
      <c r="LBB2" s="284"/>
      <c r="LBC2" s="284"/>
      <c r="LBD2" s="284"/>
      <c r="LBE2" s="284"/>
      <c r="LBF2" s="284"/>
      <c r="LBG2" s="284"/>
      <c r="LBH2" s="284"/>
      <c r="LBI2" s="284"/>
      <c r="LBJ2" s="284"/>
      <c r="LBK2" s="284"/>
      <c r="LBL2" s="284"/>
      <c r="LBM2" s="284"/>
      <c r="LBN2" s="284"/>
      <c r="LBO2" s="284"/>
      <c r="LBP2" s="284"/>
      <c r="LBQ2" s="284"/>
      <c r="LBR2" s="284"/>
      <c r="LBS2" s="284"/>
      <c r="LBT2" s="284"/>
      <c r="LBU2" s="284"/>
      <c r="LBV2" s="284"/>
      <c r="LBW2" s="284"/>
      <c r="LBX2" s="284"/>
      <c r="LBY2" s="284"/>
      <c r="LBZ2" s="284"/>
      <c r="LCA2" s="284"/>
      <c r="LCB2" s="284"/>
      <c r="LCC2" s="284"/>
      <c r="LCD2" s="284"/>
      <c r="LCE2" s="284"/>
      <c r="LCF2" s="284"/>
      <c r="LCG2" s="284"/>
      <c r="LCH2" s="284"/>
      <c r="LCI2" s="284"/>
      <c r="LCJ2" s="284"/>
      <c r="LCK2" s="284"/>
      <c r="LCL2" s="284"/>
      <c r="LCM2" s="284"/>
      <c r="LCN2" s="284"/>
      <c r="LCO2" s="284"/>
      <c r="LCP2" s="284"/>
      <c r="LCQ2" s="284"/>
      <c r="LCR2" s="284"/>
      <c r="LCS2" s="284"/>
      <c r="LCT2" s="284"/>
      <c r="LCU2" s="284"/>
      <c r="LCV2" s="284"/>
      <c r="LCW2" s="284"/>
      <c r="LCX2" s="284"/>
      <c r="LCY2" s="284"/>
      <c r="LCZ2" s="284"/>
      <c r="LDA2" s="284"/>
      <c r="LDB2" s="284"/>
      <c r="LDC2" s="284"/>
      <c r="LDD2" s="284"/>
      <c r="LDE2" s="284"/>
      <c r="LDF2" s="284"/>
      <c r="LDG2" s="284"/>
      <c r="LDH2" s="284"/>
      <c r="LDI2" s="284"/>
      <c r="LDJ2" s="284"/>
      <c r="LDK2" s="284"/>
      <c r="LDL2" s="284"/>
      <c r="LDM2" s="284"/>
      <c r="LDN2" s="284"/>
      <c r="LDO2" s="284"/>
      <c r="LDP2" s="284"/>
      <c r="LDQ2" s="284"/>
      <c r="LDR2" s="284"/>
      <c r="LDS2" s="284"/>
      <c r="LDT2" s="284"/>
      <c r="LDU2" s="284"/>
      <c r="LDV2" s="284"/>
      <c r="LDW2" s="284"/>
      <c r="LDX2" s="284"/>
      <c r="LDY2" s="284"/>
      <c r="LDZ2" s="284"/>
      <c r="LEA2" s="284"/>
      <c r="LEB2" s="284"/>
      <c r="LEC2" s="284"/>
      <c r="LED2" s="284"/>
      <c r="LEE2" s="284"/>
      <c r="LEF2" s="284"/>
      <c r="LEG2" s="284"/>
      <c r="LEH2" s="284"/>
      <c r="LEI2" s="284"/>
      <c r="LEJ2" s="284"/>
      <c r="LEK2" s="284"/>
      <c r="LEL2" s="284"/>
      <c r="LEM2" s="284"/>
      <c r="LEN2" s="284"/>
      <c r="LEO2" s="284"/>
      <c r="LEP2" s="284"/>
      <c r="LEQ2" s="284"/>
      <c r="LER2" s="284"/>
      <c r="LES2" s="284"/>
      <c r="LET2" s="284"/>
      <c r="LEU2" s="284"/>
      <c r="LEV2" s="284"/>
      <c r="LEW2" s="284"/>
      <c r="LEX2" s="284"/>
      <c r="LEY2" s="284"/>
      <c r="LEZ2" s="284"/>
      <c r="LFA2" s="284"/>
      <c r="LFB2" s="284"/>
      <c r="LFC2" s="284"/>
      <c r="LFD2" s="284"/>
      <c r="LFE2" s="284"/>
      <c r="LFF2" s="284"/>
      <c r="LFG2" s="284"/>
      <c r="LFH2" s="284"/>
      <c r="LFI2" s="284"/>
      <c r="LFJ2" s="284"/>
      <c r="LFK2" s="284"/>
      <c r="LFL2" s="284"/>
      <c r="LFM2" s="284"/>
      <c r="LFN2" s="284"/>
      <c r="LFO2" s="284"/>
      <c r="LFP2" s="284"/>
      <c r="LFQ2" s="284"/>
      <c r="LFR2" s="284"/>
      <c r="LFS2" s="284"/>
      <c r="LFT2" s="284"/>
      <c r="LFU2" s="284"/>
      <c r="LFV2" s="284"/>
      <c r="LFW2" s="284"/>
      <c r="LFX2" s="284"/>
      <c r="LFY2" s="284"/>
      <c r="LFZ2" s="284"/>
      <c r="LGA2" s="284"/>
      <c r="LGB2" s="284"/>
      <c r="LGC2" s="284"/>
      <c r="LGD2" s="284"/>
      <c r="LGE2" s="284"/>
      <c r="LGF2" s="284"/>
      <c r="LGG2" s="284"/>
      <c r="LGH2" s="284"/>
      <c r="LGI2" s="284"/>
      <c r="LGJ2" s="284"/>
      <c r="LGK2" s="284"/>
      <c r="LGL2" s="284"/>
      <c r="LGM2" s="284"/>
      <c r="LGN2" s="284"/>
      <c r="LGO2" s="284"/>
      <c r="LGP2" s="284"/>
      <c r="LGQ2" s="284"/>
      <c r="LGR2" s="284"/>
      <c r="LGS2" s="284"/>
      <c r="LGT2" s="284"/>
      <c r="LGU2" s="284"/>
      <c r="LGV2" s="284"/>
      <c r="LGW2" s="284"/>
      <c r="LGX2" s="284"/>
      <c r="LGY2" s="284"/>
      <c r="LGZ2" s="284"/>
      <c r="LHA2" s="284"/>
      <c r="LHB2" s="284"/>
      <c r="LHC2" s="284"/>
      <c r="LHD2" s="284"/>
      <c r="LHE2" s="284"/>
      <c r="LHF2" s="284"/>
      <c r="LHG2" s="284"/>
      <c r="LHH2" s="284"/>
      <c r="LHI2" s="284"/>
      <c r="LHJ2" s="284"/>
      <c r="LHK2" s="284"/>
      <c r="LHL2" s="284"/>
      <c r="LHM2" s="284"/>
      <c r="LHN2" s="284"/>
      <c r="LHO2" s="284"/>
      <c r="LHP2" s="284"/>
      <c r="LHQ2" s="284"/>
      <c r="LHR2" s="284"/>
      <c r="LHS2" s="284"/>
      <c r="LHT2" s="284"/>
      <c r="LHU2" s="284"/>
      <c r="LHV2" s="284"/>
      <c r="LHW2" s="284"/>
      <c r="LHX2" s="284"/>
      <c r="LHY2" s="284"/>
      <c r="LHZ2" s="284"/>
      <c r="LIA2" s="284"/>
      <c r="LIB2" s="284"/>
      <c r="LIC2" s="284"/>
      <c r="LID2" s="284"/>
      <c r="LIE2" s="284"/>
      <c r="LIF2" s="284"/>
      <c r="LIG2" s="284"/>
      <c r="LIH2" s="284"/>
      <c r="LII2" s="284"/>
      <c r="LIJ2" s="284"/>
      <c r="LIK2" s="284"/>
      <c r="LIL2" s="284"/>
      <c r="LIM2" s="284"/>
      <c r="LIN2" s="284"/>
      <c r="LIO2" s="284"/>
      <c r="LIP2" s="284"/>
      <c r="LIQ2" s="284"/>
      <c r="LIR2" s="284"/>
      <c r="LIS2" s="284"/>
      <c r="LIT2" s="284"/>
      <c r="LIU2" s="284"/>
      <c r="LIV2" s="284"/>
      <c r="LIW2" s="284"/>
      <c r="LIX2" s="284"/>
      <c r="LIY2" s="284"/>
      <c r="LIZ2" s="284"/>
      <c r="LJA2" s="284"/>
      <c r="LJB2" s="284"/>
      <c r="LJC2" s="284"/>
      <c r="LJD2" s="284"/>
      <c r="LJE2" s="284"/>
      <c r="LJF2" s="284"/>
      <c r="LJG2" s="284"/>
      <c r="LJH2" s="284"/>
      <c r="LJI2" s="284"/>
      <c r="LJJ2" s="284"/>
      <c r="LJK2" s="284"/>
      <c r="LJL2" s="284"/>
      <c r="LJM2" s="284"/>
      <c r="LJN2" s="284"/>
      <c r="LJO2" s="284"/>
      <c r="LJP2" s="284"/>
      <c r="LJQ2" s="284"/>
      <c r="LJR2" s="284"/>
      <c r="LJS2" s="284"/>
      <c r="LJT2" s="284"/>
      <c r="LJU2" s="284"/>
      <c r="LJV2" s="284"/>
      <c r="LJW2" s="284"/>
      <c r="LJX2" s="284"/>
      <c r="LJY2" s="284"/>
      <c r="LJZ2" s="284"/>
      <c r="LKA2" s="284"/>
      <c r="LKB2" s="284"/>
      <c r="LKC2" s="284"/>
      <c r="LKD2" s="284"/>
      <c r="LKE2" s="284"/>
      <c r="LKF2" s="284"/>
      <c r="LKG2" s="284"/>
      <c r="LKH2" s="284"/>
      <c r="LKI2" s="284"/>
      <c r="LKJ2" s="284"/>
      <c r="LKK2" s="284"/>
      <c r="LKL2" s="284"/>
      <c r="LKM2" s="284"/>
      <c r="LKN2" s="284"/>
      <c r="LKO2" s="284"/>
      <c r="LKP2" s="284"/>
      <c r="LKQ2" s="284"/>
      <c r="LKR2" s="284"/>
      <c r="LKS2" s="284"/>
      <c r="LKT2" s="284"/>
      <c r="LKU2" s="284"/>
      <c r="LKV2" s="284"/>
      <c r="LKW2" s="284"/>
      <c r="LKX2" s="284"/>
      <c r="LKY2" s="284"/>
      <c r="LKZ2" s="284"/>
      <c r="LLA2" s="284"/>
      <c r="LLB2" s="284"/>
      <c r="LLC2" s="284"/>
      <c r="LLD2" s="284"/>
      <c r="LLE2" s="284"/>
      <c r="LLF2" s="284"/>
      <c r="LLG2" s="284"/>
      <c r="LLH2" s="284"/>
      <c r="LLI2" s="284"/>
      <c r="LLJ2" s="284"/>
      <c r="LLK2" s="284"/>
      <c r="LLL2" s="284"/>
      <c r="LLM2" s="284"/>
      <c r="LLN2" s="284"/>
      <c r="LLO2" s="284"/>
      <c r="LLP2" s="284"/>
      <c r="LLQ2" s="284"/>
      <c r="LLR2" s="284"/>
      <c r="LLS2" s="284"/>
      <c r="LLT2" s="284"/>
      <c r="LLU2" s="284"/>
      <c r="LLV2" s="284"/>
      <c r="LLW2" s="284"/>
      <c r="LLX2" s="284"/>
      <c r="LLY2" s="284"/>
      <c r="LLZ2" s="284"/>
      <c r="LMA2" s="284"/>
      <c r="LMB2" s="284"/>
      <c r="LMC2" s="284"/>
      <c r="LMD2" s="284"/>
      <c r="LME2" s="284"/>
      <c r="LMF2" s="284"/>
      <c r="LMG2" s="284"/>
      <c r="LMH2" s="284"/>
      <c r="LMI2" s="284"/>
      <c r="LMJ2" s="284"/>
      <c r="LMK2" s="284"/>
      <c r="LML2" s="284"/>
      <c r="LMM2" s="284"/>
      <c r="LMN2" s="284"/>
      <c r="LMO2" s="284"/>
      <c r="LMP2" s="284"/>
      <c r="LMQ2" s="284"/>
      <c r="LMR2" s="284"/>
      <c r="LMS2" s="284"/>
      <c r="LMT2" s="284"/>
      <c r="LMU2" s="284"/>
      <c r="LMV2" s="284"/>
      <c r="LMW2" s="284"/>
      <c r="LMX2" s="284"/>
      <c r="LMY2" s="284"/>
      <c r="LMZ2" s="284"/>
      <c r="LNA2" s="284"/>
      <c r="LNB2" s="284"/>
      <c r="LNC2" s="284"/>
      <c r="LND2" s="284"/>
      <c r="LNE2" s="284"/>
      <c r="LNF2" s="284"/>
      <c r="LNG2" s="284"/>
      <c r="LNH2" s="284"/>
      <c r="LNI2" s="284"/>
      <c r="LNJ2" s="284"/>
      <c r="LNK2" s="284"/>
      <c r="LNL2" s="284"/>
      <c r="LNM2" s="284"/>
      <c r="LNN2" s="284"/>
      <c r="LNO2" s="284"/>
      <c r="LNP2" s="284"/>
      <c r="LNQ2" s="284"/>
      <c r="LNR2" s="284"/>
      <c r="LNS2" s="284"/>
      <c r="LNT2" s="284"/>
      <c r="LNU2" s="284"/>
      <c r="LNV2" s="284"/>
      <c r="LNW2" s="284"/>
      <c r="LNX2" s="284"/>
      <c r="LNY2" s="284"/>
      <c r="LNZ2" s="284"/>
      <c r="LOA2" s="284"/>
      <c r="LOB2" s="284"/>
      <c r="LOC2" s="284"/>
      <c r="LOD2" s="284"/>
      <c r="LOE2" s="284"/>
      <c r="LOF2" s="284"/>
      <c r="LOG2" s="284"/>
      <c r="LOH2" s="284"/>
      <c r="LOI2" s="284"/>
      <c r="LOJ2" s="284"/>
      <c r="LOK2" s="284"/>
      <c r="LOL2" s="284"/>
      <c r="LOM2" s="284"/>
      <c r="LON2" s="284"/>
      <c r="LOO2" s="284"/>
      <c r="LOP2" s="284"/>
      <c r="LOQ2" s="284"/>
      <c r="LOR2" s="284"/>
      <c r="LOS2" s="284"/>
      <c r="LOT2" s="284"/>
      <c r="LOU2" s="284"/>
      <c r="LOV2" s="284"/>
      <c r="LOW2" s="284"/>
      <c r="LOX2" s="284"/>
      <c r="LOY2" s="284"/>
      <c r="LOZ2" s="284"/>
      <c r="LPA2" s="284"/>
      <c r="LPB2" s="284"/>
      <c r="LPC2" s="284"/>
      <c r="LPD2" s="284"/>
      <c r="LPE2" s="284"/>
      <c r="LPF2" s="284"/>
      <c r="LPG2" s="284"/>
      <c r="LPH2" s="284"/>
      <c r="LPI2" s="284"/>
      <c r="LPJ2" s="284"/>
      <c r="LPK2" s="284"/>
      <c r="LPL2" s="284"/>
      <c r="LPM2" s="284"/>
      <c r="LPN2" s="284"/>
      <c r="LPO2" s="284"/>
      <c r="LPP2" s="284"/>
      <c r="LPQ2" s="284"/>
      <c r="LPR2" s="284"/>
      <c r="LPS2" s="284"/>
      <c r="LPT2" s="284"/>
      <c r="LPU2" s="284"/>
      <c r="LPV2" s="284"/>
      <c r="LPW2" s="284"/>
      <c r="LPX2" s="284"/>
      <c r="LPY2" s="284"/>
      <c r="LPZ2" s="284"/>
      <c r="LQA2" s="284"/>
      <c r="LQB2" s="284"/>
      <c r="LQC2" s="284"/>
      <c r="LQD2" s="284"/>
      <c r="LQE2" s="284"/>
      <c r="LQF2" s="284"/>
      <c r="LQG2" s="284"/>
      <c r="LQH2" s="284"/>
      <c r="LQI2" s="284"/>
      <c r="LQJ2" s="284"/>
      <c r="LQK2" s="284"/>
      <c r="LQL2" s="284"/>
      <c r="LQM2" s="284"/>
      <c r="LQN2" s="284"/>
      <c r="LQO2" s="284"/>
      <c r="LQP2" s="284"/>
      <c r="LQQ2" s="284"/>
      <c r="LQR2" s="284"/>
      <c r="LQS2" s="284"/>
      <c r="LQT2" s="284"/>
      <c r="LQU2" s="284"/>
      <c r="LQV2" s="284"/>
      <c r="LQW2" s="284"/>
      <c r="LQX2" s="284"/>
      <c r="LQY2" s="284"/>
      <c r="LQZ2" s="284"/>
      <c r="LRA2" s="284"/>
      <c r="LRB2" s="284"/>
      <c r="LRC2" s="284"/>
      <c r="LRD2" s="284"/>
      <c r="LRE2" s="284"/>
      <c r="LRF2" s="284"/>
      <c r="LRG2" s="284"/>
      <c r="LRH2" s="284"/>
      <c r="LRI2" s="284"/>
      <c r="LRJ2" s="284"/>
      <c r="LRK2" s="284"/>
      <c r="LRL2" s="284"/>
      <c r="LRM2" s="284"/>
      <c r="LRN2" s="284"/>
      <c r="LRO2" s="284"/>
      <c r="LRP2" s="284"/>
      <c r="LRQ2" s="284"/>
      <c r="LRR2" s="284"/>
      <c r="LRS2" s="284"/>
      <c r="LRT2" s="284"/>
      <c r="LRU2" s="284"/>
      <c r="LRV2" s="284"/>
      <c r="LRW2" s="284"/>
      <c r="LRX2" s="284"/>
      <c r="LRY2" s="284"/>
      <c r="LRZ2" s="284"/>
      <c r="LSA2" s="284"/>
      <c r="LSB2" s="284"/>
      <c r="LSC2" s="284"/>
      <c r="LSD2" s="284"/>
      <c r="LSE2" s="284"/>
      <c r="LSF2" s="284"/>
      <c r="LSG2" s="284"/>
      <c r="LSH2" s="284"/>
      <c r="LSI2" s="284"/>
      <c r="LSJ2" s="284"/>
      <c r="LSK2" s="284"/>
      <c r="LSL2" s="284"/>
      <c r="LSM2" s="284"/>
      <c r="LSN2" s="284"/>
      <c r="LSO2" s="284"/>
      <c r="LSP2" s="284"/>
      <c r="LSQ2" s="284"/>
      <c r="LSR2" s="284"/>
      <c r="LSS2" s="284"/>
      <c r="LST2" s="284"/>
      <c r="LSU2" s="284"/>
      <c r="LSV2" s="284"/>
      <c r="LSW2" s="284"/>
      <c r="LSX2" s="284"/>
      <c r="LSY2" s="284"/>
      <c r="LSZ2" s="284"/>
      <c r="LTA2" s="284"/>
      <c r="LTB2" s="284"/>
      <c r="LTC2" s="284"/>
      <c r="LTD2" s="284"/>
      <c r="LTE2" s="284"/>
      <c r="LTF2" s="284"/>
      <c r="LTG2" s="284"/>
      <c r="LTH2" s="284"/>
      <c r="LTI2" s="284"/>
      <c r="LTJ2" s="284"/>
      <c r="LTK2" s="284"/>
      <c r="LTL2" s="284"/>
      <c r="LTM2" s="284"/>
      <c r="LTN2" s="284"/>
      <c r="LTO2" s="284"/>
      <c r="LTP2" s="284"/>
      <c r="LTQ2" s="284"/>
      <c r="LTR2" s="284"/>
      <c r="LTS2" s="284"/>
      <c r="LTT2" s="284"/>
      <c r="LTU2" s="284"/>
      <c r="LTV2" s="284"/>
      <c r="LTW2" s="284"/>
      <c r="LTX2" s="284"/>
      <c r="LTY2" s="284"/>
      <c r="LTZ2" s="284"/>
      <c r="LUA2" s="284"/>
      <c r="LUB2" s="284"/>
      <c r="LUC2" s="284"/>
      <c r="LUD2" s="284"/>
      <c r="LUE2" s="284"/>
      <c r="LUF2" s="284"/>
      <c r="LUG2" s="284"/>
      <c r="LUH2" s="284"/>
      <c r="LUI2" s="284"/>
      <c r="LUJ2" s="284"/>
      <c r="LUK2" s="284"/>
      <c r="LUL2" s="284"/>
      <c r="LUM2" s="284"/>
      <c r="LUN2" s="284"/>
      <c r="LUO2" s="284"/>
      <c r="LUP2" s="284"/>
      <c r="LUQ2" s="284"/>
      <c r="LUR2" s="284"/>
      <c r="LUS2" s="284"/>
      <c r="LUT2" s="284"/>
      <c r="LUU2" s="284"/>
      <c r="LUV2" s="284"/>
      <c r="LUW2" s="284"/>
      <c r="LUX2" s="284"/>
      <c r="LUY2" s="284"/>
      <c r="LUZ2" s="284"/>
      <c r="LVA2" s="284"/>
      <c r="LVB2" s="284"/>
      <c r="LVC2" s="284"/>
      <c r="LVD2" s="284"/>
      <c r="LVE2" s="284"/>
      <c r="LVF2" s="284"/>
      <c r="LVG2" s="284"/>
      <c r="LVH2" s="284"/>
      <c r="LVI2" s="284"/>
      <c r="LVJ2" s="284"/>
      <c r="LVK2" s="284"/>
      <c r="LVL2" s="284"/>
      <c r="LVM2" s="284"/>
      <c r="LVN2" s="284"/>
      <c r="LVO2" s="284"/>
      <c r="LVP2" s="284"/>
      <c r="LVQ2" s="284"/>
      <c r="LVR2" s="284"/>
      <c r="LVS2" s="284"/>
      <c r="LVT2" s="284"/>
      <c r="LVU2" s="284"/>
      <c r="LVV2" s="284"/>
      <c r="LVW2" s="284"/>
      <c r="LVX2" s="284"/>
      <c r="LVY2" s="284"/>
      <c r="LVZ2" s="284"/>
      <c r="LWA2" s="284"/>
      <c r="LWB2" s="284"/>
      <c r="LWC2" s="284"/>
      <c r="LWD2" s="284"/>
      <c r="LWE2" s="284"/>
      <c r="LWF2" s="284"/>
      <c r="LWG2" s="284"/>
      <c r="LWH2" s="284"/>
      <c r="LWI2" s="284"/>
      <c r="LWJ2" s="284"/>
      <c r="LWK2" s="284"/>
      <c r="LWL2" s="284"/>
      <c r="LWM2" s="284"/>
      <c r="LWN2" s="284"/>
      <c r="LWO2" s="284"/>
      <c r="LWP2" s="284"/>
      <c r="LWQ2" s="284"/>
      <c r="LWR2" s="284"/>
      <c r="LWS2" s="284"/>
      <c r="LWT2" s="284"/>
      <c r="LWU2" s="284"/>
      <c r="LWV2" s="284"/>
      <c r="LWW2" s="284"/>
      <c r="LWX2" s="284"/>
      <c r="LWY2" s="284"/>
      <c r="LWZ2" s="284"/>
      <c r="LXA2" s="284"/>
      <c r="LXB2" s="284"/>
      <c r="LXC2" s="284"/>
      <c r="LXD2" s="284"/>
      <c r="LXE2" s="284"/>
      <c r="LXF2" s="284"/>
      <c r="LXG2" s="284"/>
      <c r="LXH2" s="284"/>
      <c r="LXI2" s="284"/>
      <c r="LXJ2" s="284"/>
      <c r="LXK2" s="284"/>
      <c r="LXL2" s="284"/>
      <c r="LXM2" s="284"/>
      <c r="LXN2" s="284"/>
      <c r="LXO2" s="284"/>
      <c r="LXP2" s="284"/>
      <c r="LXQ2" s="284"/>
      <c r="LXR2" s="284"/>
      <c r="LXS2" s="284"/>
      <c r="LXT2" s="284"/>
      <c r="LXU2" s="284"/>
      <c r="LXV2" s="284"/>
      <c r="LXW2" s="284"/>
      <c r="LXX2" s="284"/>
      <c r="LXY2" s="284"/>
      <c r="LXZ2" s="284"/>
      <c r="LYA2" s="284"/>
      <c r="LYB2" s="284"/>
      <c r="LYC2" s="284"/>
      <c r="LYD2" s="284"/>
      <c r="LYE2" s="284"/>
      <c r="LYF2" s="284"/>
      <c r="LYG2" s="284"/>
      <c r="LYH2" s="284"/>
      <c r="LYI2" s="284"/>
      <c r="LYJ2" s="284"/>
      <c r="LYK2" s="284"/>
      <c r="LYL2" s="284"/>
      <c r="LYM2" s="284"/>
      <c r="LYN2" s="284"/>
      <c r="LYO2" s="284"/>
      <c r="LYP2" s="284"/>
      <c r="LYQ2" s="284"/>
      <c r="LYR2" s="284"/>
      <c r="LYS2" s="284"/>
      <c r="LYT2" s="284"/>
      <c r="LYU2" s="284"/>
      <c r="LYV2" s="284"/>
      <c r="LYW2" s="284"/>
      <c r="LYX2" s="284"/>
      <c r="LYY2" s="284"/>
      <c r="LYZ2" s="284"/>
      <c r="LZA2" s="284"/>
      <c r="LZB2" s="284"/>
      <c r="LZC2" s="284"/>
      <c r="LZD2" s="284"/>
      <c r="LZE2" s="284"/>
      <c r="LZF2" s="284"/>
      <c r="LZG2" s="284"/>
      <c r="LZH2" s="284"/>
      <c r="LZI2" s="284"/>
      <c r="LZJ2" s="284"/>
      <c r="LZK2" s="284"/>
      <c r="LZL2" s="284"/>
      <c r="LZM2" s="284"/>
      <c r="LZN2" s="284"/>
      <c r="LZO2" s="284"/>
      <c r="LZP2" s="284"/>
      <c r="LZQ2" s="284"/>
      <c r="LZR2" s="284"/>
      <c r="LZS2" s="284"/>
      <c r="LZT2" s="284"/>
      <c r="LZU2" s="284"/>
      <c r="LZV2" s="284"/>
      <c r="LZW2" s="284"/>
      <c r="LZX2" s="284"/>
      <c r="LZY2" s="284"/>
      <c r="LZZ2" s="284"/>
      <c r="MAA2" s="284"/>
      <c r="MAB2" s="284"/>
      <c r="MAC2" s="284"/>
      <c r="MAD2" s="284"/>
      <c r="MAE2" s="284"/>
      <c r="MAF2" s="284"/>
      <c r="MAG2" s="284"/>
      <c r="MAH2" s="284"/>
      <c r="MAI2" s="284"/>
      <c r="MAJ2" s="284"/>
      <c r="MAK2" s="284"/>
      <c r="MAL2" s="284"/>
      <c r="MAM2" s="284"/>
      <c r="MAN2" s="284"/>
      <c r="MAO2" s="284"/>
      <c r="MAP2" s="284"/>
      <c r="MAQ2" s="284"/>
      <c r="MAR2" s="284"/>
      <c r="MAS2" s="284"/>
      <c r="MAT2" s="284"/>
      <c r="MAU2" s="284"/>
      <c r="MAV2" s="284"/>
      <c r="MAW2" s="284"/>
      <c r="MAX2" s="284"/>
      <c r="MAY2" s="284"/>
      <c r="MAZ2" s="284"/>
      <c r="MBA2" s="284"/>
      <c r="MBB2" s="284"/>
      <c r="MBC2" s="284"/>
      <c r="MBD2" s="284"/>
      <c r="MBE2" s="284"/>
      <c r="MBF2" s="284"/>
      <c r="MBG2" s="284"/>
      <c r="MBH2" s="284"/>
      <c r="MBI2" s="284"/>
      <c r="MBJ2" s="284"/>
      <c r="MBK2" s="284"/>
      <c r="MBL2" s="284"/>
      <c r="MBM2" s="284"/>
      <c r="MBN2" s="284"/>
      <c r="MBO2" s="284"/>
      <c r="MBP2" s="284"/>
      <c r="MBQ2" s="284"/>
      <c r="MBR2" s="284"/>
      <c r="MBS2" s="284"/>
      <c r="MBT2" s="284"/>
      <c r="MBU2" s="284"/>
      <c r="MBV2" s="284"/>
      <c r="MBW2" s="284"/>
      <c r="MBX2" s="284"/>
      <c r="MBY2" s="284"/>
      <c r="MBZ2" s="284"/>
      <c r="MCA2" s="284"/>
      <c r="MCB2" s="284"/>
      <c r="MCC2" s="284"/>
      <c r="MCD2" s="284"/>
      <c r="MCE2" s="284"/>
      <c r="MCF2" s="284"/>
      <c r="MCG2" s="284"/>
      <c r="MCH2" s="284"/>
      <c r="MCI2" s="284"/>
      <c r="MCJ2" s="284"/>
      <c r="MCK2" s="284"/>
      <c r="MCL2" s="284"/>
      <c r="MCM2" s="284"/>
      <c r="MCN2" s="284"/>
      <c r="MCO2" s="284"/>
      <c r="MCP2" s="284"/>
      <c r="MCQ2" s="284"/>
      <c r="MCR2" s="284"/>
      <c r="MCS2" s="284"/>
      <c r="MCT2" s="284"/>
      <c r="MCU2" s="284"/>
      <c r="MCV2" s="284"/>
      <c r="MCW2" s="284"/>
      <c r="MCX2" s="284"/>
      <c r="MCY2" s="284"/>
      <c r="MCZ2" s="284"/>
      <c r="MDA2" s="284"/>
      <c r="MDB2" s="284"/>
      <c r="MDC2" s="284"/>
      <c r="MDD2" s="284"/>
      <c r="MDE2" s="284"/>
      <c r="MDF2" s="284"/>
      <c r="MDG2" s="284"/>
      <c r="MDH2" s="284"/>
      <c r="MDI2" s="284"/>
      <c r="MDJ2" s="284"/>
      <c r="MDK2" s="284"/>
      <c r="MDL2" s="284"/>
      <c r="MDM2" s="284"/>
      <c r="MDN2" s="284"/>
      <c r="MDO2" s="284"/>
      <c r="MDP2" s="284"/>
      <c r="MDQ2" s="284"/>
      <c r="MDR2" s="284"/>
      <c r="MDS2" s="284"/>
      <c r="MDT2" s="284"/>
      <c r="MDU2" s="284"/>
      <c r="MDV2" s="284"/>
      <c r="MDW2" s="284"/>
      <c r="MDX2" s="284"/>
      <c r="MDY2" s="284"/>
      <c r="MDZ2" s="284"/>
      <c r="MEA2" s="284"/>
      <c r="MEB2" s="284"/>
      <c r="MEC2" s="284"/>
      <c r="MED2" s="284"/>
      <c r="MEE2" s="284"/>
      <c r="MEF2" s="284"/>
      <c r="MEG2" s="284"/>
      <c r="MEH2" s="284"/>
      <c r="MEI2" s="284"/>
      <c r="MEJ2" s="284"/>
      <c r="MEK2" s="284"/>
      <c r="MEL2" s="284"/>
      <c r="MEM2" s="284"/>
      <c r="MEN2" s="284"/>
      <c r="MEO2" s="284"/>
      <c r="MEP2" s="284"/>
      <c r="MEQ2" s="284"/>
      <c r="MER2" s="284"/>
      <c r="MES2" s="284"/>
      <c r="MET2" s="284"/>
      <c r="MEU2" s="284"/>
      <c r="MEV2" s="284"/>
      <c r="MEW2" s="284"/>
      <c r="MEX2" s="284"/>
      <c r="MEY2" s="284"/>
      <c r="MEZ2" s="284"/>
      <c r="MFA2" s="284"/>
      <c r="MFB2" s="284"/>
      <c r="MFC2" s="284"/>
      <c r="MFD2" s="284"/>
      <c r="MFE2" s="284"/>
      <c r="MFF2" s="284"/>
      <c r="MFG2" s="284"/>
      <c r="MFH2" s="284"/>
      <c r="MFI2" s="284"/>
      <c r="MFJ2" s="284"/>
      <c r="MFK2" s="284"/>
      <c r="MFL2" s="284"/>
      <c r="MFM2" s="284"/>
      <c r="MFN2" s="284"/>
      <c r="MFO2" s="284"/>
      <c r="MFP2" s="284"/>
      <c r="MFQ2" s="284"/>
      <c r="MFR2" s="284"/>
      <c r="MFS2" s="284"/>
      <c r="MFT2" s="284"/>
      <c r="MFU2" s="284"/>
      <c r="MFV2" s="284"/>
      <c r="MFW2" s="284"/>
      <c r="MFX2" s="284"/>
      <c r="MFY2" s="284"/>
      <c r="MFZ2" s="284"/>
      <c r="MGA2" s="284"/>
      <c r="MGB2" s="284"/>
      <c r="MGC2" s="284"/>
      <c r="MGD2" s="284"/>
      <c r="MGE2" s="284"/>
      <c r="MGF2" s="284"/>
      <c r="MGG2" s="284"/>
      <c r="MGH2" s="284"/>
      <c r="MGI2" s="284"/>
      <c r="MGJ2" s="284"/>
      <c r="MGK2" s="284"/>
      <c r="MGL2" s="284"/>
      <c r="MGM2" s="284"/>
      <c r="MGN2" s="284"/>
      <c r="MGO2" s="284"/>
      <c r="MGP2" s="284"/>
      <c r="MGQ2" s="284"/>
      <c r="MGR2" s="284"/>
      <c r="MGS2" s="284"/>
      <c r="MGT2" s="284"/>
      <c r="MGU2" s="284"/>
      <c r="MGV2" s="284"/>
      <c r="MGW2" s="284"/>
      <c r="MGX2" s="284"/>
      <c r="MGY2" s="284"/>
      <c r="MGZ2" s="284"/>
      <c r="MHA2" s="284"/>
      <c r="MHB2" s="284"/>
      <c r="MHC2" s="284"/>
      <c r="MHD2" s="284"/>
      <c r="MHE2" s="284"/>
      <c r="MHF2" s="284"/>
      <c r="MHG2" s="284"/>
      <c r="MHH2" s="284"/>
      <c r="MHI2" s="284"/>
      <c r="MHJ2" s="284"/>
      <c r="MHK2" s="284"/>
      <c r="MHL2" s="284"/>
      <c r="MHM2" s="284"/>
      <c r="MHN2" s="284"/>
      <c r="MHO2" s="284"/>
      <c r="MHP2" s="284"/>
      <c r="MHQ2" s="284"/>
      <c r="MHR2" s="284"/>
      <c r="MHS2" s="284"/>
      <c r="MHT2" s="284"/>
      <c r="MHU2" s="284"/>
      <c r="MHV2" s="284"/>
      <c r="MHW2" s="284"/>
      <c r="MHX2" s="284"/>
      <c r="MHY2" s="284"/>
      <c r="MHZ2" s="284"/>
      <c r="MIA2" s="284"/>
      <c r="MIB2" s="284"/>
      <c r="MIC2" s="284"/>
      <c r="MID2" s="284"/>
      <c r="MIE2" s="284"/>
      <c r="MIF2" s="284"/>
      <c r="MIG2" s="284"/>
      <c r="MIH2" s="284"/>
      <c r="MII2" s="284"/>
      <c r="MIJ2" s="284"/>
      <c r="MIK2" s="284"/>
      <c r="MIL2" s="284"/>
      <c r="MIM2" s="284"/>
      <c r="MIN2" s="284"/>
      <c r="MIO2" s="284"/>
      <c r="MIP2" s="284"/>
      <c r="MIQ2" s="284"/>
      <c r="MIR2" s="284"/>
      <c r="MIS2" s="284"/>
      <c r="MIT2" s="284"/>
      <c r="MIU2" s="284"/>
      <c r="MIV2" s="284"/>
      <c r="MIW2" s="284"/>
      <c r="MIX2" s="284"/>
      <c r="MIY2" s="284"/>
      <c r="MIZ2" s="284"/>
      <c r="MJA2" s="284"/>
      <c r="MJB2" s="284"/>
      <c r="MJC2" s="284"/>
      <c r="MJD2" s="284"/>
      <c r="MJE2" s="284"/>
      <c r="MJF2" s="284"/>
      <c r="MJG2" s="284"/>
      <c r="MJH2" s="284"/>
      <c r="MJI2" s="284"/>
      <c r="MJJ2" s="284"/>
      <c r="MJK2" s="284"/>
      <c r="MJL2" s="284"/>
      <c r="MJM2" s="284"/>
      <c r="MJN2" s="284"/>
      <c r="MJO2" s="284"/>
      <c r="MJP2" s="284"/>
      <c r="MJQ2" s="284"/>
      <c r="MJR2" s="284"/>
      <c r="MJS2" s="284"/>
      <c r="MJT2" s="284"/>
      <c r="MJU2" s="284"/>
      <c r="MJV2" s="284"/>
      <c r="MJW2" s="284"/>
      <c r="MJX2" s="284"/>
      <c r="MJY2" s="284"/>
      <c r="MJZ2" s="284"/>
      <c r="MKA2" s="284"/>
      <c r="MKB2" s="284"/>
      <c r="MKC2" s="284"/>
      <c r="MKD2" s="284"/>
      <c r="MKE2" s="284"/>
      <c r="MKF2" s="284"/>
      <c r="MKG2" s="284"/>
      <c r="MKH2" s="284"/>
      <c r="MKI2" s="284"/>
      <c r="MKJ2" s="284"/>
      <c r="MKK2" s="284"/>
      <c r="MKL2" s="284"/>
      <c r="MKM2" s="284"/>
      <c r="MKN2" s="284"/>
      <c r="MKO2" s="284"/>
      <c r="MKP2" s="284"/>
      <c r="MKQ2" s="284"/>
      <c r="MKR2" s="284"/>
      <c r="MKS2" s="284"/>
      <c r="MKT2" s="284"/>
      <c r="MKU2" s="284"/>
      <c r="MKV2" s="284"/>
      <c r="MKW2" s="284"/>
      <c r="MKX2" s="284"/>
      <c r="MKY2" s="284"/>
      <c r="MKZ2" s="284"/>
      <c r="MLA2" s="284"/>
      <c r="MLB2" s="284"/>
      <c r="MLC2" s="284"/>
      <c r="MLD2" s="284"/>
      <c r="MLE2" s="284"/>
      <c r="MLF2" s="284"/>
      <c r="MLG2" s="284"/>
      <c r="MLH2" s="284"/>
      <c r="MLI2" s="284"/>
      <c r="MLJ2" s="284"/>
      <c r="MLK2" s="284"/>
      <c r="MLL2" s="284"/>
      <c r="MLM2" s="284"/>
      <c r="MLN2" s="284"/>
      <c r="MLO2" s="284"/>
      <c r="MLP2" s="284"/>
      <c r="MLQ2" s="284"/>
      <c r="MLR2" s="284"/>
      <c r="MLS2" s="284"/>
      <c r="MLT2" s="284"/>
      <c r="MLU2" s="284"/>
      <c r="MLV2" s="284"/>
      <c r="MLW2" s="284"/>
      <c r="MLX2" s="284"/>
      <c r="MLY2" s="284"/>
      <c r="MLZ2" s="284"/>
      <c r="MMA2" s="284"/>
      <c r="MMB2" s="284"/>
      <c r="MMC2" s="284"/>
      <c r="MMD2" s="284"/>
      <c r="MME2" s="284"/>
      <c r="MMF2" s="284"/>
      <c r="MMG2" s="284"/>
      <c r="MMH2" s="284"/>
      <c r="MMI2" s="284"/>
      <c r="MMJ2" s="284"/>
      <c r="MMK2" s="284"/>
      <c r="MML2" s="284"/>
      <c r="MMM2" s="284"/>
      <c r="MMN2" s="284"/>
      <c r="MMO2" s="284"/>
      <c r="MMP2" s="284"/>
      <c r="MMQ2" s="284"/>
      <c r="MMR2" s="284"/>
      <c r="MMS2" s="284"/>
      <c r="MMT2" s="284"/>
      <c r="MMU2" s="284"/>
      <c r="MMV2" s="284"/>
      <c r="MMW2" s="284"/>
      <c r="MMX2" s="284"/>
      <c r="MMY2" s="284"/>
      <c r="MMZ2" s="284"/>
      <c r="MNA2" s="284"/>
      <c r="MNB2" s="284"/>
      <c r="MNC2" s="284"/>
      <c r="MND2" s="284"/>
      <c r="MNE2" s="284"/>
      <c r="MNF2" s="284"/>
      <c r="MNG2" s="284"/>
      <c r="MNH2" s="284"/>
      <c r="MNI2" s="284"/>
      <c r="MNJ2" s="284"/>
      <c r="MNK2" s="284"/>
      <c r="MNL2" s="284"/>
      <c r="MNM2" s="284"/>
      <c r="MNN2" s="284"/>
      <c r="MNO2" s="284"/>
      <c r="MNP2" s="284"/>
      <c r="MNQ2" s="284"/>
      <c r="MNR2" s="284"/>
      <c r="MNS2" s="284"/>
      <c r="MNT2" s="284"/>
      <c r="MNU2" s="284"/>
      <c r="MNV2" s="284"/>
      <c r="MNW2" s="284"/>
      <c r="MNX2" s="284"/>
      <c r="MNY2" s="284"/>
      <c r="MNZ2" s="284"/>
      <c r="MOA2" s="284"/>
      <c r="MOB2" s="284"/>
      <c r="MOC2" s="284"/>
      <c r="MOD2" s="284"/>
      <c r="MOE2" s="284"/>
      <c r="MOF2" s="284"/>
      <c r="MOG2" s="284"/>
      <c r="MOH2" s="284"/>
      <c r="MOI2" s="284"/>
      <c r="MOJ2" s="284"/>
      <c r="MOK2" s="284"/>
      <c r="MOL2" s="284"/>
      <c r="MOM2" s="284"/>
      <c r="MON2" s="284"/>
      <c r="MOO2" s="284"/>
      <c r="MOP2" s="284"/>
      <c r="MOQ2" s="284"/>
      <c r="MOR2" s="284"/>
      <c r="MOS2" s="284"/>
      <c r="MOT2" s="284"/>
      <c r="MOU2" s="284"/>
      <c r="MOV2" s="284"/>
      <c r="MOW2" s="284"/>
      <c r="MOX2" s="284"/>
      <c r="MOY2" s="284"/>
      <c r="MOZ2" s="284"/>
      <c r="MPA2" s="284"/>
      <c r="MPB2" s="284"/>
      <c r="MPC2" s="284"/>
      <c r="MPD2" s="284"/>
      <c r="MPE2" s="284"/>
      <c r="MPF2" s="284"/>
      <c r="MPG2" s="284"/>
      <c r="MPH2" s="284"/>
      <c r="MPI2" s="284"/>
      <c r="MPJ2" s="284"/>
      <c r="MPK2" s="284"/>
      <c r="MPL2" s="284"/>
      <c r="MPM2" s="284"/>
      <c r="MPN2" s="284"/>
      <c r="MPO2" s="284"/>
      <c r="MPP2" s="284"/>
      <c r="MPQ2" s="284"/>
      <c r="MPR2" s="284"/>
      <c r="MPS2" s="284"/>
      <c r="MPT2" s="284"/>
      <c r="MPU2" s="284"/>
      <c r="MPV2" s="284"/>
      <c r="MPW2" s="284"/>
      <c r="MPX2" s="284"/>
      <c r="MPY2" s="284"/>
      <c r="MPZ2" s="284"/>
      <c r="MQA2" s="284"/>
      <c r="MQB2" s="284"/>
      <c r="MQC2" s="284"/>
      <c r="MQD2" s="284"/>
      <c r="MQE2" s="284"/>
      <c r="MQF2" s="284"/>
      <c r="MQG2" s="284"/>
      <c r="MQH2" s="284"/>
      <c r="MQI2" s="284"/>
      <c r="MQJ2" s="284"/>
      <c r="MQK2" s="284"/>
      <c r="MQL2" s="284"/>
      <c r="MQM2" s="284"/>
      <c r="MQN2" s="284"/>
      <c r="MQO2" s="284"/>
      <c r="MQP2" s="284"/>
      <c r="MQQ2" s="284"/>
      <c r="MQR2" s="284"/>
      <c r="MQS2" s="284"/>
      <c r="MQT2" s="284"/>
      <c r="MQU2" s="284"/>
      <c r="MQV2" s="284"/>
      <c r="MQW2" s="284"/>
      <c r="MQX2" s="284"/>
      <c r="MQY2" s="284"/>
      <c r="MQZ2" s="284"/>
      <c r="MRA2" s="284"/>
      <c r="MRB2" s="284"/>
      <c r="MRC2" s="284"/>
      <c r="MRD2" s="284"/>
      <c r="MRE2" s="284"/>
      <c r="MRF2" s="284"/>
      <c r="MRG2" s="284"/>
      <c r="MRH2" s="284"/>
      <c r="MRI2" s="284"/>
      <c r="MRJ2" s="284"/>
      <c r="MRK2" s="284"/>
      <c r="MRL2" s="284"/>
      <c r="MRM2" s="284"/>
      <c r="MRN2" s="284"/>
      <c r="MRO2" s="284"/>
      <c r="MRP2" s="284"/>
      <c r="MRQ2" s="284"/>
      <c r="MRR2" s="284"/>
      <c r="MRS2" s="284"/>
      <c r="MRT2" s="284"/>
      <c r="MRU2" s="284"/>
      <c r="MRV2" s="284"/>
      <c r="MRW2" s="284"/>
      <c r="MRX2" s="284"/>
      <c r="MRY2" s="284"/>
      <c r="MRZ2" s="284"/>
      <c r="MSA2" s="284"/>
      <c r="MSB2" s="284"/>
      <c r="MSC2" s="284"/>
      <c r="MSD2" s="284"/>
      <c r="MSE2" s="284"/>
      <c r="MSF2" s="284"/>
      <c r="MSG2" s="284"/>
      <c r="MSH2" s="284"/>
      <c r="MSI2" s="284"/>
      <c r="MSJ2" s="284"/>
      <c r="MSK2" s="284"/>
      <c r="MSL2" s="284"/>
      <c r="MSM2" s="284"/>
      <c r="MSN2" s="284"/>
      <c r="MSO2" s="284"/>
      <c r="MSP2" s="284"/>
      <c r="MSQ2" s="284"/>
      <c r="MSR2" s="284"/>
      <c r="MSS2" s="284"/>
      <c r="MST2" s="284"/>
      <c r="MSU2" s="284"/>
      <c r="MSV2" s="284"/>
      <c r="MSW2" s="284"/>
      <c r="MSX2" s="284"/>
      <c r="MSY2" s="284"/>
      <c r="MSZ2" s="284"/>
      <c r="MTA2" s="284"/>
      <c r="MTB2" s="284"/>
      <c r="MTC2" s="284"/>
      <c r="MTD2" s="284"/>
      <c r="MTE2" s="284"/>
      <c r="MTF2" s="284"/>
      <c r="MTG2" s="284"/>
      <c r="MTH2" s="284"/>
      <c r="MTI2" s="284"/>
      <c r="MTJ2" s="284"/>
      <c r="MTK2" s="284"/>
      <c r="MTL2" s="284"/>
      <c r="MTM2" s="284"/>
      <c r="MTN2" s="284"/>
      <c r="MTO2" s="284"/>
      <c r="MTP2" s="284"/>
      <c r="MTQ2" s="284"/>
      <c r="MTR2" s="284"/>
      <c r="MTS2" s="284"/>
      <c r="MTT2" s="284"/>
      <c r="MTU2" s="284"/>
      <c r="MTV2" s="284"/>
      <c r="MTW2" s="284"/>
      <c r="MTX2" s="284"/>
      <c r="MTY2" s="284"/>
      <c r="MTZ2" s="284"/>
      <c r="MUA2" s="284"/>
      <c r="MUB2" s="284"/>
      <c r="MUC2" s="284"/>
      <c r="MUD2" s="284"/>
      <c r="MUE2" s="284"/>
      <c r="MUF2" s="284"/>
      <c r="MUG2" s="284"/>
      <c r="MUH2" s="284"/>
      <c r="MUI2" s="284"/>
      <c r="MUJ2" s="284"/>
      <c r="MUK2" s="284"/>
      <c r="MUL2" s="284"/>
      <c r="MUM2" s="284"/>
      <c r="MUN2" s="284"/>
      <c r="MUO2" s="284"/>
      <c r="MUP2" s="284"/>
      <c r="MUQ2" s="284"/>
      <c r="MUR2" s="284"/>
      <c r="MUS2" s="284"/>
      <c r="MUT2" s="284"/>
      <c r="MUU2" s="284"/>
      <c r="MUV2" s="284"/>
      <c r="MUW2" s="284"/>
      <c r="MUX2" s="284"/>
      <c r="MUY2" s="284"/>
      <c r="MUZ2" s="284"/>
      <c r="MVA2" s="284"/>
      <c r="MVB2" s="284"/>
      <c r="MVC2" s="284"/>
      <c r="MVD2" s="284"/>
      <c r="MVE2" s="284"/>
      <c r="MVF2" s="284"/>
      <c r="MVG2" s="284"/>
      <c r="MVH2" s="284"/>
      <c r="MVI2" s="284"/>
      <c r="MVJ2" s="284"/>
      <c r="MVK2" s="284"/>
      <c r="MVL2" s="284"/>
      <c r="MVM2" s="284"/>
      <c r="MVN2" s="284"/>
      <c r="MVO2" s="284"/>
      <c r="MVP2" s="284"/>
      <c r="MVQ2" s="284"/>
      <c r="MVR2" s="284"/>
      <c r="MVS2" s="284"/>
      <c r="MVT2" s="284"/>
      <c r="MVU2" s="284"/>
      <c r="MVV2" s="284"/>
      <c r="MVW2" s="284"/>
      <c r="MVX2" s="284"/>
      <c r="MVY2" s="284"/>
      <c r="MVZ2" s="284"/>
      <c r="MWA2" s="284"/>
      <c r="MWB2" s="284"/>
      <c r="MWC2" s="284"/>
      <c r="MWD2" s="284"/>
      <c r="MWE2" s="284"/>
      <c r="MWF2" s="284"/>
      <c r="MWG2" s="284"/>
      <c r="MWH2" s="284"/>
      <c r="MWI2" s="284"/>
      <c r="MWJ2" s="284"/>
      <c r="MWK2" s="284"/>
      <c r="MWL2" s="284"/>
      <c r="MWM2" s="284"/>
      <c r="MWN2" s="284"/>
      <c r="MWO2" s="284"/>
      <c r="MWP2" s="284"/>
      <c r="MWQ2" s="284"/>
      <c r="MWR2" s="284"/>
      <c r="MWS2" s="284"/>
      <c r="MWT2" s="284"/>
      <c r="MWU2" s="284"/>
      <c r="MWV2" s="284"/>
      <c r="MWW2" s="284"/>
      <c r="MWX2" s="284"/>
      <c r="MWY2" s="284"/>
      <c r="MWZ2" s="284"/>
      <c r="MXA2" s="284"/>
      <c r="MXB2" s="284"/>
      <c r="MXC2" s="284"/>
      <c r="MXD2" s="284"/>
      <c r="MXE2" s="284"/>
      <c r="MXF2" s="284"/>
      <c r="MXG2" s="284"/>
      <c r="MXH2" s="284"/>
      <c r="MXI2" s="284"/>
      <c r="MXJ2" s="284"/>
      <c r="MXK2" s="284"/>
      <c r="MXL2" s="284"/>
      <c r="MXM2" s="284"/>
      <c r="MXN2" s="284"/>
      <c r="MXO2" s="284"/>
      <c r="MXP2" s="284"/>
      <c r="MXQ2" s="284"/>
      <c r="MXR2" s="284"/>
      <c r="MXS2" s="284"/>
      <c r="MXT2" s="284"/>
      <c r="MXU2" s="284"/>
      <c r="MXV2" s="284"/>
      <c r="MXW2" s="284"/>
      <c r="MXX2" s="284"/>
      <c r="MXY2" s="284"/>
      <c r="MXZ2" s="284"/>
      <c r="MYA2" s="284"/>
      <c r="MYB2" s="284"/>
      <c r="MYC2" s="284"/>
      <c r="MYD2" s="284"/>
      <c r="MYE2" s="284"/>
      <c r="MYF2" s="284"/>
      <c r="MYG2" s="284"/>
      <c r="MYH2" s="284"/>
      <c r="MYI2" s="284"/>
      <c r="MYJ2" s="284"/>
      <c r="MYK2" s="284"/>
      <c r="MYL2" s="284"/>
      <c r="MYM2" s="284"/>
      <c r="MYN2" s="284"/>
      <c r="MYO2" s="284"/>
      <c r="MYP2" s="284"/>
      <c r="MYQ2" s="284"/>
      <c r="MYR2" s="284"/>
      <c r="MYS2" s="284"/>
      <c r="MYT2" s="284"/>
      <c r="MYU2" s="284"/>
      <c r="MYV2" s="284"/>
      <c r="MYW2" s="284"/>
      <c r="MYX2" s="284"/>
      <c r="MYY2" s="284"/>
      <c r="MYZ2" s="284"/>
      <c r="MZA2" s="284"/>
      <c r="MZB2" s="284"/>
      <c r="MZC2" s="284"/>
      <c r="MZD2" s="284"/>
      <c r="MZE2" s="284"/>
      <c r="MZF2" s="284"/>
      <c r="MZG2" s="284"/>
      <c r="MZH2" s="284"/>
      <c r="MZI2" s="284"/>
      <c r="MZJ2" s="284"/>
      <c r="MZK2" s="284"/>
      <c r="MZL2" s="284"/>
      <c r="MZM2" s="284"/>
      <c r="MZN2" s="284"/>
      <c r="MZO2" s="284"/>
      <c r="MZP2" s="284"/>
      <c r="MZQ2" s="284"/>
      <c r="MZR2" s="284"/>
      <c r="MZS2" s="284"/>
      <c r="MZT2" s="284"/>
      <c r="MZU2" s="284"/>
      <c r="MZV2" s="284"/>
      <c r="MZW2" s="284"/>
      <c r="MZX2" s="284"/>
      <c r="MZY2" s="284"/>
      <c r="MZZ2" s="284"/>
      <c r="NAA2" s="284"/>
      <c r="NAB2" s="284"/>
      <c r="NAC2" s="284"/>
      <c r="NAD2" s="284"/>
      <c r="NAE2" s="284"/>
      <c r="NAF2" s="284"/>
      <c r="NAG2" s="284"/>
      <c r="NAH2" s="284"/>
      <c r="NAI2" s="284"/>
      <c r="NAJ2" s="284"/>
      <c r="NAK2" s="284"/>
      <c r="NAL2" s="284"/>
      <c r="NAM2" s="284"/>
      <c r="NAN2" s="284"/>
      <c r="NAO2" s="284"/>
      <c r="NAP2" s="284"/>
      <c r="NAQ2" s="284"/>
      <c r="NAR2" s="284"/>
      <c r="NAS2" s="284"/>
      <c r="NAT2" s="284"/>
      <c r="NAU2" s="284"/>
      <c r="NAV2" s="284"/>
      <c r="NAW2" s="284"/>
      <c r="NAX2" s="284"/>
      <c r="NAY2" s="284"/>
      <c r="NAZ2" s="284"/>
      <c r="NBA2" s="284"/>
      <c r="NBB2" s="284"/>
      <c r="NBC2" s="284"/>
      <c r="NBD2" s="284"/>
      <c r="NBE2" s="284"/>
      <c r="NBF2" s="284"/>
      <c r="NBG2" s="284"/>
      <c r="NBH2" s="284"/>
      <c r="NBI2" s="284"/>
      <c r="NBJ2" s="284"/>
      <c r="NBK2" s="284"/>
      <c r="NBL2" s="284"/>
      <c r="NBM2" s="284"/>
      <c r="NBN2" s="284"/>
      <c r="NBO2" s="284"/>
      <c r="NBP2" s="284"/>
      <c r="NBQ2" s="284"/>
      <c r="NBR2" s="284"/>
      <c r="NBS2" s="284"/>
      <c r="NBT2" s="284"/>
      <c r="NBU2" s="284"/>
      <c r="NBV2" s="284"/>
      <c r="NBW2" s="284"/>
      <c r="NBX2" s="284"/>
      <c r="NBY2" s="284"/>
      <c r="NBZ2" s="284"/>
      <c r="NCA2" s="284"/>
      <c r="NCB2" s="284"/>
      <c r="NCC2" s="284"/>
      <c r="NCD2" s="284"/>
      <c r="NCE2" s="284"/>
      <c r="NCF2" s="284"/>
      <c r="NCG2" s="284"/>
      <c r="NCH2" s="284"/>
      <c r="NCI2" s="284"/>
      <c r="NCJ2" s="284"/>
      <c r="NCK2" s="284"/>
      <c r="NCL2" s="284"/>
      <c r="NCM2" s="284"/>
      <c r="NCN2" s="284"/>
      <c r="NCO2" s="284"/>
      <c r="NCP2" s="284"/>
      <c r="NCQ2" s="284"/>
      <c r="NCR2" s="284"/>
      <c r="NCS2" s="284"/>
      <c r="NCT2" s="284"/>
      <c r="NCU2" s="284"/>
      <c r="NCV2" s="284"/>
      <c r="NCW2" s="284"/>
      <c r="NCX2" s="284"/>
      <c r="NCY2" s="284"/>
      <c r="NCZ2" s="284"/>
      <c r="NDA2" s="284"/>
      <c r="NDB2" s="284"/>
      <c r="NDC2" s="284"/>
      <c r="NDD2" s="284"/>
      <c r="NDE2" s="284"/>
      <c r="NDF2" s="284"/>
      <c r="NDG2" s="284"/>
      <c r="NDH2" s="284"/>
      <c r="NDI2" s="284"/>
      <c r="NDJ2" s="284"/>
      <c r="NDK2" s="284"/>
      <c r="NDL2" s="284"/>
      <c r="NDM2" s="284"/>
      <c r="NDN2" s="284"/>
      <c r="NDO2" s="284"/>
      <c r="NDP2" s="284"/>
      <c r="NDQ2" s="284"/>
      <c r="NDR2" s="284"/>
      <c r="NDS2" s="284"/>
      <c r="NDT2" s="284"/>
      <c r="NDU2" s="284"/>
      <c r="NDV2" s="284"/>
      <c r="NDW2" s="284"/>
      <c r="NDX2" s="284"/>
      <c r="NDY2" s="284"/>
      <c r="NDZ2" s="284"/>
      <c r="NEA2" s="284"/>
      <c r="NEB2" s="284"/>
      <c r="NEC2" s="284"/>
      <c r="NED2" s="284"/>
      <c r="NEE2" s="284"/>
      <c r="NEF2" s="284"/>
      <c r="NEG2" s="284"/>
      <c r="NEH2" s="284"/>
      <c r="NEI2" s="284"/>
      <c r="NEJ2" s="284"/>
      <c r="NEK2" s="284"/>
      <c r="NEL2" s="284"/>
      <c r="NEM2" s="284"/>
      <c r="NEN2" s="284"/>
      <c r="NEO2" s="284"/>
      <c r="NEP2" s="284"/>
      <c r="NEQ2" s="284"/>
      <c r="NER2" s="284"/>
      <c r="NES2" s="284"/>
      <c r="NET2" s="284"/>
      <c r="NEU2" s="284"/>
      <c r="NEV2" s="284"/>
      <c r="NEW2" s="284"/>
      <c r="NEX2" s="284"/>
      <c r="NEY2" s="284"/>
      <c r="NEZ2" s="284"/>
      <c r="NFA2" s="284"/>
      <c r="NFB2" s="284"/>
      <c r="NFC2" s="284"/>
      <c r="NFD2" s="284"/>
      <c r="NFE2" s="284"/>
      <c r="NFF2" s="284"/>
      <c r="NFG2" s="284"/>
      <c r="NFH2" s="284"/>
      <c r="NFI2" s="284"/>
      <c r="NFJ2" s="284"/>
      <c r="NFK2" s="284"/>
      <c r="NFL2" s="284"/>
      <c r="NFM2" s="284"/>
      <c r="NFN2" s="284"/>
      <c r="NFO2" s="284"/>
      <c r="NFP2" s="284"/>
      <c r="NFQ2" s="284"/>
      <c r="NFR2" s="284"/>
      <c r="NFS2" s="284"/>
      <c r="NFT2" s="284"/>
      <c r="NFU2" s="284"/>
      <c r="NFV2" s="284"/>
      <c r="NFW2" s="284"/>
      <c r="NFX2" s="284"/>
      <c r="NFY2" s="284"/>
      <c r="NFZ2" s="284"/>
      <c r="NGA2" s="284"/>
      <c r="NGB2" s="284"/>
      <c r="NGC2" s="284"/>
      <c r="NGD2" s="284"/>
      <c r="NGE2" s="284"/>
      <c r="NGF2" s="284"/>
      <c r="NGG2" s="284"/>
      <c r="NGH2" s="284"/>
      <c r="NGI2" s="284"/>
      <c r="NGJ2" s="284"/>
      <c r="NGK2" s="284"/>
      <c r="NGL2" s="284"/>
      <c r="NGM2" s="284"/>
      <c r="NGN2" s="284"/>
      <c r="NGO2" s="284"/>
      <c r="NGP2" s="284"/>
      <c r="NGQ2" s="284"/>
      <c r="NGR2" s="284"/>
      <c r="NGS2" s="284"/>
      <c r="NGT2" s="284"/>
      <c r="NGU2" s="284"/>
      <c r="NGV2" s="284"/>
      <c r="NGW2" s="284"/>
      <c r="NGX2" s="284"/>
      <c r="NGY2" s="284"/>
      <c r="NGZ2" s="284"/>
      <c r="NHA2" s="284"/>
      <c r="NHB2" s="284"/>
      <c r="NHC2" s="284"/>
      <c r="NHD2" s="284"/>
      <c r="NHE2" s="284"/>
      <c r="NHF2" s="284"/>
      <c r="NHG2" s="284"/>
      <c r="NHH2" s="284"/>
      <c r="NHI2" s="284"/>
      <c r="NHJ2" s="284"/>
      <c r="NHK2" s="284"/>
      <c r="NHL2" s="284"/>
      <c r="NHM2" s="284"/>
      <c r="NHN2" s="284"/>
      <c r="NHO2" s="284"/>
      <c r="NHP2" s="284"/>
      <c r="NHQ2" s="284"/>
      <c r="NHR2" s="284"/>
      <c r="NHS2" s="284"/>
      <c r="NHT2" s="284"/>
      <c r="NHU2" s="284"/>
      <c r="NHV2" s="284"/>
      <c r="NHW2" s="284"/>
      <c r="NHX2" s="284"/>
      <c r="NHY2" s="284"/>
      <c r="NHZ2" s="284"/>
      <c r="NIA2" s="284"/>
      <c r="NIB2" s="284"/>
      <c r="NIC2" s="284"/>
      <c r="NID2" s="284"/>
      <c r="NIE2" s="284"/>
      <c r="NIF2" s="284"/>
      <c r="NIG2" s="284"/>
      <c r="NIH2" s="284"/>
      <c r="NII2" s="284"/>
      <c r="NIJ2" s="284"/>
      <c r="NIK2" s="284"/>
      <c r="NIL2" s="284"/>
      <c r="NIM2" s="284"/>
      <c r="NIN2" s="284"/>
      <c r="NIO2" s="284"/>
      <c r="NIP2" s="284"/>
      <c r="NIQ2" s="284"/>
      <c r="NIR2" s="284"/>
      <c r="NIS2" s="284"/>
      <c r="NIT2" s="284"/>
      <c r="NIU2" s="284"/>
      <c r="NIV2" s="284"/>
      <c r="NIW2" s="284"/>
      <c r="NIX2" s="284"/>
      <c r="NIY2" s="284"/>
      <c r="NIZ2" s="284"/>
      <c r="NJA2" s="284"/>
      <c r="NJB2" s="284"/>
      <c r="NJC2" s="284"/>
      <c r="NJD2" s="284"/>
      <c r="NJE2" s="284"/>
      <c r="NJF2" s="284"/>
      <c r="NJG2" s="284"/>
      <c r="NJH2" s="284"/>
      <c r="NJI2" s="284"/>
      <c r="NJJ2" s="284"/>
      <c r="NJK2" s="284"/>
      <c r="NJL2" s="284"/>
      <c r="NJM2" s="284"/>
      <c r="NJN2" s="284"/>
      <c r="NJO2" s="284"/>
      <c r="NJP2" s="284"/>
      <c r="NJQ2" s="284"/>
      <c r="NJR2" s="284"/>
      <c r="NJS2" s="284"/>
      <c r="NJT2" s="284"/>
      <c r="NJU2" s="284"/>
      <c r="NJV2" s="284"/>
      <c r="NJW2" s="284"/>
      <c r="NJX2" s="284"/>
      <c r="NJY2" s="284"/>
      <c r="NJZ2" s="284"/>
      <c r="NKA2" s="284"/>
      <c r="NKB2" s="284"/>
      <c r="NKC2" s="284"/>
      <c r="NKD2" s="284"/>
      <c r="NKE2" s="284"/>
      <c r="NKF2" s="284"/>
      <c r="NKG2" s="284"/>
      <c r="NKH2" s="284"/>
      <c r="NKI2" s="284"/>
      <c r="NKJ2" s="284"/>
      <c r="NKK2" s="284"/>
      <c r="NKL2" s="284"/>
      <c r="NKM2" s="284"/>
      <c r="NKN2" s="284"/>
      <c r="NKO2" s="284"/>
      <c r="NKP2" s="284"/>
      <c r="NKQ2" s="284"/>
      <c r="NKR2" s="284"/>
      <c r="NKS2" s="284"/>
      <c r="NKT2" s="284"/>
      <c r="NKU2" s="284"/>
      <c r="NKV2" s="284"/>
      <c r="NKW2" s="284"/>
      <c r="NKX2" s="284"/>
      <c r="NKY2" s="284"/>
      <c r="NKZ2" s="284"/>
      <c r="NLA2" s="284"/>
      <c r="NLB2" s="284"/>
      <c r="NLC2" s="284"/>
      <c r="NLD2" s="284"/>
      <c r="NLE2" s="284"/>
      <c r="NLF2" s="284"/>
      <c r="NLG2" s="284"/>
      <c r="NLH2" s="284"/>
      <c r="NLI2" s="284"/>
      <c r="NLJ2" s="284"/>
      <c r="NLK2" s="284"/>
      <c r="NLL2" s="284"/>
      <c r="NLM2" s="284"/>
      <c r="NLN2" s="284"/>
      <c r="NLO2" s="284"/>
      <c r="NLP2" s="284"/>
      <c r="NLQ2" s="284"/>
      <c r="NLR2" s="284"/>
      <c r="NLS2" s="284"/>
      <c r="NLT2" s="284"/>
      <c r="NLU2" s="284"/>
      <c r="NLV2" s="284"/>
      <c r="NLW2" s="284"/>
      <c r="NLX2" s="284"/>
      <c r="NLY2" s="284"/>
      <c r="NLZ2" s="284"/>
      <c r="NMA2" s="284"/>
      <c r="NMB2" s="284"/>
      <c r="NMC2" s="284"/>
      <c r="NMD2" s="284"/>
      <c r="NME2" s="284"/>
      <c r="NMF2" s="284"/>
      <c r="NMG2" s="284"/>
      <c r="NMH2" s="284"/>
      <c r="NMI2" s="284"/>
      <c r="NMJ2" s="284"/>
      <c r="NMK2" s="284"/>
      <c r="NML2" s="284"/>
      <c r="NMM2" s="284"/>
      <c r="NMN2" s="284"/>
      <c r="NMO2" s="284"/>
      <c r="NMP2" s="284"/>
      <c r="NMQ2" s="284"/>
      <c r="NMR2" s="284"/>
      <c r="NMS2" s="284"/>
      <c r="NMT2" s="284"/>
      <c r="NMU2" s="284"/>
      <c r="NMV2" s="284"/>
      <c r="NMW2" s="284"/>
      <c r="NMX2" s="284"/>
      <c r="NMY2" s="284"/>
      <c r="NMZ2" s="284"/>
      <c r="NNA2" s="284"/>
      <c r="NNB2" s="284"/>
      <c r="NNC2" s="284"/>
      <c r="NND2" s="284"/>
      <c r="NNE2" s="284"/>
      <c r="NNF2" s="284"/>
      <c r="NNG2" s="284"/>
      <c r="NNH2" s="284"/>
      <c r="NNI2" s="284"/>
      <c r="NNJ2" s="284"/>
      <c r="NNK2" s="284"/>
      <c r="NNL2" s="284"/>
      <c r="NNM2" s="284"/>
      <c r="NNN2" s="284"/>
      <c r="NNO2" s="284"/>
      <c r="NNP2" s="284"/>
      <c r="NNQ2" s="284"/>
      <c r="NNR2" s="284"/>
      <c r="NNS2" s="284"/>
      <c r="NNT2" s="284"/>
      <c r="NNU2" s="284"/>
      <c r="NNV2" s="284"/>
      <c r="NNW2" s="284"/>
      <c r="NNX2" s="284"/>
      <c r="NNY2" s="284"/>
      <c r="NNZ2" s="284"/>
      <c r="NOA2" s="284"/>
      <c r="NOB2" s="284"/>
      <c r="NOC2" s="284"/>
      <c r="NOD2" s="284"/>
      <c r="NOE2" s="284"/>
      <c r="NOF2" s="284"/>
      <c r="NOG2" s="284"/>
      <c r="NOH2" s="284"/>
      <c r="NOI2" s="284"/>
      <c r="NOJ2" s="284"/>
      <c r="NOK2" s="284"/>
      <c r="NOL2" s="284"/>
      <c r="NOM2" s="284"/>
      <c r="NON2" s="284"/>
      <c r="NOO2" s="284"/>
      <c r="NOP2" s="284"/>
      <c r="NOQ2" s="284"/>
      <c r="NOR2" s="284"/>
      <c r="NOS2" s="284"/>
      <c r="NOT2" s="284"/>
      <c r="NOU2" s="284"/>
      <c r="NOV2" s="284"/>
      <c r="NOW2" s="284"/>
      <c r="NOX2" s="284"/>
      <c r="NOY2" s="284"/>
      <c r="NOZ2" s="284"/>
      <c r="NPA2" s="284"/>
      <c r="NPB2" s="284"/>
      <c r="NPC2" s="284"/>
      <c r="NPD2" s="284"/>
      <c r="NPE2" s="284"/>
      <c r="NPF2" s="284"/>
      <c r="NPG2" s="284"/>
      <c r="NPH2" s="284"/>
      <c r="NPI2" s="284"/>
      <c r="NPJ2" s="284"/>
      <c r="NPK2" s="284"/>
      <c r="NPL2" s="284"/>
      <c r="NPM2" s="284"/>
      <c r="NPN2" s="284"/>
      <c r="NPO2" s="284"/>
      <c r="NPP2" s="284"/>
      <c r="NPQ2" s="284"/>
      <c r="NPR2" s="284"/>
      <c r="NPS2" s="284"/>
      <c r="NPT2" s="284"/>
      <c r="NPU2" s="284"/>
      <c r="NPV2" s="284"/>
      <c r="NPW2" s="284"/>
      <c r="NPX2" s="284"/>
      <c r="NPY2" s="284"/>
      <c r="NPZ2" s="284"/>
      <c r="NQA2" s="284"/>
      <c r="NQB2" s="284"/>
      <c r="NQC2" s="284"/>
      <c r="NQD2" s="284"/>
      <c r="NQE2" s="284"/>
      <c r="NQF2" s="284"/>
      <c r="NQG2" s="284"/>
      <c r="NQH2" s="284"/>
      <c r="NQI2" s="284"/>
      <c r="NQJ2" s="284"/>
      <c r="NQK2" s="284"/>
      <c r="NQL2" s="284"/>
      <c r="NQM2" s="284"/>
      <c r="NQN2" s="284"/>
      <c r="NQO2" s="284"/>
      <c r="NQP2" s="284"/>
      <c r="NQQ2" s="284"/>
      <c r="NQR2" s="284"/>
      <c r="NQS2" s="284"/>
      <c r="NQT2" s="284"/>
      <c r="NQU2" s="284"/>
      <c r="NQV2" s="284"/>
      <c r="NQW2" s="284"/>
      <c r="NQX2" s="284"/>
      <c r="NQY2" s="284"/>
      <c r="NQZ2" s="284"/>
      <c r="NRA2" s="284"/>
      <c r="NRB2" s="284"/>
      <c r="NRC2" s="284"/>
      <c r="NRD2" s="284"/>
      <c r="NRE2" s="284"/>
      <c r="NRF2" s="284"/>
      <c r="NRG2" s="284"/>
      <c r="NRH2" s="284"/>
      <c r="NRI2" s="284"/>
      <c r="NRJ2" s="284"/>
      <c r="NRK2" s="284"/>
      <c r="NRL2" s="284"/>
      <c r="NRM2" s="284"/>
      <c r="NRN2" s="284"/>
      <c r="NRO2" s="284"/>
      <c r="NRP2" s="284"/>
      <c r="NRQ2" s="284"/>
      <c r="NRR2" s="284"/>
      <c r="NRS2" s="284"/>
      <c r="NRT2" s="284"/>
      <c r="NRU2" s="284"/>
      <c r="NRV2" s="284"/>
      <c r="NRW2" s="284"/>
      <c r="NRX2" s="284"/>
      <c r="NRY2" s="284"/>
      <c r="NRZ2" s="284"/>
      <c r="NSA2" s="284"/>
      <c r="NSB2" s="284"/>
      <c r="NSC2" s="284"/>
      <c r="NSD2" s="284"/>
      <c r="NSE2" s="284"/>
      <c r="NSF2" s="284"/>
      <c r="NSG2" s="284"/>
      <c r="NSH2" s="284"/>
      <c r="NSI2" s="284"/>
      <c r="NSJ2" s="284"/>
      <c r="NSK2" s="284"/>
      <c r="NSL2" s="284"/>
      <c r="NSM2" s="284"/>
      <c r="NSN2" s="284"/>
      <c r="NSO2" s="284"/>
      <c r="NSP2" s="284"/>
      <c r="NSQ2" s="284"/>
      <c r="NSR2" s="284"/>
      <c r="NSS2" s="284"/>
      <c r="NST2" s="284"/>
      <c r="NSU2" s="284"/>
      <c r="NSV2" s="284"/>
      <c r="NSW2" s="284"/>
      <c r="NSX2" s="284"/>
      <c r="NSY2" s="284"/>
      <c r="NSZ2" s="284"/>
      <c r="NTA2" s="284"/>
      <c r="NTB2" s="284"/>
      <c r="NTC2" s="284"/>
      <c r="NTD2" s="284"/>
      <c r="NTE2" s="284"/>
      <c r="NTF2" s="284"/>
      <c r="NTG2" s="284"/>
      <c r="NTH2" s="284"/>
      <c r="NTI2" s="284"/>
      <c r="NTJ2" s="284"/>
      <c r="NTK2" s="284"/>
      <c r="NTL2" s="284"/>
      <c r="NTM2" s="284"/>
      <c r="NTN2" s="284"/>
      <c r="NTO2" s="284"/>
      <c r="NTP2" s="284"/>
      <c r="NTQ2" s="284"/>
      <c r="NTR2" s="284"/>
      <c r="NTS2" s="284"/>
      <c r="NTT2" s="284"/>
      <c r="NTU2" s="284"/>
      <c r="NTV2" s="284"/>
      <c r="NTW2" s="284"/>
      <c r="NTX2" s="284"/>
      <c r="NTY2" s="284"/>
      <c r="NTZ2" s="284"/>
      <c r="NUA2" s="284"/>
      <c r="NUB2" s="284"/>
      <c r="NUC2" s="284"/>
      <c r="NUD2" s="284"/>
      <c r="NUE2" s="284"/>
      <c r="NUF2" s="284"/>
      <c r="NUG2" s="284"/>
      <c r="NUH2" s="284"/>
      <c r="NUI2" s="284"/>
      <c r="NUJ2" s="284"/>
      <c r="NUK2" s="284"/>
      <c r="NUL2" s="284"/>
      <c r="NUM2" s="284"/>
      <c r="NUN2" s="284"/>
      <c r="NUO2" s="284"/>
      <c r="NUP2" s="284"/>
      <c r="NUQ2" s="284"/>
      <c r="NUR2" s="284"/>
      <c r="NUS2" s="284"/>
      <c r="NUT2" s="284"/>
      <c r="NUU2" s="284"/>
      <c r="NUV2" s="284"/>
      <c r="NUW2" s="284"/>
      <c r="NUX2" s="284"/>
      <c r="NUY2" s="284"/>
      <c r="NUZ2" s="284"/>
      <c r="NVA2" s="284"/>
      <c r="NVB2" s="284"/>
      <c r="NVC2" s="284"/>
      <c r="NVD2" s="284"/>
      <c r="NVE2" s="284"/>
      <c r="NVF2" s="284"/>
      <c r="NVG2" s="284"/>
      <c r="NVH2" s="284"/>
      <c r="NVI2" s="284"/>
      <c r="NVJ2" s="284"/>
      <c r="NVK2" s="284"/>
      <c r="NVL2" s="284"/>
      <c r="NVM2" s="284"/>
      <c r="NVN2" s="284"/>
      <c r="NVO2" s="284"/>
      <c r="NVP2" s="284"/>
      <c r="NVQ2" s="284"/>
      <c r="NVR2" s="284"/>
      <c r="NVS2" s="284"/>
      <c r="NVT2" s="284"/>
      <c r="NVU2" s="284"/>
      <c r="NVV2" s="284"/>
      <c r="NVW2" s="284"/>
      <c r="NVX2" s="284"/>
      <c r="NVY2" s="284"/>
      <c r="NVZ2" s="284"/>
      <c r="NWA2" s="284"/>
      <c r="NWB2" s="284"/>
      <c r="NWC2" s="284"/>
      <c r="NWD2" s="284"/>
      <c r="NWE2" s="284"/>
      <c r="NWF2" s="284"/>
      <c r="NWG2" s="284"/>
      <c r="NWH2" s="284"/>
      <c r="NWI2" s="284"/>
      <c r="NWJ2" s="284"/>
      <c r="NWK2" s="284"/>
      <c r="NWL2" s="284"/>
      <c r="NWM2" s="284"/>
      <c r="NWN2" s="284"/>
      <c r="NWO2" s="284"/>
      <c r="NWP2" s="284"/>
      <c r="NWQ2" s="284"/>
      <c r="NWR2" s="284"/>
      <c r="NWS2" s="284"/>
      <c r="NWT2" s="284"/>
      <c r="NWU2" s="284"/>
      <c r="NWV2" s="284"/>
      <c r="NWW2" s="284"/>
      <c r="NWX2" s="284"/>
      <c r="NWY2" s="284"/>
      <c r="NWZ2" s="284"/>
      <c r="NXA2" s="284"/>
      <c r="NXB2" s="284"/>
      <c r="NXC2" s="284"/>
      <c r="NXD2" s="284"/>
      <c r="NXE2" s="284"/>
      <c r="NXF2" s="284"/>
      <c r="NXG2" s="284"/>
      <c r="NXH2" s="284"/>
      <c r="NXI2" s="284"/>
      <c r="NXJ2" s="284"/>
      <c r="NXK2" s="284"/>
      <c r="NXL2" s="284"/>
      <c r="NXM2" s="284"/>
      <c r="NXN2" s="284"/>
      <c r="NXO2" s="284"/>
      <c r="NXP2" s="284"/>
      <c r="NXQ2" s="284"/>
      <c r="NXR2" s="284"/>
      <c r="NXS2" s="284"/>
      <c r="NXT2" s="284"/>
      <c r="NXU2" s="284"/>
      <c r="NXV2" s="284"/>
      <c r="NXW2" s="284"/>
      <c r="NXX2" s="284"/>
      <c r="NXY2" s="284"/>
      <c r="NXZ2" s="284"/>
      <c r="NYA2" s="284"/>
      <c r="NYB2" s="284"/>
      <c r="NYC2" s="284"/>
      <c r="NYD2" s="284"/>
      <c r="NYE2" s="284"/>
      <c r="NYF2" s="284"/>
      <c r="NYG2" s="284"/>
      <c r="NYH2" s="284"/>
      <c r="NYI2" s="284"/>
      <c r="NYJ2" s="284"/>
      <c r="NYK2" s="284"/>
      <c r="NYL2" s="284"/>
      <c r="NYM2" s="284"/>
      <c r="NYN2" s="284"/>
      <c r="NYO2" s="284"/>
      <c r="NYP2" s="284"/>
      <c r="NYQ2" s="284"/>
      <c r="NYR2" s="284"/>
      <c r="NYS2" s="284"/>
      <c r="NYT2" s="284"/>
      <c r="NYU2" s="284"/>
      <c r="NYV2" s="284"/>
      <c r="NYW2" s="284"/>
      <c r="NYX2" s="284"/>
      <c r="NYY2" s="284"/>
      <c r="NYZ2" s="284"/>
      <c r="NZA2" s="284"/>
      <c r="NZB2" s="284"/>
      <c r="NZC2" s="284"/>
      <c r="NZD2" s="284"/>
      <c r="NZE2" s="284"/>
      <c r="NZF2" s="284"/>
      <c r="NZG2" s="284"/>
      <c r="NZH2" s="284"/>
      <c r="NZI2" s="284"/>
      <c r="NZJ2" s="284"/>
      <c r="NZK2" s="284"/>
      <c r="NZL2" s="284"/>
      <c r="NZM2" s="284"/>
      <c r="NZN2" s="284"/>
      <c r="NZO2" s="284"/>
      <c r="NZP2" s="284"/>
      <c r="NZQ2" s="284"/>
      <c r="NZR2" s="284"/>
      <c r="NZS2" s="284"/>
      <c r="NZT2" s="284"/>
      <c r="NZU2" s="284"/>
      <c r="NZV2" s="284"/>
      <c r="NZW2" s="284"/>
      <c r="NZX2" s="284"/>
      <c r="NZY2" s="284"/>
      <c r="NZZ2" s="284"/>
      <c r="OAA2" s="284"/>
      <c r="OAB2" s="284"/>
      <c r="OAC2" s="284"/>
      <c r="OAD2" s="284"/>
      <c r="OAE2" s="284"/>
      <c r="OAF2" s="284"/>
      <c r="OAG2" s="284"/>
      <c r="OAH2" s="284"/>
      <c r="OAI2" s="284"/>
      <c r="OAJ2" s="284"/>
      <c r="OAK2" s="284"/>
      <c r="OAL2" s="284"/>
      <c r="OAM2" s="284"/>
      <c r="OAN2" s="284"/>
      <c r="OAO2" s="284"/>
      <c r="OAP2" s="284"/>
      <c r="OAQ2" s="284"/>
      <c r="OAR2" s="284"/>
      <c r="OAS2" s="284"/>
      <c r="OAT2" s="284"/>
      <c r="OAU2" s="284"/>
      <c r="OAV2" s="284"/>
      <c r="OAW2" s="284"/>
      <c r="OAX2" s="284"/>
      <c r="OAY2" s="284"/>
      <c r="OAZ2" s="284"/>
      <c r="OBA2" s="284"/>
      <c r="OBB2" s="284"/>
      <c r="OBC2" s="284"/>
      <c r="OBD2" s="284"/>
      <c r="OBE2" s="284"/>
      <c r="OBF2" s="284"/>
      <c r="OBG2" s="284"/>
      <c r="OBH2" s="284"/>
      <c r="OBI2" s="284"/>
      <c r="OBJ2" s="284"/>
      <c r="OBK2" s="284"/>
      <c r="OBL2" s="284"/>
      <c r="OBM2" s="284"/>
      <c r="OBN2" s="284"/>
      <c r="OBO2" s="284"/>
      <c r="OBP2" s="284"/>
      <c r="OBQ2" s="284"/>
      <c r="OBR2" s="284"/>
      <c r="OBS2" s="284"/>
      <c r="OBT2" s="284"/>
      <c r="OBU2" s="284"/>
      <c r="OBV2" s="284"/>
      <c r="OBW2" s="284"/>
      <c r="OBX2" s="284"/>
      <c r="OBY2" s="284"/>
      <c r="OBZ2" s="284"/>
      <c r="OCA2" s="284"/>
      <c r="OCB2" s="284"/>
      <c r="OCC2" s="284"/>
      <c r="OCD2" s="284"/>
      <c r="OCE2" s="284"/>
      <c r="OCF2" s="284"/>
      <c r="OCG2" s="284"/>
      <c r="OCH2" s="284"/>
      <c r="OCI2" s="284"/>
      <c r="OCJ2" s="284"/>
      <c r="OCK2" s="284"/>
      <c r="OCL2" s="284"/>
      <c r="OCM2" s="284"/>
      <c r="OCN2" s="284"/>
      <c r="OCO2" s="284"/>
      <c r="OCP2" s="284"/>
      <c r="OCQ2" s="284"/>
      <c r="OCR2" s="284"/>
      <c r="OCS2" s="284"/>
      <c r="OCT2" s="284"/>
      <c r="OCU2" s="284"/>
      <c r="OCV2" s="284"/>
      <c r="OCW2" s="284"/>
      <c r="OCX2" s="284"/>
      <c r="OCY2" s="284"/>
      <c r="OCZ2" s="284"/>
      <c r="ODA2" s="284"/>
      <c r="ODB2" s="284"/>
      <c r="ODC2" s="284"/>
      <c r="ODD2" s="284"/>
      <c r="ODE2" s="284"/>
      <c r="ODF2" s="284"/>
      <c r="ODG2" s="284"/>
      <c r="ODH2" s="284"/>
      <c r="ODI2" s="284"/>
      <c r="ODJ2" s="284"/>
      <c r="ODK2" s="284"/>
      <c r="ODL2" s="284"/>
      <c r="ODM2" s="284"/>
      <c r="ODN2" s="284"/>
      <c r="ODO2" s="284"/>
      <c r="ODP2" s="284"/>
      <c r="ODQ2" s="284"/>
      <c r="ODR2" s="284"/>
      <c r="ODS2" s="284"/>
      <c r="ODT2" s="284"/>
      <c r="ODU2" s="284"/>
      <c r="ODV2" s="284"/>
      <c r="ODW2" s="284"/>
      <c r="ODX2" s="284"/>
      <c r="ODY2" s="284"/>
      <c r="ODZ2" s="284"/>
      <c r="OEA2" s="284"/>
      <c r="OEB2" s="284"/>
      <c r="OEC2" s="284"/>
      <c r="OED2" s="284"/>
      <c r="OEE2" s="284"/>
      <c r="OEF2" s="284"/>
      <c r="OEG2" s="284"/>
      <c r="OEH2" s="284"/>
      <c r="OEI2" s="284"/>
      <c r="OEJ2" s="284"/>
      <c r="OEK2" s="284"/>
      <c r="OEL2" s="284"/>
      <c r="OEM2" s="284"/>
      <c r="OEN2" s="284"/>
      <c r="OEO2" s="284"/>
      <c r="OEP2" s="284"/>
      <c r="OEQ2" s="284"/>
      <c r="OER2" s="284"/>
      <c r="OES2" s="284"/>
      <c r="OET2" s="284"/>
      <c r="OEU2" s="284"/>
      <c r="OEV2" s="284"/>
      <c r="OEW2" s="284"/>
      <c r="OEX2" s="284"/>
      <c r="OEY2" s="284"/>
      <c r="OEZ2" s="284"/>
      <c r="OFA2" s="284"/>
      <c r="OFB2" s="284"/>
      <c r="OFC2" s="284"/>
      <c r="OFD2" s="284"/>
      <c r="OFE2" s="284"/>
      <c r="OFF2" s="284"/>
      <c r="OFG2" s="284"/>
      <c r="OFH2" s="284"/>
      <c r="OFI2" s="284"/>
      <c r="OFJ2" s="284"/>
      <c r="OFK2" s="284"/>
      <c r="OFL2" s="284"/>
      <c r="OFM2" s="284"/>
      <c r="OFN2" s="284"/>
      <c r="OFO2" s="284"/>
      <c r="OFP2" s="284"/>
      <c r="OFQ2" s="284"/>
      <c r="OFR2" s="284"/>
      <c r="OFS2" s="284"/>
      <c r="OFT2" s="284"/>
      <c r="OFU2" s="284"/>
      <c r="OFV2" s="284"/>
      <c r="OFW2" s="284"/>
      <c r="OFX2" s="284"/>
      <c r="OFY2" s="284"/>
      <c r="OFZ2" s="284"/>
      <c r="OGA2" s="284"/>
      <c r="OGB2" s="284"/>
      <c r="OGC2" s="284"/>
      <c r="OGD2" s="284"/>
      <c r="OGE2" s="284"/>
      <c r="OGF2" s="284"/>
      <c r="OGG2" s="284"/>
      <c r="OGH2" s="284"/>
      <c r="OGI2" s="284"/>
      <c r="OGJ2" s="284"/>
      <c r="OGK2" s="284"/>
      <c r="OGL2" s="284"/>
      <c r="OGM2" s="284"/>
      <c r="OGN2" s="284"/>
      <c r="OGO2" s="284"/>
      <c r="OGP2" s="284"/>
      <c r="OGQ2" s="284"/>
      <c r="OGR2" s="284"/>
      <c r="OGS2" s="284"/>
      <c r="OGT2" s="284"/>
      <c r="OGU2" s="284"/>
      <c r="OGV2" s="284"/>
      <c r="OGW2" s="284"/>
      <c r="OGX2" s="284"/>
      <c r="OGY2" s="284"/>
      <c r="OGZ2" s="284"/>
      <c r="OHA2" s="284"/>
      <c r="OHB2" s="284"/>
      <c r="OHC2" s="284"/>
      <c r="OHD2" s="284"/>
      <c r="OHE2" s="284"/>
      <c r="OHF2" s="284"/>
      <c r="OHG2" s="284"/>
      <c r="OHH2" s="284"/>
      <c r="OHI2" s="284"/>
      <c r="OHJ2" s="284"/>
      <c r="OHK2" s="284"/>
      <c r="OHL2" s="284"/>
      <c r="OHM2" s="284"/>
      <c r="OHN2" s="284"/>
      <c r="OHO2" s="284"/>
      <c r="OHP2" s="284"/>
      <c r="OHQ2" s="284"/>
      <c r="OHR2" s="284"/>
      <c r="OHS2" s="284"/>
      <c r="OHT2" s="284"/>
      <c r="OHU2" s="284"/>
      <c r="OHV2" s="284"/>
      <c r="OHW2" s="284"/>
      <c r="OHX2" s="284"/>
      <c r="OHY2" s="284"/>
      <c r="OHZ2" s="284"/>
      <c r="OIA2" s="284"/>
      <c r="OIB2" s="284"/>
      <c r="OIC2" s="284"/>
      <c r="OID2" s="284"/>
      <c r="OIE2" s="284"/>
      <c r="OIF2" s="284"/>
      <c r="OIG2" s="284"/>
      <c r="OIH2" s="284"/>
      <c r="OII2" s="284"/>
      <c r="OIJ2" s="284"/>
      <c r="OIK2" s="284"/>
      <c r="OIL2" s="284"/>
      <c r="OIM2" s="284"/>
      <c r="OIN2" s="284"/>
      <c r="OIO2" s="284"/>
      <c r="OIP2" s="284"/>
      <c r="OIQ2" s="284"/>
      <c r="OIR2" s="284"/>
      <c r="OIS2" s="284"/>
      <c r="OIT2" s="284"/>
      <c r="OIU2" s="284"/>
      <c r="OIV2" s="284"/>
      <c r="OIW2" s="284"/>
      <c r="OIX2" s="284"/>
      <c r="OIY2" s="284"/>
      <c r="OIZ2" s="284"/>
      <c r="OJA2" s="284"/>
      <c r="OJB2" s="284"/>
      <c r="OJC2" s="284"/>
      <c r="OJD2" s="284"/>
      <c r="OJE2" s="284"/>
      <c r="OJF2" s="284"/>
      <c r="OJG2" s="284"/>
      <c r="OJH2" s="284"/>
      <c r="OJI2" s="284"/>
      <c r="OJJ2" s="284"/>
      <c r="OJK2" s="284"/>
      <c r="OJL2" s="284"/>
      <c r="OJM2" s="284"/>
      <c r="OJN2" s="284"/>
      <c r="OJO2" s="284"/>
      <c r="OJP2" s="284"/>
      <c r="OJQ2" s="284"/>
      <c r="OJR2" s="284"/>
      <c r="OJS2" s="284"/>
      <c r="OJT2" s="284"/>
      <c r="OJU2" s="284"/>
      <c r="OJV2" s="284"/>
      <c r="OJW2" s="284"/>
      <c r="OJX2" s="284"/>
      <c r="OJY2" s="284"/>
      <c r="OJZ2" s="284"/>
      <c r="OKA2" s="284"/>
      <c r="OKB2" s="284"/>
      <c r="OKC2" s="284"/>
      <c r="OKD2" s="284"/>
      <c r="OKE2" s="284"/>
      <c r="OKF2" s="284"/>
      <c r="OKG2" s="284"/>
      <c r="OKH2" s="284"/>
      <c r="OKI2" s="284"/>
      <c r="OKJ2" s="284"/>
      <c r="OKK2" s="284"/>
      <c r="OKL2" s="284"/>
      <c r="OKM2" s="284"/>
      <c r="OKN2" s="284"/>
      <c r="OKO2" s="284"/>
      <c r="OKP2" s="284"/>
      <c r="OKQ2" s="284"/>
      <c r="OKR2" s="284"/>
      <c r="OKS2" s="284"/>
      <c r="OKT2" s="284"/>
      <c r="OKU2" s="284"/>
      <c r="OKV2" s="284"/>
      <c r="OKW2" s="284"/>
      <c r="OKX2" s="284"/>
      <c r="OKY2" s="284"/>
      <c r="OKZ2" s="284"/>
      <c r="OLA2" s="284"/>
      <c r="OLB2" s="284"/>
      <c r="OLC2" s="284"/>
      <c r="OLD2" s="284"/>
      <c r="OLE2" s="284"/>
      <c r="OLF2" s="284"/>
      <c r="OLG2" s="284"/>
      <c r="OLH2" s="284"/>
      <c r="OLI2" s="284"/>
      <c r="OLJ2" s="284"/>
      <c r="OLK2" s="284"/>
      <c r="OLL2" s="284"/>
      <c r="OLM2" s="284"/>
      <c r="OLN2" s="284"/>
      <c r="OLO2" s="284"/>
      <c r="OLP2" s="284"/>
      <c r="OLQ2" s="284"/>
      <c r="OLR2" s="284"/>
      <c r="OLS2" s="284"/>
      <c r="OLT2" s="284"/>
      <c r="OLU2" s="284"/>
      <c r="OLV2" s="284"/>
      <c r="OLW2" s="284"/>
      <c r="OLX2" s="284"/>
      <c r="OLY2" s="284"/>
      <c r="OLZ2" s="284"/>
      <c r="OMA2" s="284"/>
      <c r="OMB2" s="284"/>
      <c r="OMC2" s="284"/>
      <c r="OMD2" s="284"/>
      <c r="OME2" s="284"/>
      <c r="OMF2" s="284"/>
      <c r="OMG2" s="284"/>
      <c r="OMH2" s="284"/>
      <c r="OMI2" s="284"/>
      <c r="OMJ2" s="284"/>
      <c r="OMK2" s="284"/>
      <c r="OML2" s="284"/>
      <c r="OMM2" s="284"/>
      <c r="OMN2" s="284"/>
      <c r="OMO2" s="284"/>
      <c r="OMP2" s="284"/>
      <c r="OMQ2" s="284"/>
      <c r="OMR2" s="284"/>
      <c r="OMS2" s="284"/>
      <c r="OMT2" s="284"/>
      <c r="OMU2" s="284"/>
      <c r="OMV2" s="284"/>
      <c r="OMW2" s="284"/>
      <c r="OMX2" s="284"/>
      <c r="OMY2" s="284"/>
      <c r="OMZ2" s="284"/>
      <c r="ONA2" s="284"/>
      <c r="ONB2" s="284"/>
      <c r="ONC2" s="284"/>
      <c r="OND2" s="284"/>
      <c r="ONE2" s="284"/>
      <c r="ONF2" s="284"/>
      <c r="ONG2" s="284"/>
      <c r="ONH2" s="284"/>
      <c r="ONI2" s="284"/>
      <c r="ONJ2" s="284"/>
      <c r="ONK2" s="284"/>
      <c r="ONL2" s="284"/>
      <c r="ONM2" s="284"/>
      <c r="ONN2" s="284"/>
      <c r="ONO2" s="284"/>
      <c r="ONP2" s="284"/>
      <c r="ONQ2" s="284"/>
      <c r="ONR2" s="284"/>
      <c r="ONS2" s="284"/>
      <c r="ONT2" s="284"/>
      <c r="ONU2" s="284"/>
      <c r="ONV2" s="284"/>
      <c r="ONW2" s="284"/>
      <c r="ONX2" s="284"/>
      <c r="ONY2" s="284"/>
      <c r="ONZ2" s="284"/>
      <c r="OOA2" s="284"/>
      <c r="OOB2" s="284"/>
      <c r="OOC2" s="284"/>
      <c r="OOD2" s="284"/>
      <c r="OOE2" s="284"/>
      <c r="OOF2" s="284"/>
      <c r="OOG2" s="284"/>
      <c r="OOH2" s="284"/>
      <c r="OOI2" s="284"/>
      <c r="OOJ2" s="284"/>
      <c r="OOK2" s="284"/>
      <c r="OOL2" s="284"/>
      <c r="OOM2" s="284"/>
      <c r="OON2" s="284"/>
      <c r="OOO2" s="284"/>
      <c r="OOP2" s="284"/>
      <c r="OOQ2" s="284"/>
      <c r="OOR2" s="284"/>
      <c r="OOS2" s="284"/>
      <c r="OOT2" s="284"/>
      <c r="OOU2" s="284"/>
      <c r="OOV2" s="284"/>
      <c r="OOW2" s="284"/>
      <c r="OOX2" s="284"/>
      <c r="OOY2" s="284"/>
      <c r="OOZ2" s="284"/>
      <c r="OPA2" s="284"/>
      <c r="OPB2" s="284"/>
      <c r="OPC2" s="284"/>
      <c r="OPD2" s="284"/>
      <c r="OPE2" s="284"/>
      <c r="OPF2" s="284"/>
      <c r="OPG2" s="284"/>
      <c r="OPH2" s="284"/>
      <c r="OPI2" s="284"/>
      <c r="OPJ2" s="284"/>
      <c r="OPK2" s="284"/>
      <c r="OPL2" s="284"/>
      <c r="OPM2" s="284"/>
      <c r="OPN2" s="284"/>
      <c r="OPO2" s="284"/>
      <c r="OPP2" s="284"/>
      <c r="OPQ2" s="284"/>
      <c r="OPR2" s="284"/>
      <c r="OPS2" s="284"/>
      <c r="OPT2" s="284"/>
      <c r="OPU2" s="284"/>
      <c r="OPV2" s="284"/>
      <c r="OPW2" s="284"/>
      <c r="OPX2" s="284"/>
      <c r="OPY2" s="284"/>
      <c r="OPZ2" s="284"/>
      <c r="OQA2" s="284"/>
      <c r="OQB2" s="284"/>
      <c r="OQC2" s="284"/>
      <c r="OQD2" s="284"/>
      <c r="OQE2" s="284"/>
      <c r="OQF2" s="284"/>
      <c r="OQG2" s="284"/>
      <c r="OQH2" s="284"/>
      <c r="OQI2" s="284"/>
      <c r="OQJ2" s="284"/>
      <c r="OQK2" s="284"/>
      <c r="OQL2" s="284"/>
      <c r="OQM2" s="284"/>
      <c r="OQN2" s="284"/>
      <c r="OQO2" s="284"/>
      <c r="OQP2" s="284"/>
      <c r="OQQ2" s="284"/>
      <c r="OQR2" s="284"/>
      <c r="OQS2" s="284"/>
      <c r="OQT2" s="284"/>
      <c r="OQU2" s="284"/>
      <c r="OQV2" s="284"/>
      <c r="OQW2" s="284"/>
      <c r="OQX2" s="284"/>
      <c r="OQY2" s="284"/>
      <c r="OQZ2" s="284"/>
      <c r="ORA2" s="284"/>
      <c r="ORB2" s="284"/>
      <c r="ORC2" s="284"/>
      <c r="ORD2" s="284"/>
      <c r="ORE2" s="284"/>
      <c r="ORF2" s="284"/>
      <c r="ORG2" s="284"/>
      <c r="ORH2" s="284"/>
      <c r="ORI2" s="284"/>
      <c r="ORJ2" s="284"/>
      <c r="ORK2" s="284"/>
      <c r="ORL2" s="284"/>
      <c r="ORM2" s="284"/>
      <c r="ORN2" s="284"/>
      <c r="ORO2" s="284"/>
      <c r="ORP2" s="284"/>
      <c r="ORQ2" s="284"/>
      <c r="ORR2" s="284"/>
      <c r="ORS2" s="284"/>
      <c r="ORT2" s="284"/>
      <c r="ORU2" s="284"/>
      <c r="ORV2" s="284"/>
      <c r="ORW2" s="284"/>
      <c r="ORX2" s="284"/>
      <c r="ORY2" s="284"/>
      <c r="ORZ2" s="284"/>
      <c r="OSA2" s="284"/>
      <c r="OSB2" s="284"/>
      <c r="OSC2" s="284"/>
      <c r="OSD2" s="284"/>
      <c r="OSE2" s="284"/>
      <c r="OSF2" s="284"/>
      <c r="OSG2" s="284"/>
      <c r="OSH2" s="284"/>
      <c r="OSI2" s="284"/>
      <c r="OSJ2" s="284"/>
      <c r="OSK2" s="284"/>
      <c r="OSL2" s="284"/>
      <c r="OSM2" s="284"/>
      <c r="OSN2" s="284"/>
      <c r="OSO2" s="284"/>
      <c r="OSP2" s="284"/>
      <c r="OSQ2" s="284"/>
      <c r="OSR2" s="284"/>
      <c r="OSS2" s="284"/>
      <c r="OST2" s="284"/>
      <c r="OSU2" s="284"/>
      <c r="OSV2" s="284"/>
      <c r="OSW2" s="284"/>
      <c r="OSX2" s="284"/>
      <c r="OSY2" s="284"/>
      <c r="OSZ2" s="284"/>
      <c r="OTA2" s="284"/>
      <c r="OTB2" s="284"/>
      <c r="OTC2" s="284"/>
      <c r="OTD2" s="284"/>
      <c r="OTE2" s="284"/>
      <c r="OTF2" s="284"/>
      <c r="OTG2" s="284"/>
      <c r="OTH2" s="284"/>
      <c r="OTI2" s="284"/>
      <c r="OTJ2" s="284"/>
      <c r="OTK2" s="284"/>
      <c r="OTL2" s="284"/>
      <c r="OTM2" s="284"/>
      <c r="OTN2" s="284"/>
      <c r="OTO2" s="284"/>
      <c r="OTP2" s="284"/>
      <c r="OTQ2" s="284"/>
      <c r="OTR2" s="284"/>
      <c r="OTS2" s="284"/>
      <c r="OTT2" s="284"/>
      <c r="OTU2" s="284"/>
      <c r="OTV2" s="284"/>
      <c r="OTW2" s="284"/>
      <c r="OTX2" s="284"/>
      <c r="OTY2" s="284"/>
      <c r="OTZ2" s="284"/>
      <c r="OUA2" s="284"/>
      <c r="OUB2" s="284"/>
      <c r="OUC2" s="284"/>
      <c r="OUD2" s="284"/>
      <c r="OUE2" s="284"/>
      <c r="OUF2" s="284"/>
      <c r="OUG2" s="284"/>
      <c r="OUH2" s="284"/>
      <c r="OUI2" s="284"/>
      <c r="OUJ2" s="284"/>
      <c r="OUK2" s="284"/>
      <c r="OUL2" s="284"/>
      <c r="OUM2" s="284"/>
      <c r="OUN2" s="284"/>
      <c r="OUO2" s="284"/>
      <c r="OUP2" s="284"/>
      <c r="OUQ2" s="284"/>
      <c r="OUR2" s="284"/>
      <c r="OUS2" s="284"/>
      <c r="OUT2" s="284"/>
      <c r="OUU2" s="284"/>
      <c r="OUV2" s="284"/>
      <c r="OUW2" s="284"/>
      <c r="OUX2" s="284"/>
      <c r="OUY2" s="284"/>
      <c r="OUZ2" s="284"/>
      <c r="OVA2" s="284"/>
      <c r="OVB2" s="284"/>
      <c r="OVC2" s="284"/>
      <c r="OVD2" s="284"/>
      <c r="OVE2" s="284"/>
      <c r="OVF2" s="284"/>
      <c r="OVG2" s="284"/>
      <c r="OVH2" s="284"/>
      <c r="OVI2" s="284"/>
      <c r="OVJ2" s="284"/>
      <c r="OVK2" s="284"/>
      <c r="OVL2" s="284"/>
      <c r="OVM2" s="284"/>
      <c r="OVN2" s="284"/>
      <c r="OVO2" s="284"/>
      <c r="OVP2" s="284"/>
      <c r="OVQ2" s="284"/>
      <c r="OVR2" s="284"/>
      <c r="OVS2" s="284"/>
      <c r="OVT2" s="284"/>
      <c r="OVU2" s="284"/>
      <c r="OVV2" s="284"/>
      <c r="OVW2" s="284"/>
      <c r="OVX2" s="284"/>
      <c r="OVY2" s="284"/>
      <c r="OVZ2" s="284"/>
      <c r="OWA2" s="284"/>
      <c r="OWB2" s="284"/>
      <c r="OWC2" s="284"/>
      <c r="OWD2" s="284"/>
      <c r="OWE2" s="284"/>
      <c r="OWF2" s="284"/>
      <c r="OWG2" s="284"/>
      <c r="OWH2" s="284"/>
      <c r="OWI2" s="284"/>
      <c r="OWJ2" s="284"/>
      <c r="OWK2" s="284"/>
      <c r="OWL2" s="284"/>
      <c r="OWM2" s="284"/>
      <c r="OWN2" s="284"/>
      <c r="OWO2" s="284"/>
      <c r="OWP2" s="284"/>
      <c r="OWQ2" s="284"/>
      <c r="OWR2" s="284"/>
      <c r="OWS2" s="284"/>
      <c r="OWT2" s="284"/>
      <c r="OWU2" s="284"/>
      <c r="OWV2" s="284"/>
      <c r="OWW2" s="284"/>
      <c r="OWX2" s="284"/>
      <c r="OWY2" s="284"/>
      <c r="OWZ2" s="284"/>
      <c r="OXA2" s="284"/>
      <c r="OXB2" s="284"/>
      <c r="OXC2" s="284"/>
      <c r="OXD2" s="284"/>
      <c r="OXE2" s="284"/>
      <c r="OXF2" s="284"/>
      <c r="OXG2" s="284"/>
      <c r="OXH2" s="284"/>
      <c r="OXI2" s="284"/>
      <c r="OXJ2" s="284"/>
      <c r="OXK2" s="284"/>
      <c r="OXL2" s="284"/>
      <c r="OXM2" s="284"/>
      <c r="OXN2" s="284"/>
      <c r="OXO2" s="284"/>
      <c r="OXP2" s="284"/>
      <c r="OXQ2" s="284"/>
      <c r="OXR2" s="284"/>
      <c r="OXS2" s="284"/>
      <c r="OXT2" s="284"/>
      <c r="OXU2" s="284"/>
      <c r="OXV2" s="284"/>
      <c r="OXW2" s="284"/>
      <c r="OXX2" s="284"/>
      <c r="OXY2" s="284"/>
      <c r="OXZ2" s="284"/>
      <c r="OYA2" s="284"/>
      <c r="OYB2" s="284"/>
      <c r="OYC2" s="284"/>
      <c r="OYD2" s="284"/>
      <c r="OYE2" s="284"/>
      <c r="OYF2" s="284"/>
      <c r="OYG2" s="284"/>
      <c r="OYH2" s="284"/>
      <c r="OYI2" s="284"/>
      <c r="OYJ2" s="284"/>
      <c r="OYK2" s="284"/>
      <c r="OYL2" s="284"/>
      <c r="OYM2" s="284"/>
      <c r="OYN2" s="284"/>
      <c r="OYO2" s="284"/>
      <c r="OYP2" s="284"/>
      <c r="OYQ2" s="284"/>
      <c r="OYR2" s="284"/>
      <c r="OYS2" s="284"/>
      <c r="OYT2" s="284"/>
      <c r="OYU2" s="284"/>
      <c r="OYV2" s="284"/>
      <c r="OYW2" s="284"/>
      <c r="OYX2" s="284"/>
      <c r="OYY2" s="284"/>
      <c r="OYZ2" s="284"/>
      <c r="OZA2" s="284"/>
      <c r="OZB2" s="284"/>
      <c r="OZC2" s="284"/>
      <c r="OZD2" s="284"/>
      <c r="OZE2" s="284"/>
      <c r="OZF2" s="284"/>
      <c r="OZG2" s="284"/>
      <c r="OZH2" s="284"/>
      <c r="OZI2" s="284"/>
      <c r="OZJ2" s="284"/>
      <c r="OZK2" s="284"/>
      <c r="OZL2" s="284"/>
      <c r="OZM2" s="284"/>
      <c r="OZN2" s="284"/>
      <c r="OZO2" s="284"/>
      <c r="OZP2" s="284"/>
      <c r="OZQ2" s="284"/>
      <c r="OZR2" s="284"/>
      <c r="OZS2" s="284"/>
      <c r="OZT2" s="284"/>
      <c r="OZU2" s="284"/>
      <c r="OZV2" s="284"/>
      <c r="OZW2" s="284"/>
      <c r="OZX2" s="284"/>
      <c r="OZY2" s="284"/>
      <c r="OZZ2" s="284"/>
      <c r="PAA2" s="284"/>
      <c r="PAB2" s="284"/>
      <c r="PAC2" s="284"/>
      <c r="PAD2" s="284"/>
      <c r="PAE2" s="284"/>
      <c r="PAF2" s="284"/>
      <c r="PAG2" s="284"/>
      <c r="PAH2" s="284"/>
      <c r="PAI2" s="284"/>
      <c r="PAJ2" s="284"/>
      <c r="PAK2" s="284"/>
      <c r="PAL2" s="284"/>
      <c r="PAM2" s="284"/>
      <c r="PAN2" s="284"/>
      <c r="PAO2" s="284"/>
      <c r="PAP2" s="284"/>
      <c r="PAQ2" s="284"/>
      <c r="PAR2" s="284"/>
      <c r="PAS2" s="284"/>
      <c r="PAT2" s="284"/>
      <c r="PAU2" s="284"/>
      <c r="PAV2" s="284"/>
      <c r="PAW2" s="284"/>
      <c r="PAX2" s="284"/>
      <c r="PAY2" s="284"/>
      <c r="PAZ2" s="284"/>
      <c r="PBA2" s="284"/>
      <c r="PBB2" s="284"/>
      <c r="PBC2" s="284"/>
      <c r="PBD2" s="284"/>
      <c r="PBE2" s="284"/>
      <c r="PBF2" s="284"/>
      <c r="PBG2" s="284"/>
      <c r="PBH2" s="284"/>
      <c r="PBI2" s="284"/>
      <c r="PBJ2" s="284"/>
      <c r="PBK2" s="284"/>
      <c r="PBL2" s="284"/>
      <c r="PBM2" s="284"/>
      <c r="PBN2" s="284"/>
      <c r="PBO2" s="284"/>
      <c r="PBP2" s="284"/>
      <c r="PBQ2" s="284"/>
      <c r="PBR2" s="284"/>
      <c r="PBS2" s="284"/>
      <c r="PBT2" s="284"/>
      <c r="PBU2" s="284"/>
      <c r="PBV2" s="284"/>
      <c r="PBW2" s="284"/>
      <c r="PBX2" s="284"/>
      <c r="PBY2" s="284"/>
      <c r="PBZ2" s="284"/>
      <c r="PCA2" s="284"/>
      <c r="PCB2" s="284"/>
      <c r="PCC2" s="284"/>
      <c r="PCD2" s="284"/>
      <c r="PCE2" s="284"/>
      <c r="PCF2" s="284"/>
      <c r="PCG2" s="284"/>
      <c r="PCH2" s="284"/>
      <c r="PCI2" s="284"/>
      <c r="PCJ2" s="284"/>
      <c r="PCK2" s="284"/>
      <c r="PCL2" s="284"/>
      <c r="PCM2" s="284"/>
      <c r="PCN2" s="284"/>
      <c r="PCO2" s="284"/>
      <c r="PCP2" s="284"/>
      <c r="PCQ2" s="284"/>
      <c r="PCR2" s="284"/>
      <c r="PCS2" s="284"/>
      <c r="PCT2" s="284"/>
      <c r="PCU2" s="284"/>
      <c r="PCV2" s="284"/>
      <c r="PCW2" s="284"/>
      <c r="PCX2" s="284"/>
      <c r="PCY2" s="284"/>
      <c r="PCZ2" s="284"/>
      <c r="PDA2" s="284"/>
      <c r="PDB2" s="284"/>
      <c r="PDC2" s="284"/>
      <c r="PDD2" s="284"/>
      <c r="PDE2" s="284"/>
      <c r="PDF2" s="284"/>
      <c r="PDG2" s="284"/>
      <c r="PDH2" s="284"/>
      <c r="PDI2" s="284"/>
      <c r="PDJ2" s="284"/>
      <c r="PDK2" s="284"/>
      <c r="PDL2" s="284"/>
      <c r="PDM2" s="284"/>
      <c r="PDN2" s="284"/>
      <c r="PDO2" s="284"/>
      <c r="PDP2" s="284"/>
      <c r="PDQ2" s="284"/>
      <c r="PDR2" s="284"/>
      <c r="PDS2" s="284"/>
      <c r="PDT2" s="284"/>
      <c r="PDU2" s="284"/>
      <c r="PDV2" s="284"/>
      <c r="PDW2" s="284"/>
      <c r="PDX2" s="284"/>
      <c r="PDY2" s="284"/>
      <c r="PDZ2" s="284"/>
      <c r="PEA2" s="284"/>
      <c r="PEB2" s="284"/>
      <c r="PEC2" s="284"/>
      <c r="PED2" s="284"/>
      <c r="PEE2" s="284"/>
      <c r="PEF2" s="284"/>
      <c r="PEG2" s="284"/>
      <c r="PEH2" s="284"/>
      <c r="PEI2" s="284"/>
      <c r="PEJ2" s="284"/>
      <c r="PEK2" s="284"/>
      <c r="PEL2" s="284"/>
      <c r="PEM2" s="284"/>
      <c r="PEN2" s="284"/>
      <c r="PEO2" s="284"/>
      <c r="PEP2" s="284"/>
      <c r="PEQ2" s="284"/>
      <c r="PER2" s="284"/>
      <c r="PES2" s="284"/>
      <c r="PET2" s="284"/>
      <c r="PEU2" s="284"/>
      <c r="PEV2" s="284"/>
      <c r="PEW2" s="284"/>
      <c r="PEX2" s="284"/>
      <c r="PEY2" s="284"/>
      <c r="PEZ2" s="284"/>
      <c r="PFA2" s="284"/>
      <c r="PFB2" s="284"/>
      <c r="PFC2" s="284"/>
      <c r="PFD2" s="284"/>
      <c r="PFE2" s="284"/>
      <c r="PFF2" s="284"/>
      <c r="PFG2" s="284"/>
      <c r="PFH2" s="284"/>
      <c r="PFI2" s="284"/>
      <c r="PFJ2" s="284"/>
      <c r="PFK2" s="284"/>
      <c r="PFL2" s="284"/>
      <c r="PFM2" s="284"/>
      <c r="PFN2" s="284"/>
      <c r="PFO2" s="284"/>
      <c r="PFP2" s="284"/>
      <c r="PFQ2" s="284"/>
      <c r="PFR2" s="284"/>
      <c r="PFS2" s="284"/>
      <c r="PFT2" s="284"/>
      <c r="PFU2" s="284"/>
      <c r="PFV2" s="284"/>
      <c r="PFW2" s="284"/>
      <c r="PFX2" s="284"/>
      <c r="PFY2" s="284"/>
      <c r="PFZ2" s="284"/>
      <c r="PGA2" s="284"/>
      <c r="PGB2" s="284"/>
      <c r="PGC2" s="284"/>
      <c r="PGD2" s="284"/>
      <c r="PGE2" s="284"/>
      <c r="PGF2" s="284"/>
      <c r="PGG2" s="284"/>
      <c r="PGH2" s="284"/>
      <c r="PGI2" s="284"/>
      <c r="PGJ2" s="284"/>
      <c r="PGK2" s="284"/>
      <c r="PGL2" s="284"/>
      <c r="PGM2" s="284"/>
      <c r="PGN2" s="284"/>
      <c r="PGO2" s="284"/>
      <c r="PGP2" s="284"/>
      <c r="PGQ2" s="284"/>
      <c r="PGR2" s="284"/>
      <c r="PGS2" s="284"/>
      <c r="PGT2" s="284"/>
      <c r="PGU2" s="284"/>
      <c r="PGV2" s="284"/>
      <c r="PGW2" s="284"/>
      <c r="PGX2" s="284"/>
      <c r="PGY2" s="284"/>
      <c r="PGZ2" s="284"/>
      <c r="PHA2" s="284"/>
      <c r="PHB2" s="284"/>
      <c r="PHC2" s="284"/>
      <c r="PHD2" s="284"/>
      <c r="PHE2" s="284"/>
      <c r="PHF2" s="284"/>
      <c r="PHG2" s="284"/>
      <c r="PHH2" s="284"/>
      <c r="PHI2" s="284"/>
      <c r="PHJ2" s="284"/>
      <c r="PHK2" s="284"/>
      <c r="PHL2" s="284"/>
      <c r="PHM2" s="284"/>
      <c r="PHN2" s="284"/>
      <c r="PHO2" s="284"/>
      <c r="PHP2" s="284"/>
      <c r="PHQ2" s="284"/>
      <c r="PHR2" s="284"/>
      <c r="PHS2" s="284"/>
      <c r="PHT2" s="284"/>
      <c r="PHU2" s="284"/>
      <c r="PHV2" s="284"/>
      <c r="PHW2" s="284"/>
      <c r="PHX2" s="284"/>
      <c r="PHY2" s="284"/>
      <c r="PHZ2" s="284"/>
      <c r="PIA2" s="284"/>
      <c r="PIB2" s="284"/>
      <c r="PIC2" s="284"/>
      <c r="PID2" s="284"/>
      <c r="PIE2" s="284"/>
      <c r="PIF2" s="284"/>
      <c r="PIG2" s="284"/>
      <c r="PIH2" s="284"/>
      <c r="PII2" s="284"/>
      <c r="PIJ2" s="284"/>
      <c r="PIK2" s="284"/>
      <c r="PIL2" s="284"/>
      <c r="PIM2" s="284"/>
      <c r="PIN2" s="284"/>
      <c r="PIO2" s="284"/>
      <c r="PIP2" s="284"/>
      <c r="PIQ2" s="284"/>
      <c r="PIR2" s="284"/>
      <c r="PIS2" s="284"/>
      <c r="PIT2" s="284"/>
      <c r="PIU2" s="284"/>
      <c r="PIV2" s="284"/>
      <c r="PIW2" s="284"/>
      <c r="PIX2" s="284"/>
      <c r="PIY2" s="284"/>
      <c r="PIZ2" s="284"/>
      <c r="PJA2" s="284"/>
      <c r="PJB2" s="284"/>
      <c r="PJC2" s="284"/>
      <c r="PJD2" s="284"/>
      <c r="PJE2" s="284"/>
      <c r="PJF2" s="284"/>
      <c r="PJG2" s="284"/>
      <c r="PJH2" s="284"/>
      <c r="PJI2" s="284"/>
      <c r="PJJ2" s="284"/>
      <c r="PJK2" s="284"/>
      <c r="PJL2" s="284"/>
      <c r="PJM2" s="284"/>
      <c r="PJN2" s="284"/>
      <c r="PJO2" s="284"/>
      <c r="PJP2" s="284"/>
      <c r="PJQ2" s="284"/>
      <c r="PJR2" s="284"/>
      <c r="PJS2" s="284"/>
      <c r="PJT2" s="284"/>
      <c r="PJU2" s="284"/>
      <c r="PJV2" s="284"/>
      <c r="PJW2" s="284"/>
      <c r="PJX2" s="284"/>
      <c r="PJY2" s="284"/>
      <c r="PJZ2" s="284"/>
      <c r="PKA2" s="284"/>
      <c r="PKB2" s="284"/>
      <c r="PKC2" s="284"/>
      <c r="PKD2" s="284"/>
      <c r="PKE2" s="284"/>
      <c r="PKF2" s="284"/>
      <c r="PKG2" s="284"/>
      <c r="PKH2" s="284"/>
      <c r="PKI2" s="284"/>
      <c r="PKJ2" s="284"/>
      <c r="PKK2" s="284"/>
      <c r="PKL2" s="284"/>
      <c r="PKM2" s="284"/>
      <c r="PKN2" s="284"/>
      <c r="PKO2" s="284"/>
      <c r="PKP2" s="284"/>
      <c r="PKQ2" s="284"/>
      <c r="PKR2" s="284"/>
      <c r="PKS2" s="284"/>
      <c r="PKT2" s="284"/>
      <c r="PKU2" s="284"/>
      <c r="PKV2" s="284"/>
      <c r="PKW2" s="284"/>
      <c r="PKX2" s="284"/>
      <c r="PKY2" s="284"/>
      <c r="PKZ2" s="284"/>
      <c r="PLA2" s="284"/>
      <c r="PLB2" s="284"/>
      <c r="PLC2" s="284"/>
      <c r="PLD2" s="284"/>
      <c r="PLE2" s="284"/>
      <c r="PLF2" s="284"/>
      <c r="PLG2" s="284"/>
      <c r="PLH2" s="284"/>
      <c r="PLI2" s="284"/>
      <c r="PLJ2" s="284"/>
      <c r="PLK2" s="284"/>
      <c r="PLL2" s="284"/>
      <c r="PLM2" s="284"/>
      <c r="PLN2" s="284"/>
      <c r="PLO2" s="284"/>
      <c r="PLP2" s="284"/>
      <c r="PLQ2" s="284"/>
      <c r="PLR2" s="284"/>
      <c r="PLS2" s="284"/>
      <c r="PLT2" s="284"/>
      <c r="PLU2" s="284"/>
      <c r="PLV2" s="284"/>
      <c r="PLW2" s="284"/>
      <c r="PLX2" s="284"/>
      <c r="PLY2" s="284"/>
      <c r="PLZ2" s="284"/>
      <c r="PMA2" s="284"/>
      <c r="PMB2" s="284"/>
      <c r="PMC2" s="284"/>
      <c r="PMD2" s="284"/>
      <c r="PME2" s="284"/>
      <c r="PMF2" s="284"/>
      <c r="PMG2" s="284"/>
      <c r="PMH2" s="284"/>
      <c r="PMI2" s="284"/>
      <c r="PMJ2" s="284"/>
      <c r="PMK2" s="284"/>
      <c r="PML2" s="284"/>
      <c r="PMM2" s="284"/>
      <c r="PMN2" s="284"/>
      <c r="PMO2" s="284"/>
      <c r="PMP2" s="284"/>
      <c r="PMQ2" s="284"/>
      <c r="PMR2" s="284"/>
      <c r="PMS2" s="284"/>
      <c r="PMT2" s="284"/>
      <c r="PMU2" s="284"/>
      <c r="PMV2" s="284"/>
      <c r="PMW2" s="284"/>
      <c r="PMX2" s="284"/>
      <c r="PMY2" s="284"/>
      <c r="PMZ2" s="284"/>
      <c r="PNA2" s="284"/>
      <c r="PNB2" s="284"/>
      <c r="PNC2" s="284"/>
      <c r="PND2" s="284"/>
      <c r="PNE2" s="284"/>
      <c r="PNF2" s="284"/>
      <c r="PNG2" s="284"/>
      <c r="PNH2" s="284"/>
      <c r="PNI2" s="284"/>
      <c r="PNJ2" s="284"/>
      <c r="PNK2" s="284"/>
      <c r="PNL2" s="284"/>
      <c r="PNM2" s="284"/>
      <c r="PNN2" s="284"/>
      <c r="PNO2" s="284"/>
      <c r="PNP2" s="284"/>
      <c r="PNQ2" s="284"/>
      <c r="PNR2" s="284"/>
      <c r="PNS2" s="284"/>
      <c r="PNT2" s="284"/>
      <c r="PNU2" s="284"/>
      <c r="PNV2" s="284"/>
      <c r="PNW2" s="284"/>
      <c r="PNX2" s="284"/>
      <c r="PNY2" s="284"/>
      <c r="PNZ2" s="284"/>
      <c r="POA2" s="284"/>
      <c r="POB2" s="284"/>
      <c r="POC2" s="284"/>
      <c r="POD2" s="284"/>
      <c r="POE2" s="284"/>
      <c r="POF2" s="284"/>
      <c r="POG2" s="284"/>
      <c r="POH2" s="284"/>
      <c r="POI2" s="284"/>
      <c r="POJ2" s="284"/>
      <c r="POK2" s="284"/>
      <c r="POL2" s="284"/>
      <c r="POM2" s="284"/>
      <c r="PON2" s="284"/>
      <c r="POO2" s="284"/>
      <c r="POP2" s="284"/>
      <c r="POQ2" s="284"/>
      <c r="POR2" s="284"/>
      <c r="POS2" s="284"/>
      <c r="POT2" s="284"/>
      <c r="POU2" s="284"/>
      <c r="POV2" s="284"/>
      <c r="POW2" s="284"/>
      <c r="POX2" s="284"/>
      <c r="POY2" s="284"/>
      <c r="POZ2" s="284"/>
      <c r="PPA2" s="284"/>
      <c r="PPB2" s="284"/>
      <c r="PPC2" s="284"/>
      <c r="PPD2" s="284"/>
      <c r="PPE2" s="284"/>
      <c r="PPF2" s="284"/>
      <c r="PPG2" s="284"/>
      <c r="PPH2" s="284"/>
      <c r="PPI2" s="284"/>
      <c r="PPJ2" s="284"/>
      <c r="PPK2" s="284"/>
      <c r="PPL2" s="284"/>
      <c r="PPM2" s="284"/>
      <c r="PPN2" s="284"/>
      <c r="PPO2" s="284"/>
      <c r="PPP2" s="284"/>
      <c r="PPQ2" s="284"/>
      <c r="PPR2" s="284"/>
      <c r="PPS2" s="284"/>
      <c r="PPT2" s="284"/>
      <c r="PPU2" s="284"/>
      <c r="PPV2" s="284"/>
      <c r="PPW2" s="284"/>
      <c r="PPX2" s="284"/>
      <c r="PPY2" s="284"/>
      <c r="PPZ2" s="284"/>
      <c r="PQA2" s="284"/>
      <c r="PQB2" s="284"/>
      <c r="PQC2" s="284"/>
      <c r="PQD2" s="284"/>
      <c r="PQE2" s="284"/>
      <c r="PQF2" s="284"/>
      <c r="PQG2" s="284"/>
      <c r="PQH2" s="284"/>
      <c r="PQI2" s="284"/>
      <c r="PQJ2" s="284"/>
      <c r="PQK2" s="284"/>
      <c r="PQL2" s="284"/>
      <c r="PQM2" s="284"/>
      <c r="PQN2" s="284"/>
      <c r="PQO2" s="284"/>
      <c r="PQP2" s="284"/>
      <c r="PQQ2" s="284"/>
      <c r="PQR2" s="284"/>
      <c r="PQS2" s="284"/>
      <c r="PQT2" s="284"/>
      <c r="PQU2" s="284"/>
      <c r="PQV2" s="284"/>
      <c r="PQW2" s="284"/>
      <c r="PQX2" s="284"/>
      <c r="PQY2" s="284"/>
      <c r="PQZ2" s="284"/>
      <c r="PRA2" s="284"/>
      <c r="PRB2" s="284"/>
      <c r="PRC2" s="284"/>
      <c r="PRD2" s="284"/>
      <c r="PRE2" s="284"/>
      <c r="PRF2" s="284"/>
      <c r="PRG2" s="284"/>
      <c r="PRH2" s="284"/>
      <c r="PRI2" s="284"/>
      <c r="PRJ2" s="284"/>
      <c r="PRK2" s="284"/>
      <c r="PRL2" s="284"/>
      <c r="PRM2" s="284"/>
      <c r="PRN2" s="284"/>
      <c r="PRO2" s="284"/>
      <c r="PRP2" s="284"/>
      <c r="PRQ2" s="284"/>
      <c r="PRR2" s="284"/>
      <c r="PRS2" s="284"/>
      <c r="PRT2" s="284"/>
      <c r="PRU2" s="284"/>
      <c r="PRV2" s="284"/>
      <c r="PRW2" s="284"/>
      <c r="PRX2" s="284"/>
      <c r="PRY2" s="284"/>
      <c r="PRZ2" s="284"/>
      <c r="PSA2" s="284"/>
      <c r="PSB2" s="284"/>
      <c r="PSC2" s="284"/>
      <c r="PSD2" s="284"/>
      <c r="PSE2" s="284"/>
      <c r="PSF2" s="284"/>
      <c r="PSG2" s="284"/>
      <c r="PSH2" s="284"/>
      <c r="PSI2" s="284"/>
      <c r="PSJ2" s="284"/>
      <c r="PSK2" s="284"/>
      <c r="PSL2" s="284"/>
      <c r="PSM2" s="284"/>
      <c r="PSN2" s="284"/>
      <c r="PSO2" s="284"/>
      <c r="PSP2" s="284"/>
      <c r="PSQ2" s="284"/>
      <c r="PSR2" s="284"/>
      <c r="PSS2" s="284"/>
      <c r="PST2" s="284"/>
      <c r="PSU2" s="284"/>
      <c r="PSV2" s="284"/>
      <c r="PSW2" s="284"/>
      <c r="PSX2" s="284"/>
      <c r="PSY2" s="284"/>
      <c r="PSZ2" s="284"/>
      <c r="PTA2" s="284"/>
      <c r="PTB2" s="284"/>
      <c r="PTC2" s="284"/>
      <c r="PTD2" s="284"/>
      <c r="PTE2" s="284"/>
      <c r="PTF2" s="284"/>
      <c r="PTG2" s="284"/>
      <c r="PTH2" s="284"/>
      <c r="PTI2" s="284"/>
      <c r="PTJ2" s="284"/>
      <c r="PTK2" s="284"/>
      <c r="PTL2" s="284"/>
      <c r="PTM2" s="284"/>
      <c r="PTN2" s="284"/>
      <c r="PTO2" s="284"/>
      <c r="PTP2" s="284"/>
      <c r="PTQ2" s="284"/>
      <c r="PTR2" s="284"/>
      <c r="PTS2" s="284"/>
      <c r="PTT2" s="284"/>
      <c r="PTU2" s="284"/>
      <c r="PTV2" s="284"/>
      <c r="PTW2" s="284"/>
      <c r="PTX2" s="284"/>
      <c r="PTY2" s="284"/>
      <c r="PTZ2" s="284"/>
      <c r="PUA2" s="284"/>
      <c r="PUB2" s="284"/>
      <c r="PUC2" s="284"/>
      <c r="PUD2" s="284"/>
      <c r="PUE2" s="284"/>
      <c r="PUF2" s="284"/>
      <c r="PUG2" s="284"/>
      <c r="PUH2" s="284"/>
      <c r="PUI2" s="284"/>
      <c r="PUJ2" s="284"/>
      <c r="PUK2" s="284"/>
      <c r="PUL2" s="284"/>
      <c r="PUM2" s="284"/>
      <c r="PUN2" s="284"/>
      <c r="PUO2" s="284"/>
      <c r="PUP2" s="284"/>
      <c r="PUQ2" s="284"/>
      <c r="PUR2" s="284"/>
      <c r="PUS2" s="284"/>
      <c r="PUT2" s="284"/>
      <c r="PUU2" s="284"/>
      <c r="PUV2" s="284"/>
      <c r="PUW2" s="284"/>
      <c r="PUX2" s="284"/>
      <c r="PUY2" s="284"/>
      <c r="PUZ2" s="284"/>
      <c r="PVA2" s="284"/>
      <c r="PVB2" s="284"/>
      <c r="PVC2" s="284"/>
      <c r="PVD2" s="284"/>
      <c r="PVE2" s="284"/>
      <c r="PVF2" s="284"/>
      <c r="PVG2" s="284"/>
      <c r="PVH2" s="284"/>
      <c r="PVI2" s="284"/>
      <c r="PVJ2" s="284"/>
      <c r="PVK2" s="284"/>
      <c r="PVL2" s="284"/>
      <c r="PVM2" s="284"/>
      <c r="PVN2" s="284"/>
      <c r="PVO2" s="284"/>
      <c r="PVP2" s="284"/>
      <c r="PVQ2" s="284"/>
      <c r="PVR2" s="284"/>
      <c r="PVS2" s="284"/>
      <c r="PVT2" s="284"/>
      <c r="PVU2" s="284"/>
      <c r="PVV2" s="284"/>
      <c r="PVW2" s="284"/>
      <c r="PVX2" s="284"/>
      <c r="PVY2" s="284"/>
      <c r="PVZ2" s="284"/>
      <c r="PWA2" s="284"/>
      <c r="PWB2" s="284"/>
      <c r="PWC2" s="284"/>
      <c r="PWD2" s="284"/>
      <c r="PWE2" s="284"/>
      <c r="PWF2" s="284"/>
      <c r="PWG2" s="284"/>
      <c r="PWH2" s="284"/>
      <c r="PWI2" s="284"/>
      <c r="PWJ2" s="284"/>
      <c r="PWK2" s="284"/>
      <c r="PWL2" s="284"/>
      <c r="PWM2" s="284"/>
      <c r="PWN2" s="284"/>
      <c r="PWO2" s="284"/>
      <c r="PWP2" s="284"/>
      <c r="PWQ2" s="284"/>
      <c r="PWR2" s="284"/>
      <c r="PWS2" s="284"/>
      <c r="PWT2" s="284"/>
      <c r="PWU2" s="284"/>
      <c r="PWV2" s="284"/>
      <c r="PWW2" s="284"/>
      <c r="PWX2" s="284"/>
      <c r="PWY2" s="284"/>
      <c r="PWZ2" s="284"/>
      <c r="PXA2" s="284"/>
      <c r="PXB2" s="284"/>
      <c r="PXC2" s="284"/>
      <c r="PXD2" s="284"/>
      <c r="PXE2" s="284"/>
      <c r="PXF2" s="284"/>
      <c r="PXG2" s="284"/>
      <c r="PXH2" s="284"/>
      <c r="PXI2" s="284"/>
      <c r="PXJ2" s="284"/>
      <c r="PXK2" s="284"/>
      <c r="PXL2" s="284"/>
      <c r="PXM2" s="284"/>
      <c r="PXN2" s="284"/>
      <c r="PXO2" s="284"/>
      <c r="PXP2" s="284"/>
      <c r="PXQ2" s="284"/>
      <c r="PXR2" s="284"/>
      <c r="PXS2" s="284"/>
      <c r="PXT2" s="284"/>
      <c r="PXU2" s="284"/>
      <c r="PXV2" s="284"/>
      <c r="PXW2" s="284"/>
      <c r="PXX2" s="284"/>
      <c r="PXY2" s="284"/>
      <c r="PXZ2" s="284"/>
      <c r="PYA2" s="284"/>
      <c r="PYB2" s="284"/>
      <c r="PYC2" s="284"/>
      <c r="PYD2" s="284"/>
      <c r="PYE2" s="284"/>
      <c r="PYF2" s="284"/>
      <c r="PYG2" s="284"/>
      <c r="PYH2" s="284"/>
      <c r="PYI2" s="284"/>
      <c r="PYJ2" s="284"/>
      <c r="PYK2" s="284"/>
      <c r="PYL2" s="284"/>
      <c r="PYM2" s="284"/>
      <c r="PYN2" s="284"/>
      <c r="PYO2" s="284"/>
      <c r="PYP2" s="284"/>
      <c r="PYQ2" s="284"/>
      <c r="PYR2" s="284"/>
      <c r="PYS2" s="284"/>
      <c r="PYT2" s="284"/>
      <c r="PYU2" s="284"/>
      <c r="PYV2" s="284"/>
      <c r="PYW2" s="284"/>
      <c r="PYX2" s="284"/>
      <c r="PYY2" s="284"/>
      <c r="PYZ2" s="284"/>
      <c r="PZA2" s="284"/>
      <c r="PZB2" s="284"/>
      <c r="PZC2" s="284"/>
      <c r="PZD2" s="284"/>
      <c r="PZE2" s="284"/>
      <c r="PZF2" s="284"/>
      <c r="PZG2" s="284"/>
      <c r="PZH2" s="284"/>
      <c r="PZI2" s="284"/>
      <c r="PZJ2" s="284"/>
      <c r="PZK2" s="284"/>
      <c r="PZL2" s="284"/>
      <c r="PZM2" s="284"/>
      <c r="PZN2" s="284"/>
      <c r="PZO2" s="284"/>
      <c r="PZP2" s="284"/>
      <c r="PZQ2" s="284"/>
      <c r="PZR2" s="284"/>
      <c r="PZS2" s="284"/>
      <c r="PZT2" s="284"/>
      <c r="PZU2" s="284"/>
      <c r="PZV2" s="284"/>
      <c r="PZW2" s="284"/>
      <c r="PZX2" s="284"/>
      <c r="PZY2" s="284"/>
      <c r="PZZ2" s="284"/>
      <c r="QAA2" s="284"/>
      <c r="QAB2" s="284"/>
      <c r="QAC2" s="284"/>
      <c r="QAD2" s="284"/>
      <c r="QAE2" s="284"/>
      <c r="QAF2" s="284"/>
      <c r="QAG2" s="284"/>
      <c r="QAH2" s="284"/>
      <c r="QAI2" s="284"/>
      <c r="QAJ2" s="284"/>
      <c r="QAK2" s="284"/>
      <c r="QAL2" s="284"/>
      <c r="QAM2" s="284"/>
      <c r="QAN2" s="284"/>
      <c r="QAO2" s="284"/>
      <c r="QAP2" s="284"/>
      <c r="QAQ2" s="284"/>
      <c r="QAR2" s="284"/>
      <c r="QAS2" s="284"/>
      <c r="QAT2" s="284"/>
      <c r="QAU2" s="284"/>
      <c r="QAV2" s="284"/>
      <c r="QAW2" s="284"/>
      <c r="QAX2" s="284"/>
      <c r="QAY2" s="284"/>
      <c r="QAZ2" s="284"/>
      <c r="QBA2" s="284"/>
      <c r="QBB2" s="284"/>
      <c r="QBC2" s="284"/>
      <c r="QBD2" s="284"/>
      <c r="QBE2" s="284"/>
      <c r="QBF2" s="284"/>
      <c r="QBG2" s="284"/>
      <c r="QBH2" s="284"/>
      <c r="QBI2" s="284"/>
      <c r="QBJ2" s="284"/>
      <c r="QBK2" s="284"/>
      <c r="QBL2" s="284"/>
      <c r="QBM2" s="284"/>
      <c r="QBN2" s="284"/>
      <c r="QBO2" s="284"/>
      <c r="QBP2" s="284"/>
      <c r="QBQ2" s="284"/>
      <c r="QBR2" s="284"/>
      <c r="QBS2" s="284"/>
      <c r="QBT2" s="284"/>
      <c r="QBU2" s="284"/>
      <c r="QBV2" s="284"/>
      <c r="QBW2" s="284"/>
      <c r="QBX2" s="284"/>
      <c r="QBY2" s="284"/>
      <c r="QBZ2" s="284"/>
      <c r="QCA2" s="284"/>
      <c r="QCB2" s="284"/>
      <c r="QCC2" s="284"/>
      <c r="QCD2" s="284"/>
      <c r="QCE2" s="284"/>
      <c r="QCF2" s="284"/>
      <c r="QCG2" s="284"/>
      <c r="QCH2" s="284"/>
      <c r="QCI2" s="284"/>
      <c r="QCJ2" s="284"/>
      <c r="QCK2" s="284"/>
      <c r="QCL2" s="284"/>
      <c r="QCM2" s="284"/>
      <c r="QCN2" s="284"/>
      <c r="QCO2" s="284"/>
      <c r="QCP2" s="284"/>
      <c r="QCQ2" s="284"/>
      <c r="QCR2" s="284"/>
      <c r="QCS2" s="284"/>
      <c r="QCT2" s="284"/>
      <c r="QCU2" s="284"/>
      <c r="QCV2" s="284"/>
      <c r="QCW2" s="284"/>
      <c r="QCX2" s="284"/>
      <c r="QCY2" s="284"/>
      <c r="QCZ2" s="284"/>
      <c r="QDA2" s="284"/>
      <c r="QDB2" s="284"/>
      <c r="QDC2" s="284"/>
      <c r="QDD2" s="284"/>
      <c r="QDE2" s="284"/>
      <c r="QDF2" s="284"/>
      <c r="QDG2" s="284"/>
      <c r="QDH2" s="284"/>
      <c r="QDI2" s="284"/>
      <c r="QDJ2" s="284"/>
      <c r="QDK2" s="284"/>
      <c r="QDL2" s="284"/>
      <c r="QDM2" s="284"/>
      <c r="QDN2" s="284"/>
      <c r="QDO2" s="284"/>
      <c r="QDP2" s="284"/>
      <c r="QDQ2" s="284"/>
      <c r="QDR2" s="284"/>
      <c r="QDS2" s="284"/>
      <c r="QDT2" s="284"/>
      <c r="QDU2" s="284"/>
      <c r="QDV2" s="284"/>
      <c r="QDW2" s="284"/>
      <c r="QDX2" s="284"/>
      <c r="QDY2" s="284"/>
      <c r="QDZ2" s="284"/>
      <c r="QEA2" s="284"/>
      <c r="QEB2" s="284"/>
      <c r="QEC2" s="284"/>
      <c r="QED2" s="284"/>
      <c r="QEE2" s="284"/>
      <c r="QEF2" s="284"/>
      <c r="QEG2" s="284"/>
      <c r="QEH2" s="284"/>
      <c r="QEI2" s="284"/>
      <c r="QEJ2" s="284"/>
      <c r="QEK2" s="284"/>
      <c r="QEL2" s="284"/>
      <c r="QEM2" s="284"/>
      <c r="QEN2" s="284"/>
      <c r="QEO2" s="284"/>
      <c r="QEP2" s="284"/>
      <c r="QEQ2" s="284"/>
      <c r="QER2" s="284"/>
      <c r="QES2" s="284"/>
      <c r="QET2" s="284"/>
      <c r="QEU2" s="284"/>
      <c r="QEV2" s="284"/>
      <c r="QEW2" s="284"/>
      <c r="QEX2" s="284"/>
      <c r="QEY2" s="284"/>
      <c r="QEZ2" s="284"/>
      <c r="QFA2" s="284"/>
      <c r="QFB2" s="284"/>
      <c r="QFC2" s="284"/>
      <c r="QFD2" s="284"/>
      <c r="QFE2" s="284"/>
      <c r="QFF2" s="284"/>
      <c r="QFG2" s="284"/>
      <c r="QFH2" s="284"/>
      <c r="QFI2" s="284"/>
      <c r="QFJ2" s="284"/>
      <c r="QFK2" s="284"/>
      <c r="QFL2" s="284"/>
      <c r="QFM2" s="284"/>
      <c r="QFN2" s="284"/>
      <c r="QFO2" s="284"/>
      <c r="QFP2" s="284"/>
      <c r="QFQ2" s="284"/>
      <c r="QFR2" s="284"/>
      <c r="QFS2" s="284"/>
      <c r="QFT2" s="284"/>
      <c r="QFU2" s="284"/>
      <c r="QFV2" s="284"/>
      <c r="QFW2" s="284"/>
      <c r="QFX2" s="284"/>
      <c r="QFY2" s="284"/>
      <c r="QFZ2" s="284"/>
      <c r="QGA2" s="284"/>
      <c r="QGB2" s="284"/>
      <c r="QGC2" s="284"/>
      <c r="QGD2" s="284"/>
      <c r="QGE2" s="284"/>
      <c r="QGF2" s="284"/>
      <c r="QGG2" s="284"/>
      <c r="QGH2" s="284"/>
      <c r="QGI2" s="284"/>
      <c r="QGJ2" s="284"/>
      <c r="QGK2" s="284"/>
      <c r="QGL2" s="284"/>
      <c r="QGM2" s="284"/>
      <c r="QGN2" s="284"/>
      <c r="QGO2" s="284"/>
      <c r="QGP2" s="284"/>
      <c r="QGQ2" s="284"/>
      <c r="QGR2" s="284"/>
      <c r="QGS2" s="284"/>
      <c r="QGT2" s="284"/>
      <c r="QGU2" s="284"/>
      <c r="QGV2" s="284"/>
      <c r="QGW2" s="284"/>
      <c r="QGX2" s="284"/>
      <c r="QGY2" s="284"/>
      <c r="QGZ2" s="284"/>
      <c r="QHA2" s="284"/>
      <c r="QHB2" s="284"/>
      <c r="QHC2" s="284"/>
      <c r="QHD2" s="284"/>
      <c r="QHE2" s="284"/>
      <c r="QHF2" s="284"/>
      <c r="QHG2" s="284"/>
      <c r="QHH2" s="284"/>
      <c r="QHI2" s="284"/>
      <c r="QHJ2" s="284"/>
      <c r="QHK2" s="284"/>
      <c r="QHL2" s="284"/>
      <c r="QHM2" s="284"/>
      <c r="QHN2" s="284"/>
      <c r="QHO2" s="284"/>
      <c r="QHP2" s="284"/>
      <c r="QHQ2" s="284"/>
      <c r="QHR2" s="284"/>
      <c r="QHS2" s="284"/>
      <c r="QHT2" s="284"/>
      <c r="QHU2" s="284"/>
      <c r="QHV2" s="284"/>
      <c r="QHW2" s="284"/>
      <c r="QHX2" s="284"/>
      <c r="QHY2" s="284"/>
      <c r="QHZ2" s="284"/>
      <c r="QIA2" s="284"/>
      <c r="QIB2" s="284"/>
      <c r="QIC2" s="284"/>
      <c r="QID2" s="284"/>
      <c r="QIE2" s="284"/>
      <c r="QIF2" s="284"/>
      <c r="QIG2" s="284"/>
      <c r="QIH2" s="284"/>
      <c r="QII2" s="284"/>
      <c r="QIJ2" s="284"/>
      <c r="QIK2" s="284"/>
      <c r="QIL2" s="284"/>
      <c r="QIM2" s="284"/>
      <c r="QIN2" s="284"/>
      <c r="QIO2" s="284"/>
      <c r="QIP2" s="284"/>
      <c r="QIQ2" s="284"/>
      <c r="QIR2" s="284"/>
      <c r="QIS2" s="284"/>
      <c r="QIT2" s="284"/>
      <c r="QIU2" s="284"/>
      <c r="QIV2" s="284"/>
      <c r="QIW2" s="284"/>
      <c r="QIX2" s="284"/>
      <c r="QIY2" s="284"/>
      <c r="QIZ2" s="284"/>
      <c r="QJA2" s="284"/>
      <c r="QJB2" s="284"/>
      <c r="QJC2" s="284"/>
      <c r="QJD2" s="284"/>
      <c r="QJE2" s="284"/>
      <c r="QJF2" s="284"/>
      <c r="QJG2" s="284"/>
      <c r="QJH2" s="284"/>
      <c r="QJI2" s="284"/>
      <c r="QJJ2" s="284"/>
      <c r="QJK2" s="284"/>
      <c r="QJL2" s="284"/>
      <c r="QJM2" s="284"/>
      <c r="QJN2" s="284"/>
      <c r="QJO2" s="284"/>
      <c r="QJP2" s="284"/>
      <c r="QJQ2" s="284"/>
      <c r="QJR2" s="284"/>
      <c r="QJS2" s="284"/>
      <c r="QJT2" s="284"/>
      <c r="QJU2" s="284"/>
      <c r="QJV2" s="284"/>
      <c r="QJW2" s="284"/>
      <c r="QJX2" s="284"/>
      <c r="QJY2" s="284"/>
      <c r="QJZ2" s="284"/>
      <c r="QKA2" s="284"/>
      <c r="QKB2" s="284"/>
      <c r="QKC2" s="284"/>
      <c r="QKD2" s="284"/>
      <c r="QKE2" s="284"/>
      <c r="QKF2" s="284"/>
      <c r="QKG2" s="284"/>
      <c r="QKH2" s="284"/>
      <c r="QKI2" s="284"/>
      <c r="QKJ2" s="284"/>
      <c r="QKK2" s="284"/>
      <c r="QKL2" s="284"/>
      <c r="QKM2" s="284"/>
      <c r="QKN2" s="284"/>
      <c r="QKO2" s="284"/>
      <c r="QKP2" s="284"/>
      <c r="QKQ2" s="284"/>
      <c r="QKR2" s="284"/>
      <c r="QKS2" s="284"/>
      <c r="QKT2" s="284"/>
      <c r="QKU2" s="284"/>
      <c r="QKV2" s="284"/>
      <c r="QKW2" s="284"/>
      <c r="QKX2" s="284"/>
      <c r="QKY2" s="284"/>
      <c r="QKZ2" s="284"/>
      <c r="QLA2" s="284"/>
      <c r="QLB2" s="284"/>
      <c r="QLC2" s="284"/>
      <c r="QLD2" s="284"/>
      <c r="QLE2" s="284"/>
      <c r="QLF2" s="284"/>
      <c r="QLG2" s="284"/>
      <c r="QLH2" s="284"/>
      <c r="QLI2" s="284"/>
      <c r="QLJ2" s="284"/>
      <c r="QLK2" s="284"/>
      <c r="QLL2" s="284"/>
      <c r="QLM2" s="284"/>
      <c r="QLN2" s="284"/>
      <c r="QLO2" s="284"/>
      <c r="QLP2" s="284"/>
      <c r="QLQ2" s="284"/>
      <c r="QLR2" s="284"/>
      <c r="QLS2" s="284"/>
      <c r="QLT2" s="284"/>
      <c r="QLU2" s="284"/>
      <c r="QLV2" s="284"/>
      <c r="QLW2" s="284"/>
      <c r="QLX2" s="284"/>
      <c r="QLY2" s="284"/>
      <c r="QLZ2" s="284"/>
      <c r="QMA2" s="284"/>
      <c r="QMB2" s="284"/>
      <c r="QMC2" s="284"/>
      <c r="QMD2" s="284"/>
      <c r="QME2" s="284"/>
      <c r="QMF2" s="284"/>
      <c r="QMG2" s="284"/>
      <c r="QMH2" s="284"/>
      <c r="QMI2" s="284"/>
      <c r="QMJ2" s="284"/>
      <c r="QMK2" s="284"/>
      <c r="QML2" s="284"/>
      <c r="QMM2" s="284"/>
      <c r="QMN2" s="284"/>
      <c r="QMO2" s="284"/>
      <c r="QMP2" s="284"/>
      <c r="QMQ2" s="284"/>
      <c r="QMR2" s="284"/>
      <c r="QMS2" s="284"/>
      <c r="QMT2" s="284"/>
      <c r="QMU2" s="284"/>
      <c r="QMV2" s="284"/>
      <c r="QMW2" s="284"/>
      <c r="QMX2" s="284"/>
      <c r="QMY2" s="284"/>
      <c r="QMZ2" s="284"/>
      <c r="QNA2" s="284"/>
      <c r="QNB2" s="284"/>
      <c r="QNC2" s="284"/>
      <c r="QND2" s="284"/>
      <c r="QNE2" s="284"/>
      <c r="QNF2" s="284"/>
      <c r="QNG2" s="284"/>
      <c r="QNH2" s="284"/>
      <c r="QNI2" s="284"/>
      <c r="QNJ2" s="284"/>
      <c r="QNK2" s="284"/>
      <c r="QNL2" s="284"/>
      <c r="QNM2" s="284"/>
      <c r="QNN2" s="284"/>
      <c r="QNO2" s="284"/>
      <c r="QNP2" s="284"/>
      <c r="QNQ2" s="284"/>
      <c r="QNR2" s="284"/>
      <c r="QNS2" s="284"/>
      <c r="QNT2" s="284"/>
      <c r="QNU2" s="284"/>
      <c r="QNV2" s="284"/>
      <c r="QNW2" s="284"/>
      <c r="QNX2" s="284"/>
      <c r="QNY2" s="284"/>
      <c r="QNZ2" s="284"/>
      <c r="QOA2" s="284"/>
      <c r="QOB2" s="284"/>
      <c r="QOC2" s="284"/>
      <c r="QOD2" s="284"/>
      <c r="QOE2" s="284"/>
      <c r="QOF2" s="284"/>
      <c r="QOG2" s="284"/>
      <c r="QOH2" s="284"/>
      <c r="QOI2" s="284"/>
      <c r="QOJ2" s="284"/>
      <c r="QOK2" s="284"/>
      <c r="QOL2" s="284"/>
      <c r="QOM2" s="284"/>
      <c r="QON2" s="284"/>
      <c r="QOO2" s="284"/>
      <c r="QOP2" s="284"/>
      <c r="QOQ2" s="284"/>
      <c r="QOR2" s="284"/>
      <c r="QOS2" s="284"/>
      <c r="QOT2" s="284"/>
      <c r="QOU2" s="284"/>
      <c r="QOV2" s="284"/>
      <c r="QOW2" s="284"/>
      <c r="QOX2" s="284"/>
      <c r="QOY2" s="284"/>
      <c r="QOZ2" s="284"/>
      <c r="QPA2" s="284"/>
      <c r="QPB2" s="284"/>
      <c r="QPC2" s="284"/>
      <c r="QPD2" s="284"/>
      <c r="QPE2" s="284"/>
      <c r="QPF2" s="284"/>
      <c r="QPG2" s="284"/>
      <c r="QPH2" s="284"/>
      <c r="QPI2" s="284"/>
      <c r="QPJ2" s="284"/>
      <c r="QPK2" s="284"/>
      <c r="QPL2" s="284"/>
      <c r="QPM2" s="284"/>
      <c r="QPN2" s="284"/>
      <c r="QPO2" s="284"/>
      <c r="QPP2" s="284"/>
      <c r="QPQ2" s="284"/>
      <c r="QPR2" s="284"/>
      <c r="QPS2" s="284"/>
      <c r="QPT2" s="284"/>
      <c r="QPU2" s="284"/>
      <c r="QPV2" s="284"/>
      <c r="QPW2" s="284"/>
      <c r="QPX2" s="284"/>
      <c r="QPY2" s="284"/>
      <c r="QPZ2" s="284"/>
      <c r="QQA2" s="284"/>
      <c r="QQB2" s="284"/>
      <c r="QQC2" s="284"/>
      <c r="QQD2" s="284"/>
      <c r="QQE2" s="284"/>
      <c r="QQF2" s="284"/>
      <c r="QQG2" s="284"/>
      <c r="QQH2" s="284"/>
      <c r="QQI2" s="284"/>
      <c r="QQJ2" s="284"/>
      <c r="QQK2" s="284"/>
      <c r="QQL2" s="284"/>
      <c r="QQM2" s="284"/>
      <c r="QQN2" s="284"/>
      <c r="QQO2" s="284"/>
      <c r="QQP2" s="284"/>
      <c r="QQQ2" s="284"/>
      <c r="QQR2" s="284"/>
      <c r="QQS2" s="284"/>
      <c r="QQT2" s="284"/>
      <c r="QQU2" s="284"/>
      <c r="QQV2" s="284"/>
      <c r="QQW2" s="284"/>
      <c r="QQX2" s="284"/>
      <c r="QQY2" s="284"/>
      <c r="QQZ2" s="284"/>
      <c r="QRA2" s="284"/>
      <c r="QRB2" s="284"/>
      <c r="QRC2" s="284"/>
      <c r="QRD2" s="284"/>
      <c r="QRE2" s="284"/>
      <c r="QRF2" s="284"/>
      <c r="QRG2" s="284"/>
      <c r="QRH2" s="284"/>
      <c r="QRI2" s="284"/>
      <c r="QRJ2" s="284"/>
      <c r="QRK2" s="284"/>
      <c r="QRL2" s="284"/>
      <c r="QRM2" s="284"/>
      <c r="QRN2" s="284"/>
      <c r="QRO2" s="284"/>
      <c r="QRP2" s="284"/>
      <c r="QRQ2" s="284"/>
      <c r="QRR2" s="284"/>
      <c r="QRS2" s="284"/>
      <c r="QRT2" s="284"/>
      <c r="QRU2" s="284"/>
      <c r="QRV2" s="284"/>
      <c r="QRW2" s="284"/>
      <c r="QRX2" s="284"/>
      <c r="QRY2" s="284"/>
      <c r="QRZ2" s="284"/>
      <c r="QSA2" s="284"/>
      <c r="QSB2" s="284"/>
      <c r="QSC2" s="284"/>
      <c r="QSD2" s="284"/>
      <c r="QSE2" s="284"/>
      <c r="QSF2" s="284"/>
      <c r="QSG2" s="284"/>
      <c r="QSH2" s="284"/>
      <c r="QSI2" s="284"/>
      <c r="QSJ2" s="284"/>
      <c r="QSK2" s="284"/>
      <c r="QSL2" s="284"/>
      <c r="QSM2" s="284"/>
      <c r="QSN2" s="284"/>
      <c r="QSO2" s="284"/>
      <c r="QSP2" s="284"/>
      <c r="QSQ2" s="284"/>
      <c r="QSR2" s="284"/>
      <c r="QSS2" s="284"/>
      <c r="QST2" s="284"/>
      <c r="QSU2" s="284"/>
      <c r="QSV2" s="284"/>
      <c r="QSW2" s="284"/>
      <c r="QSX2" s="284"/>
      <c r="QSY2" s="284"/>
      <c r="QSZ2" s="284"/>
      <c r="QTA2" s="284"/>
      <c r="QTB2" s="284"/>
      <c r="QTC2" s="284"/>
      <c r="QTD2" s="284"/>
      <c r="QTE2" s="284"/>
      <c r="QTF2" s="284"/>
      <c r="QTG2" s="284"/>
      <c r="QTH2" s="284"/>
      <c r="QTI2" s="284"/>
      <c r="QTJ2" s="284"/>
      <c r="QTK2" s="284"/>
      <c r="QTL2" s="284"/>
      <c r="QTM2" s="284"/>
      <c r="QTN2" s="284"/>
      <c r="QTO2" s="284"/>
      <c r="QTP2" s="284"/>
      <c r="QTQ2" s="284"/>
      <c r="QTR2" s="284"/>
      <c r="QTS2" s="284"/>
      <c r="QTT2" s="284"/>
      <c r="QTU2" s="284"/>
      <c r="QTV2" s="284"/>
      <c r="QTW2" s="284"/>
      <c r="QTX2" s="284"/>
      <c r="QTY2" s="284"/>
      <c r="QTZ2" s="284"/>
      <c r="QUA2" s="284"/>
      <c r="QUB2" s="284"/>
      <c r="QUC2" s="284"/>
      <c r="QUD2" s="284"/>
      <c r="QUE2" s="284"/>
      <c r="QUF2" s="284"/>
      <c r="QUG2" s="284"/>
      <c r="QUH2" s="284"/>
      <c r="QUI2" s="284"/>
      <c r="QUJ2" s="284"/>
      <c r="QUK2" s="284"/>
      <c r="QUL2" s="284"/>
      <c r="QUM2" s="284"/>
      <c r="QUN2" s="284"/>
      <c r="QUO2" s="284"/>
      <c r="QUP2" s="284"/>
      <c r="QUQ2" s="284"/>
      <c r="QUR2" s="284"/>
      <c r="QUS2" s="284"/>
      <c r="QUT2" s="284"/>
      <c r="QUU2" s="284"/>
      <c r="QUV2" s="284"/>
      <c r="QUW2" s="284"/>
      <c r="QUX2" s="284"/>
      <c r="QUY2" s="284"/>
      <c r="QUZ2" s="284"/>
      <c r="QVA2" s="284"/>
      <c r="QVB2" s="284"/>
      <c r="QVC2" s="284"/>
      <c r="QVD2" s="284"/>
      <c r="QVE2" s="284"/>
      <c r="QVF2" s="284"/>
      <c r="QVG2" s="284"/>
      <c r="QVH2" s="284"/>
      <c r="QVI2" s="284"/>
      <c r="QVJ2" s="284"/>
      <c r="QVK2" s="284"/>
      <c r="QVL2" s="284"/>
      <c r="QVM2" s="284"/>
      <c r="QVN2" s="284"/>
      <c r="QVO2" s="284"/>
      <c r="QVP2" s="284"/>
      <c r="QVQ2" s="284"/>
      <c r="QVR2" s="284"/>
      <c r="QVS2" s="284"/>
      <c r="QVT2" s="284"/>
      <c r="QVU2" s="284"/>
      <c r="QVV2" s="284"/>
      <c r="QVW2" s="284"/>
      <c r="QVX2" s="284"/>
      <c r="QVY2" s="284"/>
      <c r="QVZ2" s="284"/>
      <c r="QWA2" s="284"/>
      <c r="QWB2" s="284"/>
      <c r="QWC2" s="284"/>
      <c r="QWD2" s="284"/>
      <c r="QWE2" s="284"/>
      <c r="QWF2" s="284"/>
      <c r="QWG2" s="284"/>
      <c r="QWH2" s="284"/>
      <c r="QWI2" s="284"/>
      <c r="QWJ2" s="284"/>
      <c r="QWK2" s="284"/>
      <c r="QWL2" s="284"/>
      <c r="QWM2" s="284"/>
      <c r="QWN2" s="284"/>
      <c r="QWO2" s="284"/>
      <c r="QWP2" s="284"/>
      <c r="QWQ2" s="284"/>
      <c r="QWR2" s="284"/>
      <c r="QWS2" s="284"/>
      <c r="QWT2" s="284"/>
      <c r="QWU2" s="284"/>
      <c r="QWV2" s="284"/>
      <c r="QWW2" s="284"/>
      <c r="QWX2" s="284"/>
      <c r="QWY2" s="284"/>
      <c r="QWZ2" s="284"/>
      <c r="QXA2" s="284"/>
      <c r="QXB2" s="284"/>
      <c r="QXC2" s="284"/>
      <c r="QXD2" s="284"/>
      <c r="QXE2" s="284"/>
      <c r="QXF2" s="284"/>
      <c r="QXG2" s="284"/>
      <c r="QXH2" s="284"/>
      <c r="QXI2" s="284"/>
      <c r="QXJ2" s="284"/>
      <c r="QXK2" s="284"/>
      <c r="QXL2" s="284"/>
      <c r="QXM2" s="284"/>
      <c r="QXN2" s="284"/>
      <c r="QXO2" s="284"/>
      <c r="QXP2" s="284"/>
      <c r="QXQ2" s="284"/>
      <c r="QXR2" s="284"/>
      <c r="QXS2" s="284"/>
      <c r="QXT2" s="284"/>
      <c r="QXU2" s="284"/>
      <c r="QXV2" s="284"/>
      <c r="QXW2" s="284"/>
      <c r="QXX2" s="284"/>
      <c r="QXY2" s="284"/>
      <c r="QXZ2" s="284"/>
      <c r="QYA2" s="284"/>
      <c r="QYB2" s="284"/>
      <c r="QYC2" s="284"/>
      <c r="QYD2" s="284"/>
      <c r="QYE2" s="284"/>
      <c r="QYF2" s="284"/>
      <c r="QYG2" s="284"/>
      <c r="QYH2" s="284"/>
      <c r="QYI2" s="284"/>
      <c r="QYJ2" s="284"/>
      <c r="QYK2" s="284"/>
      <c r="QYL2" s="284"/>
      <c r="QYM2" s="284"/>
      <c r="QYN2" s="284"/>
      <c r="QYO2" s="284"/>
      <c r="QYP2" s="284"/>
      <c r="QYQ2" s="284"/>
      <c r="QYR2" s="284"/>
      <c r="QYS2" s="284"/>
      <c r="QYT2" s="284"/>
      <c r="QYU2" s="284"/>
      <c r="QYV2" s="284"/>
      <c r="QYW2" s="284"/>
      <c r="QYX2" s="284"/>
      <c r="QYY2" s="284"/>
      <c r="QYZ2" s="284"/>
      <c r="QZA2" s="284"/>
      <c r="QZB2" s="284"/>
      <c r="QZC2" s="284"/>
      <c r="QZD2" s="284"/>
      <c r="QZE2" s="284"/>
      <c r="QZF2" s="284"/>
      <c r="QZG2" s="284"/>
      <c r="QZH2" s="284"/>
      <c r="QZI2" s="284"/>
      <c r="QZJ2" s="284"/>
      <c r="QZK2" s="284"/>
      <c r="QZL2" s="284"/>
      <c r="QZM2" s="284"/>
      <c r="QZN2" s="284"/>
      <c r="QZO2" s="284"/>
      <c r="QZP2" s="284"/>
      <c r="QZQ2" s="284"/>
      <c r="QZR2" s="284"/>
      <c r="QZS2" s="284"/>
      <c r="QZT2" s="284"/>
      <c r="QZU2" s="284"/>
      <c r="QZV2" s="284"/>
      <c r="QZW2" s="284"/>
      <c r="QZX2" s="284"/>
      <c r="QZY2" s="284"/>
      <c r="QZZ2" s="284"/>
      <c r="RAA2" s="284"/>
      <c r="RAB2" s="284"/>
      <c r="RAC2" s="284"/>
      <c r="RAD2" s="284"/>
      <c r="RAE2" s="284"/>
      <c r="RAF2" s="284"/>
      <c r="RAG2" s="284"/>
      <c r="RAH2" s="284"/>
      <c r="RAI2" s="284"/>
      <c r="RAJ2" s="284"/>
      <c r="RAK2" s="284"/>
      <c r="RAL2" s="284"/>
      <c r="RAM2" s="284"/>
      <c r="RAN2" s="284"/>
      <c r="RAO2" s="284"/>
      <c r="RAP2" s="284"/>
      <c r="RAQ2" s="284"/>
      <c r="RAR2" s="284"/>
      <c r="RAS2" s="284"/>
      <c r="RAT2" s="284"/>
      <c r="RAU2" s="284"/>
      <c r="RAV2" s="284"/>
      <c r="RAW2" s="284"/>
      <c r="RAX2" s="284"/>
      <c r="RAY2" s="284"/>
      <c r="RAZ2" s="284"/>
      <c r="RBA2" s="284"/>
      <c r="RBB2" s="284"/>
      <c r="RBC2" s="284"/>
      <c r="RBD2" s="284"/>
      <c r="RBE2" s="284"/>
      <c r="RBF2" s="284"/>
      <c r="RBG2" s="284"/>
      <c r="RBH2" s="284"/>
      <c r="RBI2" s="284"/>
      <c r="RBJ2" s="284"/>
      <c r="RBK2" s="284"/>
      <c r="RBL2" s="284"/>
      <c r="RBM2" s="284"/>
      <c r="RBN2" s="284"/>
      <c r="RBO2" s="284"/>
      <c r="RBP2" s="284"/>
      <c r="RBQ2" s="284"/>
      <c r="RBR2" s="284"/>
      <c r="RBS2" s="284"/>
      <c r="RBT2" s="284"/>
      <c r="RBU2" s="284"/>
      <c r="RBV2" s="284"/>
      <c r="RBW2" s="284"/>
      <c r="RBX2" s="284"/>
      <c r="RBY2" s="284"/>
      <c r="RBZ2" s="284"/>
      <c r="RCA2" s="284"/>
      <c r="RCB2" s="284"/>
      <c r="RCC2" s="284"/>
      <c r="RCD2" s="284"/>
      <c r="RCE2" s="284"/>
      <c r="RCF2" s="284"/>
      <c r="RCG2" s="284"/>
      <c r="RCH2" s="284"/>
      <c r="RCI2" s="284"/>
      <c r="RCJ2" s="284"/>
      <c r="RCK2" s="284"/>
      <c r="RCL2" s="284"/>
      <c r="RCM2" s="284"/>
      <c r="RCN2" s="284"/>
      <c r="RCO2" s="284"/>
      <c r="RCP2" s="284"/>
      <c r="RCQ2" s="284"/>
      <c r="RCR2" s="284"/>
      <c r="RCS2" s="284"/>
      <c r="RCT2" s="284"/>
      <c r="RCU2" s="284"/>
      <c r="RCV2" s="284"/>
      <c r="RCW2" s="284"/>
      <c r="RCX2" s="284"/>
      <c r="RCY2" s="284"/>
      <c r="RCZ2" s="284"/>
      <c r="RDA2" s="284"/>
      <c r="RDB2" s="284"/>
      <c r="RDC2" s="284"/>
      <c r="RDD2" s="284"/>
      <c r="RDE2" s="284"/>
      <c r="RDF2" s="284"/>
      <c r="RDG2" s="284"/>
      <c r="RDH2" s="284"/>
      <c r="RDI2" s="284"/>
      <c r="RDJ2" s="284"/>
      <c r="RDK2" s="284"/>
      <c r="RDL2" s="284"/>
      <c r="RDM2" s="284"/>
      <c r="RDN2" s="284"/>
      <c r="RDO2" s="284"/>
      <c r="RDP2" s="284"/>
      <c r="RDQ2" s="284"/>
      <c r="RDR2" s="284"/>
      <c r="RDS2" s="284"/>
      <c r="RDT2" s="284"/>
      <c r="RDU2" s="284"/>
      <c r="RDV2" s="284"/>
      <c r="RDW2" s="284"/>
      <c r="RDX2" s="284"/>
      <c r="RDY2" s="284"/>
      <c r="RDZ2" s="284"/>
      <c r="REA2" s="284"/>
      <c r="REB2" s="284"/>
      <c r="REC2" s="284"/>
      <c r="RED2" s="284"/>
      <c r="REE2" s="284"/>
      <c r="REF2" s="284"/>
      <c r="REG2" s="284"/>
      <c r="REH2" s="284"/>
      <c r="REI2" s="284"/>
      <c r="REJ2" s="284"/>
      <c r="REK2" s="284"/>
      <c r="REL2" s="284"/>
      <c r="REM2" s="284"/>
      <c r="REN2" s="284"/>
      <c r="REO2" s="284"/>
      <c r="REP2" s="284"/>
      <c r="REQ2" s="284"/>
      <c r="RER2" s="284"/>
      <c r="RES2" s="284"/>
      <c r="RET2" s="284"/>
      <c r="REU2" s="284"/>
      <c r="REV2" s="284"/>
      <c r="REW2" s="284"/>
      <c r="REX2" s="284"/>
      <c r="REY2" s="284"/>
      <c r="REZ2" s="284"/>
      <c r="RFA2" s="284"/>
      <c r="RFB2" s="284"/>
      <c r="RFC2" s="284"/>
      <c r="RFD2" s="284"/>
      <c r="RFE2" s="284"/>
      <c r="RFF2" s="284"/>
      <c r="RFG2" s="284"/>
      <c r="RFH2" s="284"/>
      <c r="RFI2" s="284"/>
      <c r="RFJ2" s="284"/>
      <c r="RFK2" s="284"/>
      <c r="RFL2" s="284"/>
      <c r="RFM2" s="284"/>
      <c r="RFN2" s="284"/>
      <c r="RFO2" s="284"/>
      <c r="RFP2" s="284"/>
      <c r="RFQ2" s="284"/>
      <c r="RFR2" s="284"/>
      <c r="RFS2" s="284"/>
      <c r="RFT2" s="284"/>
      <c r="RFU2" s="284"/>
      <c r="RFV2" s="284"/>
      <c r="RFW2" s="284"/>
      <c r="RFX2" s="284"/>
      <c r="RFY2" s="284"/>
      <c r="RFZ2" s="284"/>
      <c r="RGA2" s="284"/>
      <c r="RGB2" s="284"/>
      <c r="RGC2" s="284"/>
      <c r="RGD2" s="284"/>
      <c r="RGE2" s="284"/>
      <c r="RGF2" s="284"/>
      <c r="RGG2" s="284"/>
      <c r="RGH2" s="284"/>
      <c r="RGI2" s="284"/>
      <c r="RGJ2" s="284"/>
      <c r="RGK2" s="284"/>
      <c r="RGL2" s="284"/>
      <c r="RGM2" s="284"/>
      <c r="RGN2" s="284"/>
      <c r="RGO2" s="284"/>
      <c r="RGP2" s="284"/>
      <c r="RGQ2" s="284"/>
      <c r="RGR2" s="284"/>
      <c r="RGS2" s="284"/>
      <c r="RGT2" s="284"/>
      <c r="RGU2" s="284"/>
      <c r="RGV2" s="284"/>
      <c r="RGW2" s="284"/>
      <c r="RGX2" s="284"/>
      <c r="RGY2" s="284"/>
      <c r="RGZ2" s="284"/>
      <c r="RHA2" s="284"/>
      <c r="RHB2" s="284"/>
      <c r="RHC2" s="284"/>
      <c r="RHD2" s="284"/>
      <c r="RHE2" s="284"/>
      <c r="RHF2" s="284"/>
      <c r="RHG2" s="284"/>
      <c r="RHH2" s="284"/>
      <c r="RHI2" s="284"/>
      <c r="RHJ2" s="284"/>
      <c r="RHK2" s="284"/>
      <c r="RHL2" s="284"/>
      <c r="RHM2" s="284"/>
      <c r="RHN2" s="284"/>
      <c r="RHO2" s="284"/>
      <c r="RHP2" s="284"/>
      <c r="RHQ2" s="284"/>
      <c r="RHR2" s="284"/>
      <c r="RHS2" s="284"/>
      <c r="RHT2" s="284"/>
      <c r="RHU2" s="284"/>
      <c r="RHV2" s="284"/>
      <c r="RHW2" s="284"/>
      <c r="RHX2" s="284"/>
      <c r="RHY2" s="284"/>
      <c r="RHZ2" s="284"/>
      <c r="RIA2" s="284"/>
      <c r="RIB2" s="284"/>
      <c r="RIC2" s="284"/>
      <c r="RID2" s="284"/>
      <c r="RIE2" s="284"/>
      <c r="RIF2" s="284"/>
      <c r="RIG2" s="284"/>
      <c r="RIH2" s="284"/>
      <c r="RII2" s="284"/>
      <c r="RIJ2" s="284"/>
      <c r="RIK2" s="284"/>
      <c r="RIL2" s="284"/>
      <c r="RIM2" s="284"/>
      <c r="RIN2" s="284"/>
      <c r="RIO2" s="284"/>
      <c r="RIP2" s="284"/>
      <c r="RIQ2" s="284"/>
      <c r="RIR2" s="284"/>
      <c r="RIS2" s="284"/>
      <c r="RIT2" s="284"/>
      <c r="RIU2" s="284"/>
      <c r="RIV2" s="284"/>
      <c r="RIW2" s="284"/>
      <c r="RIX2" s="284"/>
      <c r="RIY2" s="284"/>
      <c r="RIZ2" s="284"/>
      <c r="RJA2" s="284"/>
      <c r="RJB2" s="284"/>
      <c r="RJC2" s="284"/>
      <c r="RJD2" s="284"/>
      <c r="RJE2" s="284"/>
      <c r="RJF2" s="284"/>
      <c r="RJG2" s="284"/>
      <c r="RJH2" s="284"/>
      <c r="RJI2" s="284"/>
      <c r="RJJ2" s="284"/>
      <c r="RJK2" s="284"/>
      <c r="RJL2" s="284"/>
      <c r="RJM2" s="284"/>
      <c r="RJN2" s="284"/>
      <c r="RJO2" s="284"/>
      <c r="RJP2" s="284"/>
      <c r="RJQ2" s="284"/>
      <c r="RJR2" s="284"/>
      <c r="RJS2" s="284"/>
      <c r="RJT2" s="284"/>
      <c r="RJU2" s="284"/>
      <c r="RJV2" s="284"/>
      <c r="RJW2" s="284"/>
      <c r="RJX2" s="284"/>
      <c r="RJY2" s="284"/>
      <c r="RJZ2" s="284"/>
      <c r="RKA2" s="284"/>
      <c r="RKB2" s="284"/>
      <c r="RKC2" s="284"/>
      <c r="RKD2" s="284"/>
      <c r="RKE2" s="284"/>
      <c r="RKF2" s="284"/>
      <c r="RKG2" s="284"/>
      <c r="RKH2" s="284"/>
      <c r="RKI2" s="284"/>
      <c r="RKJ2" s="284"/>
      <c r="RKK2" s="284"/>
      <c r="RKL2" s="284"/>
      <c r="RKM2" s="284"/>
      <c r="RKN2" s="284"/>
      <c r="RKO2" s="284"/>
      <c r="RKP2" s="284"/>
      <c r="RKQ2" s="284"/>
      <c r="RKR2" s="284"/>
      <c r="RKS2" s="284"/>
      <c r="RKT2" s="284"/>
      <c r="RKU2" s="284"/>
      <c r="RKV2" s="284"/>
      <c r="RKW2" s="284"/>
      <c r="RKX2" s="284"/>
      <c r="RKY2" s="284"/>
      <c r="RKZ2" s="284"/>
      <c r="RLA2" s="284"/>
      <c r="RLB2" s="284"/>
      <c r="RLC2" s="284"/>
      <c r="RLD2" s="284"/>
      <c r="RLE2" s="284"/>
      <c r="RLF2" s="284"/>
      <c r="RLG2" s="284"/>
      <c r="RLH2" s="284"/>
      <c r="RLI2" s="284"/>
      <c r="RLJ2" s="284"/>
      <c r="RLK2" s="284"/>
      <c r="RLL2" s="284"/>
      <c r="RLM2" s="284"/>
      <c r="RLN2" s="284"/>
      <c r="RLO2" s="284"/>
      <c r="RLP2" s="284"/>
      <c r="RLQ2" s="284"/>
      <c r="RLR2" s="284"/>
      <c r="RLS2" s="284"/>
      <c r="RLT2" s="284"/>
      <c r="RLU2" s="284"/>
      <c r="RLV2" s="284"/>
      <c r="RLW2" s="284"/>
      <c r="RLX2" s="284"/>
      <c r="RLY2" s="284"/>
      <c r="RLZ2" s="284"/>
      <c r="RMA2" s="284"/>
      <c r="RMB2" s="284"/>
      <c r="RMC2" s="284"/>
      <c r="RMD2" s="284"/>
      <c r="RME2" s="284"/>
      <c r="RMF2" s="284"/>
      <c r="RMG2" s="284"/>
      <c r="RMH2" s="284"/>
      <c r="RMI2" s="284"/>
      <c r="RMJ2" s="284"/>
      <c r="RMK2" s="284"/>
      <c r="RML2" s="284"/>
      <c r="RMM2" s="284"/>
      <c r="RMN2" s="284"/>
      <c r="RMO2" s="284"/>
      <c r="RMP2" s="284"/>
      <c r="RMQ2" s="284"/>
      <c r="RMR2" s="284"/>
      <c r="RMS2" s="284"/>
      <c r="RMT2" s="284"/>
      <c r="RMU2" s="284"/>
      <c r="RMV2" s="284"/>
      <c r="RMW2" s="284"/>
      <c r="RMX2" s="284"/>
      <c r="RMY2" s="284"/>
      <c r="RMZ2" s="284"/>
      <c r="RNA2" s="284"/>
      <c r="RNB2" s="284"/>
      <c r="RNC2" s="284"/>
      <c r="RND2" s="284"/>
      <c r="RNE2" s="284"/>
      <c r="RNF2" s="284"/>
      <c r="RNG2" s="284"/>
      <c r="RNH2" s="284"/>
      <c r="RNI2" s="284"/>
      <c r="RNJ2" s="284"/>
      <c r="RNK2" s="284"/>
      <c r="RNL2" s="284"/>
      <c r="RNM2" s="284"/>
      <c r="RNN2" s="284"/>
      <c r="RNO2" s="284"/>
      <c r="RNP2" s="284"/>
      <c r="RNQ2" s="284"/>
      <c r="RNR2" s="284"/>
      <c r="RNS2" s="284"/>
      <c r="RNT2" s="284"/>
      <c r="RNU2" s="284"/>
      <c r="RNV2" s="284"/>
      <c r="RNW2" s="284"/>
      <c r="RNX2" s="284"/>
      <c r="RNY2" s="284"/>
      <c r="RNZ2" s="284"/>
      <c r="ROA2" s="284"/>
      <c r="ROB2" s="284"/>
      <c r="ROC2" s="284"/>
      <c r="ROD2" s="284"/>
      <c r="ROE2" s="284"/>
      <c r="ROF2" s="284"/>
      <c r="ROG2" s="284"/>
      <c r="ROH2" s="284"/>
      <c r="ROI2" s="284"/>
      <c r="ROJ2" s="284"/>
      <c r="ROK2" s="284"/>
      <c r="ROL2" s="284"/>
      <c r="ROM2" s="284"/>
      <c r="RON2" s="284"/>
      <c r="ROO2" s="284"/>
      <c r="ROP2" s="284"/>
      <c r="ROQ2" s="284"/>
      <c r="ROR2" s="284"/>
      <c r="ROS2" s="284"/>
      <c r="ROT2" s="284"/>
      <c r="ROU2" s="284"/>
      <c r="ROV2" s="284"/>
      <c r="ROW2" s="284"/>
      <c r="ROX2" s="284"/>
      <c r="ROY2" s="284"/>
      <c r="ROZ2" s="284"/>
      <c r="RPA2" s="284"/>
      <c r="RPB2" s="284"/>
      <c r="RPC2" s="284"/>
      <c r="RPD2" s="284"/>
      <c r="RPE2" s="284"/>
      <c r="RPF2" s="284"/>
      <c r="RPG2" s="284"/>
      <c r="RPH2" s="284"/>
      <c r="RPI2" s="284"/>
      <c r="RPJ2" s="284"/>
      <c r="RPK2" s="284"/>
      <c r="RPL2" s="284"/>
      <c r="RPM2" s="284"/>
      <c r="RPN2" s="284"/>
      <c r="RPO2" s="284"/>
      <c r="RPP2" s="284"/>
      <c r="RPQ2" s="284"/>
      <c r="RPR2" s="284"/>
      <c r="RPS2" s="284"/>
      <c r="RPT2" s="284"/>
      <c r="RPU2" s="284"/>
      <c r="RPV2" s="284"/>
      <c r="RPW2" s="284"/>
      <c r="RPX2" s="284"/>
      <c r="RPY2" s="284"/>
      <c r="RPZ2" s="284"/>
      <c r="RQA2" s="284"/>
      <c r="RQB2" s="284"/>
      <c r="RQC2" s="284"/>
      <c r="RQD2" s="284"/>
      <c r="RQE2" s="284"/>
      <c r="RQF2" s="284"/>
      <c r="RQG2" s="284"/>
      <c r="RQH2" s="284"/>
      <c r="RQI2" s="284"/>
      <c r="RQJ2" s="284"/>
      <c r="RQK2" s="284"/>
      <c r="RQL2" s="284"/>
      <c r="RQM2" s="284"/>
      <c r="RQN2" s="284"/>
      <c r="RQO2" s="284"/>
      <c r="RQP2" s="284"/>
      <c r="RQQ2" s="284"/>
      <c r="RQR2" s="284"/>
      <c r="RQS2" s="284"/>
      <c r="RQT2" s="284"/>
      <c r="RQU2" s="284"/>
      <c r="RQV2" s="284"/>
      <c r="RQW2" s="284"/>
      <c r="RQX2" s="284"/>
      <c r="RQY2" s="284"/>
      <c r="RQZ2" s="284"/>
      <c r="RRA2" s="284"/>
      <c r="RRB2" s="284"/>
      <c r="RRC2" s="284"/>
      <c r="RRD2" s="284"/>
      <c r="RRE2" s="284"/>
      <c r="RRF2" s="284"/>
      <c r="RRG2" s="284"/>
      <c r="RRH2" s="284"/>
      <c r="RRI2" s="284"/>
      <c r="RRJ2" s="284"/>
      <c r="RRK2" s="284"/>
      <c r="RRL2" s="284"/>
      <c r="RRM2" s="284"/>
      <c r="RRN2" s="284"/>
      <c r="RRO2" s="284"/>
      <c r="RRP2" s="284"/>
      <c r="RRQ2" s="284"/>
      <c r="RRR2" s="284"/>
      <c r="RRS2" s="284"/>
      <c r="RRT2" s="284"/>
      <c r="RRU2" s="284"/>
      <c r="RRV2" s="284"/>
      <c r="RRW2" s="284"/>
      <c r="RRX2" s="284"/>
      <c r="RRY2" s="284"/>
      <c r="RRZ2" s="284"/>
      <c r="RSA2" s="284"/>
      <c r="RSB2" s="284"/>
      <c r="RSC2" s="284"/>
      <c r="RSD2" s="284"/>
      <c r="RSE2" s="284"/>
      <c r="RSF2" s="284"/>
      <c r="RSG2" s="284"/>
      <c r="RSH2" s="284"/>
      <c r="RSI2" s="284"/>
      <c r="RSJ2" s="284"/>
      <c r="RSK2" s="284"/>
      <c r="RSL2" s="284"/>
      <c r="RSM2" s="284"/>
      <c r="RSN2" s="284"/>
      <c r="RSO2" s="284"/>
      <c r="RSP2" s="284"/>
      <c r="RSQ2" s="284"/>
      <c r="RSR2" s="284"/>
      <c r="RSS2" s="284"/>
      <c r="RST2" s="284"/>
      <c r="RSU2" s="284"/>
      <c r="RSV2" s="284"/>
      <c r="RSW2" s="284"/>
      <c r="RSX2" s="284"/>
      <c r="RSY2" s="284"/>
      <c r="RSZ2" s="284"/>
      <c r="RTA2" s="284"/>
      <c r="RTB2" s="284"/>
      <c r="RTC2" s="284"/>
      <c r="RTD2" s="284"/>
      <c r="RTE2" s="284"/>
      <c r="RTF2" s="284"/>
      <c r="RTG2" s="284"/>
      <c r="RTH2" s="284"/>
      <c r="RTI2" s="284"/>
      <c r="RTJ2" s="284"/>
      <c r="RTK2" s="284"/>
      <c r="RTL2" s="284"/>
      <c r="RTM2" s="284"/>
      <c r="RTN2" s="284"/>
      <c r="RTO2" s="284"/>
      <c r="RTP2" s="284"/>
      <c r="RTQ2" s="284"/>
      <c r="RTR2" s="284"/>
      <c r="RTS2" s="284"/>
      <c r="RTT2" s="284"/>
      <c r="RTU2" s="284"/>
      <c r="RTV2" s="284"/>
      <c r="RTW2" s="284"/>
      <c r="RTX2" s="284"/>
      <c r="RTY2" s="284"/>
      <c r="RTZ2" s="284"/>
      <c r="RUA2" s="284"/>
      <c r="RUB2" s="284"/>
      <c r="RUC2" s="284"/>
      <c r="RUD2" s="284"/>
      <c r="RUE2" s="284"/>
      <c r="RUF2" s="284"/>
      <c r="RUG2" s="284"/>
      <c r="RUH2" s="284"/>
      <c r="RUI2" s="284"/>
      <c r="RUJ2" s="284"/>
      <c r="RUK2" s="284"/>
      <c r="RUL2" s="284"/>
      <c r="RUM2" s="284"/>
      <c r="RUN2" s="284"/>
      <c r="RUO2" s="284"/>
      <c r="RUP2" s="284"/>
      <c r="RUQ2" s="284"/>
      <c r="RUR2" s="284"/>
      <c r="RUS2" s="284"/>
      <c r="RUT2" s="284"/>
      <c r="RUU2" s="284"/>
      <c r="RUV2" s="284"/>
      <c r="RUW2" s="284"/>
      <c r="RUX2" s="284"/>
      <c r="RUY2" s="284"/>
      <c r="RUZ2" s="284"/>
      <c r="RVA2" s="284"/>
      <c r="RVB2" s="284"/>
      <c r="RVC2" s="284"/>
      <c r="RVD2" s="284"/>
      <c r="RVE2" s="284"/>
      <c r="RVF2" s="284"/>
      <c r="RVG2" s="284"/>
      <c r="RVH2" s="284"/>
      <c r="RVI2" s="284"/>
      <c r="RVJ2" s="284"/>
      <c r="RVK2" s="284"/>
      <c r="RVL2" s="284"/>
      <c r="RVM2" s="284"/>
      <c r="RVN2" s="284"/>
      <c r="RVO2" s="284"/>
      <c r="RVP2" s="284"/>
      <c r="RVQ2" s="284"/>
      <c r="RVR2" s="284"/>
      <c r="RVS2" s="284"/>
      <c r="RVT2" s="284"/>
      <c r="RVU2" s="284"/>
      <c r="RVV2" s="284"/>
      <c r="RVW2" s="284"/>
      <c r="RVX2" s="284"/>
      <c r="RVY2" s="284"/>
      <c r="RVZ2" s="284"/>
      <c r="RWA2" s="284"/>
      <c r="RWB2" s="284"/>
      <c r="RWC2" s="284"/>
      <c r="RWD2" s="284"/>
      <c r="RWE2" s="284"/>
      <c r="RWF2" s="284"/>
      <c r="RWG2" s="284"/>
      <c r="RWH2" s="284"/>
      <c r="RWI2" s="284"/>
      <c r="RWJ2" s="284"/>
      <c r="RWK2" s="284"/>
      <c r="RWL2" s="284"/>
      <c r="RWM2" s="284"/>
      <c r="RWN2" s="284"/>
      <c r="RWO2" s="284"/>
      <c r="RWP2" s="284"/>
      <c r="RWQ2" s="284"/>
      <c r="RWR2" s="284"/>
      <c r="RWS2" s="284"/>
      <c r="RWT2" s="284"/>
      <c r="RWU2" s="284"/>
      <c r="RWV2" s="284"/>
      <c r="RWW2" s="284"/>
      <c r="RWX2" s="284"/>
      <c r="RWY2" s="284"/>
      <c r="RWZ2" s="284"/>
      <c r="RXA2" s="284"/>
      <c r="RXB2" s="284"/>
      <c r="RXC2" s="284"/>
      <c r="RXD2" s="284"/>
      <c r="RXE2" s="284"/>
      <c r="RXF2" s="284"/>
      <c r="RXG2" s="284"/>
      <c r="RXH2" s="284"/>
      <c r="RXI2" s="284"/>
      <c r="RXJ2" s="284"/>
      <c r="RXK2" s="284"/>
      <c r="RXL2" s="284"/>
      <c r="RXM2" s="284"/>
      <c r="RXN2" s="284"/>
      <c r="RXO2" s="284"/>
      <c r="RXP2" s="284"/>
      <c r="RXQ2" s="284"/>
      <c r="RXR2" s="284"/>
      <c r="RXS2" s="284"/>
      <c r="RXT2" s="284"/>
      <c r="RXU2" s="284"/>
      <c r="RXV2" s="284"/>
      <c r="RXW2" s="284"/>
      <c r="RXX2" s="284"/>
      <c r="RXY2" s="284"/>
      <c r="RXZ2" s="284"/>
      <c r="RYA2" s="284"/>
      <c r="RYB2" s="284"/>
      <c r="RYC2" s="284"/>
      <c r="RYD2" s="284"/>
      <c r="RYE2" s="284"/>
      <c r="RYF2" s="284"/>
      <c r="RYG2" s="284"/>
      <c r="RYH2" s="284"/>
      <c r="RYI2" s="284"/>
      <c r="RYJ2" s="284"/>
      <c r="RYK2" s="284"/>
      <c r="RYL2" s="284"/>
      <c r="RYM2" s="284"/>
      <c r="RYN2" s="284"/>
      <c r="RYO2" s="284"/>
      <c r="RYP2" s="284"/>
      <c r="RYQ2" s="284"/>
      <c r="RYR2" s="284"/>
      <c r="RYS2" s="284"/>
      <c r="RYT2" s="284"/>
      <c r="RYU2" s="284"/>
      <c r="RYV2" s="284"/>
      <c r="RYW2" s="284"/>
      <c r="RYX2" s="284"/>
      <c r="RYY2" s="284"/>
      <c r="RYZ2" s="284"/>
      <c r="RZA2" s="284"/>
      <c r="RZB2" s="284"/>
      <c r="RZC2" s="284"/>
      <c r="RZD2" s="284"/>
      <c r="RZE2" s="284"/>
      <c r="RZF2" s="284"/>
      <c r="RZG2" s="284"/>
      <c r="RZH2" s="284"/>
      <c r="RZI2" s="284"/>
      <c r="RZJ2" s="284"/>
      <c r="RZK2" s="284"/>
      <c r="RZL2" s="284"/>
      <c r="RZM2" s="284"/>
      <c r="RZN2" s="284"/>
      <c r="RZO2" s="284"/>
      <c r="RZP2" s="284"/>
      <c r="RZQ2" s="284"/>
      <c r="RZR2" s="284"/>
      <c r="RZS2" s="284"/>
      <c r="RZT2" s="284"/>
      <c r="RZU2" s="284"/>
      <c r="RZV2" s="284"/>
      <c r="RZW2" s="284"/>
      <c r="RZX2" s="284"/>
      <c r="RZY2" s="284"/>
      <c r="RZZ2" s="284"/>
      <c r="SAA2" s="284"/>
      <c r="SAB2" s="284"/>
      <c r="SAC2" s="284"/>
      <c r="SAD2" s="284"/>
      <c r="SAE2" s="284"/>
      <c r="SAF2" s="284"/>
      <c r="SAG2" s="284"/>
      <c r="SAH2" s="284"/>
      <c r="SAI2" s="284"/>
      <c r="SAJ2" s="284"/>
      <c r="SAK2" s="284"/>
      <c r="SAL2" s="284"/>
      <c r="SAM2" s="284"/>
      <c r="SAN2" s="284"/>
      <c r="SAO2" s="284"/>
      <c r="SAP2" s="284"/>
      <c r="SAQ2" s="284"/>
      <c r="SAR2" s="284"/>
      <c r="SAS2" s="284"/>
      <c r="SAT2" s="284"/>
      <c r="SAU2" s="284"/>
      <c r="SAV2" s="284"/>
      <c r="SAW2" s="284"/>
      <c r="SAX2" s="284"/>
      <c r="SAY2" s="284"/>
      <c r="SAZ2" s="284"/>
      <c r="SBA2" s="284"/>
      <c r="SBB2" s="284"/>
      <c r="SBC2" s="284"/>
      <c r="SBD2" s="284"/>
      <c r="SBE2" s="284"/>
      <c r="SBF2" s="284"/>
      <c r="SBG2" s="284"/>
      <c r="SBH2" s="284"/>
      <c r="SBI2" s="284"/>
      <c r="SBJ2" s="284"/>
      <c r="SBK2" s="284"/>
      <c r="SBL2" s="284"/>
      <c r="SBM2" s="284"/>
      <c r="SBN2" s="284"/>
      <c r="SBO2" s="284"/>
      <c r="SBP2" s="284"/>
      <c r="SBQ2" s="284"/>
      <c r="SBR2" s="284"/>
      <c r="SBS2" s="284"/>
      <c r="SBT2" s="284"/>
      <c r="SBU2" s="284"/>
      <c r="SBV2" s="284"/>
      <c r="SBW2" s="284"/>
      <c r="SBX2" s="284"/>
      <c r="SBY2" s="284"/>
      <c r="SBZ2" s="284"/>
      <c r="SCA2" s="284"/>
      <c r="SCB2" s="284"/>
      <c r="SCC2" s="284"/>
      <c r="SCD2" s="284"/>
      <c r="SCE2" s="284"/>
      <c r="SCF2" s="284"/>
      <c r="SCG2" s="284"/>
      <c r="SCH2" s="284"/>
      <c r="SCI2" s="284"/>
      <c r="SCJ2" s="284"/>
      <c r="SCK2" s="284"/>
      <c r="SCL2" s="284"/>
      <c r="SCM2" s="284"/>
      <c r="SCN2" s="284"/>
      <c r="SCO2" s="284"/>
      <c r="SCP2" s="284"/>
      <c r="SCQ2" s="284"/>
      <c r="SCR2" s="284"/>
      <c r="SCS2" s="284"/>
      <c r="SCT2" s="284"/>
      <c r="SCU2" s="284"/>
      <c r="SCV2" s="284"/>
      <c r="SCW2" s="284"/>
      <c r="SCX2" s="284"/>
      <c r="SCY2" s="284"/>
      <c r="SCZ2" s="284"/>
      <c r="SDA2" s="284"/>
      <c r="SDB2" s="284"/>
      <c r="SDC2" s="284"/>
      <c r="SDD2" s="284"/>
      <c r="SDE2" s="284"/>
      <c r="SDF2" s="284"/>
      <c r="SDG2" s="284"/>
      <c r="SDH2" s="284"/>
      <c r="SDI2" s="284"/>
      <c r="SDJ2" s="284"/>
      <c r="SDK2" s="284"/>
      <c r="SDL2" s="284"/>
      <c r="SDM2" s="284"/>
      <c r="SDN2" s="284"/>
      <c r="SDO2" s="284"/>
      <c r="SDP2" s="284"/>
      <c r="SDQ2" s="284"/>
      <c r="SDR2" s="284"/>
      <c r="SDS2" s="284"/>
      <c r="SDT2" s="284"/>
      <c r="SDU2" s="284"/>
      <c r="SDV2" s="284"/>
      <c r="SDW2" s="284"/>
      <c r="SDX2" s="284"/>
      <c r="SDY2" s="284"/>
      <c r="SDZ2" s="284"/>
      <c r="SEA2" s="284"/>
      <c r="SEB2" s="284"/>
      <c r="SEC2" s="284"/>
      <c r="SED2" s="284"/>
      <c r="SEE2" s="284"/>
      <c r="SEF2" s="284"/>
      <c r="SEG2" s="284"/>
      <c r="SEH2" s="284"/>
      <c r="SEI2" s="284"/>
      <c r="SEJ2" s="284"/>
      <c r="SEK2" s="284"/>
      <c r="SEL2" s="284"/>
      <c r="SEM2" s="284"/>
      <c r="SEN2" s="284"/>
      <c r="SEO2" s="284"/>
      <c r="SEP2" s="284"/>
      <c r="SEQ2" s="284"/>
      <c r="SER2" s="284"/>
      <c r="SES2" s="284"/>
      <c r="SET2" s="284"/>
      <c r="SEU2" s="284"/>
      <c r="SEV2" s="284"/>
      <c r="SEW2" s="284"/>
      <c r="SEX2" s="284"/>
      <c r="SEY2" s="284"/>
      <c r="SEZ2" s="284"/>
      <c r="SFA2" s="284"/>
      <c r="SFB2" s="284"/>
      <c r="SFC2" s="284"/>
      <c r="SFD2" s="284"/>
      <c r="SFE2" s="284"/>
      <c r="SFF2" s="284"/>
      <c r="SFG2" s="284"/>
      <c r="SFH2" s="284"/>
      <c r="SFI2" s="284"/>
      <c r="SFJ2" s="284"/>
      <c r="SFK2" s="284"/>
      <c r="SFL2" s="284"/>
      <c r="SFM2" s="284"/>
      <c r="SFN2" s="284"/>
      <c r="SFO2" s="284"/>
      <c r="SFP2" s="284"/>
      <c r="SFQ2" s="284"/>
      <c r="SFR2" s="284"/>
      <c r="SFS2" s="284"/>
      <c r="SFT2" s="284"/>
      <c r="SFU2" s="284"/>
      <c r="SFV2" s="284"/>
      <c r="SFW2" s="284"/>
      <c r="SFX2" s="284"/>
      <c r="SFY2" s="284"/>
      <c r="SFZ2" s="284"/>
      <c r="SGA2" s="284"/>
      <c r="SGB2" s="284"/>
      <c r="SGC2" s="284"/>
      <c r="SGD2" s="284"/>
      <c r="SGE2" s="284"/>
      <c r="SGF2" s="284"/>
      <c r="SGG2" s="284"/>
      <c r="SGH2" s="284"/>
      <c r="SGI2" s="284"/>
      <c r="SGJ2" s="284"/>
      <c r="SGK2" s="284"/>
      <c r="SGL2" s="284"/>
      <c r="SGM2" s="284"/>
      <c r="SGN2" s="284"/>
      <c r="SGO2" s="284"/>
      <c r="SGP2" s="284"/>
      <c r="SGQ2" s="284"/>
      <c r="SGR2" s="284"/>
      <c r="SGS2" s="284"/>
      <c r="SGT2" s="284"/>
      <c r="SGU2" s="284"/>
      <c r="SGV2" s="284"/>
      <c r="SGW2" s="284"/>
      <c r="SGX2" s="284"/>
      <c r="SGY2" s="284"/>
      <c r="SGZ2" s="284"/>
      <c r="SHA2" s="284"/>
      <c r="SHB2" s="284"/>
      <c r="SHC2" s="284"/>
      <c r="SHD2" s="284"/>
      <c r="SHE2" s="284"/>
      <c r="SHF2" s="284"/>
      <c r="SHG2" s="284"/>
      <c r="SHH2" s="284"/>
      <c r="SHI2" s="284"/>
      <c r="SHJ2" s="284"/>
      <c r="SHK2" s="284"/>
      <c r="SHL2" s="284"/>
      <c r="SHM2" s="284"/>
      <c r="SHN2" s="284"/>
      <c r="SHO2" s="284"/>
      <c r="SHP2" s="284"/>
      <c r="SHQ2" s="284"/>
      <c r="SHR2" s="284"/>
      <c r="SHS2" s="284"/>
      <c r="SHT2" s="284"/>
      <c r="SHU2" s="284"/>
      <c r="SHV2" s="284"/>
      <c r="SHW2" s="284"/>
      <c r="SHX2" s="284"/>
      <c r="SHY2" s="284"/>
      <c r="SHZ2" s="284"/>
      <c r="SIA2" s="284"/>
      <c r="SIB2" s="284"/>
      <c r="SIC2" s="284"/>
      <c r="SID2" s="284"/>
      <c r="SIE2" s="284"/>
      <c r="SIF2" s="284"/>
      <c r="SIG2" s="284"/>
      <c r="SIH2" s="284"/>
      <c r="SII2" s="284"/>
      <c r="SIJ2" s="284"/>
      <c r="SIK2" s="284"/>
      <c r="SIL2" s="284"/>
      <c r="SIM2" s="284"/>
      <c r="SIN2" s="284"/>
      <c r="SIO2" s="284"/>
      <c r="SIP2" s="284"/>
      <c r="SIQ2" s="284"/>
      <c r="SIR2" s="284"/>
      <c r="SIS2" s="284"/>
      <c r="SIT2" s="284"/>
      <c r="SIU2" s="284"/>
      <c r="SIV2" s="284"/>
      <c r="SIW2" s="284"/>
      <c r="SIX2" s="284"/>
      <c r="SIY2" s="284"/>
      <c r="SIZ2" s="284"/>
      <c r="SJA2" s="284"/>
      <c r="SJB2" s="284"/>
      <c r="SJC2" s="284"/>
      <c r="SJD2" s="284"/>
      <c r="SJE2" s="284"/>
      <c r="SJF2" s="284"/>
      <c r="SJG2" s="284"/>
      <c r="SJH2" s="284"/>
      <c r="SJI2" s="284"/>
      <c r="SJJ2" s="284"/>
      <c r="SJK2" s="284"/>
      <c r="SJL2" s="284"/>
      <c r="SJM2" s="284"/>
      <c r="SJN2" s="284"/>
      <c r="SJO2" s="284"/>
      <c r="SJP2" s="284"/>
      <c r="SJQ2" s="284"/>
      <c r="SJR2" s="284"/>
      <c r="SJS2" s="284"/>
      <c r="SJT2" s="284"/>
      <c r="SJU2" s="284"/>
      <c r="SJV2" s="284"/>
      <c r="SJW2" s="284"/>
      <c r="SJX2" s="284"/>
      <c r="SJY2" s="284"/>
      <c r="SJZ2" s="284"/>
      <c r="SKA2" s="284"/>
      <c r="SKB2" s="284"/>
      <c r="SKC2" s="284"/>
      <c r="SKD2" s="284"/>
      <c r="SKE2" s="284"/>
      <c r="SKF2" s="284"/>
      <c r="SKG2" s="284"/>
      <c r="SKH2" s="284"/>
      <c r="SKI2" s="284"/>
      <c r="SKJ2" s="284"/>
      <c r="SKK2" s="284"/>
      <c r="SKL2" s="284"/>
      <c r="SKM2" s="284"/>
      <c r="SKN2" s="284"/>
      <c r="SKO2" s="284"/>
      <c r="SKP2" s="284"/>
      <c r="SKQ2" s="284"/>
      <c r="SKR2" s="284"/>
      <c r="SKS2" s="284"/>
      <c r="SKT2" s="284"/>
      <c r="SKU2" s="284"/>
      <c r="SKV2" s="284"/>
      <c r="SKW2" s="284"/>
      <c r="SKX2" s="284"/>
      <c r="SKY2" s="284"/>
      <c r="SKZ2" s="284"/>
      <c r="SLA2" s="284"/>
      <c r="SLB2" s="284"/>
      <c r="SLC2" s="284"/>
      <c r="SLD2" s="284"/>
      <c r="SLE2" s="284"/>
      <c r="SLF2" s="284"/>
      <c r="SLG2" s="284"/>
      <c r="SLH2" s="284"/>
      <c r="SLI2" s="284"/>
      <c r="SLJ2" s="284"/>
      <c r="SLK2" s="284"/>
      <c r="SLL2" s="284"/>
      <c r="SLM2" s="284"/>
      <c r="SLN2" s="284"/>
      <c r="SLO2" s="284"/>
      <c r="SLP2" s="284"/>
      <c r="SLQ2" s="284"/>
      <c r="SLR2" s="284"/>
      <c r="SLS2" s="284"/>
      <c r="SLT2" s="284"/>
      <c r="SLU2" s="284"/>
      <c r="SLV2" s="284"/>
      <c r="SLW2" s="284"/>
      <c r="SLX2" s="284"/>
      <c r="SLY2" s="284"/>
      <c r="SLZ2" s="284"/>
      <c r="SMA2" s="284"/>
      <c r="SMB2" s="284"/>
      <c r="SMC2" s="284"/>
      <c r="SMD2" s="284"/>
      <c r="SME2" s="284"/>
      <c r="SMF2" s="284"/>
      <c r="SMG2" s="284"/>
      <c r="SMH2" s="284"/>
      <c r="SMI2" s="284"/>
      <c r="SMJ2" s="284"/>
      <c r="SMK2" s="284"/>
      <c r="SML2" s="284"/>
      <c r="SMM2" s="284"/>
      <c r="SMN2" s="284"/>
      <c r="SMO2" s="284"/>
      <c r="SMP2" s="284"/>
      <c r="SMQ2" s="284"/>
      <c r="SMR2" s="284"/>
      <c r="SMS2" s="284"/>
      <c r="SMT2" s="284"/>
      <c r="SMU2" s="284"/>
      <c r="SMV2" s="284"/>
      <c r="SMW2" s="284"/>
      <c r="SMX2" s="284"/>
      <c r="SMY2" s="284"/>
      <c r="SMZ2" s="284"/>
      <c r="SNA2" s="284"/>
      <c r="SNB2" s="284"/>
      <c r="SNC2" s="284"/>
      <c r="SND2" s="284"/>
      <c r="SNE2" s="284"/>
      <c r="SNF2" s="284"/>
      <c r="SNG2" s="284"/>
      <c r="SNH2" s="284"/>
      <c r="SNI2" s="284"/>
      <c r="SNJ2" s="284"/>
      <c r="SNK2" s="284"/>
      <c r="SNL2" s="284"/>
      <c r="SNM2" s="284"/>
      <c r="SNN2" s="284"/>
      <c r="SNO2" s="284"/>
      <c r="SNP2" s="284"/>
      <c r="SNQ2" s="284"/>
      <c r="SNR2" s="284"/>
      <c r="SNS2" s="284"/>
      <c r="SNT2" s="284"/>
      <c r="SNU2" s="284"/>
      <c r="SNV2" s="284"/>
      <c r="SNW2" s="284"/>
      <c r="SNX2" s="284"/>
      <c r="SNY2" s="284"/>
      <c r="SNZ2" s="284"/>
      <c r="SOA2" s="284"/>
      <c r="SOB2" s="284"/>
      <c r="SOC2" s="284"/>
      <c r="SOD2" s="284"/>
      <c r="SOE2" s="284"/>
      <c r="SOF2" s="284"/>
      <c r="SOG2" s="284"/>
      <c r="SOH2" s="284"/>
      <c r="SOI2" s="284"/>
      <c r="SOJ2" s="284"/>
      <c r="SOK2" s="284"/>
      <c r="SOL2" s="284"/>
      <c r="SOM2" s="284"/>
      <c r="SON2" s="284"/>
      <c r="SOO2" s="284"/>
      <c r="SOP2" s="284"/>
      <c r="SOQ2" s="284"/>
      <c r="SOR2" s="284"/>
      <c r="SOS2" s="284"/>
      <c r="SOT2" s="284"/>
      <c r="SOU2" s="284"/>
      <c r="SOV2" s="284"/>
      <c r="SOW2" s="284"/>
      <c r="SOX2" s="284"/>
      <c r="SOY2" s="284"/>
      <c r="SOZ2" s="284"/>
      <c r="SPA2" s="284"/>
      <c r="SPB2" s="284"/>
      <c r="SPC2" s="284"/>
      <c r="SPD2" s="284"/>
      <c r="SPE2" s="284"/>
      <c r="SPF2" s="284"/>
      <c r="SPG2" s="284"/>
      <c r="SPH2" s="284"/>
      <c r="SPI2" s="284"/>
      <c r="SPJ2" s="284"/>
      <c r="SPK2" s="284"/>
      <c r="SPL2" s="284"/>
      <c r="SPM2" s="284"/>
      <c r="SPN2" s="284"/>
      <c r="SPO2" s="284"/>
      <c r="SPP2" s="284"/>
      <c r="SPQ2" s="284"/>
      <c r="SPR2" s="284"/>
      <c r="SPS2" s="284"/>
      <c r="SPT2" s="284"/>
      <c r="SPU2" s="284"/>
      <c r="SPV2" s="284"/>
      <c r="SPW2" s="284"/>
      <c r="SPX2" s="284"/>
      <c r="SPY2" s="284"/>
      <c r="SPZ2" s="284"/>
      <c r="SQA2" s="284"/>
      <c r="SQB2" s="284"/>
      <c r="SQC2" s="284"/>
      <c r="SQD2" s="284"/>
      <c r="SQE2" s="284"/>
      <c r="SQF2" s="284"/>
      <c r="SQG2" s="284"/>
      <c r="SQH2" s="284"/>
      <c r="SQI2" s="284"/>
      <c r="SQJ2" s="284"/>
      <c r="SQK2" s="284"/>
      <c r="SQL2" s="284"/>
      <c r="SQM2" s="284"/>
      <c r="SQN2" s="284"/>
      <c r="SQO2" s="284"/>
      <c r="SQP2" s="284"/>
      <c r="SQQ2" s="284"/>
      <c r="SQR2" s="284"/>
      <c r="SQS2" s="284"/>
      <c r="SQT2" s="284"/>
      <c r="SQU2" s="284"/>
      <c r="SQV2" s="284"/>
      <c r="SQW2" s="284"/>
      <c r="SQX2" s="284"/>
      <c r="SQY2" s="284"/>
      <c r="SQZ2" s="284"/>
      <c r="SRA2" s="284"/>
      <c r="SRB2" s="284"/>
      <c r="SRC2" s="284"/>
      <c r="SRD2" s="284"/>
      <c r="SRE2" s="284"/>
      <c r="SRF2" s="284"/>
      <c r="SRG2" s="284"/>
      <c r="SRH2" s="284"/>
      <c r="SRI2" s="284"/>
      <c r="SRJ2" s="284"/>
      <c r="SRK2" s="284"/>
      <c r="SRL2" s="284"/>
      <c r="SRM2" s="284"/>
      <c r="SRN2" s="284"/>
      <c r="SRO2" s="284"/>
      <c r="SRP2" s="284"/>
      <c r="SRQ2" s="284"/>
      <c r="SRR2" s="284"/>
      <c r="SRS2" s="284"/>
      <c r="SRT2" s="284"/>
      <c r="SRU2" s="284"/>
      <c r="SRV2" s="284"/>
      <c r="SRW2" s="284"/>
      <c r="SRX2" s="284"/>
      <c r="SRY2" s="284"/>
      <c r="SRZ2" s="284"/>
      <c r="SSA2" s="284"/>
      <c r="SSB2" s="284"/>
      <c r="SSC2" s="284"/>
      <c r="SSD2" s="284"/>
      <c r="SSE2" s="284"/>
      <c r="SSF2" s="284"/>
      <c r="SSG2" s="284"/>
      <c r="SSH2" s="284"/>
      <c r="SSI2" s="284"/>
      <c r="SSJ2" s="284"/>
      <c r="SSK2" s="284"/>
      <c r="SSL2" s="284"/>
      <c r="SSM2" s="284"/>
      <c r="SSN2" s="284"/>
      <c r="SSO2" s="284"/>
      <c r="SSP2" s="284"/>
      <c r="SSQ2" s="284"/>
      <c r="SSR2" s="284"/>
      <c r="SSS2" s="284"/>
      <c r="SST2" s="284"/>
      <c r="SSU2" s="284"/>
      <c r="SSV2" s="284"/>
      <c r="SSW2" s="284"/>
      <c r="SSX2" s="284"/>
      <c r="SSY2" s="284"/>
      <c r="SSZ2" s="284"/>
      <c r="STA2" s="284"/>
      <c r="STB2" s="284"/>
      <c r="STC2" s="284"/>
      <c r="STD2" s="284"/>
      <c r="STE2" s="284"/>
      <c r="STF2" s="284"/>
      <c r="STG2" s="284"/>
      <c r="STH2" s="284"/>
      <c r="STI2" s="284"/>
      <c r="STJ2" s="284"/>
      <c r="STK2" s="284"/>
      <c r="STL2" s="284"/>
      <c r="STM2" s="284"/>
      <c r="STN2" s="284"/>
      <c r="STO2" s="284"/>
      <c r="STP2" s="284"/>
      <c r="STQ2" s="284"/>
      <c r="STR2" s="284"/>
      <c r="STS2" s="284"/>
      <c r="STT2" s="284"/>
      <c r="STU2" s="284"/>
      <c r="STV2" s="284"/>
      <c r="STW2" s="284"/>
      <c r="STX2" s="284"/>
      <c r="STY2" s="284"/>
      <c r="STZ2" s="284"/>
      <c r="SUA2" s="284"/>
      <c r="SUB2" s="284"/>
      <c r="SUC2" s="284"/>
      <c r="SUD2" s="284"/>
      <c r="SUE2" s="284"/>
      <c r="SUF2" s="284"/>
      <c r="SUG2" s="284"/>
      <c r="SUH2" s="284"/>
      <c r="SUI2" s="284"/>
      <c r="SUJ2" s="284"/>
      <c r="SUK2" s="284"/>
      <c r="SUL2" s="284"/>
      <c r="SUM2" s="284"/>
      <c r="SUN2" s="284"/>
      <c r="SUO2" s="284"/>
      <c r="SUP2" s="284"/>
      <c r="SUQ2" s="284"/>
      <c r="SUR2" s="284"/>
      <c r="SUS2" s="284"/>
      <c r="SUT2" s="284"/>
      <c r="SUU2" s="284"/>
      <c r="SUV2" s="284"/>
      <c r="SUW2" s="284"/>
      <c r="SUX2" s="284"/>
      <c r="SUY2" s="284"/>
      <c r="SUZ2" s="284"/>
      <c r="SVA2" s="284"/>
      <c r="SVB2" s="284"/>
      <c r="SVC2" s="284"/>
      <c r="SVD2" s="284"/>
      <c r="SVE2" s="284"/>
      <c r="SVF2" s="284"/>
      <c r="SVG2" s="284"/>
      <c r="SVH2" s="284"/>
      <c r="SVI2" s="284"/>
      <c r="SVJ2" s="284"/>
      <c r="SVK2" s="284"/>
      <c r="SVL2" s="284"/>
      <c r="SVM2" s="284"/>
      <c r="SVN2" s="284"/>
      <c r="SVO2" s="284"/>
      <c r="SVP2" s="284"/>
      <c r="SVQ2" s="284"/>
      <c r="SVR2" s="284"/>
      <c r="SVS2" s="284"/>
      <c r="SVT2" s="284"/>
      <c r="SVU2" s="284"/>
      <c r="SVV2" s="284"/>
      <c r="SVW2" s="284"/>
      <c r="SVX2" s="284"/>
      <c r="SVY2" s="284"/>
      <c r="SVZ2" s="284"/>
      <c r="SWA2" s="284"/>
      <c r="SWB2" s="284"/>
      <c r="SWC2" s="284"/>
      <c r="SWD2" s="284"/>
      <c r="SWE2" s="284"/>
      <c r="SWF2" s="284"/>
      <c r="SWG2" s="284"/>
      <c r="SWH2" s="284"/>
      <c r="SWI2" s="284"/>
      <c r="SWJ2" s="284"/>
      <c r="SWK2" s="284"/>
      <c r="SWL2" s="284"/>
      <c r="SWM2" s="284"/>
      <c r="SWN2" s="284"/>
      <c r="SWO2" s="284"/>
      <c r="SWP2" s="284"/>
      <c r="SWQ2" s="284"/>
      <c r="SWR2" s="284"/>
      <c r="SWS2" s="284"/>
      <c r="SWT2" s="284"/>
      <c r="SWU2" s="284"/>
      <c r="SWV2" s="284"/>
      <c r="SWW2" s="284"/>
      <c r="SWX2" s="284"/>
      <c r="SWY2" s="284"/>
      <c r="SWZ2" s="284"/>
      <c r="SXA2" s="284"/>
      <c r="SXB2" s="284"/>
      <c r="SXC2" s="284"/>
      <c r="SXD2" s="284"/>
      <c r="SXE2" s="284"/>
      <c r="SXF2" s="284"/>
      <c r="SXG2" s="284"/>
      <c r="SXH2" s="284"/>
      <c r="SXI2" s="284"/>
      <c r="SXJ2" s="284"/>
      <c r="SXK2" s="284"/>
      <c r="SXL2" s="284"/>
      <c r="SXM2" s="284"/>
      <c r="SXN2" s="284"/>
      <c r="SXO2" s="284"/>
      <c r="SXP2" s="284"/>
      <c r="SXQ2" s="284"/>
      <c r="SXR2" s="284"/>
      <c r="SXS2" s="284"/>
      <c r="SXT2" s="284"/>
      <c r="SXU2" s="284"/>
      <c r="SXV2" s="284"/>
      <c r="SXW2" s="284"/>
      <c r="SXX2" s="284"/>
      <c r="SXY2" s="284"/>
      <c r="SXZ2" s="284"/>
      <c r="SYA2" s="284"/>
      <c r="SYB2" s="284"/>
      <c r="SYC2" s="284"/>
      <c r="SYD2" s="284"/>
      <c r="SYE2" s="284"/>
      <c r="SYF2" s="284"/>
      <c r="SYG2" s="284"/>
      <c r="SYH2" s="284"/>
      <c r="SYI2" s="284"/>
      <c r="SYJ2" s="284"/>
      <c r="SYK2" s="284"/>
      <c r="SYL2" s="284"/>
      <c r="SYM2" s="284"/>
      <c r="SYN2" s="284"/>
      <c r="SYO2" s="284"/>
      <c r="SYP2" s="284"/>
      <c r="SYQ2" s="284"/>
      <c r="SYR2" s="284"/>
      <c r="SYS2" s="284"/>
      <c r="SYT2" s="284"/>
      <c r="SYU2" s="284"/>
      <c r="SYV2" s="284"/>
      <c r="SYW2" s="284"/>
      <c r="SYX2" s="284"/>
      <c r="SYY2" s="284"/>
      <c r="SYZ2" s="284"/>
      <c r="SZA2" s="284"/>
      <c r="SZB2" s="284"/>
      <c r="SZC2" s="284"/>
      <c r="SZD2" s="284"/>
      <c r="SZE2" s="284"/>
      <c r="SZF2" s="284"/>
      <c r="SZG2" s="284"/>
      <c r="SZH2" s="284"/>
      <c r="SZI2" s="284"/>
      <c r="SZJ2" s="284"/>
      <c r="SZK2" s="284"/>
      <c r="SZL2" s="284"/>
      <c r="SZM2" s="284"/>
      <c r="SZN2" s="284"/>
      <c r="SZO2" s="284"/>
      <c r="SZP2" s="284"/>
      <c r="SZQ2" s="284"/>
      <c r="SZR2" s="284"/>
      <c r="SZS2" s="284"/>
      <c r="SZT2" s="284"/>
      <c r="SZU2" s="284"/>
      <c r="SZV2" s="284"/>
      <c r="SZW2" s="284"/>
      <c r="SZX2" s="284"/>
      <c r="SZY2" s="284"/>
      <c r="SZZ2" s="284"/>
      <c r="TAA2" s="284"/>
      <c r="TAB2" s="284"/>
      <c r="TAC2" s="284"/>
      <c r="TAD2" s="284"/>
      <c r="TAE2" s="284"/>
      <c r="TAF2" s="284"/>
      <c r="TAG2" s="284"/>
      <c r="TAH2" s="284"/>
      <c r="TAI2" s="284"/>
      <c r="TAJ2" s="284"/>
      <c r="TAK2" s="284"/>
      <c r="TAL2" s="284"/>
      <c r="TAM2" s="284"/>
      <c r="TAN2" s="284"/>
      <c r="TAO2" s="284"/>
      <c r="TAP2" s="284"/>
      <c r="TAQ2" s="284"/>
      <c r="TAR2" s="284"/>
      <c r="TAS2" s="284"/>
      <c r="TAT2" s="284"/>
      <c r="TAU2" s="284"/>
      <c r="TAV2" s="284"/>
      <c r="TAW2" s="284"/>
      <c r="TAX2" s="284"/>
      <c r="TAY2" s="284"/>
      <c r="TAZ2" s="284"/>
      <c r="TBA2" s="284"/>
      <c r="TBB2" s="284"/>
      <c r="TBC2" s="284"/>
      <c r="TBD2" s="284"/>
      <c r="TBE2" s="284"/>
      <c r="TBF2" s="284"/>
      <c r="TBG2" s="284"/>
      <c r="TBH2" s="284"/>
      <c r="TBI2" s="284"/>
      <c r="TBJ2" s="284"/>
      <c r="TBK2" s="284"/>
      <c r="TBL2" s="284"/>
      <c r="TBM2" s="284"/>
      <c r="TBN2" s="284"/>
      <c r="TBO2" s="284"/>
      <c r="TBP2" s="284"/>
      <c r="TBQ2" s="284"/>
      <c r="TBR2" s="284"/>
      <c r="TBS2" s="284"/>
      <c r="TBT2" s="284"/>
      <c r="TBU2" s="284"/>
      <c r="TBV2" s="284"/>
      <c r="TBW2" s="284"/>
      <c r="TBX2" s="284"/>
      <c r="TBY2" s="284"/>
      <c r="TBZ2" s="284"/>
      <c r="TCA2" s="284"/>
      <c r="TCB2" s="284"/>
      <c r="TCC2" s="284"/>
      <c r="TCD2" s="284"/>
      <c r="TCE2" s="284"/>
      <c r="TCF2" s="284"/>
      <c r="TCG2" s="284"/>
      <c r="TCH2" s="284"/>
      <c r="TCI2" s="284"/>
      <c r="TCJ2" s="284"/>
      <c r="TCK2" s="284"/>
      <c r="TCL2" s="284"/>
      <c r="TCM2" s="284"/>
      <c r="TCN2" s="284"/>
      <c r="TCO2" s="284"/>
      <c r="TCP2" s="284"/>
      <c r="TCQ2" s="284"/>
      <c r="TCR2" s="284"/>
      <c r="TCS2" s="284"/>
      <c r="TCT2" s="284"/>
      <c r="TCU2" s="284"/>
      <c r="TCV2" s="284"/>
      <c r="TCW2" s="284"/>
      <c r="TCX2" s="284"/>
      <c r="TCY2" s="284"/>
      <c r="TCZ2" s="284"/>
      <c r="TDA2" s="284"/>
      <c r="TDB2" s="284"/>
      <c r="TDC2" s="284"/>
      <c r="TDD2" s="284"/>
      <c r="TDE2" s="284"/>
      <c r="TDF2" s="284"/>
      <c r="TDG2" s="284"/>
      <c r="TDH2" s="284"/>
      <c r="TDI2" s="284"/>
      <c r="TDJ2" s="284"/>
      <c r="TDK2" s="284"/>
      <c r="TDL2" s="284"/>
      <c r="TDM2" s="284"/>
      <c r="TDN2" s="284"/>
      <c r="TDO2" s="284"/>
      <c r="TDP2" s="284"/>
      <c r="TDQ2" s="284"/>
      <c r="TDR2" s="284"/>
      <c r="TDS2" s="284"/>
      <c r="TDT2" s="284"/>
      <c r="TDU2" s="284"/>
      <c r="TDV2" s="284"/>
      <c r="TDW2" s="284"/>
      <c r="TDX2" s="284"/>
      <c r="TDY2" s="284"/>
      <c r="TDZ2" s="284"/>
      <c r="TEA2" s="284"/>
      <c r="TEB2" s="284"/>
      <c r="TEC2" s="284"/>
      <c r="TED2" s="284"/>
      <c r="TEE2" s="284"/>
      <c r="TEF2" s="284"/>
      <c r="TEG2" s="284"/>
      <c r="TEH2" s="284"/>
      <c r="TEI2" s="284"/>
      <c r="TEJ2" s="284"/>
      <c r="TEK2" s="284"/>
      <c r="TEL2" s="284"/>
      <c r="TEM2" s="284"/>
      <c r="TEN2" s="284"/>
      <c r="TEO2" s="284"/>
      <c r="TEP2" s="284"/>
      <c r="TEQ2" s="284"/>
      <c r="TER2" s="284"/>
      <c r="TES2" s="284"/>
      <c r="TET2" s="284"/>
      <c r="TEU2" s="284"/>
      <c r="TEV2" s="284"/>
      <c r="TEW2" s="284"/>
      <c r="TEX2" s="284"/>
      <c r="TEY2" s="284"/>
      <c r="TEZ2" s="284"/>
      <c r="TFA2" s="284"/>
      <c r="TFB2" s="284"/>
      <c r="TFC2" s="284"/>
      <c r="TFD2" s="284"/>
      <c r="TFE2" s="284"/>
      <c r="TFF2" s="284"/>
      <c r="TFG2" s="284"/>
      <c r="TFH2" s="284"/>
      <c r="TFI2" s="284"/>
      <c r="TFJ2" s="284"/>
      <c r="TFK2" s="284"/>
      <c r="TFL2" s="284"/>
      <c r="TFM2" s="284"/>
      <c r="TFN2" s="284"/>
      <c r="TFO2" s="284"/>
      <c r="TFP2" s="284"/>
      <c r="TFQ2" s="284"/>
      <c r="TFR2" s="284"/>
      <c r="TFS2" s="284"/>
      <c r="TFT2" s="284"/>
      <c r="TFU2" s="284"/>
      <c r="TFV2" s="284"/>
      <c r="TFW2" s="284"/>
      <c r="TFX2" s="284"/>
      <c r="TFY2" s="284"/>
      <c r="TFZ2" s="284"/>
      <c r="TGA2" s="284"/>
      <c r="TGB2" s="284"/>
      <c r="TGC2" s="284"/>
      <c r="TGD2" s="284"/>
      <c r="TGE2" s="284"/>
      <c r="TGF2" s="284"/>
      <c r="TGG2" s="284"/>
      <c r="TGH2" s="284"/>
      <c r="TGI2" s="284"/>
      <c r="TGJ2" s="284"/>
      <c r="TGK2" s="284"/>
      <c r="TGL2" s="284"/>
      <c r="TGM2" s="284"/>
      <c r="TGN2" s="284"/>
      <c r="TGO2" s="284"/>
      <c r="TGP2" s="284"/>
      <c r="TGQ2" s="284"/>
      <c r="TGR2" s="284"/>
      <c r="TGS2" s="284"/>
      <c r="TGT2" s="284"/>
      <c r="TGU2" s="284"/>
      <c r="TGV2" s="284"/>
      <c r="TGW2" s="284"/>
      <c r="TGX2" s="284"/>
      <c r="TGY2" s="284"/>
      <c r="TGZ2" s="284"/>
      <c r="THA2" s="284"/>
      <c r="THB2" s="284"/>
      <c r="THC2" s="284"/>
      <c r="THD2" s="284"/>
      <c r="THE2" s="284"/>
      <c r="THF2" s="284"/>
      <c r="THG2" s="284"/>
      <c r="THH2" s="284"/>
      <c r="THI2" s="284"/>
      <c r="THJ2" s="284"/>
      <c r="THK2" s="284"/>
      <c r="THL2" s="284"/>
      <c r="THM2" s="284"/>
      <c r="THN2" s="284"/>
      <c r="THO2" s="284"/>
      <c r="THP2" s="284"/>
      <c r="THQ2" s="284"/>
      <c r="THR2" s="284"/>
      <c r="THS2" s="284"/>
      <c r="THT2" s="284"/>
      <c r="THU2" s="284"/>
      <c r="THV2" s="284"/>
      <c r="THW2" s="284"/>
      <c r="THX2" s="284"/>
      <c r="THY2" s="284"/>
      <c r="THZ2" s="284"/>
      <c r="TIA2" s="284"/>
      <c r="TIB2" s="284"/>
      <c r="TIC2" s="284"/>
      <c r="TID2" s="284"/>
      <c r="TIE2" s="284"/>
      <c r="TIF2" s="284"/>
      <c r="TIG2" s="284"/>
      <c r="TIH2" s="284"/>
      <c r="TII2" s="284"/>
      <c r="TIJ2" s="284"/>
      <c r="TIK2" s="284"/>
      <c r="TIL2" s="284"/>
      <c r="TIM2" s="284"/>
      <c r="TIN2" s="284"/>
      <c r="TIO2" s="284"/>
      <c r="TIP2" s="284"/>
      <c r="TIQ2" s="284"/>
      <c r="TIR2" s="284"/>
      <c r="TIS2" s="284"/>
      <c r="TIT2" s="284"/>
      <c r="TIU2" s="284"/>
      <c r="TIV2" s="284"/>
      <c r="TIW2" s="284"/>
      <c r="TIX2" s="284"/>
      <c r="TIY2" s="284"/>
      <c r="TIZ2" s="284"/>
      <c r="TJA2" s="284"/>
      <c r="TJB2" s="284"/>
      <c r="TJC2" s="284"/>
      <c r="TJD2" s="284"/>
      <c r="TJE2" s="284"/>
      <c r="TJF2" s="284"/>
      <c r="TJG2" s="284"/>
      <c r="TJH2" s="284"/>
      <c r="TJI2" s="284"/>
      <c r="TJJ2" s="284"/>
      <c r="TJK2" s="284"/>
      <c r="TJL2" s="284"/>
      <c r="TJM2" s="284"/>
      <c r="TJN2" s="284"/>
      <c r="TJO2" s="284"/>
      <c r="TJP2" s="284"/>
      <c r="TJQ2" s="284"/>
      <c r="TJR2" s="284"/>
      <c r="TJS2" s="284"/>
      <c r="TJT2" s="284"/>
      <c r="TJU2" s="284"/>
      <c r="TJV2" s="284"/>
      <c r="TJW2" s="284"/>
      <c r="TJX2" s="284"/>
      <c r="TJY2" s="284"/>
      <c r="TJZ2" s="284"/>
      <c r="TKA2" s="284"/>
      <c r="TKB2" s="284"/>
      <c r="TKC2" s="284"/>
      <c r="TKD2" s="284"/>
      <c r="TKE2" s="284"/>
      <c r="TKF2" s="284"/>
      <c r="TKG2" s="284"/>
      <c r="TKH2" s="284"/>
      <c r="TKI2" s="284"/>
      <c r="TKJ2" s="284"/>
      <c r="TKK2" s="284"/>
      <c r="TKL2" s="284"/>
      <c r="TKM2" s="284"/>
      <c r="TKN2" s="284"/>
      <c r="TKO2" s="284"/>
      <c r="TKP2" s="284"/>
      <c r="TKQ2" s="284"/>
      <c r="TKR2" s="284"/>
      <c r="TKS2" s="284"/>
      <c r="TKT2" s="284"/>
      <c r="TKU2" s="284"/>
      <c r="TKV2" s="284"/>
      <c r="TKW2" s="284"/>
      <c r="TKX2" s="284"/>
      <c r="TKY2" s="284"/>
      <c r="TKZ2" s="284"/>
      <c r="TLA2" s="284"/>
      <c r="TLB2" s="284"/>
      <c r="TLC2" s="284"/>
      <c r="TLD2" s="284"/>
      <c r="TLE2" s="284"/>
      <c r="TLF2" s="284"/>
      <c r="TLG2" s="284"/>
      <c r="TLH2" s="284"/>
      <c r="TLI2" s="284"/>
      <c r="TLJ2" s="284"/>
      <c r="TLK2" s="284"/>
      <c r="TLL2" s="284"/>
      <c r="TLM2" s="284"/>
      <c r="TLN2" s="284"/>
      <c r="TLO2" s="284"/>
      <c r="TLP2" s="284"/>
      <c r="TLQ2" s="284"/>
      <c r="TLR2" s="284"/>
      <c r="TLS2" s="284"/>
      <c r="TLT2" s="284"/>
      <c r="TLU2" s="284"/>
      <c r="TLV2" s="284"/>
      <c r="TLW2" s="284"/>
      <c r="TLX2" s="284"/>
      <c r="TLY2" s="284"/>
      <c r="TLZ2" s="284"/>
      <c r="TMA2" s="284"/>
      <c r="TMB2" s="284"/>
      <c r="TMC2" s="284"/>
      <c r="TMD2" s="284"/>
      <c r="TME2" s="284"/>
      <c r="TMF2" s="284"/>
      <c r="TMG2" s="284"/>
      <c r="TMH2" s="284"/>
      <c r="TMI2" s="284"/>
      <c r="TMJ2" s="284"/>
      <c r="TMK2" s="284"/>
      <c r="TML2" s="284"/>
      <c r="TMM2" s="284"/>
      <c r="TMN2" s="284"/>
      <c r="TMO2" s="284"/>
      <c r="TMP2" s="284"/>
      <c r="TMQ2" s="284"/>
      <c r="TMR2" s="284"/>
      <c r="TMS2" s="284"/>
      <c r="TMT2" s="284"/>
      <c r="TMU2" s="284"/>
      <c r="TMV2" s="284"/>
      <c r="TMW2" s="284"/>
      <c r="TMX2" s="284"/>
      <c r="TMY2" s="284"/>
      <c r="TMZ2" s="284"/>
      <c r="TNA2" s="284"/>
      <c r="TNB2" s="284"/>
      <c r="TNC2" s="284"/>
      <c r="TND2" s="284"/>
      <c r="TNE2" s="284"/>
      <c r="TNF2" s="284"/>
      <c r="TNG2" s="284"/>
      <c r="TNH2" s="284"/>
      <c r="TNI2" s="284"/>
      <c r="TNJ2" s="284"/>
      <c r="TNK2" s="284"/>
      <c r="TNL2" s="284"/>
      <c r="TNM2" s="284"/>
      <c r="TNN2" s="284"/>
      <c r="TNO2" s="284"/>
      <c r="TNP2" s="284"/>
      <c r="TNQ2" s="284"/>
      <c r="TNR2" s="284"/>
      <c r="TNS2" s="284"/>
      <c r="TNT2" s="284"/>
      <c r="TNU2" s="284"/>
      <c r="TNV2" s="284"/>
      <c r="TNW2" s="284"/>
      <c r="TNX2" s="284"/>
      <c r="TNY2" s="284"/>
      <c r="TNZ2" s="284"/>
      <c r="TOA2" s="284"/>
      <c r="TOB2" s="284"/>
      <c r="TOC2" s="284"/>
      <c r="TOD2" s="284"/>
      <c r="TOE2" s="284"/>
      <c r="TOF2" s="284"/>
      <c r="TOG2" s="284"/>
      <c r="TOH2" s="284"/>
      <c r="TOI2" s="284"/>
      <c r="TOJ2" s="284"/>
      <c r="TOK2" s="284"/>
      <c r="TOL2" s="284"/>
      <c r="TOM2" s="284"/>
      <c r="TON2" s="284"/>
      <c r="TOO2" s="284"/>
      <c r="TOP2" s="284"/>
      <c r="TOQ2" s="284"/>
      <c r="TOR2" s="284"/>
      <c r="TOS2" s="284"/>
      <c r="TOT2" s="284"/>
      <c r="TOU2" s="284"/>
      <c r="TOV2" s="284"/>
      <c r="TOW2" s="284"/>
      <c r="TOX2" s="284"/>
      <c r="TOY2" s="284"/>
      <c r="TOZ2" s="284"/>
      <c r="TPA2" s="284"/>
      <c r="TPB2" s="284"/>
      <c r="TPC2" s="284"/>
      <c r="TPD2" s="284"/>
      <c r="TPE2" s="284"/>
      <c r="TPF2" s="284"/>
      <c r="TPG2" s="284"/>
      <c r="TPH2" s="284"/>
      <c r="TPI2" s="284"/>
      <c r="TPJ2" s="284"/>
      <c r="TPK2" s="284"/>
      <c r="TPL2" s="284"/>
      <c r="TPM2" s="284"/>
      <c r="TPN2" s="284"/>
      <c r="TPO2" s="284"/>
      <c r="TPP2" s="284"/>
      <c r="TPQ2" s="284"/>
      <c r="TPR2" s="284"/>
      <c r="TPS2" s="284"/>
      <c r="TPT2" s="284"/>
      <c r="TPU2" s="284"/>
      <c r="TPV2" s="284"/>
      <c r="TPW2" s="284"/>
      <c r="TPX2" s="284"/>
      <c r="TPY2" s="284"/>
      <c r="TPZ2" s="284"/>
      <c r="TQA2" s="284"/>
      <c r="TQB2" s="284"/>
      <c r="TQC2" s="284"/>
      <c r="TQD2" s="284"/>
      <c r="TQE2" s="284"/>
      <c r="TQF2" s="284"/>
      <c r="TQG2" s="284"/>
      <c r="TQH2" s="284"/>
      <c r="TQI2" s="284"/>
      <c r="TQJ2" s="284"/>
      <c r="TQK2" s="284"/>
      <c r="TQL2" s="284"/>
      <c r="TQM2" s="284"/>
      <c r="TQN2" s="284"/>
      <c r="TQO2" s="284"/>
      <c r="TQP2" s="284"/>
      <c r="TQQ2" s="284"/>
      <c r="TQR2" s="284"/>
      <c r="TQS2" s="284"/>
      <c r="TQT2" s="284"/>
      <c r="TQU2" s="284"/>
      <c r="TQV2" s="284"/>
      <c r="TQW2" s="284"/>
      <c r="TQX2" s="284"/>
      <c r="TQY2" s="284"/>
      <c r="TQZ2" s="284"/>
      <c r="TRA2" s="284"/>
      <c r="TRB2" s="284"/>
      <c r="TRC2" s="284"/>
      <c r="TRD2" s="284"/>
      <c r="TRE2" s="284"/>
      <c r="TRF2" s="284"/>
      <c r="TRG2" s="284"/>
      <c r="TRH2" s="284"/>
      <c r="TRI2" s="284"/>
      <c r="TRJ2" s="284"/>
      <c r="TRK2" s="284"/>
      <c r="TRL2" s="284"/>
      <c r="TRM2" s="284"/>
      <c r="TRN2" s="284"/>
      <c r="TRO2" s="284"/>
      <c r="TRP2" s="284"/>
      <c r="TRQ2" s="284"/>
      <c r="TRR2" s="284"/>
      <c r="TRS2" s="284"/>
      <c r="TRT2" s="284"/>
      <c r="TRU2" s="284"/>
      <c r="TRV2" s="284"/>
      <c r="TRW2" s="284"/>
      <c r="TRX2" s="284"/>
      <c r="TRY2" s="284"/>
      <c r="TRZ2" s="284"/>
      <c r="TSA2" s="284"/>
      <c r="TSB2" s="284"/>
      <c r="TSC2" s="284"/>
      <c r="TSD2" s="284"/>
      <c r="TSE2" s="284"/>
      <c r="TSF2" s="284"/>
      <c r="TSG2" s="284"/>
      <c r="TSH2" s="284"/>
      <c r="TSI2" s="284"/>
      <c r="TSJ2" s="284"/>
      <c r="TSK2" s="284"/>
      <c r="TSL2" s="284"/>
      <c r="TSM2" s="284"/>
      <c r="TSN2" s="284"/>
      <c r="TSO2" s="284"/>
      <c r="TSP2" s="284"/>
      <c r="TSQ2" s="284"/>
      <c r="TSR2" s="284"/>
      <c r="TSS2" s="284"/>
      <c r="TST2" s="284"/>
      <c r="TSU2" s="284"/>
      <c r="TSV2" s="284"/>
      <c r="TSW2" s="284"/>
      <c r="TSX2" s="284"/>
      <c r="TSY2" s="284"/>
      <c r="TSZ2" s="284"/>
      <c r="TTA2" s="284"/>
      <c r="TTB2" s="284"/>
      <c r="TTC2" s="284"/>
      <c r="TTD2" s="284"/>
      <c r="TTE2" s="284"/>
      <c r="TTF2" s="284"/>
      <c r="TTG2" s="284"/>
      <c r="TTH2" s="284"/>
      <c r="TTI2" s="284"/>
      <c r="TTJ2" s="284"/>
      <c r="TTK2" s="284"/>
      <c r="TTL2" s="284"/>
      <c r="TTM2" s="284"/>
      <c r="TTN2" s="284"/>
      <c r="TTO2" s="284"/>
      <c r="TTP2" s="284"/>
      <c r="TTQ2" s="284"/>
      <c r="TTR2" s="284"/>
      <c r="TTS2" s="284"/>
      <c r="TTT2" s="284"/>
      <c r="TTU2" s="284"/>
      <c r="TTV2" s="284"/>
      <c r="TTW2" s="284"/>
      <c r="TTX2" s="284"/>
      <c r="TTY2" s="284"/>
      <c r="TTZ2" s="284"/>
      <c r="TUA2" s="284"/>
      <c r="TUB2" s="284"/>
      <c r="TUC2" s="284"/>
      <c r="TUD2" s="284"/>
      <c r="TUE2" s="284"/>
      <c r="TUF2" s="284"/>
      <c r="TUG2" s="284"/>
      <c r="TUH2" s="284"/>
      <c r="TUI2" s="284"/>
      <c r="TUJ2" s="284"/>
      <c r="TUK2" s="284"/>
      <c r="TUL2" s="284"/>
      <c r="TUM2" s="284"/>
      <c r="TUN2" s="284"/>
      <c r="TUO2" s="284"/>
      <c r="TUP2" s="284"/>
      <c r="TUQ2" s="284"/>
      <c r="TUR2" s="284"/>
      <c r="TUS2" s="284"/>
      <c r="TUT2" s="284"/>
      <c r="TUU2" s="284"/>
      <c r="TUV2" s="284"/>
      <c r="TUW2" s="284"/>
      <c r="TUX2" s="284"/>
      <c r="TUY2" s="284"/>
      <c r="TUZ2" s="284"/>
      <c r="TVA2" s="284"/>
      <c r="TVB2" s="284"/>
      <c r="TVC2" s="284"/>
      <c r="TVD2" s="284"/>
      <c r="TVE2" s="284"/>
      <c r="TVF2" s="284"/>
      <c r="TVG2" s="284"/>
      <c r="TVH2" s="284"/>
      <c r="TVI2" s="284"/>
      <c r="TVJ2" s="284"/>
      <c r="TVK2" s="284"/>
      <c r="TVL2" s="284"/>
      <c r="TVM2" s="284"/>
      <c r="TVN2" s="284"/>
      <c r="TVO2" s="284"/>
      <c r="TVP2" s="284"/>
      <c r="TVQ2" s="284"/>
      <c r="TVR2" s="284"/>
      <c r="TVS2" s="284"/>
      <c r="TVT2" s="284"/>
      <c r="TVU2" s="284"/>
      <c r="TVV2" s="284"/>
      <c r="TVW2" s="284"/>
      <c r="TVX2" s="284"/>
      <c r="TVY2" s="284"/>
      <c r="TVZ2" s="284"/>
      <c r="TWA2" s="284"/>
      <c r="TWB2" s="284"/>
      <c r="TWC2" s="284"/>
      <c r="TWD2" s="284"/>
      <c r="TWE2" s="284"/>
      <c r="TWF2" s="284"/>
      <c r="TWG2" s="284"/>
      <c r="TWH2" s="284"/>
      <c r="TWI2" s="284"/>
      <c r="TWJ2" s="284"/>
      <c r="TWK2" s="284"/>
      <c r="TWL2" s="284"/>
      <c r="TWM2" s="284"/>
      <c r="TWN2" s="284"/>
      <c r="TWO2" s="284"/>
      <c r="TWP2" s="284"/>
      <c r="TWQ2" s="284"/>
      <c r="TWR2" s="284"/>
      <c r="TWS2" s="284"/>
      <c r="TWT2" s="284"/>
      <c r="TWU2" s="284"/>
      <c r="TWV2" s="284"/>
      <c r="TWW2" s="284"/>
      <c r="TWX2" s="284"/>
      <c r="TWY2" s="284"/>
      <c r="TWZ2" s="284"/>
      <c r="TXA2" s="284"/>
      <c r="TXB2" s="284"/>
      <c r="TXC2" s="284"/>
      <c r="TXD2" s="284"/>
      <c r="TXE2" s="284"/>
      <c r="TXF2" s="284"/>
      <c r="TXG2" s="284"/>
      <c r="TXH2" s="284"/>
      <c r="TXI2" s="284"/>
      <c r="TXJ2" s="284"/>
      <c r="TXK2" s="284"/>
      <c r="TXL2" s="284"/>
      <c r="TXM2" s="284"/>
      <c r="TXN2" s="284"/>
      <c r="TXO2" s="284"/>
      <c r="TXP2" s="284"/>
      <c r="TXQ2" s="284"/>
      <c r="TXR2" s="284"/>
      <c r="TXS2" s="284"/>
      <c r="TXT2" s="284"/>
      <c r="TXU2" s="284"/>
      <c r="TXV2" s="284"/>
      <c r="TXW2" s="284"/>
      <c r="TXX2" s="284"/>
      <c r="TXY2" s="284"/>
      <c r="TXZ2" s="284"/>
      <c r="TYA2" s="284"/>
      <c r="TYB2" s="284"/>
      <c r="TYC2" s="284"/>
      <c r="TYD2" s="284"/>
      <c r="TYE2" s="284"/>
      <c r="TYF2" s="284"/>
      <c r="TYG2" s="284"/>
      <c r="TYH2" s="284"/>
      <c r="TYI2" s="284"/>
      <c r="TYJ2" s="284"/>
      <c r="TYK2" s="284"/>
      <c r="TYL2" s="284"/>
      <c r="TYM2" s="284"/>
      <c r="TYN2" s="284"/>
      <c r="TYO2" s="284"/>
      <c r="TYP2" s="284"/>
      <c r="TYQ2" s="284"/>
      <c r="TYR2" s="284"/>
      <c r="TYS2" s="284"/>
      <c r="TYT2" s="284"/>
      <c r="TYU2" s="284"/>
      <c r="TYV2" s="284"/>
      <c r="TYW2" s="284"/>
      <c r="TYX2" s="284"/>
      <c r="TYY2" s="284"/>
      <c r="TYZ2" s="284"/>
      <c r="TZA2" s="284"/>
      <c r="TZB2" s="284"/>
      <c r="TZC2" s="284"/>
      <c r="TZD2" s="284"/>
      <c r="TZE2" s="284"/>
      <c r="TZF2" s="284"/>
      <c r="TZG2" s="284"/>
      <c r="TZH2" s="284"/>
      <c r="TZI2" s="284"/>
      <c r="TZJ2" s="284"/>
      <c r="TZK2" s="284"/>
      <c r="TZL2" s="284"/>
      <c r="TZM2" s="284"/>
      <c r="TZN2" s="284"/>
      <c r="TZO2" s="284"/>
      <c r="TZP2" s="284"/>
      <c r="TZQ2" s="284"/>
      <c r="TZR2" s="284"/>
      <c r="TZS2" s="284"/>
      <c r="TZT2" s="284"/>
      <c r="TZU2" s="284"/>
      <c r="TZV2" s="284"/>
      <c r="TZW2" s="284"/>
      <c r="TZX2" s="284"/>
      <c r="TZY2" s="284"/>
      <c r="TZZ2" s="284"/>
      <c r="UAA2" s="284"/>
      <c r="UAB2" s="284"/>
      <c r="UAC2" s="284"/>
      <c r="UAD2" s="284"/>
      <c r="UAE2" s="284"/>
      <c r="UAF2" s="284"/>
      <c r="UAG2" s="284"/>
      <c r="UAH2" s="284"/>
      <c r="UAI2" s="284"/>
      <c r="UAJ2" s="284"/>
      <c r="UAK2" s="284"/>
      <c r="UAL2" s="284"/>
      <c r="UAM2" s="284"/>
      <c r="UAN2" s="284"/>
      <c r="UAO2" s="284"/>
      <c r="UAP2" s="284"/>
      <c r="UAQ2" s="284"/>
      <c r="UAR2" s="284"/>
      <c r="UAS2" s="284"/>
      <c r="UAT2" s="284"/>
      <c r="UAU2" s="284"/>
      <c r="UAV2" s="284"/>
      <c r="UAW2" s="284"/>
      <c r="UAX2" s="284"/>
      <c r="UAY2" s="284"/>
      <c r="UAZ2" s="284"/>
      <c r="UBA2" s="284"/>
      <c r="UBB2" s="284"/>
      <c r="UBC2" s="284"/>
      <c r="UBD2" s="284"/>
      <c r="UBE2" s="284"/>
      <c r="UBF2" s="284"/>
      <c r="UBG2" s="284"/>
      <c r="UBH2" s="284"/>
      <c r="UBI2" s="284"/>
      <c r="UBJ2" s="284"/>
      <c r="UBK2" s="284"/>
      <c r="UBL2" s="284"/>
      <c r="UBM2" s="284"/>
      <c r="UBN2" s="284"/>
      <c r="UBO2" s="284"/>
      <c r="UBP2" s="284"/>
      <c r="UBQ2" s="284"/>
      <c r="UBR2" s="284"/>
      <c r="UBS2" s="284"/>
      <c r="UBT2" s="284"/>
      <c r="UBU2" s="284"/>
      <c r="UBV2" s="284"/>
      <c r="UBW2" s="284"/>
      <c r="UBX2" s="284"/>
      <c r="UBY2" s="284"/>
      <c r="UBZ2" s="284"/>
      <c r="UCA2" s="284"/>
      <c r="UCB2" s="284"/>
      <c r="UCC2" s="284"/>
      <c r="UCD2" s="284"/>
      <c r="UCE2" s="284"/>
      <c r="UCF2" s="284"/>
      <c r="UCG2" s="284"/>
      <c r="UCH2" s="284"/>
      <c r="UCI2" s="284"/>
      <c r="UCJ2" s="284"/>
      <c r="UCK2" s="284"/>
      <c r="UCL2" s="284"/>
      <c r="UCM2" s="284"/>
      <c r="UCN2" s="284"/>
      <c r="UCO2" s="284"/>
      <c r="UCP2" s="284"/>
      <c r="UCQ2" s="284"/>
      <c r="UCR2" s="284"/>
      <c r="UCS2" s="284"/>
      <c r="UCT2" s="284"/>
      <c r="UCU2" s="284"/>
      <c r="UCV2" s="284"/>
      <c r="UCW2" s="284"/>
      <c r="UCX2" s="284"/>
      <c r="UCY2" s="284"/>
      <c r="UCZ2" s="284"/>
      <c r="UDA2" s="284"/>
      <c r="UDB2" s="284"/>
      <c r="UDC2" s="284"/>
      <c r="UDD2" s="284"/>
      <c r="UDE2" s="284"/>
      <c r="UDF2" s="284"/>
      <c r="UDG2" s="284"/>
      <c r="UDH2" s="284"/>
      <c r="UDI2" s="284"/>
      <c r="UDJ2" s="284"/>
      <c r="UDK2" s="284"/>
      <c r="UDL2" s="284"/>
      <c r="UDM2" s="284"/>
      <c r="UDN2" s="284"/>
      <c r="UDO2" s="284"/>
      <c r="UDP2" s="284"/>
      <c r="UDQ2" s="284"/>
      <c r="UDR2" s="284"/>
      <c r="UDS2" s="284"/>
      <c r="UDT2" s="284"/>
      <c r="UDU2" s="284"/>
      <c r="UDV2" s="284"/>
      <c r="UDW2" s="284"/>
      <c r="UDX2" s="284"/>
      <c r="UDY2" s="284"/>
      <c r="UDZ2" s="284"/>
      <c r="UEA2" s="284"/>
      <c r="UEB2" s="284"/>
      <c r="UEC2" s="284"/>
      <c r="UED2" s="284"/>
      <c r="UEE2" s="284"/>
      <c r="UEF2" s="284"/>
      <c r="UEG2" s="284"/>
      <c r="UEH2" s="284"/>
      <c r="UEI2" s="284"/>
      <c r="UEJ2" s="284"/>
      <c r="UEK2" s="284"/>
      <c r="UEL2" s="284"/>
      <c r="UEM2" s="284"/>
      <c r="UEN2" s="284"/>
      <c r="UEO2" s="284"/>
      <c r="UEP2" s="284"/>
      <c r="UEQ2" s="284"/>
      <c r="UER2" s="284"/>
      <c r="UES2" s="284"/>
      <c r="UET2" s="284"/>
      <c r="UEU2" s="284"/>
      <c r="UEV2" s="284"/>
      <c r="UEW2" s="284"/>
      <c r="UEX2" s="284"/>
      <c r="UEY2" s="284"/>
      <c r="UEZ2" s="284"/>
      <c r="UFA2" s="284"/>
      <c r="UFB2" s="284"/>
      <c r="UFC2" s="284"/>
      <c r="UFD2" s="284"/>
      <c r="UFE2" s="284"/>
      <c r="UFF2" s="284"/>
      <c r="UFG2" s="284"/>
      <c r="UFH2" s="284"/>
      <c r="UFI2" s="284"/>
      <c r="UFJ2" s="284"/>
      <c r="UFK2" s="284"/>
      <c r="UFL2" s="284"/>
      <c r="UFM2" s="284"/>
      <c r="UFN2" s="284"/>
      <c r="UFO2" s="284"/>
      <c r="UFP2" s="284"/>
      <c r="UFQ2" s="284"/>
      <c r="UFR2" s="284"/>
      <c r="UFS2" s="284"/>
      <c r="UFT2" s="284"/>
      <c r="UFU2" s="284"/>
      <c r="UFV2" s="284"/>
      <c r="UFW2" s="284"/>
      <c r="UFX2" s="284"/>
      <c r="UFY2" s="284"/>
      <c r="UFZ2" s="284"/>
      <c r="UGA2" s="284"/>
      <c r="UGB2" s="284"/>
      <c r="UGC2" s="284"/>
      <c r="UGD2" s="284"/>
      <c r="UGE2" s="284"/>
      <c r="UGF2" s="284"/>
      <c r="UGG2" s="284"/>
      <c r="UGH2" s="284"/>
      <c r="UGI2" s="284"/>
      <c r="UGJ2" s="284"/>
      <c r="UGK2" s="284"/>
      <c r="UGL2" s="284"/>
      <c r="UGM2" s="284"/>
      <c r="UGN2" s="284"/>
      <c r="UGO2" s="284"/>
      <c r="UGP2" s="284"/>
      <c r="UGQ2" s="284"/>
      <c r="UGR2" s="284"/>
      <c r="UGS2" s="284"/>
      <c r="UGT2" s="284"/>
      <c r="UGU2" s="284"/>
      <c r="UGV2" s="284"/>
      <c r="UGW2" s="284"/>
      <c r="UGX2" s="284"/>
      <c r="UGY2" s="284"/>
      <c r="UGZ2" s="284"/>
      <c r="UHA2" s="284"/>
      <c r="UHB2" s="284"/>
      <c r="UHC2" s="284"/>
      <c r="UHD2" s="284"/>
      <c r="UHE2" s="284"/>
      <c r="UHF2" s="284"/>
      <c r="UHG2" s="284"/>
      <c r="UHH2" s="284"/>
      <c r="UHI2" s="284"/>
      <c r="UHJ2" s="284"/>
      <c r="UHK2" s="284"/>
      <c r="UHL2" s="284"/>
      <c r="UHM2" s="284"/>
      <c r="UHN2" s="284"/>
      <c r="UHO2" s="284"/>
      <c r="UHP2" s="284"/>
      <c r="UHQ2" s="284"/>
      <c r="UHR2" s="284"/>
      <c r="UHS2" s="284"/>
      <c r="UHT2" s="284"/>
      <c r="UHU2" s="284"/>
      <c r="UHV2" s="284"/>
      <c r="UHW2" s="284"/>
      <c r="UHX2" s="284"/>
      <c r="UHY2" s="284"/>
      <c r="UHZ2" s="284"/>
      <c r="UIA2" s="284"/>
      <c r="UIB2" s="284"/>
      <c r="UIC2" s="284"/>
      <c r="UID2" s="284"/>
      <c r="UIE2" s="284"/>
      <c r="UIF2" s="284"/>
      <c r="UIG2" s="284"/>
      <c r="UIH2" s="284"/>
      <c r="UII2" s="284"/>
      <c r="UIJ2" s="284"/>
      <c r="UIK2" s="284"/>
      <c r="UIL2" s="284"/>
      <c r="UIM2" s="284"/>
      <c r="UIN2" s="284"/>
      <c r="UIO2" s="284"/>
      <c r="UIP2" s="284"/>
      <c r="UIQ2" s="284"/>
      <c r="UIR2" s="284"/>
      <c r="UIS2" s="284"/>
      <c r="UIT2" s="284"/>
      <c r="UIU2" s="284"/>
      <c r="UIV2" s="284"/>
      <c r="UIW2" s="284"/>
      <c r="UIX2" s="284"/>
      <c r="UIY2" s="284"/>
      <c r="UIZ2" s="284"/>
      <c r="UJA2" s="284"/>
      <c r="UJB2" s="284"/>
      <c r="UJC2" s="284"/>
      <c r="UJD2" s="284"/>
      <c r="UJE2" s="284"/>
      <c r="UJF2" s="284"/>
      <c r="UJG2" s="284"/>
      <c r="UJH2" s="284"/>
      <c r="UJI2" s="284"/>
      <c r="UJJ2" s="284"/>
      <c r="UJK2" s="284"/>
      <c r="UJL2" s="284"/>
      <c r="UJM2" s="284"/>
      <c r="UJN2" s="284"/>
      <c r="UJO2" s="284"/>
      <c r="UJP2" s="284"/>
      <c r="UJQ2" s="284"/>
      <c r="UJR2" s="284"/>
      <c r="UJS2" s="284"/>
      <c r="UJT2" s="284"/>
      <c r="UJU2" s="284"/>
      <c r="UJV2" s="284"/>
      <c r="UJW2" s="284"/>
      <c r="UJX2" s="284"/>
      <c r="UJY2" s="284"/>
      <c r="UJZ2" s="284"/>
      <c r="UKA2" s="284"/>
      <c r="UKB2" s="284"/>
      <c r="UKC2" s="284"/>
      <c r="UKD2" s="284"/>
      <c r="UKE2" s="284"/>
      <c r="UKF2" s="284"/>
      <c r="UKG2" s="284"/>
      <c r="UKH2" s="284"/>
      <c r="UKI2" s="284"/>
      <c r="UKJ2" s="284"/>
      <c r="UKK2" s="284"/>
      <c r="UKL2" s="284"/>
      <c r="UKM2" s="284"/>
      <c r="UKN2" s="284"/>
      <c r="UKO2" s="284"/>
      <c r="UKP2" s="284"/>
      <c r="UKQ2" s="284"/>
      <c r="UKR2" s="284"/>
      <c r="UKS2" s="284"/>
      <c r="UKT2" s="284"/>
      <c r="UKU2" s="284"/>
      <c r="UKV2" s="284"/>
      <c r="UKW2" s="284"/>
      <c r="UKX2" s="284"/>
      <c r="UKY2" s="284"/>
      <c r="UKZ2" s="284"/>
      <c r="ULA2" s="284"/>
      <c r="ULB2" s="284"/>
      <c r="ULC2" s="284"/>
      <c r="ULD2" s="284"/>
      <c r="ULE2" s="284"/>
      <c r="ULF2" s="284"/>
      <c r="ULG2" s="284"/>
      <c r="ULH2" s="284"/>
      <c r="ULI2" s="284"/>
      <c r="ULJ2" s="284"/>
      <c r="ULK2" s="284"/>
      <c r="ULL2" s="284"/>
      <c r="ULM2" s="284"/>
      <c r="ULN2" s="284"/>
      <c r="ULO2" s="284"/>
      <c r="ULP2" s="284"/>
      <c r="ULQ2" s="284"/>
      <c r="ULR2" s="284"/>
      <c r="ULS2" s="284"/>
      <c r="ULT2" s="284"/>
      <c r="ULU2" s="284"/>
      <c r="ULV2" s="284"/>
      <c r="ULW2" s="284"/>
      <c r="ULX2" s="284"/>
      <c r="ULY2" s="284"/>
      <c r="ULZ2" s="284"/>
      <c r="UMA2" s="284"/>
      <c r="UMB2" s="284"/>
      <c r="UMC2" s="284"/>
      <c r="UMD2" s="284"/>
      <c r="UME2" s="284"/>
      <c r="UMF2" s="284"/>
      <c r="UMG2" s="284"/>
      <c r="UMH2" s="284"/>
      <c r="UMI2" s="284"/>
      <c r="UMJ2" s="284"/>
      <c r="UMK2" s="284"/>
      <c r="UML2" s="284"/>
      <c r="UMM2" s="284"/>
      <c r="UMN2" s="284"/>
      <c r="UMO2" s="284"/>
      <c r="UMP2" s="284"/>
      <c r="UMQ2" s="284"/>
      <c r="UMR2" s="284"/>
      <c r="UMS2" s="284"/>
      <c r="UMT2" s="284"/>
      <c r="UMU2" s="284"/>
      <c r="UMV2" s="284"/>
      <c r="UMW2" s="284"/>
      <c r="UMX2" s="284"/>
      <c r="UMY2" s="284"/>
      <c r="UMZ2" s="284"/>
      <c r="UNA2" s="284"/>
      <c r="UNB2" s="284"/>
      <c r="UNC2" s="284"/>
      <c r="UND2" s="284"/>
      <c r="UNE2" s="284"/>
      <c r="UNF2" s="284"/>
      <c r="UNG2" s="284"/>
      <c r="UNH2" s="284"/>
      <c r="UNI2" s="284"/>
      <c r="UNJ2" s="284"/>
      <c r="UNK2" s="284"/>
      <c r="UNL2" s="284"/>
      <c r="UNM2" s="284"/>
      <c r="UNN2" s="284"/>
      <c r="UNO2" s="284"/>
      <c r="UNP2" s="284"/>
      <c r="UNQ2" s="284"/>
      <c r="UNR2" s="284"/>
      <c r="UNS2" s="284"/>
      <c r="UNT2" s="284"/>
      <c r="UNU2" s="284"/>
      <c r="UNV2" s="284"/>
      <c r="UNW2" s="284"/>
      <c r="UNX2" s="284"/>
      <c r="UNY2" s="284"/>
      <c r="UNZ2" s="284"/>
      <c r="UOA2" s="284"/>
      <c r="UOB2" s="284"/>
      <c r="UOC2" s="284"/>
      <c r="UOD2" s="284"/>
      <c r="UOE2" s="284"/>
      <c r="UOF2" s="284"/>
      <c r="UOG2" s="284"/>
      <c r="UOH2" s="284"/>
      <c r="UOI2" s="284"/>
      <c r="UOJ2" s="284"/>
      <c r="UOK2" s="284"/>
      <c r="UOL2" s="284"/>
      <c r="UOM2" s="284"/>
      <c r="UON2" s="284"/>
      <c r="UOO2" s="284"/>
      <c r="UOP2" s="284"/>
      <c r="UOQ2" s="284"/>
      <c r="UOR2" s="284"/>
      <c r="UOS2" s="284"/>
      <c r="UOT2" s="284"/>
      <c r="UOU2" s="284"/>
      <c r="UOV2" s="284"/>
      <c r="UOW2" s="284"/>
      <c r="UOX2" s="284"/>
      <c r="UOY2" s="284"/>
      <c r="UOZ2" s="284"/>
      <c r="UPA2" s="284"/>
      <c r="UPB2" s="284"/>
      <c r="UPC2" s="284"/>
      <c r="UPD2" s="284"/>
      <c r="UPE2" s="284"/>
      <c r="UPF2" s="284"/>
      <c r="UPG2" s="284"/>
      <c r="UPH2" s="284"/>
      <c r="UPI2" s="284"/>
      <c r="UPJ2" s="284"/>
      <c r="UPK2" s="284"/>
      <c r="UPL2" s="284"/>
      <c r="UPM2" s="284"/>
      <c r="UPN2" s="284"/>
      <c r="UPO2" s="284"/>
      <c r="UPP2" s="284"/>
      <c r="UPQ2" s="284"/>
      <c r="UPR2" s="284"/>
      <c r="UPS2" s="284"/>
      <c r="UPT2" s="284"/>
      <c r="UPU2" s="284"/>
      <c r="UPV2" s="284"/>
      <c r="UPW2" s="284"/>
      <c r="UPX2" s="284"/>
      <c r="UPY2" s="284"/>
      <c r="UPZ2" s="284"/>
      <c r="UQA2" s="284"/>
      <c r="UQB2" s="284"/>
      <c r="UQC2" s="284"/>
      <c r="UQD2" s="284"/>
      <c r="UQE2" s="284"/>
      <c r="UQF2" s="284"/>
      <c r="UQG2" s="284"/>
      <c r="UQH2" s="284"/>
      <c r="UQI2" s="284"/>
      <c r="UQJ2" s="284"/>
      <c r="UQK2" s="284"/>
      <c r="UQL2" s="284"/>
      <c r="UQM2" s="284"/>
      <c r="UQN2" s="284"/>
      <c r="UQO2" s="284"/>
      <c r="UQP2" s="284"/>
      <c r="UQQ2" s="284"/>
      <c r="UQR2" s="284"/>
      <c r="UQS2" s="284"/>
      <c r="UQT2" s="284"/>
      <c r="UQU2" s="284"/>
      <c r="UQV2" s="284"/>
      <c r="UQW2" s="284"/>
      <c r="UQX2" s="284"/>
      <c r="UQY2" s="284"/>
      <c r="UQZ2" s="284"/>
      <c r="URA2" s="284"/>
      <c r="URB2" s="284"/>
      <c r="URC2" s="284"/>
      <c r="URD2" s="284"/>
      <c r="URE2" s="284"/>
      <c r="URF2" s="284"/>
      <c r="URG2" s="284"/>
      <c r="URH2" s="284"/>
      <c r="URI2" s="284"/>
      <c r="URJ2" s="284"/>
      <c r="URK2" s="284"/>
      <c r="URL2" s="284"/>
      <c r="URM2" s="284"/>
      <c r="URN2" s="284"/>
      <c r="URO2" s="284"/>
      <c r="URP2" s="284"/>
      <c r="URQ2" s="284"/>
      <c r="URR2" s="284"/>
      <c r="URS2" s="284"/>
      <c r="URT2" s="284"/>
      <c r="URU2" s="284"/>
      <c r="URV2" s="284"/>
      <c r="URW2" s="284"/>
      <c r="URX2" s="284"/>
      <c r="URY2" s="284"/>
      <c r="URZ2" s="284"/>
      <c r="USA2" s="284"/>
      <c r="USB2" s="284"/>
      <c r="USC2" s="284"/>
      <c r="USD2" s="284"/>
      <c r="USE2" s="284"/>
      <c r="USF2" s="284"/>
      <c r="USG2" s="284"/>
      <c r="USH2" s="284"/>
      <c r="USI2" s="284"/>
      <c r="USJ2" s="284"/>
      <c r="USK2" s="284"/>
      <c r="USL2" s="284"/>
      <c r="USM2" s="284"/>
      <c r="USN2" s="284"/>
      <c r="USO2" s="284"/>
      <c r="USP2" s="284"/>
      <c r="USQ2" s="284"/>
      <c r="USR2" s="284"/>
      <c r="USS2" s="284"/>
      <c r="UST2" s="284"/>
      <c r="USU2" s="284"/>
      <c r="USV2" s="284"/>
      <c r="USW2" s="284"/>
      <c r="USX2" s="284"/>
      <c r="USY2" s="284"/>
      <c r="USZ2" s="284"/>
      <c r="UTA2" s="284"/>
      <c r="UTB2" s="284"/>
      <c r="UTC2" s="284"/>
      <c r="UTD2" s="284"/>
      <c r="UTE2" s="284"/>
      <c r="UTF2" s="284"/>
      <c r="UTG2" s="284"/>
      <c r="UTH2" s="284"/>
      <c r="UTI2" s="284"/>
      <c r="UTJ2" s="284"/>
      <c r="UTK2" s="284"/>
      <c r="UTL2" s="284"/>
      <c r="UTM2" s="284"/>
      <c r="UTN2" s="284"/>
      <c r="UTO2" s="284"/>
      <c r="UTP2" s="284"/>
      <c r="UTQ2" s="284"/>
      <c r="UTR2" s="284"/>
      <c r="UTS2" s="284"/>
      <c r="UTT2" s="284"/>
      <c r="UTU2" s="284"/>
      <c r="UTV2" s="284"/>
      <c r="UTW2" s="284"/>
      <c r="UTX2" s="284"/>
      <c r="UTY2" s="284"/>
      <c r="UTZ2" s="284"/>
      <c r="UUA2" s="284"/>
      <c r="UUB2" s="284"/>
      <c r="UUC2" s="284"/>
      <c r="UUD2" s="284"/>
      <c r="UUE2" s="284"/>
      <c r="UUF2" s="284"/>
      <c r="UUG2" s="284"/>
      <c r="UUH2" s="284"/>
      <c r="UUI2" s="284"/>
      <c r="UUJ2" s="284"/>
      <c r="UUK2" s="284"/>
      <c r="UUL2" s="284"/>
      <c r="UUM2" s="284"/>
      <c r="UUN2" s="284"/>
      <c r="UUO2" s="284"/>
      <c r="UUP2" s="284"/>
      <c r="UUQ2" s="284"/>
      <c r="UUR2" s="284"/>
      <c r="UUS2" s="284"/>
      <c r="UUT2" s="284"/>
      <c r="UUU2" s="284"/>
      <c r="UUV2" s="284"/>
      <c r="UUW2" s="284"/>
      <c r="UUX2" s="284"/>
      <c r="UUY2" s="284"/>
      <c r="UUZ2" s="284"/>
      <c r="UVA2" s="284"/>
      <c r="UVB2" s="284"/>
      <c r="UVC2" s="284"/>
      <c r="UVD2" s="284"/>
      <c r="UVE2" s="284"/>
      <c r="UVF2" s="284"/>
      <c r="UVG2" s="284"/>
      <c r="UVH2" s="284"/>
      <c r="UVI2" s="284"/>
      <c r="UVJ2" s="284"/>
      <c r="UVK2" s="284"/>
      <c r="UVL2" s="284"/>
      <c r="UVM2" s="284"/>
      <c r="UVN2" s="284"/>
      <c r="UVO2" s="284"/>
      <c r="UVP2" s="284"/>
      <c r="UVQ2" s="284"/>
      <c r="UVR2" s="284"/>
      <c r="UVS2" s="284"/>
      <c r="UVT2" s="284"/>
      <c r="UVU2" s="284"/>
      <c r="UVV2" s="284"/>
      <c r="UVW2" s="284"/>
      <c r="UVX2" s="284"/>
      <c r="UVY2" s="284"/>
      <c r="UVZ2" s="284"/>
      <c r="UWA2" s="284"/>
      <c r="UWB2" s="284"/>
      <c r="UWC2" s="284"/>
      <c r="UWD2" s="284"/>
      <c r="UWE2" s="284"/>
      <c r="UWF2" s="284"/>
      <c r="UWG2" s="284"/>
      <c r="UWH2" s="284"/>
      <c r="UWI2" s="284"/>
      <c r="UWJ2" s="284"/>
      <c r="UWK2" s="284"/>
      <c r="UWL2" s="284"/>
      <c r="UWM2" s="284"/>
      <c r="UWN2" s="284"/>
      <c r="UWO2" s="284"/>
      <c r="UWP2" s="284"/>
      <c r="UWQ2" s="284"/>
      <c r="UWR2" s="284"/>
      <c r="UWS2" s="284"/>
      <c r="UWT2" s="284"/>
      <c r="UWU2" s="284"/>
      <c r="UWV2" s="284"/>
      <c r="UWW2" s="284"/>
      <c r="UWX2" s="284"/>
      <c r="UWY2" s="284"/>
      <c r="UWZ2" s="284"/>
      <c r="UXA2" s="284"/>
      <c r="UXB2" s="284"/>
      <c r="UXC2" s="284"/>
      <c r="UXD2" s="284"/>
      <c r="UXE2" s="284"/>
      <c r="UXF2" s="284"/>
      <c r="UXG2" s="284"/>
      <c r="UXH2" s="284"/>
      <c r="UXI2" s="284"/>
      <c r="UXJ2" s="284"/>
      <c r="UXK2" s="284"/>
      <c r="UXL2" s="284"/>
      <c r="UXM2" s="284"/>
      <c r="UXN2" s="284"/>
      <c r="UXO2" s="284"/>
      <c r="UXP2" s="284"/>
      <c r="UXQ2" s="284"/>
      <c r="UXR2" s="284"/>
      <c r="UXS2" s="284"/>
      <c r="UXT2" s="284"/>
      <c r="UXU2" s="284"/>
      <c r="UXV2" s="284"/>
      <c r="UXW2" s="284"/>
      <c r="UXX2" s="284"/>
      <c r="UXY2" s="284"/>
      <c r="UXZ2" s="284"/>
      <c r="UYA2" s="284"/>
      <c r="UYB2" s="284"/>
      <c r="UYC2" s="284"/>
      <c r="UYD2" s="284"/>
      <c r="UYE2" s="284"/>
      <c r="UYF2" s="284"/>
      <c r="UYG2" s="284"/>
      <c r="UYH2" s="284"/>
      <c r="UYI2" s="284"/>
      <c r="UYJ2" s="284"/>
      <c r="UYK2" s="284"/>
      <c r="UYL2" s="284"/>
      <c r="UYM2" s="284"/>
      <c r="UYN2" s="284"/>
      <c r="UYO2" s="284"/>
      <c r="UYP2" s="284"/>
      <c r="UYQ2" s="284"/>
      <c r="UYR2" s="284"/>
      <c r="UYS2" s="284"/>
      <c r="UYT2" s="284"/>
      <c r="UYU2" s="284"/>
      <c r="UYV2" s="284"/>
      <c r="UYW2" s="284"/>
      <c r="UYX2" s="284"/>
      <c r="UYY2" s="284"/>
      <c r="UYZ2" s="284"/>
      <c r="UZA2" s="284"/>
      <c r="UZB2" s="284"/>
      <c r="UZC2" s="284"/>
      <c r="UZD2" s="284"/>
      <c r="UZE2" s="284"/>
      <c r="UZF2" s="284"/>
      <c r="UZG2" s="284"/>
      <c r="UZH2" s="284"/>
      <c r="UZI2" s="284"/>
      <c r="UZJ2" s="284"/>
      <c r="UZK2" s="284"/>
      <c r="UZL2" s="284"/>
      <c r="UZM2" s="284"/>
      <c r="UZN2" s="284"/>
      <c r="UZO2" s="284"/>
      <c r="UZP2" s="284"/>
      <c r="UZQ2" s="284"/>
      <c r="UZR2" s="284"/>
      <c r="UZS2" s="284"/>
      <c r="UZT2" s="284"/>
      <c r="UZU2" s="284"/>
      <c r="UZV2" s="284"/>
      <c r="UZW2" s="284"/>
      <c r="UZX2" s="284"/>
      <c r="UZY2" s="284"/>
      <c r="UZZ2" s="284"/>
      <c r="VAA2" s="284"/>
      <c r="VAB2" s="284"/>
      <c r="VAC2" s="284"/>
      <c r="VAD2" s="284"/>
      <c r="VAE2" s="284"/>
      <c r="VAF2" s="284"/>
      <c r="VAG2" s="284"/>
      <c r="VAH2" s="284"/>
      <c r="VAI2" s="284"/>
      <c r="VAJ2" s="284"/>
      <c r="VAK2" s="284"/>
      <c r="VAL2" s="284"/>
      <c r="VAM2" s="284"/>
      <c r="VAN2" s="284"/>
      <c r="VAO2" s="284"/>
      <c r="VAP2" s="284"/>
      <c r="VAQ2" s="284"/>
      <c r="VAR2" s="284"/>
      <c r="VAS2" s="284"/>
      <c r="VAT2" s="284"/>
      <c r="VAU2" s="284"/>
      <c r="VAV2" s="284"/>
      <c r="VAW2" s="284"/>
      <c r="VAX2" s="284"/>
      <c r="VAY2" s="284"/>
      <c r="VAZ2" s="284"/>
      <c r="VBA2" s="284"/>
      <c r="VBB2" s="284"/>
      <c r="VBC2" s="284"/>
      <c r="VBD2" s="284"/>
      <c r="VBE2" s="284"/>
      <c r="VBF2" s="284"/>
      <c r="VBG2" s="284"/>
      <c r="VBH2" s="284"/>
      <c r="VBI2" s="284"/>
      <c r="VBJ2" s="284"/>
      <c r="VBK2" s="284"/>
      <c r="VBL2" s="284"/>
      <c r="VBM2" s="284"/>
      <c r="VBN2" s="284"/>
      <c r="VBO2" s="284"/>
      <c r="VBP2" s="284"/>
      <c r="VBQ2" s="284"/>
      <c r="VBR2" s="284"/>
      <c r="VBS2" s="284"/>
      <c r="VBT2" s="284"/>
      <c r="VBU2" s="284"/>
      <c r="VBV2" s="284"/>
      <c r="VBW2" s="284"/>
      <c r="VBX2" s="284"/>
      <c r="VBY2" s="284"/>
      <c r="VBZ2" s="284"/>
      <c r="VCA2" s="284"/>
      <c r="VCB2" s="284"/>
      <c r="VCC2" s="284"/>
      <c r="VCD2" s="284"/>
      <c r="VCE2" s="284"/>
      <c r="VCF2" s="284"/>
      <c r="VCG2" s="284"/>
      <c r="VCH2" s="284"/>
      <c r="VCI2" s="284"/>
      <c r="VCJ2" s="284"/>
      <c r="VCK2" s="284"/>
      <c r="VCL2" s="284"/>
      <c r="VCM2" s="284"/>
      <c r="VCN2" s="284"/>
      <c r="VCO2" s="284"/>
      <c r="VCP2" s="284"/>
      <c r="VCQ2" s="284"/>
      <c r="VCR2" s="284"/>
      <c r="VCS2" s="284"/>
      <c r="VCT2" s="284"/>
      <c r="VCU2" s="284"/>
      <c r="VCV2" s="284"/>
      <c r="VCW2" s="284"/>
      <c r="VCX2" s="284"/>
      <c r="VCY2" s="284"/>
      <c r="VCZ2" s="284"/>
      <c r="VDA2" s="284"/>
      <c r="VDB2" s="284"/>
      <c r="VDC2" s="284"/>
      <c r="VDD2" s="284"/>
      <c r="VDE2" s="284"/>
      <c r="VDF2" s="284"/>
      <c r="VDG2" s="284"/>
      <c r="VDH2" s="284"/>
      <c r="VDI2" s="284"/>
      <c r="VDJ2" s="284"/>
      <c r="VDK2" s="284"/>
      <c r="VDL2" s="284"/>
      <c r="VDM2" s="284"/>
      <c r="VDN2" s="284"/>
      <c r="VDO2" s="284"/>
      <c r="VDP2" s="284"/>
      <c r="VDQ2" s="284"/>
      <c r="VDR2" s="284"/>
      <c r="VDS2" s="284"/>
      <c r="VDT2" s="284"/>
      <c r="VDU2" s="284"/>
      <c r="VDV2" s="284"/>
      <c r="VDW2" s="284"/>
      <c r="VDX2" s="284"/>
      <c r="VDY2" s="284"/>
      <c r="VDZ2" s="284"/>
      <c r="VEA2" s="284"/>
      <c r="VEB2" s="284"/>
      <c r="VEC2" s="284"/>
      <c r="VED2" s="284"/>
      <c r="VEE2" s="284"/>
      <c r="VEF2" s="284"/>
      <c r="VEG2" s="284"/>
      <c r="VEH2" s="284"/>
      <c r="VEI2" s="284"/>
      <c r="VEJ2" s="284"/>
      <c r="VEK2" s="284"/>
      <c r="VEL2" s="284"/>
      <c r="VEM2" s="284"/>
      <c r="VEN2" s="284"/>
      <c r="VEO2" s="284"/>
      <c r="VEP2" s="284"/>
      <c r="VEQ2" s="284"/>
      <c r="VER2" s="284"/>
      <c r="VES2" s="284"/>
      <c r="VET2" s="284"/>
      <c r="VEU2" s="284"/>
      <c r="VEV2" s="284"/>
      <c r="VEW2" s="284"/>
      <c r="VEX2" s="284"/>
      <c r="VEY2" s="284"/>
      <c r="VEZ2" s="284"/>
      <c r="VFA2" s="284"/>
      <c r="VFB2" s="284"/>
      <c r="VFC2" s="284"/>
      <c r="VFD2" s="284"/>
      <c r="VFE2" s="284"/>
      <c r="VFF2" s="284"/>
      <c r="VFG2" s="284"/>
      <c r="VFH2" s="284"/>
      <c r="VFI2" s="284"/>
      <c r="VFJ2" s="284"/>
      <c r="VFK2" s="284"/>
      <c r="VFL2" s="284"/>
      <c r="VFM2" s="284"/>
      <c r="VFN2" s="284"/>
      <c r="VFO2" s="284"/>
      <c r="VFP2" s="284"/>
      <c r="VFQ2" s="284"/>
      <c r="VFR2" s="284"/>
      <c r="VFS2" s="284"/>
      <c r="VFT2" s="284"/>
      <c r="VFU2" s="284"/>
      <c r="VFV2" s="284"/>
      <c r="VFW2" s="284"/>
      <c r="VFX2" s="284"/>
      <c r="VFY2" s="284"/>
      <c r="VFZ2" s="284"/>
      <c r="VGA2" s="284"/>
      <c r="VGB2" s="284"/>
      <c r="VGC2" s="284"/>
      <c r="VGD2" s="284"/>
      <c r="VGE2" s="284"/>
      <c r="VGF2" s="284"/>
      <c r="VGG2" s="284"/>
      <c r="VGH2" s="284"/>
      <c r="VGI2" s="284"/>
      <c r="VGJ2" s="284"/>
      <c r="VGK2" s="284"/>
      <c r="VGL2" s="284"/>
      <c r="VGM2" s="284"/>
      <c r="VGN2" s="284"/>
      <c r="VGO2" s="284"/>
      <c r="VGP2" s="284"/>
      <c r="VGQ2" s="284"/>
      <c r="VGR2" s="284"/>
      <c r="VGS2" s="284"/>
      <c r="VGT2" s="284"/>
      <c r="VGU2" s="284"/>
      <c r="VGV2" s="284"/>
      <c r="VGW2" s="284"/>
      <c r="VGX2" s="284"/>
      <c r="VGY2" s="284"/>
      <c r="VGZ2" s="284"/>
      <c r="VHA2" s="284"/>
      <c r="VHB2" s="284"/>
      <c r="VHC2" s="284"/>
      <c r="VHD2" s="284"/>
      <c r="VHE2" s="284"/>
      <c r="VHF2" s="284"/>
      <c r="VHG2" s="284"/>
      <c r="VHH2" s="284"/>
      <c r="VHI2" s="284"/>
      <c r="VHJ2" s="284"/>
      <c r="VHK2" s="284"/>
      <c r="VHL2" s="284"/>
      <c r="VHM2" s="284"/>
      <c r="VHN2" s="284"/>
      <c r="VHO2" s="284"/>
      <c r="VHP2" s="284"/>
      <c r="VHQ2" s="284"/>
      <c r="VHR2" s="284"/>
      <c r="VHS2" s="284"/>
      <c r="VHT2" s="284"/>
      <c r="VHU2" s="284"/>
      <c r="VHV2" s="284"/>
      <c r="VHW2" s="284"/>
      <c r="VHX2" s="284"/>
      <c r="VHY2" s="284"/>
      <c r="VHZ2" s="284"/>
      <c r="VIA2" s="284"/>
      <c r="VIB2" s="284"/>
      <c r="VIC2" s="284"/>
      <c r="VID2" s="284"/>
      <c r="VIE2" s="284"/>
      <c r="VIF2" s="284"/>
      <c r="VIG2" s="284"/>
      <c r="VIH2" s="284"/>
      <c r="VII2" s="284"/>
      <c r="VIJ2" s="284"/>
      <c r="VIK2" s="284"/>
      <c r="VIL2" s="284"/>
      <c r="VIM2" s="284"/>
      <c r="VIN2" s="284"/>
      <c r="VIO2" s="284"/>
      <c r="VIP2" s="284"/>
      <c r="VIQ2" s="284"/>
      <c r="VIR2" s="284"/>
      <c r="VIS2" s="284"/>
      <c r="VIT2" s="284"/>
      <c r="VIU2" s="284"/>
      <c r="VIV2" s="284"/>
      <c r="VIW2" s="284"/>
      <c r="VIX2" s="284"/>
      <c r="VIY2" s="284"/>
      <c r="VIZ2" s="284"/>
      <c r="VJA2" s="284"/>
      <c r="VJB2" s="284"/>
      <c r="VJC2" s="284"/>
      <c r="VJD2" s="284"/>
      <c r="VJE2" s="284"/>
      <c r="VJF2" s="284"/>
      <c r="VJG2" s="284"/>
      <c r="VJH2" s="284"/>
      <c r="VJI2" s="284"/>
      <c r="VJJ2" s="284"/>
      <c r="VJK2" s="284"/>
      <c r="VJL2" s="284"/>
      <c r="VJM2" s="284"/>
      <c r="VJN2" s="284"/>
      <c r="VJO2" s="284"/>
      <c r="VJP2" s="284"/>
      <c r="VJQ2" s="284"/>
      <c r="VJR2" s="284"/>
      <c r="VJS2" s="284"/>
      <c r="VJT2" s="284"/>
      <c r="VJU2" s="284"/>
      <c r="VJV2" s="284"/>
      <c r="VJW2" s="284"/>
      <c r="VJX2" s="284"/>
      <c r="VJY2" s="284"/>
      <c r="VJZ2" s="284"/>
      <c r="VKA2" s="284"/>
      <c r="VKB2" s="284"/>
      <c r="VKC2" s="284"/>
      <c r="VKD2" s="284"/>
      <c r="VKE2" s="284"/>
      <c r="VKF2" s="284"/>
      <c r="VKG2" s="284"/>
      <c r="VKH2" s="284"/>
      <c r="VKI2" s="284"/>
      <c r="VKJ2" s="284"/>
      <c r="VKK2" s="284"/>
      <c r="VKL2" s="284"/>
      <c r="VKM2" s="284"/>
      <c r="VKN2" s="284"/>
      <c r="VKO2" s="284"/>
      <c r="VKP2" s="284"/>
      <c r="VKQ2" s="284"/>
      <c r="VKR2" s="284"/>
      <c r="VKS2" s="284"/>
      <c r="VKT2" s="284"/>
      <c r="VKU2" s="284"/>
      <c r="VKV2" s="284"/>
      <c r="VKW2" s="284"/>
      <c r="VKX2" s="284"/>
      <c r="VKY2" s="284"/>
      <c r="VKZ2" s="284"/>
      <c r="VLA2" s="284"/>
      <c r="VLB2" s="284"/>
      <c r="VLC2" s="284"/>
      <c r="VLD2" s="284"/>
      <c r="VLE2" s="284"/>
      <c r="VLF2" s="284"/>
      <c r="VLG2" s="284"/>
      <c r="VLH2" s="284"/>
      <c r="VLI2" s="284"/>
      <c r="VLJ2" s="284"/>
      <c r="VLK2" s="284"/>
      <c r="VLL2" s="284"/>
      <c r="VLM2" s="284"/>
      <c r="VLN2" s="284"/>
      <c r="VLO2" s="284"/>
      <c r="VLP2" s="284"/>
      <c r="VLQ2" s="284"/>
      <c r="VLR2" s="284"/>
      <c r="VLS2" s="284"/>
      <c r="VLT2" s="284"/>
      <c r="VLU2" s="284"/>
      <c r="VLV2" s="284"/>
      <c r="VLW2" s="284"/>
      <c r="VLX2" s="284"/>
      <c r="VLY2" s="284"/>
      <c r="VLZ2" s="284"/>
      <c r="VMA2" s="284"/>
      <c r="VMB2" s="284"/>
      <c r="VMC2" s="284"/>
      <c r="VMD2" s="284"/>
      <c r="VME2" s="284"/>
      <c r="VMF2" s="284"/>
      <c r="VMG2" s="284"/>
      <c r="VMH2" s="284"/>
      <c r="VMI2" s="284"/>
      <c r="VMJ2" s="284"/>
      <c r="VMK2" s="284"/>
      <c r="VML2" s="284"/>
      <c r="VMM2" s="284"/>
      <c r="VMN2" s="284"/>
      <c r="VMO2" s="284"/>
      <c r="VMP2" s="284"/>
      <c r="VMQ2" s="284"/>
      <c r="VMR2" s="284"/>
      <c r="VMS2" s="284"/>
      <c r="VMT2" s="284"/>
      <c r="VMU2" s="284"/>
      <c r="VMV2" s="284"/>
      <c r="VMW2" s="284"/>
      <c r="VMX2" s="284"/>
      <c r="VMY2" s="284"/>
      <c r="VMZ2" s="284"/>
      <c r="VNA2" s="284"/>
      <c r="VNB2" s="284"/>
      <c r="VNC2" s="284"/>
      <c r="VND2" s="284"/>
      <c r="VNE2" s="284"/>
      <c r="VNF2" s="284"/>
      <c r="VNG2" s="284"/>
      <c r="VNH2" s="284"/>
      <c r="VNI2" s="284"/>
      <c r="VNJ2" s="284"/>
      <c r="VNK2" s="284"/>
      <c r="VNL2" s="284"/>
      <c r="VNM2" s="284"/>
      <c r="VNN2" s="284"/>
      <c r="VNO2" s="284"/>
      <c r="VNP2" s="284"/>
      <c r="VNQ2" s="284"/>
      <c r="VNR2" s="284"/>
      <c r="VNS2" s="284"/>
      <c r="VNT2" s="284"/>
      <c r="VNU2" s="284"/>
      <c r="VNV2" s="284"/>
      <c r="VNW2" s="284"/>
      <c r="VNX2" s="284"/>
      <c r="VNY2" s="284"/>
      <c r="VNZ2" s="284"/>
      <c r="VOA2" s="284"/>
      <c r="VOB2" s="284"/>
      <c r="VOC2" s="284"/>
      <c r="VOD2" s="284"/>
      <c r="VOE2" s="284"/>
      <c r="VOF2" s="284"/>
      <c r="VOG2" s="284"/>
      <c r="VOH2" s="284"/>
      <c r="VOI2" s="284"/>
      <c r="VOJ2" s="284"/>
      <c r="VOK2" s="284"/>
      <c r="VOL2" s="284"/>
      <c r="VOM2" s="284"/>
      <c r="VON2" s="284"/>
      <c r="VOO2" s="284"/>
      <c r="VOP2" s="284"/>
      <c r="VOQ2" s="284"/>
      <c r="VOR2" s="284"/>
      <c r="VOS2" s="284"/>
      <c r="VOT2" s="284"/>
      <c r="VOU2" s="284"/>
      <c r="VOV2" s="284"/>
      <c r="VOW2" s="284"/>
      <c r="VOX2" s="284"/>
      <c r="VOY2" s="284"/>
      <c r="VOZ2" s="284"/>
      <c r="VPA2" s="284"/>
      <c r="VPB2" s="284"/>
      <c r="VPC2" s="284"/>
      <c r="VPD2" s="284"/>
      <c r="VPE2" s="284"/>
      <c r="VPF2" s="284"/>
      <c r="VPG2" s="284"/>
      <c r="VPH2" s="284"/>
      <c r="VPI2" s="284"/>
      <c r="VPJ2" s="284"/>
      <c r="VPK2" s="284"/>
      <c r="VPL2" s="284"/>
      <c r="VPM2" s="284"/>
      <c r="VPN2" s="284"/>
      <c r="VPO2" s="284"/>
      <c r="VPP2" s="284"/>
      <c r="VPQ2" s="284"/>
      <c r="VPR2" s="284"/>
      <c r="VPS2" s="284"/>
      <c r="VPT2" s="284"/>
      <c r="VPU2" s="284"/>
      <c r="VPV2" s="284"/>
      <c r="VPW2" s="284"/>
      <c r="VPX2" s="284"/>
      <c r="VPY2" s="284"/>
      <c r="VPZ2" s="284"/>
      <c r="VQA2" s="284"/>
      <c r="VQB2" s="284"/>
      <c r="VQC2" s="284"/>
      <c r="VQD2" s="284"/>
      <c r="VQE2" s="284"/>
      <c r="VQF2" s="284"/>
      <c r="VQG2" s="284"/>
      <c r="VQH2" s="284"/>
      <c r="VQI2" s="284"/>
      <c r="VQJ2" s="284"/>
      <c r="VQK2" s="284"/>
      <c r="VQL2" s="284"/>
      <c r="VQM2" s="284"/>
      <c r="VQN2" s="284"/>
      <c r="VQO2" s="284"/>
      <c r="VQP2" s="284"/>
      <c r="VQQ2" s="284"/>
      <c r="VQR2" s="284"/>
      <c r="VQS2" s="284"/>
      <c r="VQT2" s="284"/>
      <c r="VQU2" s="284"/>
      <c r="VQV2" s="284"/>
      <c r="VQW2" s="284"/>
      <c r="VQX2" s="284"/>
      <c r="VQY2" s="284"/>
      <c r="VQZ2" s="284"/>
      <c r="VRA2" s="284"/>
      <c r="VRB2" s="284"/>
      <c r="VRC2" s="284"/>
      <c r="VRD2" s="284"/>
      <c r="VRE2" s="284"/>
      <c r="VRF2" s="284"/>
      <c r="VRG2" s="284"/>
      <c r="VRH2" s="284"/>
      <c r="VRI2" s="284"/>
      <c r="VRJ2" s="284"/>
      <c r="VRK2" s="284"/>
      <c r="VRL2" s="284"/>
      <c r="VRM2" s="284"/>
      <c r="VRN2" s="284"/>
      <c r="VRO2" s="284"/>
      <c r="VRP2" s="284"/>
      <c r="VRQ2" s="284"/>
      <c r="VRR2" s="284"/>
      <c r="VRS2" s="284"/>
      <c r="VRT2" s="284"/>
      <c r="VRU2" s="284"/>
      <c r="VRV2" s="284"/>
      <c r="VRW2" s="284"/>
      <c r="VRX2" s="284"/>
      <c r="VRY2" s="284"/>
      <c r="VRZ2" s="284"/>
      <c r="VSA2" s="284"/>
      <c r="VSB2" s="284"/>
      <c r="VSC2" s="284"/>
      <c r="VSD2" s="284"/>
      <c r="VSE2" s="284"/>
      <c r="VSF2" s="284"/>
      <c r="VSG2" s="284"/>
      <c r="VSH2" s="284"/>
      <c r="VSI2" s="284"/>
      <c r="VSJ2" s="284"/>
      <c r="VSK2" s="284"/>
      <c r="VSL2" s="284"/>
      <c r="VSM2" s="284"/>
      <c r="VSN2" s="284"/>
      <c r="VSO2" s="284"/>
      <c r="VSP2" s="284"/>
      <c r="VSQ2" s="284"/>
      <c r="VSR2" s="284"/>
      <c r="VSS2" s="284"/>
      <c r="VST2" s="284"/>
      <c r="VSU2" s="284"/>
      <c r="VSV2" s="284"/>
      <c r="VSW2" s="284"/>
      <c r="VSX2" s="284"/>
      <c r="VSY2" s="284"/>
      <c r="VSZ2" s="284"/>
      <c r="VTA2" s="284"/>
      <c r="VTB2" s="284"/>
      <c r="VTC2" s="284"/>
      <c r="VTD2" s="284"/>
      <c r="VTE2" s="284"/>
      <c r="VTF2" s="284"/>
      <c r="VTG2" s="284"/>
      <c r="VTH2" s="284"/>
      <c r="VTI2" s="284"/>
      <c r="VTJ2" s="284"/>
      <c r="VTK2" s="284"/>
      <c r="VTL2" s="284"/>
      <c r="VTM2" s="284"/>
      <c r="VTN2" s="284"/>
      <c r="VTO2" s="284"/>
      <c r="VTP2" s="284"/>
      <c r="VTQ2" s="284"/>
      <c r="VTR2" s="284"/>
      <c r="VTS2" s="284"/>
      <c r="VTT2" s="284"/>
      <c r="VTU2" s="284"/>
      <c r="VTV2" s="284"/>
      <c r="VTW2" s="284"/>
      <c r="VTX2" s="284"/>
      <c r="VTY2" s="284"/>
      <c r="VTZ2" s="284"/>
      <c r="VUA2" s="284"/>
      <c r="VUB2" s="284"/>
      <c r="VUC2" s="284"/>
      <c r="VUD2" s="284"/>
      <c r="VUE2" s="284"/>
      <c r="VUF2" s="284"/>
      <c r="VUG2" s="284"/>
      <c r="VUH2" s="284"/>
      <c r="VUI2" s="284"/>
      <c r="VUJ2" s="284"/>
      <c r="VUK2" s="284"/>
      <c r="VUL2" s="284"/>
      <c r="VUM2" s="284"/>
      <c r="VUN2" s="284"/>
      <c r="VUO2" s="284"/>
      <c r="VUP2" s="284"/>
      <c r="VUQ2" s="284"/>
      <c r="VUR2" s="284"/>
      <c r="VUS2" s="284"/>
      <c r="VUT2" s="284"/>
      <c r="VUU2" s="284"/>
      <c r="VUV2" s="284"/>
      <c r="VUW2" s="284"/>
      <c r="VUX2" s="284"/>
      <c r="VUY2" s="284"/>
      <c r="VUZ2" s="284"/>
      <c r="VVA2" s="284"/>
      <c r="VVB2" s="284"/>
      <c r="VVC2" s="284"/>
      <c r="VVD2" s="284"/>
      <c r="VVE2" s="284"/>
      <c r="VVF2" s="284"/>
      <c r="VVG2" s="284"/>
      <c r="VVH2" s="284"/>
      <c r="VVI2" s="284"/>
      <c r="VVJ2" s="284"/>
      <c r="VVK2" s="284"/>
      <c r="VVL2" s="284"/>
      <c r="VVM2" s="284"/>
      <c r="VVN2" s="284"/>
      <c r="VVO2" s="284"/>
      <c r="VVP2" s="284"/>
      <c r="VVQ2" s="284"/>
      <c r="VVR2" s="284"/>
      <c r="VVS2" s="284"/>
      <c r="VVT2" s="284"/>
      <c r="VVU2" s="284"/>
      <c r="VVV2" s="284"/>
      <c r="VVW2" s="284"/>
      <c r="VVX2" s="284"/>
      <c r="VVY2" s="284"/>
      <c r="VVZ2" s="284"/>
      <c r="VWA2" s="284"/>
      <c r="VWB2" s="284"/>
      <c r="VWC2" s="284"/>
      <c r="VWD2" s="284"/>
      <c r="VWE2" s="284"/>
      <c r="VWF2" s="284"/>
      <c r="VWG2" s="284"/>
      <c r="VWH2" s="284"/>
      <c r="VWI2" s="284"/>
      <c r="VWJ2" s="284"/>
      <c r="VWK2" s="284"/>
      <c r="VWL2" s="284"/>
      <c r="VWM2" s="284"/>
      <c r="VWN2" s="284"/>
      <c r="VWO2" s="284"/>
      <c r="VWP2" s="284"/>
      <c r="VWQ2" s="284"/>
      <c r="VWR2" s="284"/>
      <c r="VWS2" s="284"/>
      <c r="VWT2" s="284"/>
      <c r="VWU2" s="284"/>
      <c r="VWV2" s="284"/>
      <c r="VWW2" s="284"/>
      <c r="VWX2" s="284"/>
      <c r="VWY2" s="284"/>
      <c r="VWZ2" s="284"/>
      <c r="VXA2" s="284"/>
      <c r="VXB2" s="284"/>
      <c r="VXC2" s="284"/>
      <c r="VXD2" s="284"/>
      <c r="VXE2" s="284"/>
      <c r="VXF2" s="284"/>
      <c r="VXG2" s="284"/>
      <c r="VXH2" s="284"/>
      <c r="VXI2" s="284"/>
      <c r="VXJ2" s="284"/>
      <c r="VXK2" s="284"/>
      <c r="VXL2" s="284"/>
      <c r="VXM2" s="284"/>
      <c r="VXN2" s="284"/>
      <c r="VXO2" s="284"/>
      <c r="VXP2" s="284"/>
      <c r="VXQ2" s="284"/>
      <c r="VXR2" s="284"/>
      <c r="VXS2" s="284"/>
      <c r="VXT2" s="284"/>
      <c r="VXU2" s="284"/>
      <c r="VXV2" s="284"/>
      <c r="VXW2" s="284"/>
      <c r="VXX2" s="284"/>
      <c r="VXY2" s="284"/>
      <c r="VXZ2" s="284"/>
      <c r="VYA2" s="284"/>
      <c r="VYB2" s="284"/>
      <c r="VYC2" s="284"/>
      <c r="VYD2" s="284"/>
      <c r="VYE2" s="284"/>
      <c r="VYF2" s="284"/>
      <c r="VYG2" s="284"/>
      <c r="VYH2" s="284"/>
      <c r="VYI2" s="284"/>
      <c r="VYJ2" s="284"/>
      <c r="VYK2" s="284"/>
      <c r="VYL2" s="284"/>
      <c r="VYM2" s="284"/>
      <c r="VYN2" s="284"/>
      <c r="VYO2" s="284"/>
      <c r="VYP2" s="284"/>
      <c r="VYQ2" s="284"/>
      <c r="VYR2" s="284"/>
      <c r="VYS2" s="284"/>
      <c r="VYT2" s="284"/>
      <c r="VYU2" s="284"/>
      <c r="VYV2" s="284"/>
      <c r="VYW2" s="284"/>
      <c r="VYX2" s="284"/>
      <c r="VYY2" s="284"/>
      <c r="VYZ2" s="284"/>
      <c r="VZA2" s="284"/>
      <c r="VZB2" s="284"/>
      <c r="VZC2" s="284"/>
      <c r="VZD2" s="284"/>
      <c r="VZE2" s="284"/>
      <c r="VZF2" s="284"/>
      <c r="VZG2" s="284"/>
      <c r="VZH2" s="284"/>
      <c r="VZI2" s="284"/>
      <c r="VZJ2" s="284"/>
      <c r="VZK2" s="284"/>
      <c r="VZL2" s="284"/>
      <c r="VZM2" s="284"/>
      <c r="VZN2" s="284"/>
      <c r="VZO2" s="284"/>
      <c r="VZP2" s="284"/>
      <c r="VZQ2" s="284"/>
      <c r="VZR2" s="284"/>
      <c r="VZS2" s="284"/>
      <c r="VZT2" s="284"/>
      <c r="VZU2" s="284"/>
      <c r="VZV2" s="284"/>
      <c r="VZW2" s="284"/>
      <c r="VZX2" s="284"/>
      <c r="VZY2" s="284"/>
      <c r="VZZ2" s="284"/>
      <c r="WAA2" s="284"/>
      <c r="WAB2" s="284"/>
      <c r="WAC2" s="284"/>
      <c r="WAD2" s="284"/>
      <c r="WAE2" s="284"/>
      <c r="WAF2" s="284"/>
      <c r="WAG2" s="284"/>
      <c r="WAH2" s="284"/>
      <c r="WAI2" s="284"/>
      <c r="WAJ2" s="284"/>
      <c r="WAK2" s="284"/>
      <c r="WAL2" s="284"/>
      <c r="WAM2" s="284"/>
      <c r="WAN2" s="284"/>
      <c r="WAO2" s="284"/>
      <c r="WAP2" s="284"/>
      <c r="WAQ2" s="284"/>
      <c r="WAR2" s="284"/>
      <c r="WAS2" s="284"/>
      <c r="WAT2" s="284"/>
      <c r="WAU2" s="284"/>
      <c r="WAV2" s="284"/>
      <c r="WAW2" s="284"/>
      <c r="WAX2" s="284"/>
      <c r="WAY2" s="284"/>
      <c r="WAZ2" s="284"/>
      <c r="WBA2" s="284"/>
      <c r="WBB2" s="284"/>
      <c r="WBC2" s="284"/>
      <c r="WBD2" s="284"/>
      <c r="WBE2" s="284"/>
      <c r="WBF2" s="284"/>
      <c r="WBG2" s="284"/>
      <c r="WBH2" s="284"/>
      <c r="WBI2" s="284"/>
      <c r="WBJ2" s="284"/>
      <c r="WBK2" s="284"/>
      <c r="WBL2" s="284"/>
      <c r="WBM2" s="284"/>
      <c r="WBN2" s="284"/>
      <c r="WBO2" s="284"/>
      <c r="WBP2" s="284"/>
      <c r="WBQ2" s="284"/>
      <c r="WBR2" s="284"/>
      <c r="WBS2" s="284"/>
      <c r="WBT2" s="284"/>
      <c r="WBU2" s="284"/>
      <c r="WBV2" s="284"/>
      <c r="WBW2" s="284"/>
      <c r="WBX2" s="284"/>
      <c r="WBY2" s="284"/>
      <c r="WBZ2" s="284"/>
      <c r="WCA2" s="284"/>
      <c r="WCB2" s="284"/>
      <c r="WCC2" s="284"/>
      <c r="WCD2" s="284"/>
      <c r="WCE2" s="284"/>
      <c r="WCF2" s="284"/>
      <c r="WCG2" s="284"/>
      <c r="WCH2" s="284"/>
      <c r="WCI2" s="284"/>
      <c r="WCJ2" s="284"/>
      <c r="WCK2" s="284"/>
      <c r="WCL2" s="284"/>
      <c r="WCM2" s="284"/>
      <c r="WCN2" s="284"/>
      <c r="WCO2" s="284"/>
      <c r="WCP2" s="284"/>
      <c r="WCQ2" s="284"/>
      <c r="WCR2" s="284"/>
      <c r="WCS2" s="284"/>
      <c r="WCT2" s="284"/>
      <c r="WCU2" s="284"/>
      <c r="WCV2" s="284"/>
      <c r="WCW2" s="284"/>
      <c r="WCX2" s="284"/>
      <c r="WCY2" s="284"/>
      <c r="WCZ2" s="284"/>
      <c r="WDA2" s="284"/>
      <c r="WDB2" s="284"/>
      <c r="WDC2" s="284"/>
      <c r="WDD2" s="284"/>
      <c r="WDE2" s="284"/>
      <c r="WDF2" s="284"/>
      <c r="WDG2" s="284"/>
      <c r="WDH2" s="284"/>
      <c r="WDI2" s="284"/>
      <c r="WDJ2" s="284"/>
      <c r="WDK2" s="284"/>
      <c r="WDL2" s="284"/>
      <c r="WDM2" s="284"/>
      <c r="WDN2" s="284"/>
      <c r="WDO2" s="284"/>
      <c r="WDP2" s="284"/>
      <c r="WDQ2" s="284"/>
      <c r="WDR2" s="284"/>
      <c r="WDS2" s="284"/>
      <c r="WDT2" s="284"/>
      <c r="WDU2" s="284"/>
      <c r="WDV2" s="284"/>
      <c r="WDW2" s="284"/>
      <c r="WDX2" s="284"/>
      <c r="WDY2" s="284"/>
      <c r="WDZ2" s="284"/>
      <c r="WEA2" s="284"/>
      <c r="WEB2" s="284"/>
      <c r="WEC2" s="284"/>
      <c r="WED2" s="284"/>
      <c r="WEE2" s="284"/>
      <c r="WEF2" s="284"/>
      <c r="WEG2" s="284"/>
      <c r="WEH2" s="284"/>
      <c r="WEI2" s="284"/>
      <c r="WEJ2" s="284"/>
      <c r="WEK2" s="284"/>
      <c r="WEL2" s="284"/>
      <c r="WEM2" s="284"/>
      <c r="WEN2" s="284"/>
      <c r="WEO2" s="284"/>
      <c r="WEP2" s="284"/>
      <c r="WEQ2" s="284"/>
      <c r="WER2" s="284"/>
      <c r="WES2" s="284"/>
      <c r="WET2" s="284"/>
      <c r="WEU2" s="284"/>
      <c r="WEV2" s="284"/>
      <c r="WEW2" s="284"/>
      <c r="WEX2" s="284"/>
      <c r="WEY2" s="284"/>
      <c r="WEZ2" s="284"/>
      <c r="WFA2" s="284"/>
      <c r="WFB2" s="284"/>
      <c r="WFC2" s="284"/>
      <c r="WFD2" s="284"/>
      <c r="WFE2" s="284"/>
      <c r="WFF2" s="284"/>
      <c r="WFG2" s="284"/>
      <c r="WFH2" s="284"/>
      <c r="WFI2" s="284"/>
      <c r="WFJ2" s="284"/>
      <c r="WFK2" s="284"/>
      <c r="WFL2" s="284"/>
      <c r="WFM2" s="284"/>
      <c r="WFN2" s="284"/>
      <c r="WFO2" s="284"/>
      <c r="WFP2" s="284"/>
      <c r="WFQ2" s="284"/>
      <c r="WFR2" s="284"/>
      <c r="WFS2" s="284"/>
      <c r="WFT2" s="284"/>
      <c r="WFU2" s="284"/>
      <c r="WFV2" s="284"/>
      <c r="WFW2" s="284"/>
      <c r="WFX2" s="284"/>
      <c r="WFY2" s="284"/>
      <c r="WFZ2" s="284"/>
      <c r="WGA2" s="284"/>
      <c r="WGB2" s="284"/>
      <c r="WGC2" s="284"/>
      <c r="WGD2" s="284"/>
      <c r="WGE2" s="284"/>
      <c r="WGF2" s="284"/>
      <c r="WGG2" s="284"/>
      <c r="WGH2" s="284"/>
      <c r="WGI2" s="284"/>
      <c r="WGJ2" s="284"/>
      <c r="WGK2" s="284"/>
      <c r="WGL2" s="284"/>
      <c r="WGM2" s="284"/>
      <c r="WGN2" s="284"/>
      <c r="WGO2" s="284"/>
      <c r="WGP2" s="284"/>
      <c r="WGQ2" s="284"/>
      <c r="WGR2" s="284"/>
      <c r="WGS2" s="284"/>
      <c r="WGT2" s="284"/>
      <c r="WGU2" s="284"/>
      <c r="WGV2" s="284"/>
      <c r="WGW2" s="284"/>
      <c r="WGX2" s="284"/>
      <c r="WGY2" s="284"/>
      <c r="WGZ2" s="284"/>
      <c r="WHA2" s="284"/>
      <c r="WHB2" s="284"/>
      <c r="WHC2" s="284"/>
      <c r="WHD2" s="284"/>
      <c r="WHE2" s="284"/>
      <c r="WHF2" s="284"/>
      <c r="WHG2" s="284"/>
      <c r="WHH2" s="284"/>
      <c r="WHI2" s="284"/>
      <c r="WHJ2" s="284"/>
      <c r="WHK2" s="284"/>
      <c r="WHL2" s="284"/>
      <c r="WHM2" s="284"/>
      <c r="WHN2" s="284"/>
      <c r="WHO2" s="284"/>
      <c r="WHP2" s="284"/>
      <c r="WHQ2" s="284"/>
      <c r="WHR2" s="284"/>
      <c r="WHS2" s="284"/>
      <c r="WHT2" s="284"/>
      <c r="WHU2" s="284"/>
      <c r="WHV2" s="284"/>
      <c r="WHW2" s="284"/>
      <c r="WHX2" s="284"/>
      <c r="WHY2" s="284"/>
      <c r="WHZ2" s="284"/>
      <c r="WIA2" s="284"/>
      <c r="WIB2" s="284"/>
      <c r="WIC2" s="284"/>
      <c r="WID2" s="284"/>
      <c r="WIE2" s="284"/>
      <c r="WIF2" s="284"/>
      <c r="WIG2" s="284"/>
      <c r="WIH2" s="284"/>
      <c r="WII2" s="284"/>
      <c r="WIJ2" s="284"/>
      <c r="WIK2" s="284"/>
      <c r="WIL2" s="284"/>
      <c r="WIM2" s="284"/>
      <c r="WIN2" s="284"/>
      <c r="WIO2" s="284"/>
      <c r="WIP2" s="284"/>
      <c r="WIQ2" s="284"/>
      <c r="WIR2" s="284"/>
      <c r="WIS2" s="284"/>
      <c r="WIT2" s="284"/>
      <c r="WIU2" s="284"/>
      <c r="WIV2" s="284"/>
      <c r="WIW2" s="284"/>
      <c r="WIX2" s="284"/>
      <c r="WIY2" s="284"/>
      <c r="WIZ2" s="284"/>
      <c r="WJA2" s="284"/>
      <c r="WJB2" s="284"/>
      <c r="WJC2" s="284"/>
      <c r="WJD2" s="284"/>
      <c r="WJE2" s="284"/>
      <c r="WJF2" s="284"/>
      <c r="WJG2" s="284"/>
      <c r="WJH2" s="284"/>
      <c r="WJI2" s="284"/>
      <c r="WJJ2" s="284"/>
      <c r="WJK2" s="284"/>
      <c r="WJL2" s="284"/>
      <c r="WJM2" s="284"/>
      <c r="WJN2" s="284"/>
      <c r="WJO2" s="284"/>
      <c r="WJP2" s="284"/>
      <c r="WJQ2" s="284"/>
      <c r="WJR2" s="284"/>
      <c r="WJS2" s="284"/>
      <c r="WJT2" s="284"/>
      <c r="WJU2" s="284"/>
      <c r="WJV2" s="284"/>
      <c r="WJW2" s="284"/>
      <c r="WJX2" s="284"/>
      <c r="WJY2" s="284"/>
      <c r="WJZ2" s="284"/>
      <c r="WKA2" s="284"/>
      <c r="WKB2" s="284"/>
      <c r="WKC2" s="284"/>
      <c r="WKD2" s="284"/>
      <c r="WKE2" s="284"/>
      <c r="WKF2" s="284"/>
      <c r="WKG2" s="284"/>
      <c r="WKH2" s="284"/>
      <c r="WKI2" s="284"/>
      <c r="WKJ2" s="284"/>
      <c r="WKK2" s="284"/>
      <c r="WKL2" s="284"/>
      <c r="WKM2" s="284"/>
      <c r="WKN2" s="284"/>
      <c r="WKO2" s="284"/>
      <c r="WKP2" s="284"/>
      <c r="WKQ2" s="284"/>
      <c r="WKR2" s="284"/>
      <c r="WKS2" s="284"/>
      <c r="WKT2" s="284"/>
      <c r="WKU2" s="284"/>
      <c r="WKV2" s="284"/>
      <c r="WKW2" s="284"/>
      <c r="WKX2" s="284"/>
      <c r="WKY2" s="284"/>
      <c r="WKZ2" s="284"/>
      <c r="WLA2" s="284"/>
      <c r="WLB2" s="284"/>
      <c r="WLC2" s="284"/>
      <c r="WLD2" s="284"/>
      <c r="WLE2" s="284"/>
      <c r="WLF2" s="284"/>
      <c r="WLG2" s="284"/>
      <c r="WLH2" s="284"/>
      <c r="WLI2" s="284"/>
      <c r="WLJ2" s="284"/>
      <c r="WLK2" s="284"/>
      <c r="WLL2" s="284"/>
      <c r="WLM2" s="284"/>
      <c r="WLN2" s="284"/>
      <c r="WLO2" s="284"/>
      <c r="WLP2" s="284"/>
      <c r="WLQ2" s="284"/>
      <c r="WLR2" s="284"/>
      <c r="WLS2" s="284"/>
      <c r="WLT2" s="284"/>
      <c r="WLU2" s="284"/>
      <c r="WLV2" s="284"/>
      <c r="WLW2" s="284"/>
      <c r="WLX2" s="284"/>
      <c r="WLY2" s="284"/>
      <c r="WLZ2" s="284"/>
      <c r="WMA2" s="284"/>
      <c r="WMB2" s="284"/>
      <c r="WMC2" s="284"/>
      <c r="WMD2" s="284"/>
      <c r="WME2" s="284"/>
      <c r="WMF2" s="284"/>
      <c r="WMG2" s="284"/>
      <c r="WMH2" s="284"/>
      <c r="WMI2" s="284"/>
      <c r="WMJ2" s="284"/>
      <c r="WMK2" s="284"/>
      <c r="WML2" s="284"/>
      <c r="WMM2" s="284"/>
      <c r="WMN2" s="284"/>
      <c r="WMO2" s="284"/>
      <c r="WMP2" s="284"/>
      <c r="WMQ2" s="284"/>
      <c r="WMR2" s="284"/>
      <c r="WMS2" s="284"/>
      <c r="WMT2" s="284"/>
      <c r="WMU2" s="284"/>
      <c r="WMV2" s="284"/>
      <c r="WMW2" s="284"/>
      <c r="WMX2" s="284"/>
      <c r="WMY2" s="284"/>
      <c r="WMZ2" s="284"/>
      <c r="WNA2" s="284"/>
      <c r="WNB2" s="284"/>
      <c r="WNC2" s="284"/>
      <c r="WND2" s="284"/>
      <c r="WNE2" s="284"/>
      <c r="WNF2" s="284"/>
      <c r="WNG2" s="284"/>
      <c r="WNH2" s="284"/>
      <c r="WNI2" s="284"/>
      <c r="WNJ2" s="284"/>
      <c r="WNK2" s="284"/>
      <c r="WNL2" s="284"/>
      <c r="WNM2" s="284"/>
      <c r="WNN2" s="284"/>
      <c r="WNO2" s="284"/>
      <c r="WNP2" s="284"/>
      <c r="WNQ2" s="284"/>
      <c r="WNR2" s="284"/>
      <c r="WNS2" s="284"/>
      <c r="WNT2" s="284"/>
      <c r="WNU2" s="284"/>
      <c r="WNV2" s="284"/>
      <c r="WNW2" s="284"/>
      <c r="WNX2" s="284"/>
      <c r="WNY2" s="284"/>
      <c r="WNZ2" s="284"/>
      <c r="WOA2" s="284"/>
      <c r="WOB2" s="284"/>
      <c r="WOC2" s="284"/>
      <c r="WOD2" s="284"/>
      <c r="WOE2" s="284"/>
      <c r="WOF2" s="284"/>
      <c r="WOG2" s="284"/>
      <c r="WOH2" s="284"/>
      <c r="WOI2" s="284"/>
      <c r="WOJ2" s="284"/>
      <c r="WOK2" s="284"/>
      <c r="WOL2" s="284"/>
      <c r="WOM2" s="284"/>
      <c r="WON2" s="284"/>
      <c r="WOO2" s="284"/>
      <c r="WOP2" s="284"/>
      <c r="WOQ2" s="284"/>
      <c r="WOR2" s="284"/>
      <c r="WOS2" s="284"/>
      <c r="WOT2" s="284"/>
      <c r="WOU2" s="284"/>
      <c r="WOV2" s="284"/>
      <c r="WOW2" s="284"/>
      <c r="WOX2" s="284"/>
      <c r="WOY2" s="284"/>
      <c r="WOZ2" s="284"/>
      <c r="WPA2" s="284"/>
      <c r="WPB2" s="284"/>
      <c r="WPC2" s="284"/>
      <c r="WPD2" s="284"/>
      <c r="WPE2" s="284"/>
      <c r="WPF2" s="284"/>
      <c r="WPG2" s="284"/>
      <c r="WPH2" s="284"/>
      <c r="WPI2" s="284"/>
      <c r="WPJ2" s="284"/>
      <c r="WPK2" s="284"/>
      <c r="WPL2" s="284"/>
      <c r="WPM2" s="284"/>
      <c r="WPN2" s="284"/>
      <c r="WPO2" s="284"/>
      <c r="WPP2" s="284"/>
      <c r="WPQ2" s="284"/>
      <c r="WPR2" s="284"/>
      <c r="WPS2" s="284"/>
      <c r="WPT2" s="284"/>
      <c r="WPU2" s="284"/>
      <c r="WPV2" s="284"/>
      <c r="WPW2" s="284"/>
      <c r="WPX2" s="284"/>
      <c r="WPY2" s="284"/>
      <c r="WPZ2" s="284"/>
      <c r="WQA2" s="284"/>
      <c r="WQB2" s="284"/>
      <c r="WQC2" s="284"/>
      <c r="WQD2" s="284"/>
      <c r="WQE2" s="284"/>
      <c r="WQF2" s="284"/>
      <c r="WQG2" s="284"/>
      <c r="WQH2" s="284"/>
      <c r="WQI2" s="284"/>
      <c r="WQJ2" s="284"/>
      <c r="WQK2" s="284"/>
      <c r="WQL2" s="284"/>
      <c r="WQM2" s="284"/>
      <c r="WQN2" s="284"/>
      <c r="WQO2" s="284"/>
      <c r="WQP2" s="284"/>
      <c r="WQQ2" s="284"/>
      <c r="WQR2" s="284"/>
      <c r="WQS2" s="284"/>
      <c r="WQT2" s="284"/>
      <c r="WQU2" s="284"/>
      <c r="WQV2" s="284"/>
      <c r="WQW2" s="284"/>
      <c r="WQX2" s="284"/>
      <c r="WQY2" s="284"/>
      <c r="WQZ2" s="284"/>
      <c r="WRA2" s="284"/>
      <c r="WRB2" s="284"/>
      <c r="WRC2" s="284"/>
      <c r="WRD2" s="284"/>
      <c r="WRE2" s="284"/>
      <c r="WRF2" s="284"/>
      <c r="WRG2" s="284"/>
      <c r="WRH2" s="284"/>
      <c r="WRI2" s="284"/>
      <c r="WRJ2" s="284"/>
      <c r="WRK2" s="284"/>
      <c r="WRL2" s="284"/>
      <c r="WRM2" s="284"/>
      <c r="WRN2" s="284"/>
      <c r="WRO2" s="284"/>
      <c r="WRP2" s="284"/>
      <c r="WRQ2" s="284"/>
      <c r="WRR2" s="284"/>
      <c r="WRS2" s="284"/>
      <c r="WRT2" s="284"/>
      <c r="WRU2" s="284"/>
      <c r="WRV2" s="284"/>
      <c r="WRW2" s="284"/>
      <c r="WRX2" s="284"/>
      <c r="WRY2" s="284"/>
      <c r="WRZ2" s="284"/>
      <c r="WSA2" s="284"/>
      <c r="WSB2" s="284"/>
      <c r="WSC2" s="284"/>
      <c r="WSD2" s="284"/>
      <c r="WSE2" s="284"/>
      <c r="WSF2" s="284"/>
      <c r="WSG2" s="284"/>
      <c r="WSH2" s="284"/>
      <c r="WSI2" s="284"/>
      <c r="WSJ2" s="284"/>
      <c r="WSK2" s="284"/>
      <c r="WSL2" s="284"/>
      <c r="WSM2" s="284"/>
      <c r="WSN2" s="284"/>
      <c r="WSO2" s="284"/>
      <c r="WSP2" s="284"/>
      <c r="WSQ2" s="284"/>
      <c r="WSR2" s="284"/>
      <c r="WSS2" s="284"/>
      <c r="WST2" s="284"/>
      <c r="WSU2" s="284"/>
      <c r="WSV2" s="284"/>
      <c r="WSW2" s="284"/>
      <c r="WSX2" s="284"/>
      <c r="WSY2" s="284"/>
      <c r="WSZ2" s="284"/>
      <c r="WTA2" s="284"/>
      <c r="WTB2" s="284"/>
      <c r="WTC2" s="284"/>
      <c r="WTD2" s="284"/>
      <c r="WTE2" s="284"/>
      <c r="WTF2" s="284"/>
      <c r="WTG2" s="284"/>
      <c r="WTH2" s="284"/>
      <c r="WTI2" s="284"/>
      <c r="WTJ2" s="284"/>
      <c r="WTK2" s="284"/>
      <c r="WTL2" s="284"/>
      <c r="WTM2" s="284"/>
      <c r="WTN2" s="284"/>
      <c r="WTO2" s="284"/>
      <c r="WTP2" s="284"/>
      <c r="WTQ2" s="284"/>
      <c r="WTR2" s="284"/>
      <c r="WTS2" s="284"/>
      <c r="WTT2" s="284"/>
      <c r="WTU2" s="284"/>
      <c r="WTV2" s="284"/>
      <c r="WTW2" s="284"/>
      <c r="WTX2" s="284"/>
      <c r="WTY2" s="284"/>
      <c r="WTZ2" s="284"/>
      <c r="WUA2" s="284"/>
      <c r="WUB2" s="284"/>
      <c r="WUC2" s="284"/>
      <c r="WUD2" s="284"/>
      <c r="WUE2" s="284"/>
      <c r="WUF2" s="284"/>
      <c r="WUG2" s="284"/>
      <c r="WUH2" s="284"/>
      <c r="WUI2" s="284"/>
      <c r="WUJ2" s="284"/>
      <c r="WUK2" s="284"/>
      <c r="WUL2" s="284"/>
      <c r="WUM2" s="284"/>
      <c r="WUN2" s="284"/>
      <c r="WUO2" s="284"/>
      <c r="WUP2" s="284"/>
      <c r="WUQ2" s="284"/>
      <c r="WUR2" s="284"/>
      <c r="WUS2" s="284"/>
      <c r="WUT2" s="284"/>
      <c r="WUU2" s="284"/>
      <c r="WUV2" s="284"/>
      <c r="WUW2" s="284"/>
      <c r="WUX2" s="284"/>
      <c r="WUY2" s="284"/>
      <c r="WUZ2" s="284"/>
      <c r="WVA2" s="284"/>
      <c r="WVB2" s="284"/>
      <c r="WVC2" s="284"/>
      <c r="WVD2" s="284"/>
      <c r="WVE2" s="284"/>
      <c r="WVF2" s="284"/>
      <c r="WVG2" s="284"/>
      <c r="WVH2" s="284"/>
      <c r="WVI2" s="284"/>
      <c r="WVJ2" s="284"/>
      <c r="WVK2" s="284"/>
      <c r="WVL2" s="284"/>
      <c r="WVM2" s="284"/>
      <c r="WVN2" s="284"/>
      <c r="WVO2" s="284"/>
      <c r="WVP2" s="284"/>
      <c r="WVQ2" s="284"/>
      <c r="WVR2" s="284"/>
      <c r="WVS2" s="284"/>
      <c r="WVT2" s="284"/>
      <c r="WVU2" s="284"/>
      <c r="WVV2" s="284"/>
      <c r="WVW2" s="284"/>
      <c r="WVX2" s="284"/>
      <c r="WVY2" s="284"/>
      <c r="WVZ2" s="284"/>
      <c r="WWA2" s="284"/>
      <c r="WWB2" s="284"/>
      <c r="WWC2" s="284"/>
      <c r="WWD2" s="284"/>
      <c r="WWE2" s="284"/>
      <c r="WWF2" s="284"/>
      <c r="WWG2" s="284"/>
      <c r="WWH2" s="284"/>
      <c r="WWI2" s="284"/>
      <c r="WWJ2" s="284"/>
      <c r="WWK2" s="284"/>
      <c r="WWL2" s="284"/>
      <c r="WWM2" s="284"/>
      <c r="WWN2" s="284"/>
      <c r="WWO2" s="284"/>
      <c r="WWP2" s="284"/>
      <c r="WWQ2" s="284"/>
      <c r="WWR2" s="284"/>
      <c r="WWS2" s="284"/>
      <c r="WWT2" s="284"/>
      <c r="WWU2" s="284"/>
      <c r="WWV2" s="284"/>
      <c r="WWW2" s="284"/>
      <c r="WWX2" s="284"/>
      <c r="WWY2" s="284"/>
      <c r="WWZ2" s="284"/>
      <c r="WXA2" s="284"/>
      <c r="WXB2" s="284"/>
      <c r="WXC2" s="284"/>
      <c r="WXD2" s="284"/>
      <c r="WXE2" s="284"/>
      <c r="WXF2" s="284"/>
      <c r="WXG2" s="284"/>
      <c r="WXH2" s="284"/>
      <c r="WXI2" s="284"/>
      <c r="WXJ2" s="284"/>
      <c r="WXK2" s="284"/>
      <c r="WXL2" s="284"/>
      <c r="WXM2" s="284"/>
      <c r="WXN2" s="284"/>
      <c r="WXO2" s="284"/>
      <c r="WXP2" s="284"/>
      <c r="WXQ2" s="284"/>
      <c r="WXR2" s="284"/>
      <c r="WXS2" s="284"/>
      <c r="WXT2" s="284"/>
      <c r="WXU2" s="284"/>
      <c r="WXV2" s="284"/>
      <c r="WXW2" s="284"/>
      <c r="WXX2" s="284"/>
      <c r="WXY2" s="284"/>
      <c r="WXZ2" s="284"/>
      <c r="WYA2" s="284"/>
      <c r="WYB2" s="284"/>
      <c r="WYC2" s="284"/>
      <c r="WYD2" s="284"/>
      <c r="WYE2" s="284"/>
      <c r="WYF2" s="284"/>
      <c r="WYG2" s="284"/>
      <c r="WYH2" s="284"/>
      <c r="WYI2" s="284"/>
      <c r="WYJ2" s="284"/>
      <c r="WYK2" s="284"/>
      <c r="WYL2" s="284"/>
      <c r="WYM2" s="284"/>
      <c r="WYN2" s="284"/>
      <c r="WYO2" s="284"/>
      <c r="WYP2" s="284"/>
      <c r="WYQ2" s="284"/>
      <c r="WYR2" s="284"/>
      <c r="WYS2" s="284"/>
      <c r="WYT2" s="284"/>
      <c r="WYU2" s="284"/>
      <c r="WYV2" s="284"/>
      <c r="WYW2" s="284"/>
      <c r="WYX2" s="284"/>
      <c r="WYY2" s="284"/>
      <c r="WYZ2" s="284"/>
      <c r="WZA2" s="284"/>
      <c r="WZB2" s="284"/>
      <c r="WZC2" s="284"/>
      <c r="WZD2" s="284"/>
      <c r="WZE2" s="284"/>
      <c r="WZF2" s="284"/>
      <c r="WZG2" s="284"/>
      <c r="WZH2" s="284"/>
      <c r="WZI2" s="284"/>
      <c r="WZJ2" s="284"/>
      <c r="WZK2" s="284"/>
      <c r="WZL2" s="284"/>
      <c r="WZM2" s="284"/>
      <c r="WZN2" s="284"/>
      <c r="WZO2" s="284"/>
      <c r="WZP2" s="284"/>
      <c r="WZQ2" s="284"/>
      <c r="WZR2" s="284"/>
      <c r="WZS2" s="284"/>
      <c r="WZT2" s="284"/>
      <c r="WZU2" s="284"/>
      <c r="WZV2" s="284"/>
      <c r="WZW2" s="284"/>
      <c r="WZX2" s="284"/>
      <c r="WZY2" s="284"/>
      <c r="WZZ2" s="284"/>
      <c r="XAA2" s="284"/>
      <c r="XAB2" s="284"/>
      <c r="XAC2" s="284"/>
      <c r="XAD2" s="284"/>
      <c r="XAE2" s="284"/>
      <c r="XAF2" s="284"/>
      <c r="XAG2" s="284"/>
      <c r="XAH2" s="284"/>
      <c r="XAI2" s="284"/>
      <c r="XAJ2" s="284"/>
      <c r="XAK2" s="284"/>
      <c r="XAL2" s="284"/>
      <c r="XAM2" s="284"/>
      <c r="XAN2" s="284"/>
      <c r="XAO2" s="284"/>
      <c r="XAP2" s="284"/>
      <c r="XAQ2" s="284"/>
      <c r="XAR2" s="284"/>
      <c r="XAS2" s="284"/>
      <c r="XAT2" s="284"/>
      <c r="XAU2" s="284"/>
      <c r="XAV2" s="284"/>
      <c r="XAW2" s="284"/>
      <c r="XAX2" s="284"/>
      <c r="XAY2" s="284"/>
      <c r="XAZ2" s="284"/>
      <c r="XBA2" s="284"/>
      <c r="XBB2" s="284"/>
      <c r="XBC2" s="284"/>
      <c r="XBD2" s="284"/>
      <c r="XBE2" s="284"/>
      <c r="XBF2" s="284"/>
      <c r="XBG2" s="284"/>
      <c r="XBH2" s="284"/>
      <c r="XBI2" s="284"/>
      <c r="XBJ2" s="284"/>
      <c r="XBK2" s="284"/>
      <c r="XBL2" s="284"/>
      <c r="XBM2" s="284"/>
      <c r="XBN2" s="284"/>
      <c r="XBO2" s="284"/>
      <c r="XBP2" s="284"/>
      <c r="XBQ2" s="284"/>
      <c r="XBR2" s="284"/>
      <c r="XBS2" s="284"/>
      <c r="XBT2" s="284"/>
      <c r="XBU2" s="284"/>
      <c r="XBV2" s="284"/>
      <c r="XBW2" s="284"/>
      <c r="XBX2" s="284"/>
      <c r="XBY2" s="284"/>
      <c r="XBZ2" s="284"/>
      <c r="XCA2" s="284"/>
      <c r="XCB2" s="284"/>
      <c r="XCC2" s="284"/>
      <c r="XCD2" s="284"/>
      <c r="XCE2" s="284"/>
      <c r="XCF2" s="284"/>
      <c r="XCG2" s="284"/>
      <c r="XCH2" s="284"/>
      <c r="XCI2" s="284"/>
      <c r="XCJ2" s="284"/>
      <c r="XCK2" s="284"/>
      <c r="XCL2" s="284"/>
      <c r="XCM2" s="284"/>
      <c r="XCN2" s="284"/>
      <c r="XCO2" s="284"/>
      <c r="XCP2" s="284"/>
      <c r="XCQ2" s="284"/>
      <c r="XCR2" s="284"/>
      <c r="XCS2" s="284"/>
      <c r="XCT2" s="284"/>
      <c r="XCU2" s="284"/>
      <c r="XCV2" s="284"/>
      <c r="XCW2" s="284"/>
      <c r="XCX2" s="284"/>
      <c r="XCY2" s="284"/>
      <c r="XCZ2" s="284"/>
      <c r="XDA2" s="284"/>
      <c r="XDB2" s="284"/>
      <c r="XDC2" s="284"/>
      <c r="XDD2" s="284"/>
      <c r="XDE2" s="284"/>
      <c r="XDF2" s="284"/>
      <c r="XDG2" s="284"/>
      <c r="XDH2" s="284"/>
      <c r="XDI2" s="284"/>
      <c r="XDJ2" s="284"/>
      <c r="XDK2" s="284"/>
      <c r="XDL2" s="284"/>
      <c r="XDM2" s="284"/>
      <c r="XDN2" s="284"/>
      <c r="XDO2" s="284"/>
      <c r="XDP2" s="284"/>
      <c r="XDQ2" s="284"/>
      <c r="XDR2" s="284"/>
      <c r="XDS2" s="284"/>
      <c r="XDT2" s="284"/>
      <c r="XDU2" s="284"/>
      <c r="XDV2" s="284"/>
      <c r="XDW2" s="284"/>
      <c r="XDX2" s="284"/>
      <c r="XDY2" s="284"/>
      <c r="XDZ2" s="284"/>
      <c r="XEA2" s="284"/>
      <c r="XEB2" s="284"/>
      <c r="XEC2" s="284"/>
      <c r="XED2" s="284"/>
      <c r="XEE2" s="284"/>
      <c r="XEF2" s="284"/>
      <c r="XEG2" s="284"/>
      <c r="XEH2" s="284"/>
      <c r="XEI2" s="284"/>
      <c r="XEJ2" s="284"/>
      <c r="XEK2" s="284"/>
      <c r="XEL2" s="284"/>
      <c r="XEM2" s="284"/>
      <c r="XEN2" s="284"/>
      <c r="XEO2" s="284"/>
      <c r="XEP2" s="284"/>
      <c r="XEQ2" s="284"/>
      <c r="XER2" s="284"/>
      <c r="XES2" s="284"/>
      <c r="XET2" s="284"/>
      <c r="XEU2" s="284"/>
      <c r="XEV2" s="284"/>
      <c r="XEW2" s="284"/>
      <c r="XEX2" s="284"/>
      <c r="XEY2" s="284"/>
      <c r="XEZ2" s="284"/>
      <c r="XFA2" s="284"/>
      <c r="XFB2" s="284"/>
      <c r="XFC2" s="284"/>
    </row>
    <row r="3" s="283" customFormat="1" ht="33" customHeight="1" spans="1:16383">
      <c r="A3" s="284"/>
      <c r="B3" s="294" t="s">
        <v>13</v>
      </c>
      <c r="C3" s="295" t="s">
        <v>14</v>
      </c>
      <c r="D3" s="295" t="s">
        <v>15</v>
      </c>
      <c r="E3" s="296" t="s">
        <v>16</v>
      </c>
      <c r="F3" s="296" t="s">
        <v>17</v>
      </c>
      <c r="G3" s="297" t="s">
        <v>18</v>
      </c>
      <c r="H3" s="297" t="s">
        <v>19</v>
      </c>
      <c r="I3" s="297" t="s">
        <v>20</v>
      </c>
      <c r="J3" s="297" t="s">
        <v>21</v>
      </c>
      <c r="K3" s="296" t="s">
        <v>22</v>
      </c>
      <c r="L3" s="296" t="s">
        <v>23</v>
      </c>
      <c r="M3" s="324" t="s">
        <v>24</v>
      </c>
      <c r="N3" s="295" t="s">
        <v>25</v>
      </c>
      <c r="O3" s="325" t="s">
        <v>26</v>
      </c>
      <c r="P3" s="283" t="s">
        <v>27</v>
      </c>
      <c r="Q3" s="284"/>
      <c r="R3" s="284"/>
      <c r="S3" s="284"/>
      <c r="T3" s="284"/>
      <c r="U3" s="284"/>
      <c r="V3" s="284"/>
      <c r="W3" s="284"/>
      <c r="X3" s="284"/>
      <c r="Y3" s="284"/>
      <c r="Z3" s="284"/>
      <c r="AA3" s="284"/>
      <c r="AB3" s="284"/>
      <c r="AC3" s="284"/>
      <c r="AD3" s="284"/>
      <c r="AE3" s="284"/>
      <c r="AF3" s="284"/>
      <c r="AG3" s="284"/>
      <c r="AH3" s="284"/>
      <c r="AI3" s="284"/>
      <c r="AJ3" s="284"/>
      <c r="AK3" s="284"/>
      <c r="AL3" s="284"/>
      <c r="AM3" s="284"/>
      <c r="AN3" s="284"/>
      <c r="AO3" s="284"/>
      <c r="AP3" s="284"/>
      <c r="AQ3" s="284"/>
      <c r="AR3" s="284"/>
      <c r="AS3" s="284"/>
      <c r="AT3" s="284"/>
      <c r="AU3" s="284"/>
      <c r="AV3" s="284"/>
      <c r="AW3" s="284"/>
      <c r="AX3" s="284"/>
      <c r="AY3" s="284"/>
      <c r="AZ3" s="284"/>
      <c r="BA3" s="284"/>
      <c r="BB3" s="284"/>
      <c r="BC3" s="284"/>
      <c r="BD3" s="284"/>
      <c r="BE3" s="284"/>
      <c r="BF3" s="284"/>
      <c r="BG3" s="284"/>
      <c r="BH3" s="284"/>
      <c r="BI3" s="284"/>
      <c r="BJ3" s="284"/>
      <c r="BK3" s="284"/>
      <c r="BL3" s="284"/>
      <c r="BM3" s="284"/>
      <c r="BN3" s="284"/>
      <c r="BO3" s="284"/>
      <c r="BP3" s="284"/>
      <c r="BQ3" s="284"/>
      <c r="BR3" s="284"/>
      <c r="BS3" s="284"/>
      <c r="BT3" s="284"/>
      <c r="BU3" s="284"/>
      <c r="BV3" s="284"/>
      <c r="BW3" s="284"/>
      <c r="BX3" s="284"/>
      <c r="BY3" s="284"/>
      <c r="BZ3" s="284"/>
      <c r="CA3" s="284"/>
      <c r="CB3" s="284"/>
      <c r="CC3" s="284"/>
      <c r="CD3" s="284"/>
      <c r="CE3" s="284"/>
      <c r="CF3" s="284"/>
      <c r="CG3" s="284"/>
      <c r="CH3" s="284"/>
      <c r="CI3" s="284"/>
      <c r="CJ3" s="284"/>
      <c r="CK3" s="284"/>
      <c r="CL3" s="284"/>
      <c r="CM3" s="284"/>
      <c r="CN3" s="284"/>
      <c r="CO3" s="284"/>
      <c r="CP3" s="284"/>
      <c r="CQ3" s="284"/>
      <c r="CR3" s="284"/>
      <c r="CS3" s="284"/>
      <c r="CT3" s="284"/>
      <c r="CU3" s="284"/>
      <c r="CV3" s="284"/>
      <c r="CW3" s="284"/>
      <c r="CX3" s="284"/>
      <c r="CY3" s="284"/>
      <c r="CZ3" s="284"/>
      <c r="DA3" s="284"/>
      <c r="DB3" s="284"/>
      <c r="DC3" s="284"/>
      <c r="DD3" s="284"/>
      <c r="DE3" s="284"/>
      <c r="DF3" s="284"/>
      <c r="DG3" s="284"/>
      <c r="DH3" s="284"/>
      <c r="DI3" s="284"/>
      <c r="DJ3" s="284"/>
      <c r="DK3" s="284"/>
      <c r="DL3" s="284"/>
      <c r="DM3" s="284"/>
      <c r="DN3" s="284"/>
      <c r="DO3" s="284"/>
      <c r="DP3" s="284"/>
      <c r="DQ3" s="284"/>
      <c r="DR3" s="284"/>
      <c r="DS3" s="284"/>
      <c r="DT3" s="284"/>
      <c r="DU3" s="284"/>
      <c r="DV3" s="284"/>
      <c r="DW3" s="284"/>
      <c r="DX3" s="284"/>
      <c r="DY3" s="284"/>
      <c r="DZ3" s="284"/>
      <c r="EA3" s="284"/>
      <c r="EB3" s="284"/>
      <c r="EC3" s="284"/>
      <c r="ED3" s="284"/>
      <c r="EE3" s="284"/>
      <c r="EF3" s="284"/>
      <c r="EG3" s="284"/>
      <c r="EH3" s="284"/>
      <c r="EI3" s="284"/>
      <c r="EJ3" s="284"/>
      <c r="EK3" s="284"/>
      <c r="EL3" s="284"/>
      <c r="EM3" s="284"/>
      <c r="EN3" s="284"/>
      <c r="EO3" s="284"/>
      <c r="EP3" s="284"/>
      <c r="EQ3" s="284"/>
      <c r="ER3" s="284"/>
      <c r="ES3" s="284"/>
      <c r="ET3" s="284"/>
      <c r="EU3" s="284"/>
      <c r="EV3" s="284"/>
      <c r="EW3" s="284"/>
      <c r="EX3" s="284"/>
      <c r="EY3" s="284"/>
      <c r="EZ3" s="284"/>
      <c r="FA3" s="284"/>
      <c r="FB3" s="284"/>
      <c r="FC3" s="284"/>
      <c r="FD3" s="284"/>
      <c r="FE3" s="284"/>
      <c r="FF3" s="284"/>
      <c r="FG3" s="284"/>
      <c r="FH3" s="284"/>
      <c r="FI3" s="284"/>
      <c r="FJ3" s="284"/>
      <c r="FK3" s="284"/>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4"/>
      <c r="GJ3" s="284"/>
      <c r="GK3" s="284"/>
      <c r="GL3" s="284"/>
      <c r="GM3" s="284"/>
      <c r="GN3" s="284"/>
      <c r="GO3" s="284"/>
      <c r="GP3" s="284"/>
      <c r="GQ3" s="284"/>
      <c r="GR3" s="284"/>
      <c r="GS3" s="284"/>
      <c r="GT3" s="284"/>
      <c r="GU3" s="284"/>
      <c r="GV3" s="284"/>
      <c r="GW3" s="284"/>
      <c r="GX3" s="284"/>
      <c r="GY3" s="284"/>
      <c r="GZ3" s="284"/>
      <c r="HA3" s="284"/>
      <c r="HB3" s="284"/>
      <c r="HC3" s="284"/>
      <c r="HD3" s="284"/>
      <c r="HE3" s="284"/>
      <c r="HF3" s="284"/>
      <c r="HG3" s="284"/>
      <c r="HH3" s="284"/>
      <c r="HI3" s="284"/>
      <c r="HJ3" s="284"/>
      <c r="HK3" s="284"/>
      <c r="HL3" s="284"/>
      <c r="HM3" s="284"/>
      <c r="HN3" s="284"/>
      <c r="HO3" s="284"/>
      <c r="HP3" s="284"/>
      <c r="HQ3" s="284"/>
      <c r="HR3" s="284"/>
      <c r="HS3" s="284"/>
      <c r="HT3" s="284"/>
      <c r="HU3" s="284"/>
      <c r="HV3" s="284"/>
      <c r="HW3" s="284"/>
      <c r="HX3" s="284"/>
      <c r="HY3" s="284"/>
      <c r="HZ3" s="284"/>
      <c r="IA3" s="284"/>
      <c r="IB3" s="284"/>
      <c r="IC3" s="284"/>
      <c r="ID3" s="284"/>
      <c r="IE3" s="284"/>
      <c r="IF3" s="284"/>
      <c r="IG3" s="284"/>
      <c r="IH3" s="284"/>
      <c r="II3" s="284"/>
      <c r="IJ3" s="284"/>
      <c r="IK3" s="284"/>
      <c r="IL3" s="284"/>
      <c r="IM3" s="284"/>
      <c r="IN3" s="284"/>
      <c r="IO3" s="284"/>
      <c r="IP3" s="284"/>
      <c r="IQ3" s="284"/>
      <c r="IR3" s="284"/>
      <c r="IS3" s="284"/>
      <c r="IT3" s="284"/>
      <c r="IU3" s="284"/>
      <c r="IV3" s="284"/>
      <c r="IW3" s="284"/>
      <c r="IX3" s="284"/>
      <c r="IY3" s="284"/>
      <c r="IZ3" s="284"/>
      <c r="JA3" s="284"/>
      <c r="JB3" s="284"/>
      <c r="JC3" s="284"/>
      <c r="JD3" s="284"/>
      <c r="JE3" s="284"/>
      <c r="JF3" s="284"/>
      <c r="JG3" s="284"/>
      <c r="JH3" s="284"/>
      <c r="JI3" s="284"/>
      <c r="JJ3" s="284"/>
      <c r="JK3" s="284"/>
      <c r="JL3" s="284"/>
      <c r="JM3" s="284"/>
      <c r="JN3" s="284"/>
      <c r="JO3" s="284"/>
      <c r="JP3" s="284"/>
      <c r="JQ3" s="284"/>
      <c r="JR3" s="284"/>
      <c r="JS3" s="284"/>
      <c r="JT3" s="284"/>
      <c r="JU3" s="284"/>
      <c r="JV3" s="284"/>
      <c r="JW3" s="284"/>
      <c r="JX3" s="284"/>
      <c r="JY3" s="284"/>
      <c r="JZ3" s="284"/>
      <c r="KA3" s="284"/>
      <c r="KB3" s="284"/>
      <c r="KC3" s="284"/>
      <c r="KD3" s="284"/>
      <c r="KE3" s="284"/>
      <c r="KF3" s="284"/>
      <c r="KG3" s="284"/>
      <c r="KH3" s="284"/>
      <c r="KI3" s="284"/>
      <c r="KJ3" s="284"/>
      <c r="KK3" s="284"/>
      <c r="KL3" s="284"/>
      <c r="KM3" s="284"/>
      <c r="KN3" s="284"/>
      <c r="KO3" s="284"/>
      <c r="KP3" s="284"/>
      <c r="KQ3" s="284"/>
      <c r="KR3" s="284"/>
      <c r="KS3" s="284"/>
      <c r="KT3" s="284"/>
      <c r="KU3" s="284"/>
      <c r="KV3" s="284"/>
      <c r="KW3" s="284"/>
      <c r="KX3" s="284"/>
      <c r="KY3" s="284"/>
      <c r="KZ3" s="284"/>
      <c r="LA3" s="284"/>
      <c r="LB3" s="284"/>
      <c r="LC3" s="284"/>
      <c r="LD3" s="284"/>
      <c r="LE3" s="284"/>
      <c r="LF3" s="284"/>
      <c r="LG3" s="284"/>
      <c r="LH3" s="284"/>
      <c r="LI3" s="284"/>
      <c r="LJ3" s="284"/>
      <c r="LK3" s="284"/>
      <c r="LL3" s="284"/>
      <c r="LM3" s="284"/>
      <c r="LN3" s="284"/>
      <c r="LO3" s="284"/>
      <c r="LP3" s="284"/>
      <c r="LQ3" s="284"/>
      <c r="LR3" s="284"/>
      <c r="LS3" s="284"/>
      <c r="LT3" s="284"/>
      <c r="LU3" s="284"/>
      <c r="LV3" s="284"/>
      <c r="LW3" s="284"/>
      <c r="LX3" s="284"/>
      <c r="LY3" s="284"/>
      <c r="LZ3" s="284"/>
      <c r="MA3" s="284"/>
      <c r="MB3" s="284"/>
      <c r="MC3" s="284"/>
      <c r="MD3" s="284"/>
      <c r="ME3" s="284"/>
      <c r="MF3" s="284"/>
      <c r="MG3" s="284"/>
      <c r="MH3" s="284"/>
      <c r="MI3" s="284"/>
      <c r="MJ3" s="284"/>
      <c r="MK3" s="284"/>
      <c r="ML3" s="284"/>
      <c r="MM3" s="284"/>
      <c r="MN3" s="284"/>
      <c r="MO3" s="284"/>
      <c r="MP3" s="284"/>
      <c r="MQ3" s="284"/>
      <c r="MR3" s="284"/>
      <c r="MS3" s="284"/>
      <c r="MT3" s="284"/>
      <c r="MU3" s="284"/>
      <c r="MV3" s="284"/>
      <c r="MW3" s="284"/>
      <c r="MX3" s="284"/>
      <c r="MY3" s="284"/>
      <c r="MZ3" s="284"/>
      <c r="NA3" s="284"/>
      <c r="NB3" s="284"/>
      <c r="NC3" s="284"/>
      <c r="ND3" s="284"/>
      <c r="NE3" s="284"/>
      <c r="NF3" s="284"/>
      <c r="NG3" s="284"/>
      <c r="NH3" s="284"/>
      <c r="NI3" s="284"/>
      <c r="NJ3" s="284"/>
      <c r="NK3" s="284"/>
      <c r="NL3" s="284"/>
      <c r="NM3" s="284"/>
      <c r="NN3" s="284"/>
      <c r="NO3" s="284"/>
      <c r="NP3" s="284"/>
      <c r="NQ3" s="284"/>
      <c r="NR3" s="284"/>
      <c r="NS3" s="284"/>
      <c r="NT3" s="284"/>
      <c r="NU3" s="284"/>
      <c r="NV3" s="284"/>
      <c r="NW3" s="284"/>
      <c r="NX3" s="284"/>
      <c r="NY3" s="284"/>
      <c r="NZ3" s="284"/>
      <c r="OA3" s="284"/>
      <c r="OB3" s="284"/>
      <c r="OC3" s="284"/>
      <c r="OD3" s="284"/>
      <c r="OE3" s="284"/>
      <c r="OF3" s="284"/>
      <c r="OG3" s="284"/>
      <c r="OH3" s="284"/>
      <c r="OI3" s="284"/>
      <c r="OJ3" s="284"/>
      <c r="OK3" s="284"/>
      <c r="OL3" s="284"/>
      <c r="OM3" s="284"/>
      <c r="ON3" s="284"/>
      <c r="OO3" s="284"/>
      <c r="OP3" s="284"/>
      <c r="OQ3" s="284"/>
      <c r="OR3" s="284"/>
      <c r="OS3" s="284"/>
      <c r="OT3" s="284"/>
      <c r="OU3" s="284"/>
      <c r="OV3" s="284"/>
      <c r="OW3" s="284"/>
      <c r="OX3" s="284"/>
      <c r="OY3" s="284"/>
      <c r="OZ3" s="284"/>
      <c r="PA3" s="284"/>
      <c r="PB3" s="284"/>
      <c r="PC3" s="284"/>
      <c r="PD3" s="284"/>
      <c r="PE3" s="284"/>
      <c r="PF3" s="284"/>
      <c r="PG3" s="284"/>
      <c r="PH3" s="284"/>
      <c r="PI3" s="284"/>
      <c r="PJ3" s="284"/>
      <c r="PK3" s="284"/>
      <c r="PL3" s="284"/>
      <c r="PM3" s="284"/>
      <c r="PN3" s="284"/>
      <c r="PO3" s="284"/>
      <c r="PP3" s="284"/>
      <c r="PQ3" s="284"/>
      <c r="PR3" s="284"/>
      <c r="PS3" s="284"/>
      <c r="PT3" s="284"/>
      <c r="PU3" s="284"/>
      <c r="PV3" s="284"/>
      <c r="PW3" s="284"/>
      <c r="PX3" s="284"/>
      <c r="PY3" s="284"/>
      <c r="PZ3" s="284"/>
      <c r="QA3" s="284"/>
      <c r="QB3" s="284"/>
      <c r="QC3" s="284"/>
      <c r="QD3" s="284"/>
      <c r="QE3" s="284"/>
      <c r="QF3" s="284"/>
      <c r="QG3" s="284"/>
      <c r="QH3" s="284"/>
      <c r="QI3" s="284"/>
      <c r="QJ3" s="284"/>
      <c r="QK3" s="284"/>
      <c r="QL3" s="284"/>
      <c r="QM3" s="284"/>
      <c r="QN3" s="284"/>
      <c r="QO3" s="284"/>
      <c r="QP3" s="284"/>
      <c r="QQ3" s="284"/>
      <c r="QR3" s="284"/>
      <c r="QS3" s="284"/>
      <c r="QT3" s="284"/>
      <c r="QU3" s="284"/>
      <c r="QV3" s="284"/>
      <c r="QW3" s="284"/>
      <c r="QX3" s="284"/>
      <c r="QY3" s="284"/>
      <c r="QZ3" s="284"/>
      <c r="RA3" s="284"/>
      <c r="RB3" s="284"/>
      <c r="RC3" s="284"/>
      <c r="RD3" s="284"/>
      <c r="RE3" s="284"/>
      <c r="RF3" s="284"/>
      <c r="RG3" s="284"/>
      <c r="RH3" s="284"/>
      <c r="RI3" s="284"/>
      <c r="RJ3" s="284"/>
      <c r="RK3" s="284"/>
      <c r="RL3" s="284"/>
      <c r="RM3" s="284"/>
      <c r="RN3" s="284"/>
      <c r="RO3" s="284"/>
      <c r="RP3" s="284"/>
      <c r="RQ3" s="284"/>
      <c r="RR3" s="284"/>
      <c r="RS3" s="284"/>
      <c r="RT3" s="284"/>
      <c r="RU3" s="284"/>
      <c r="RV3" s="284"/>
      <c r="RW3" s="284"/>
      <c r="RX3" s="284"/>
      <c r="RY3" s="284"/>
      <c r="RZ3" s="284"/>
      <c r="SA3" s="284"/>
      <c r="SB3" s="284"/>
      <c r="SC3" s="284"/>
      <c r="SD3" s="284"/>
      <c r="SE3" s="284"/>
      <c r="SF3" s="284"/>
      <c r="SG3" s="284"/>
      <c r="SH3" s="284"/>
      <c r="SI3" s="284"/>
      <c r="SJ3" s="284"/>
      <c r="SK3" s="284"/>
      <c r="SL3" s="284"/>
      <c r="SM3" s="284"/>
      <c r="SN3" s="284"/>
      <c r="SO3" s="284"/>
      <c r="SP3" s="284"/>
      <c r="SQ3" s="284"/>
      <c r="SR3" s="284"/>
      <c r="SS3" s="284"/>
      <c r="ST3" s="284"/>
      <c r="SU3" s="284"/>
      <c r="SV3" s="284"/>
      <c r="SW3" s="284"/>
      <c r="SX3" s="284"/>
      <c r="SY3" s="284"/>
      <c r="SZ3" s="284"/>
      <c r="TA3" s="284"/>
      <c r="TB3" s="284"/>
      <c r="TC3" s="284"/>
      <c r="TD3" s="284"/>
      <c r="TE3" s="284"/>
      <c r="TF3" s="284"/>
      <c r="TG3" s="284"/>
      <c r="TH3" s="284"/>
      <c r="TI3" s="284"/>
      <c r="TJ3" s="284"/>
      <c r="TK3" s="284"/>
      <c r="TL3" s="284"/>
      <c r="TM3" s="284"/>
      <c r="TN3" s="284"/>
      <c r="TO3" s="284"/>
      <c r="TP3" s="284"/>
      <c r="TQ3" s="284"/>
      <c r="TR3" s="284"/>
      <c r="TS3" s="284"/>
      <c r="TT3" s="284"/>
      <c r="TU3" s="284"/>
      <c r="TV3" s="284"/>
      <c r="TW3" s="284"/>
      <c r="TX3" s="284"/>
      <c r="TY3" s="284"/>
      <c r="TZ3" s="284"/>
      <c r="UA3" s="284"/>
      <c r="UB3" s="284"/>
      <c r="UC3" s="284"/>
      <c r="UD3" s="284"/>
      <c r="UE3" s="284"/>
      <c r="UF3" s="284"/>
      <c r="UG3" s="284"/>
      <c r="UH3" s="284"/>
      <c r="UI3" s="284"/>
      <c r="UJ3" s="284"/>
      <c r="UK3" s="284"/>
      <c r="UL3" s="284"/>
      <c r="UM3" s="284"/>
      <c r="UN3" s="284"/>
      <c r="UO3" s="284"/>
      <c r="UP3" s="284"/>
      <c r="UQ3" s="284"/>
      <c r="UR3" s="284"/>
      <c r="US3" s="284"/>
      <c r="UT3" s="284"/>
      <c r="UU3" s="284"/>
      <c r="UV3" s="284"/>
      <c r="UW3" s="284"/>
      <c r="UX3" s="284"/>
      <c r="UY3" s="284"/>
      <c r="UZ3" s="284"/>
      <c r="VA3" s="284"/>
      <c r="VB3" s="284"/>
      <c r="VC3" s="284"/>
      <c r="VD3" s="284"/>
      <c r="VE3" s="284"/>
      <c r="VF3" s="284"/>
      <c r="VG3" s="284"/>
      <c r="VH3" s="284"/>
      <c r="VI3" s="284"/>
      <c r="VJ3" s="284"/>
      <c r="VK3" s="284"/>
      <c r="VL3" s="284"/>
      <c r="VM3" s="284"/>
      <c r="VN3" s="284"/>
      <c r="VO3" s="284"/>
      <c r="VP3" s="284"/>
      <c r="VQ3" s="284"/>
      <c r="VR3" s="284"/>
      <c r="VS3" s="284"/>
      <c r="VT3" s="284"/>
      <c r="VU3" s="284"/>
      <c r="VV3" s="284"/>
      <c r="VW3" s="284"/>
      <c r="VX3" s="284"/>
      <c r="VY3" s="284"/>
      <c r="VZ3" s="284"/>
      <c r="WA3" s="284"/>
      <c r="WB3" s="284"/>
      <c r="WC3" s="284"/>
      <c r="WD3" s="284"/>
      <c r="WE3" s="284"/>
      <c r="WF3" s="284"/>
      <c r="WG3" s="284"/>
      <c r="WH3" s="284"/>
      <c r="WI3" s="284"/>
      <c r="WJ3" s="284"/>
      <c r="WK3" s="284"/>
      <c r="WL3" s="284"/>
      <c r="WM3" s="284"/>
      <c r="WN3" s="284"/>
      <c r="WO3" s="284"/>
      <c r="WP3" s="284"/>
      <c r="WQ3" s="284"/>
      <c r="WR3" s="284"/>
      <c r="WS3" s="284"/>
      <c r="WT3" s="284"/>
      <c r="WU3" s="284"/>
      <c r="WV3" s="284"/>
      <c r="WW3" s="284"/>
      <c r="WX3" s="284"/>
      <c r="WY3" s="284"/>
      <c r="WZ3" s="284"/>
      <c r="XA3" s="284"/>
      <c r="XB3" s="284"/>
      <c r="XC3" s="284"/>
      <c r="XD3" s="284"/>
      <c r="XE3" s="284"/>
      <c r="XF3" s="284"/>
      <c r="XG3" s="284"/>
      <c r="XH3" s="284"/>
      <c r="XI3" s="284"/>
      <c r="XJ3" s="284"/>
      <c r="XK3" s="284"/>
      <c r="XL3" s="284"/>
      <c r="XM3" s="284"/>
      <c r="XN3" s="284"/>
      <c r="XO3" s="284"/>
      <c r="XP3" s="284"/>
      <c r="XQ3" s="284"/>
      <c r="XR3" s="284"/>
      <c r="XS3" s="284"/>
      <c r="XT3" s="284"/>
      <c r="XU3" s="284"/>
      <c r="XV3" s="284"/>
      <c r="XW3" s="284"/>
      <c r="XX3" s="284"/>
      <c r="XY3" s="284"/>
      <c r="XZ3" s="284"/>
      <c r="YA3" s="284"/>
      <c r="YB3" s="284"/>
      <c r="YC3" s="284"/>
      <c r="YD3" s="284"/>
      <c r="YE3" s="284"/>
      <c r="YF3" s="284"/>
      <c r="YG3" s="284"/>
      <c r="YH3" s="284"/>
      <c r="YI3" s="284"/>
      <c r="YJ3" s="284"/>
      <c r="YK3" s="284"/>
      <c r="YL3" s="284"/>
      <c r="YM3" s="284"/>
      <c r="YN3" s="284"/>
      <c r="YO3" s="284"/>
      <c r="YP3" s="284"/>
      <c r="YQ3" s="284"/>
      <c r="YR3" s="284"/>
      <c r="YS3" s="284"/>
      <c r="YT3" s="284"/>
      <c r="YU3" s="284"/>
      <c r="YV3" s="284"/>
      <c r="YW3" s="284"/>
      <c r="YX3" s="284"/>
      <c r="YY3" s="284"/>
      <c r="YZ3" s="284"/>
      <c r="ZA3" s="284"/>
      <c r="ZB3" s="284"/>
      <c r="ZC3" s="284"/>
      <c r="ZD3" s="284"/>
      <c r="ZE3" s="284"/>
      <c r="ZF3" s="284"/>
      <c r="ZG3" s="284"/>
      <c r="ZH3" s="284"/>
      <c r="ZI3" s="284"/>
      <c r="ZJ3" s="284"/>
      <c r="ZK3" s="284"/>
      <c r="ZL3" s="284"/>
      <c r="ZM3" s="284"/>
      <c r="ZN3" s="284"/>
      <c r="ZO3" s="284"/>
      <c r="ZP3" s="284"/>
      <c r="ZQ3" s="284"/>
      <c r="ZR3" s="284"/>
      <c r="ZS3" s="284"/>
      <c r="ZT3" s="284"/>
      <c r="ZU3" s="284"/>
      <c r="ZV3" s="284"/>
      <c r="ZW3" s="284"/>
      <c r="ZX3" s="284"/>
      <c r="ZY3" s="284"/>
      <c r="ZZ3" s="284"/>
      <c r="AAA3" s="284"/>
      <c r="AAB3" s="284"/>
      <c r="AAC3" s="284"/>
      <c r="AAD3" s="284"/>
      <c r="AAE3" s="284"/>
      <c r="AAF3" s="284"/>
      <c r="AAG3" s="284"/>
      <c r="AAH3" s="284"/>
      <c r="AAI3" s="284"/>
      <c r="AAJ3" s="284"/>
      <c r="AAK3" s="284"/>
      <c r="AAL3" s="284"/>
      <c r="AAM3" s="284"/>
      <c r="AAN3" s="284"/>
      <c r="AAO3" s="284"/>
      <c r="AAP3" s="284"/>
      <c r="AAQ3" s="284"/>
      <c r="AAR3" s="284"/>
      <c r="AAS3" s="284"/>
      <c r="AAT3" s="284"/>
      <c r="AAU3" s="284"/>
      <c r="AAV3" s="284"/>
      <c r="AAW3" s="284"/>
      <c r="AAX3" s="284"/>
      <c r="AAY3" s="284"/>
      <c r="AAZ3" s="284"/>
      <c r="ABA3" s="284"/>
      <c r="ABB3" s="284"/>
      <c r="ABC3" s="284"/>
      <c r="ABD3" s="284"/>
      <c r="ABE3" s="284"/>
      <c r="ABF3" s="284"/>
      <c r="ABG3" s="284"/>
      <c r="ABH3" s="284"/>
      <c r="ABI3" s="284"/>
      <c r="ABJ3" s="284"/>
      <c r="ABK3" s="284"/>
      <c r="ABL3" s="284"/>
      <c r="ABM3" s="284"/>
      <c r="ABN3" s="284"/>
      <c r="ABO3" s="284"/>
      <c r="ABP3" s="284"/>
      <c r="ABQ3" s="284"/>
      <c r="ABR3" s="284"/>
      <c r="ABS3" s="284"/>
      <c r="ABT3" s="284"/>
      <c r="ABU3" s="284"/>
      <c r="ABV3" s="284"/>
      <c r="ABW3" s="284"/>
      <c r="ABX3" s="284"/>
      <c r="ABY3" s="284"/>
      <c r="ABZ3" s="284"/>
      <c r="ACA3" s="284"/>
      <c r="ACB3" s="284"/>
      <c r="ACC3" s="284"/>
      <c r="ACD3" s="284"/>
      <c r="ACE3" s="284"/>
      <c r="ACF3" s="284"/>
      <c r="ACG3" s="284"/>
      <c r="ACH3" s="284"/>
      <c r="ACI3" s="284"/>
      <c r="ACJ3" s="284"/>
      <c r="ACK3" s="284"/>
      <c r="ACL3" s="284"/>
      <c r="ACM3" s="284"/>
      <c r="ACN3" s="284"/>
      <c r="ACO3" s="284"/>
      <c r="ACP3" s="284"/>
      <c r="ACQ3" s="284"/>
      <c r="ACR3" s="284"/>
      <c r="ACS3" s="284"/>
      <c r="ACT3" s="284"/>
      <c r="ACU3" s="284"/>
      <c r="ACV3" s="284"/>
      <c r="ACW3" s="284"/>
      <c r="ACX3" s="284"/>
      <c r="ACY3" s="284"/>
      <c r="ACZ3" s="284"/>
      <c r="ADA3" s="284"/>
      <c r="ADB3" s="284"/>
      <c r="ADC3" s="284"/>
      <c r="ADD3" s="284"/>
      <c r="ADE3" s="284"/>
      <c r="ADF3" s="284"/>
      <c r="ADG3" s="284"/>
      <c r="ADH3" s="284"/>
      <c r="ADI3" s="284"/>
      <c r="ADJ3" s="284"/>
      <c r="ADK3" s="284"/>
      <c r="ADL3" s="284"/>
      <c r="ADM3" s="284"/>
      <c r="ADN3" s="284"/>
      <c r="ADO3" s="284"/>
      <c r="ADP3" s="284"/>
      <c r="ADQ3" s="284"/>
      <c r="ADR3" s="284"/>
      <c r="ADS3" s="284"/>
      <c r="ADT3" s="284"/>
      <c r="ADU3" s="284"/>
      <c r="ADV3" s="284"/>
      <c r="ADW3" s="284"/>
      <c r="ADX3" s="284"/>
      <c r="ADY3" s="284"/>
      <c r="ADZ3" s="284"/>
      <c r="AEA3" s="284"/>
      <c r="AEB3" s="284"/>
      <c r="AEC3" s="284"/>
      <c r="AED3" s="284"/>
      <c r="AEE3" s="284"/>
      <c r="AEF3" s="284"/>
      <c r="AEG3" s="284"/>
      <c r="AEH3" s="284"/>
      <c r="AEI3" s="284"/>
      <c r="AEJ3" s="284"/>
      <c r="AEK3" s="284"/>
      <c r="AEL3" s="284"/>
      <c r="AEM3" s="284"/>
      <c r="AEN3" s="284"/>
      <c r="AEO3" s="284"/>
      <c r="AEP3" s="284"/>
      <c r="AEQ3" s="284"/>
      <c r="AER3" s="284"/>
      <c r="AES3" s="284"/>
      <c r="AET3" s="284"/>
      <c r="AEU3" s="284"/>
      <c r="AEV3" s="284"/>
      <c r="AEW3" s="284"/>
      <c r="AEX3" s="284"/>
      <c r="AEY3" s="284"/>
      <c r="AEZ3" s="284"/>
      <c r="AFA3" s="284"/>
      <c r="AFB3" s="284"/>
      <c r="AFC3" s="284"/>
      <c r="AFD3" s="284"/>
      <c r="AFE3" s="284"/>
      <c r="AFF3" s="284"/>
      <c r="AFG3" s="284"/>
      <c r="AFH3" s="284"/>
      <c r="AFI3" s="284"/>
      <c r="AFJ3" s="284"/>
      <c r="AFK3" s="284"/>
      <c r="AFL3" s="284"/>
      <c r="AFM3" s="284"/>
      <c r="AFN3" s="284"/>
      <c r="AFO3" s="284"/>
      <c r="AFP3" s="284"/>
      <c r="AFQ3" s="284"/>
      <c r="AFR3" s="284"/>
      <c r="AFS3" s="284"/>
      <c r="AFT3" s="284"/>
      <c r="AFU3" s="284"/>
      <c r="AFV3" s="284"/>
      <c r="AFW3" s="284"/>
      <c r="AFX3" s="284"/>
      <c r="AFY3" s="284"/>
      <c r="AFZ3" s="284"/>
      <c r="AGA3" s="284"/>
      <c r="AGB3" s="284"/>
      <c r="AGC3" s="284"/>
      <c r="AGD3" s="284"/>
      <c r="AGE3" s="284"/>
      <c r="AGF3" s="284"/>
      <c r="AGG3" s="284"/>
      <c r="AGH3" s="284"/>
      <c r="AGI3" s="284"/>
      <c r="AGJ3" s="284"/>
      <c r="AGK3" s="284"/>
      <c r="AGL3" s="284"/>
      <c r="AGM3" s="284"/>
      <c r="AGN3" s="284"/>
      <c r="AGO3" s="284"/>
      <c r="AGP3" s="284"/>
      <c r="AGQ3" s="284"/>
      <c r="AGR3" s="284"/>
      <c r="AGS3" s="284"/>
      <c r="AGT3" s="284"/>
      <c r="AGU3" s="284"/>
      <c r="AGV3" s="284"/>
      <c r="AGW3" s="284"/>
      <c r="AGX3" s="284"/>
      <c r="AGY3" s="284"/>
      <c r="AGZ3" s="284"/>
      <c r="AHA3" s="284"/>
      <c r="AHB3" s="284"/>
      <c r="AHC3" s="284"/>
      <c r="AHD3" s="284"/>
      <c r="AHE3" s="284"/>
      <c r="AHF3" s="284"/>
      <c r="AHG3" s="284"/>
      <c r="AHH3" s="284"/>
      <c r="AHI3" s="284"/>
      <c r="AHJ3" s="284"/>
      <c r="AHK3" s="284"/>
      <c r="AHL3" s="284"/>
      <c r="AHM3" s="284"/>
      <c r="AHN3" s="284"/>
      <c r="AHO3" s="284"/>
      <c r="AHP3" s="284"/>
      <c r="AHQ3" s="284"/>
      <c r="AHR3" s="284"/>
      <c r="AHS3" s="284"/>
      <c r="AHT3" s="284"/>
      <c r="AHU3" s="284"/>
      <c r="AHV3" s="284"/>
      <c r="AHW3" s="284"/>
      <c r="AHX3" s="284"/>
      <c r="AHY3" s="284"/>
      <c r="AHZ3" s="284"/>
      <c r="AIA3" s="284"/>
      <c r="AIB3" s="284"/>
      <c r="AIC3" s="284"/>
      <c r="AID3" s="284"/>
      <c r="AIE3" s="284"/>
      <c r="AIF3" s="284"/>
      <c r="AIG3" s="284"/>
      <c r="AIH3" s="284"/>
      <c r="AII3" s="284"/>
      <c r="AIJ3" s="284"/>
      <c r="AIK3" s="284"/>
      <c r="AIL3" s="284"/>
      <c r="AIM3" s="284"/>
      <c r="AIN3" s="284"/>
      <c r="AIO3" s="284"/>
      <c r="AIP3" s="284"/>
      <c r="AIQ3" s="284"/>
      <c r="AIR3" s="284"/>
      <c r="AIS3" s="284"/>
      <c r="AIT3" s="284"/>
      <c r="AIU3" s="284"/>
      <c r="AIV3" s="284"/>
      <c r="AIW3" s="284"/>
      <c r="AIX3" s="284"/>
      <c r="AIY3" s="284"/>
      <c r="AIZ3" s="284"/>
      <c r="AJA3" s="284"/>
      <c r="AJB3" s="284"/>
      <c r="AJC3" s="284"/>
      <c r="AJD3" s="284"/>
      <c r="AJE3" s="284"/>
      <c r="AJF3" s="284"/>
      <c r="AJG3" s="284"/>
      <c r="AJH3" s="284"/>
      <c r="AJI3" s="284"/>
      <c r="AJJ3" s="284"/>
      <c r="AJK3" s="284"/>
      <c r="AJL3" s="284"/>
      <c r="AJM3" s="284"/>
      <c r="AJN3" s="284"/>
      <c r="AJO3" s="284"/>
      <c r="AJP3" s="284"/>
      <c r="AJQ3" s="284"/>
      <c r="AJR3" s="284"/>
      <c r="AJS3" s="284"/>
      <c r="AJT3" s="284"/>
      <c r="AJU3" s="284"/>
      <c r="AJV3" s="284"/>
      <c r="AJW3" s="284"/>
      <c r="AJX3" s="284"/>
      <c r="AJY3" s="284"/>
      <c r="AJZ3" s="284"/>
      <c r="AKA3" s="284"/>
      <c r="AKB3" s="284"/>
      <c r="AKC3" s="284"/>
      <c r="AKD3" s="284"/>
      <c r="AKE3" s="284"/>
      <c r="AKF3" s="284"/>
      <c r="AKG3" s="284"/>
      <c r="AKH3" s="284"/>
      <c r="AKI3" s="284"/>
      <c r="AKJ3" s="284"/>
      <c r="AKK3" s="284"/>
      <c r="AKL3" s="284"/>
      <c r="AKM3" s="284"/>
      <c r="AKN3" s="284"/>
      <c r="AKO3" s="284"/>
      <c r="AKP3" s="284"/>
      <c r="AKQ3" s="284"/>
      <c r="AKR3" s="284"/>
      <c r="AKS3" s="284"/>
      <c r="AKT3" s="284"/>
      <c r="AKU3" s="284"/>
      <c r="AKV3" s="284"/>
      <c r="AKW3" s="284"/>
      <c r="AKX3" s="284"/>
      <c r="AKY3" s="284"/>
      <c r="AKZ3" s="284"/>
      <c r="ALA3" s="284"/>
      <c r="ALB3" s="284"/>
      <c r="ALC3" s="284"/>
      <c r="ALD3" s="284"/>
      <c r="ALE3" s="284"/>
      <c r="ALF3" s="284"/>
      <c r="ALG3" s="284"/>
      <c r="ALH3" s="284"/>
      <c r="ALI3" s="284"/>
      <c r="ALJ3" s="284"/>
      <c r="ALK3" s="284"/>
      <c r="ALL3" s="284"/>
      <c r="ALM3" s="284"/>
      <c r="ALN3" s="284"/>
      <c r="ALO3" s="284"/>
      <c r="ALP3" s="284"/>
      <c r="ALQ3" s="284"/>
      <c r="ALR3" s="284"/>
      <c r="ALS3" s="284"/>
      <c r="ALT3" s="284"/>
      <c r="ALU3" s="284"/>
      <c r="ALV3" s="284"/>
      <c r="ALW3" s="284"/>
      <c r="ALX3" s="284"/>
      <c r="ALY3" s="284"/>
      <c r="ALZ3" s="284"/>
      <c r="AMA3" s="284"/>
      <c r="AMB3" s="284"/>
      <c r="AMC3" s="284"/>
      <c r="AMD3" s="284"/>
      <c r="AME3" s="284"/>
      <c r="AMF3" s="284"/>
      <c r="AMG3" s="284"/>
      <c r="AMH3" s="284"/>
      <c r="AMI3" s="284"/>
      <c r="AMJ3" s="284"/>
      <c r="AMK3" s="284"/>
      <c r="AML3" s="284"/>
      <c r="AMM3" s="284"/>
      <c r="AMN3" s="284"/>
      <c r="AMO3" s="284"/>
      <c r="AMP3" s="284"/>
      <c r="AMQ3" s="284"/>
      <c r="AMR3" s="284"/>
      <c r="AMS3" s="284"/>
      <c r="AMT3" s="284"/>
      <c r="AMU3" s="284"/>
      <c r="AMV3" s="284"/>
      <c r="AMW3" s="284"/>
      <c r="AMX3" s="284"/>
      <c r="AMY3" s="284"/>
      <c r="AMZ3" s="284"/>
      <c r="ANA3" s="284"/>
      <c r="ANB3" s="284"/>
      <c r="ANC3" s="284"/>
      <c r="AND3" s="284"/>
      <c r="ANE3" s="284"/>
      <c r="ANF3" s="284"/>
      <c r="ANG3" s="284"/>
      <c r="ANH3" s="284"/>
      <c r="ANI3" s="284"/>
      <c r="ANJ3" s="284"/>
      <c r="ANK3" s="284"/>
      <c r="ANL3" s="284"/>
      <c r="ANM3" s="284"/>
      <c r="ANN3" s="284"/>
      <c r="ANO3" s="284"/>
      <c r="ANP3" s="284"/>
      <c r="ANQ3" s="284"/>
      <c r="ANR3" s="284"/>
      <c r="ANS3" s="284"/>
      <c r="ANT3" s="284"/>
      <c r="ANU3" s="284"/>
      <c r="ANV3" s="284"/>
      <c r="ANW3" s="284"/>
      <c r="ANX3" s="284"/>
      <c r="ANY3" s="284"/>
      <c r="ANZ3" s="284"/>
      <c r="AOA3" s="284"/>
      <c r="AOB3" s="284"/>
      <c r="AOC3" s="284"/>
      <c r="AOD3" s="284"/>
      <c r="AOE3" s="284"/>
      <c r="AOF3" s="284"/>
      <c r="AOG3" s="284"/>
      <c r="AOH3" s="284"/>
      <c r="AOI3" s="284"/>
      <c r="AOJ3" s="284"/>
      <c r="AOK3" s="284"/>
      <c r="AOL3" s="284"/>
      <c r="AOM3" s="284"/>
      <c r="AON3" s="284"/>
      <c r="AOO3" s="284"/>
      <c r="AOP3" s="284"/>
      <c r="AOQ3" s="284"/>
      <c r="AOR3" s="284"/>
      <c r="AOS3" s="284"/>
      <c r="AOT3" s="284"/>
      <c r="AOU3" s="284"/>
      <c r="AOV3" s="284"/>
      <c r="AOW3" s="284"/>
      <c r="AOX3" s="284"/>
      <c r="AOY3" s="284"/>
      <c r="AOZ3" s="284"/>
      <c r="APA3" s="284"/>
      <c r="APB3" s="284"/>
      <c r="APC3" s="284"/>
      <c r="APD3" s="284"/>
      <c r="APE3" s="284"/>
      <c r="APF3" s="284"/>
      <c r="APG3" s="284"/>
      <c r="APH3" s="284"/>
      <c r="API3" s="284"/>
      <c r="APJ3" s="284"/>
      <c r="APK3" s="284"/>
      <c r="APL3" s="284"/>
      <c r="APM3" s="284"/>
      <c r="APN3" s="284"/>
      <c r="APO3" s="284"/>
      <c r="APP3" s="284"/>
      <c r="APQ3" s="284"/>
      <c r="APR3" s="284"/>
      <c r="APS3" s="284"/>
      <c r="APT3" s="284"/>
      <c r="APU3" s="284"/>
      <c r="APV3" s="284"/>
      <c r="APW3" s="284"/>
      <c r="APX3" s="284"/>
      <c r="APY3" s="284"/>
      <c r="APZ3" s="284"/>
      <c r="AQA3" s="284"/>
      <c r="AQB3" s="284"/>
      <c r="AQC3" s="284"/>
      <c r="AQD3" s="284"/>
      <c r="AQE3" s="284"/>
      <c r="AQF3" s="284"/>
      <c r="AQG3" s="284"/>
      <c r="AQH3" s="284"/>
      <c r="AQI3" s="284"/>
      <c r="AQJ3" s="284"/>
      <c r="AQK3" s="284"/>
      <c r="AQL3" s="284"/>
      <c r="AQM3" s="284"/>
      <c r="AQN3" s="284"/>
      <c r="AQO3" s="284"/>
      <c r="AQP3" s="284"/>
      <c r="AQQ3" s="284"/>
      <c r="AQR3" s="284"/>
      <c r="AQS3" s="284"/>
      <c r="AQT3" s="284"/>
      <c r="AQU3" s="284"/>
      <c r="AQV3" s="284"/>
      <c r="AQW3" s="284"/>
      <c r="AQX3" s="284"/>
      <c r="AQY3" s="284"/>
      <c r="AQZ3" s="284"/>
      <c r="ARA3" s="284"/>
      <c r="ARB3" s="284"/>
      <c r="ARC3" s="284"/>
      <c r="ARD3" s="284"/>
      <c r="ARE3" s="284"/>
      <c r="ARF3" s="284"/>
      <c r="ARG3" s="284"/>
      <c r="ARH3" s="284"/>
      <c r="ARI3" s="284"/>
      <c r="ARJ3" s="284"/>
      <c r="ARK3" s="284"/>
      <c r="ARL3" s="284"/>
      <c r="ARM3" s="284"/>
      <c r="ARN3" s="284"/>
      <c r="ARO3" s="284"/>
      <c r="ARP3" s="284"/>
      <c r="ARQ3" s="284"/>
      <c r="ARR3" s="284"/>
      <c r="ARS3" s="284"/>
      <c r="ART3" s="284"/>
      <c r="ARU3" s="284"/>
      <c r="ARV3" s="284"/>
      <c r="ARW3" s="284"/>
      <c r="ARX3" s="284"/>
      <c r="ARY3" s="284"/>
      <c r="ARZ3" s="284"/>
      <c r="ASA3" s="284"/>
      <c r="ASB3" s="284"/>
      <c r="ASC3" s="284"/>
      <c r="ASD3" s="284"/>
      <c r="ASE3" s="284"/>
      <c r="ASF3" s="284"/>
      <c r="ASG3" s="284"/>
      <c r="ASH3" s="284"/>
      <c r="ASI3" s="284"/>
      <c r="ASJ3" s="284"/>
      <c r="ASK3" s="284"/>
      <c r="ASL3" s="284"/>
      <c r="ASM3" s="284"/>
      <c r="ASN3" s="284"/>
      <c r="ASO3" s="284"/>
      <c r="ASP3" s="284"/>
      <c r="ASQ3" s="284"/>
      <c r="ASR3" s="284"/>
      <c r="ASS3" s="284"/>
      <c r="AST3" s="284"/>
      <c r="ASU3" s="284"/>
      <c r="ASV3" s="284"/>
      <c r="ASW3" s="284"/>
      <c r="ASX3" s="284"/>
      <c r="ASY3" s="284"/>
      <c r="ASZ3" s="284"/>
      <c r="ATA3" s="284"/>
      <c r="ATB3" s="284"/>
      <c r="ATC3" s="284"/>
      <c r="ATD3" s="284"/>
      <c r="ATE3" s="284"/>
      <c r="ATF3" s="284"/>
      <c r="ATG3" s="284"/>
      <c r="ATH3" s="284"/>
      <c r="ATI3" s="284"/>
      <c r="ATJ3" s="284"/>
      <c r="ATK3" s="284"/>
      <c r="ATL3" s="284"/>
      <c r="ATM3" s="284"/>
      <c r="ATN3" s="284"/>
      <c r="ATO3" s="284"/>
      <c r="ATP3" s="284"/>
      <c r="ATQ3" s="284"/>
      <c r="ATR3" s="284"/>
      <c r="ATS3" s="284"/>
      <c r="ATT3" s="284"/>
      <c r="ATU3" s="284"/>
      <c r="ATV3" s="284"/>
      <c r="ATW3" s="284"/>
      <c r="ATX3" s="284"/>
      <c r="ATY3" s="284"/>
      <c r="ATZ3" s="284"/>
      <c r="AUA3" s="284"/>
      <c r="AUB3" s="284"/>
      <c r="AUC3" s="284"/>
      <c r="AUD3" s="284"/>
      <c r="AUE3" s="284"/>
      <c r="AUF3" s="284"/>
      <c r="AUG3" s="284"/>
      <c r="AUH3" s="284"/>
      <c r="AUI3" s="284"/>
      <c r="AUJ3" s="284"/>
      <c r="AUK3" s="284"/>
      <c r="AUL3" s="284"/>
      <c r="AUM3" s="284"/>
      <c r="AUN3" s="284"/>
      <c r="AUO3" s="284"/>
      <c r="AUP3" s="284"/>
      <c r="AUQ3" s="284"/>
      <c r="AUR3" s="284"/>
      <c r="AUS3" s="284"/>
      <c r="AUT3" s="284"/>
      <c r="AUU3" s="284"/>
      <c r="AUV3" s="284"/>
      <c r="AUW3" s="284"/>
      <c r="AUX3" s="284"/>
      <c r="AUY3" s="284"/>
      <c r="AUZ3" s="284"/>
      <c r="AVA3" s="284"/>
      <c r="AVB3" s="284"/>
      <c r="AVC3" s="284"/>
      <c r="AVD3" s="284"/>
      <c r="AVE3" s="284"/>
      <c r="AVF3" s="284"/>
      <c r="AVG3" s="284"/>
      <c r="AVH3" s="284"/>
      <c r="AVI3" s="284"/>
      <c r="AVJ3" s="284"/>
      <c r="AVK3" s="284"/>
      <c r="AVL3" s="284"/>
      <c r="AVM3" s="284"/>
      <c r="AVN3" s="284"/>
      <c r="AVO3" s="284"/>
      <c r="AVP3" s="284"/>
      <c r="AVQ3" s="284"/>
      <c r="AVR3" s="284"/>
      <c r="AVS3" s="284"/>
      <c r="AVT3" s="284"/>
      <c r="AVU3" s="284"/>
      <c r="AVV3" s="284"/>
      <c r="AVW3" s="284"/>
      <c r="AVX3" s="284"/>
      <c r="AVY3" s="284"/>
      <c r="AVZ3" s="284"/>
      <c r="AWA3" s="284"/>
      <c r="AWB3" s="284"/>
      <c r="AWC3" s="284"/>
      <c r="AWD3" s="284"/>
      <c r="AWE3" s="284"/>
      <c r="AWF3" s="284"/>
      <c r="AWG3" s="284"/>
      <c r="AWH3" s="284"/>
      <c r="AWI3" s="284"/>
      <c r="AWJ3" s="284"/>
      <c r="AWK3" s="284"/>
      <c r="AWL3" s="284"/>
      <c r="AWM3" s="284"/>
      <c r="AWN3" s="284"/>
      <c r="AWO3" s="284"/>
      <c r="AWP3" s="284"/>
      <c r="AWQ3" s="284"/>
      <c r="AWR3" s="284"/>
      <c r="AWS3" s="284"/>
      <c r="AWT3" s="284"/>
      <c r="AWU3" s="284"/>
      <c r="AWV3" s="284"/>
      <c r="AWW3" s="284"/>
      <c r="AWX3" s="284"/>
      <c r="AWY3" s="284"/>
      <c r="AWZ3" s="284"/>
      <c r="AXA3" s="284"/>
      <c r="AXB3" s="284"/>
      <c r="AXC3" s="284"/>
      <c r="AXD3" s="284"/>
      <c r="AXE3" s="284"/>
      <c r="AXF3" s="284"/>
      <c r="AXG3" s="284"/>
      <c r="AXH3" s="284"/>
      <c r="AXI3" s="284"/>
      <c r="AXJ3" s="284"/>
      <c r="AXK3" s="284"/>
      <c r="AXL3" s="284"/>
      <c r="AXM3" s="284"/>
      <c r="AXN3" s="284"/>
      <c r="AXO3" s="284"/>
      <c r="AXP3" s="284"/>
      <c r="AXQ3" s="284"/>
      <c r="AXR3" s="284"/>
      <c r="AXS3" s="284"/>
      <c r="AXT3" s="284"/>
      <c r="AXU3" s="284"/>
      <c r="AXV3" s="284"/>
      <c r="AXW3" s="284"/>
      <c r="AXX3" s="284"/>
      <c r="AXY3" s="284"/>
      <c r="AXZ3" s="284"/>
      <c r="AYA3" s="284"/>
      <c r="AYB3" s="284"/>
      <c r="AYC3" s="284"/>
      <c r="AYD3" s="284"/>
      <c r="AYE3" s="284"/>
      <c r="AYF3" s="284"/>
      <c r="AYG3" s="284"/>
      <c r="AYH3" s="284"/>
      <c r="AYI3" s="284"/>
      <c r="AYJ3" s="284"/>
      <c r="AYK3" s="284"/>
      <c r="AYL3" s="284"/>
      <c r="AYM3" s="284"/>
      <c r="AYN3" s="284"/>
      <c r="AYO3" s="284"/>
      <c r="AYP3" s="284"/>
      <c r="AYQ3" s="284"/>
      <c r="AYR3" s="284"/>
      <c r="AYS3" s="284"/>
      <c r="AYT3" s="284"/>
      <c r="AYU3" s="284"/>
      <c r="AYV3" s="284"/>
      <c r="AYW3" s="284"/>
      <c r="AYX3" s="284"/>
      <c r="AYY3" s="284"/>
      <c r="AYZ3" s="284"/>
      <c r="AZA3" s="284"/>
      <c r="AZB3" s="284"/>
      <c r="AZC3" s="284"/>
      <c r="AZD3" s="284"/>
      <c r="AZE3" s="284"/>
      <c r="AZF3" s="284"/>
      <c r="AZG3" s="284"/>
      <c r="AZH3" s="284"/>
      <c r="AZI3" s="284"/>
      <c r="AZJ3" s="284"/>
      <c r="AZK3" s="284"/>
      <c r="AZL3" s="284"/>
      <c r="AZM3" s="284"/>
      <c r="AZN3" s="284"/>
      <c r="AZO3" s="284"/>
      <c r="AZP3" s="284"/>
      <c r="AZQ3" s="284"/>
      <c r="AZR3" s="284"/>
      <c r="AZS3" s="284"/>
      <c r="AZT3" s="284"/>
      <c r="AZU3" s="284"/>
      <c r="AZV3" s="284"/>
      <c r="AZW3" s="284"/>
      <c r="AZX3" s="284"/>
      <c r="AZY3" s="284"/>
      <c r="AZZ3" s="284"/>
      <c r="BAA3" s="284"/>
      <c r="BAB3" s="284"/>
      <c r="BAC3" s="284"/>
      <c r="BAD3" s="284"/>
      <c r="BAE3" s="284"/>
      <c r="BAF3" s="284"/>
      <c r="BAG3" s="284"/>
      <c r="BAH3" s="284"/>
      <c r="BAI3" s="284"/>
      <c r="BAJ3" s="284"/>
      <c r="BAK3" s="284"/>
      <c r="BAL3" s="284"/>
      <c r="BAM3" s="284"/>
      <c r="BAN3" s="284"/>
      <c r="BAO3" s="284"/>
      <c r="BAP3" s="284"/>
      <c r="BAQ3" s="284"/>
      <c r="BAR3" s="284"/>
      <c r="BAS3" s="284"/>
      <c r="BAT3" s="284"/>
      <c r="BAU3" s="284"/>
      <c r="BAV3" s="284"/>
      <c r="BAW3" s="284"/>
      <c r="BAX3" s="284"/>
      <c r="BAY3" s="284"/>
      <c r="BAZ3" s="284"/>
      <c r="BBA3" s="284"/>
      <c r="BBB3" s="284"/>
      <c r="BBC3" s="284"/>
      <c r="BBD3" s="284"/>
      <c r="BBE3" s="284"/>
      <c r="BBF3" s="284"/>
      <c r="BBG3" s="284"/>
      <c r="BBH3" s="284"/>
      <c r="BBI3" s="284"/>
      <c r="BBJ3" s="284"/>
      <c r="BBK3" s="284"/>
      <c r="BBL3" s="284"/>
      <c r="BBM3" s="284"/>
      <c r="BBN3" s="284"/>
      <c r="BBO3" s="284"/>
      <c r="BBP3" s="284"/>
      <c r="BBQ3" s="284"/>
      <c r="BBR3" s="284"/>
      <c r="BBS3" s="284"/>
      <c r="BBT3" s="284"/>
      <c r="BBU3" s="284"/>
      <c r="BBV3" s="284"/>
      <c r="BBW3" s="284"/>
      <c r="BBX3" s="284"/>
      <c r="BBY3" s="284"/>
      <c r="BBZ3" s="284"/>
      <c r="BCA3" s="284"/>
      <c r="BCB3" s="284"/>
      <c r="BCC3" s="284"/>
      <c r="BCD3" s="284"/>
      <c r="BCE3" s="284"/>
      <c r="BCF3" s="284"/>
      <c r="BCG3" s="284"/>
      <c r="BCH3" s="284"/>
      <c r="BCI3" s="284"/>
      <c r="BCJ3" s="284"/>
      <c r="BCK3" s="284"/>
      <c r="BCL3" s="284"/>
      <c r="BCM3" s="284"/>
      <c r="BCN3" s="284"/>
      <c r="BCO3" s="284"/>
      <c r="BCP3" s="284"/>
      <c r="BCQ3" s="284"/>
      <c r="BCR3" s="284"/>
      <c r="BCS3" s="284"/>
      <c r="BCT3" s="284"/>
      <c r="BCU3" s="284"/>
      <c r="BCV3" s="284"/>
      <c r="BCW3" s="284"/>
      <c r="BCX3" s="284"/>
      <c r="BCY3" s="284"/>
      <c r="BCZ3" s="284"/>
      <c r="BDA3" s="284"/>
      <c r="BDB3" s="284"/>
      <c r="BDC3" s="284"/>
      <c r="BDD3" s="284"/>
      <c r="BDE3" s="284"/>
      <c r="BDF3" s="284"/>
      <c r="BDG3" s="284"/>
      <c r="BDH3" s="284"/>
      <c r="BDI3" s="284"/>
      <c r="BDJ3" s="284"/>
      <c r="BDK3" s="284"/>
      <c r="BDL3" s="284"/>
      <c r="BDM3" s="284"/>
      <c r="BDN3" s="284"/>
      <c r="BDO3" s="284"/>
      <c r="BDP3" s="284"/>
      <c r="BDQ3" s="284"/>
      <c r="BDR3" s="284"/>
      <c r="BDS3" s="284"/>
      <c r="BDT3" s="284"/>
      <c r="BDU3" s="284"/>
      <c r="BDV3" s="284"/>
      <c r="BDW3" s="284"/>
      <c r="BDX3" s="284"/>
      <c r="BDY3" s="284"/>
      <c r="BDZ3" s="284"/>
      <c r="BEA3" s="284"/>
      <c r="BEB3" s="284"/>
      <c r="BEC3" s="284"/>
      <c r="BED3" s="284"/>
      <c r="BEE3" s="284"/>
      <c r="BEF3" s="284"/>
      <c r="BEG3" s="284"/>
      <c r="BEH3" s="284"/>
      <c r="BEI3" s="284"/>
      <c r="BEJ3" s="284"/>
      <c r="BEK3" s="284"/>
      <c r="BEL3" s="284"/>
      <c r="BEM3" s="284"/>
      <c r="BEN3" s="284"/>
      <c r="BEO3" s="284"/>
      <c r="BEP3" s="284"/>
      <c r="BEQ3" s="284"/>
      <c r="BER3" s="284"/>
      <c r="BES3" s="284"/>
      <c r="BET3" s="284"/>
      <c r="BEU3" s="284"/>
      <c r="BEV3" s="284"/>
      <c r="BEW3" s="284"/>
      <c r="BEX3" s="284"/>
      <c r="BEY3" s="284"/>
      <c r="BEZ3" s="284"/>
      <c r="BFA3" s="284"/>
      <c r="BFB3" s="284"/>
      <c r="BFC3" s="284"/>
      <c r="BFD3" s="284"/>
      <c r="BFE3" s="284"/>
      <c r="BFF3" s="284"/>
      <c r="BFG3" s="284"/>
      <c r="BFH3" s="284"/>
      <c r="BFI3" s="284"/>
      <c r="BFJ3" s="284"/>
      <c r="BFK3" s="284"/>
      <c r="BFL3" s="284"/>
      <c r="BFM3" s="284"/>
      <c r="BFN3" s="284"/>
      <c r="BFO3" s="284"/>
      <c r="BFP3" s="284"/>
      <c r="BFQ3" s="284"/>
      <c r="BFR3" s="284"/>
      <c r="BFS3" s="284"/>
      <c r="BFT3" s="284"/>
      <c r="BFU3" s="284"/>
      <c r="BFV3" s="284"/>
      <c r="BFW3" s="284"/>
      <c r="BFX3" s="284"/>
      <c r="BFY3" s="284"/>
      <c r="BFZ3" s="284"/>
      <c r="BGA3" s="284"/>
      <c r="BGB3" s="284"/>
      <c r="BGC3" s="284"/>
      <c r="BGD3" s="284"/>
      <c r="BGE3" s="284"/>
      <c r="BGF3" s="284"/>
      <c r="BGG3" s="284"/>
      <c r="BGH3" s="284"/>
      <c r="BGI3" s="284"/>
      <c r="BGJ3" s="284"/>
      <c r="BGK3" s="284"/>
      <c r="BGL3" s="284"/>
      <c r="BGM3" s="284"/>
      <c r="BGN3" s="284"/>
      <c r="BGO3" s="284"/>
      <c r="BGP3" s="284"/>
      <c r="BGQ3" s="284"/>
      <c r="BGR3" s="284"/>
      <c r="BGS3" s="284"/>
      <c r="BGT3" s="284"/>
      <c r="BGU3" s="284"/>
      <c r="BGV3" s="284"/>
      <c r="BGW3" s="284"/>
      <c r="BGX3" s="284"/>
      <c r="BGY3" s="284"/>
      <c r="BGZ3" s="284"/>
      <c r="BHA3" s="284"/>
      <c r="BHB3" s="284"/>
      <c r="BHC3" s="284"/>
      <c r="BHD3" s="284"/>
      <c r="BHE3" s="284"/>
      <c r="BHF3" s="284"/>
      <c r="BHG3" s="284"/>
      <c r="BHH3" s="284"/>
      <c r="BHI3" s="284"/>
      <c r="BHJ3" s="284"/>
      <c r="BHK3" s="284"/>
      <c r="BHL3" s="284"/>
      <c r="BHM3" s="284"/>
      <c r="BHN3" s="284"/>
      <c r="BHO3" s="284"/>
      <c r="BHP3" s="284"/>
      <c r="BHQ3" s="284"/>
      <c r="BHR3" s="284"/>
      <c r="BHS3" s="284"/>
      <c r="BHT3" s="284"/>
      <c r="BHU3" s="284"/>
      <c r="BHV3" s="284"/>
      <c r="BHW3" s="284"/>
      <c r="BHX3" s="284"/>
      <c r="BHY3" s="284"/>
      <c r="BHZ3" s="284"/>
      <c r="BIA3" s="284"/>
      <c r="BIB3" s="284"/>
      <c r="BIC3" s="284"/>
      <c r="BID3" s="284"/>
      <c r="BIE3" s="284"/>
      <c r="BIF3" s="284"/>
      <c r="BIG3" s="284"/>
      <c r="BIH3" s="284"/>
      <c r="BII3" s="284"/>
      <c r="BIJ3" s="284"/>
      <c r="BIK3" s="284"/>
      <c r="BIL3" s="284"/>
      <c r="BIM3" s="284"/>
      <c r="BIN3" s="284"/>
      <c r="BIO3" s="284"/>
      <c r="BIP3" s="284"/>
      <c r="BIQ3" s="284"/>
      <c r="BIR3" s="284"/>
      <c r="BIS3" s="284"/>
      <c r="BIT3" s="284"/>
      <c r="BIU3" s="284"/>
      <c r="BIV3" s="284"/>
      <c r="BIW3" s="284"/>
      <c r="BIX3" s="284"/>
      <c r="BIY3" s="284"/>
      <c r="BIZ3" s="284"/>
      <c r="BJA3" s="284"/>
      <c r="BJB3" s="284"/>
      <c r="BJC3" s="284"/>
      <c r="BJD3" s="284"/>
      <c r="BJE3" s="284"/>
      <c r="BJF3" s="284"/>
      <c r="BJG3" s="284"/>
      <c r="BJH3" s="284"/>
      <c r="BJI3" s="284"/>
      <c r="BJJ3" s="284"/>
      <c r="BJK3" s="284"/>
      <c r="BJL3" s="284"/>
      <c r="BJM3" s="284"/>
      <c r="BJN3" s="284"/>
      <c r="BJO3" s="284"/>
      <c r="BJP3" s="284"/>
      <c r="BJQ3" s="284"/>
      <c r="BJR3" s="284"/>
      <c r="BJS3" s="284"/>
      <c r="BJT3" s="284"/>
      <c r="BJU3" s="284"/>
      <c r="BJV3" s="284"/>
      <c r="BJW3" s="284"/>
      <c r="BJX3" s="284"/>
      <c r="BJY3" s="284"/>
      <c r="BJZ3" s="284"/>
      <c r="BKA3" s="284"/>
      <c r="BKB3" s="284"/>
      <c r="BKC3" s="284"/>
      <c r="BKD3" s="284"/>
      <c r="BKE3" s="284"/>
      <c r="BKF3" s="284"/>
      <c r="BKG3" s="284"/>
      <c r="BKH3" s="284"/>
      <c r="BKI3" s="284"/>
      <c r="BKJ3" s="284"/>
      <c r="BKK3" s="284"/>
      <c r="BKL3" s="284"/>
      <c r="BKM3" s="284"/>
      <c r="BKN3" s="284"/>
      <c r="BKO3" s="284"/>
      <c r="BKP3" s="284"/>
      <c r="BKQ3" s="284"/>
      <c r="BKR3" s="284"/>
      <c r="BKS3" s="284"/>
      <c r="BKT3" s="284"/>
      <c r="BKU3" s="284"/>
      <c r="BKV3" s="284"/>
      <c r="BKW3" s="284"/>
      <c r="BKX3" s="284"/>
      <c r="BKY3" s="284"/>
      <c r="BKZ3" s="284"/>
      <c r="BLA3" s="284"/>
      <c r="BLB3" s="284"/>
      <c r="BLC3" s="284"/>
      <c r="BLD3" s="284"/>
      <c r="BLE3" s="284"/>
      <c r="BLF3" s="284"/>
      <c r="BLG3" s="284"/>
      <c r="BLH3" s="284"/>
      <c r="BLI3" s="284"/>
      <c r="BLJ3" s="284"/>
      <c r="BLK3" s="284"/>
      <c r="BLL3" s="284"/>
      <c r="BLM3" s="284"/>
      <c r="BLN3" s="284"/>
      <c r="BLO3" s="284"/>
      <c r="BLP3" s="284"/>
      <c r="BLQ3" s="284"/>
      <c r="BLR3" s="284"/>
      <c r="BLS3" s="284"/>
      <c r="BLT3" s="284"/>
      <c r="BLU3" s="284"/>
      <c r="BLV3" s="284"/>
      <c r="BLW3" s="284"/>
      <c r="BLX3" s="284"/>
      <c r="BLY3" s="284"/>
      <c r="BLZ3" s="284"/>
      <c r="BMA3" s="284"/>
      <c r="BMB3" s="284"/>
      <c r="BMC3" s="284"/>
      <c r="BMD3" s="284"/>
      <c r="BME3" s="284"/>
      <c r="BMF3" s="284"/>
      <c r="BMG3" s="284"/>
      <c r="BMH3" s="284"/>
      <c r="BMI3" s="284"/>
      <c r="BMJ3" s="284"/>
      <c r="BMK3" s="284"/>
      <c r="BML3" s="284"/>
      <c r="BMM3" s="284"/>
      <c r="BMN3" s="284"/>
      <c r="BMO3" s="284"/>
      <c r="BMP3" s="284"/>
      <c r="BMQ3" s="284"/>
      <c r="BMR3" s="284"/>
      <c r="BMS3" s="284"/>
      <c r="BMT3" s="284"/>
      <c r="BMU3" s="284"/>
      <c r="BMV3" s="284"/>
      <c r="BMW3" s="284"/>
      <c r="BMX3" s="284"/>
      <c r="BMY3" s="284"/>
      <c r="BMZ3" s="284"/>
      <c r="BNA3" s="284"/>
      <c r="BNB3" s="284"/>
      <c r="BNC3" s="284"/>
      <c r="BND3" s="284"/>
      <c r="BNE3" s="284"/>
      <c r="BNF3" s="284"/>
      <c r="BNG3" s="284"/>
      <c r="BNH3" s="284"/>
      <c r="BNI3" s="284"/>
      <c r="BNJ3" s="284"/>
      <c r="BNK3" s="284"/>
      <c r="BNL3" s="284"/>
      <c r="BNM3" s="284"/>
      <c r="BNN3" s="284"/>
      <c r="BNO3" s="284"/>
      <c r="BNP3" s="284"/>
      <c r="BNQ3" s="284"/>
      <c r="BNR3" s="284"/>
      <c r="BNS3" s="284"/>
      <c r="BNT3" s="284"/>
      <c r="BNU3" s="284"/>
      <c r="BNV3" s="284"/>
      <c r="BNW3" s="284"/>
      <c r="BNX3" s="284"/>
      <c r="BNY3" s="284"/>
      <c r="BNZ3" s="284"/>
      <c r="BOA3" s="284"/>
      <c r="BOB3" s="284"/>
      <c r="BOC3" s="284"/>
      <c r="BOD3" s="284"/>
      <c r="BOE3" s="284"/>
      <c r="BOF3" s="284"/>
      <c r="BOG3" s="284"/>
      <c r="BOH3" s="284"/>
      <c r="BOI3" s="284"/>
      <c r="BOJ3" s="284"/>
      <c r="BOK3" s="284"/>
      <c r="BOL3" s="284"/>
      <c r="BOM3" s="284"/>
      <c r="BON3" s="284"/>
      <c r="BOO3" s="284"/>
      <c r="BOP3" s="284"/>
      <c r="BOQ3" s="284"/>
      <c r="BOR3" s="284"/>
      <c r="BOS3" s="284"/>
      <c r="BOT3" s="284"/>
      <c r="BOU3" s="284"/>
      <c r="BOV3" s="284"/>
      <c r="BOW3" s="284"/>
      <c r="BOX3" s="284"/>
      <c r="BOY3" s="284"/>
      <c r="BOZ3" s="284"/>
      <c r="BPA3" s="284"/>
      <c r="BPB3" s="284"/>
      <c r="BPC3" s="284"/>
      <c r="BPD3" s="284"/>
      <c r="BPE3" s="284"/>
      <c r="BPF3" s="284"/>
      <c r="BPG3" s="284"/>
      <c r="BPH3" s="284"/>
      <c r="BPI3" s="284"/>
      <c r="BPJ3" s="284"/>
      <c r="BPK3" s="284"/>
      <c r="BPL3" s="284"/>
      <c r="BPM3" s="284"/>
      <c r="BPN3" s="284"/>
      <c r="BPO3" s="284"/>
      <c r="BPP3" s="284"/>
      <c r="BPQ3" s="284"/>
      <c r="BPR3" s="284"/>
      <c r="BPS3" s="284"/>
      <c r="BPT3" s="284"/>
      <c r="BPU3" s="284"/>
      <c r="BPV3" s="284"/>
      <c r="BPW3" s="284"/>
      <c r="BPX3" s="284"/>
      <c r="BPY3" s="284"/>
      <c r="BPZ3" s="284"/>
      <c r="BQA3" s="284"/>
      <c r="BQB3" s="284"/>
      <c r="BQC3" s="284"/>
      <c r="BQD3" s="284"/>
      <c r="BQE3" s="284"/>
      <c r="BQF3" s="284"/>
      <c r="BQG3" s="284"/>
      <c r="BQH3" s="284"/>
      <c r="BQI3" s="284"/>
      <c r="BQJ3" s="284"/>
      <c r="BQK3" s="284"/>
      <c r="BQL3" s="284"/>
      <c r="BQM3" s="284"/>
      <c r="BQN3" s="284"/>
      <c r="BQO3" s="284"/>
      <c r="BQP3" s="284"/>
      <c r="BQQ3" s="284"/>
      <c r="BQR3" s="284"/>
      <c r="BQS3" s="284"/>
      <c r="BQT3" s="284"/>
      <c r="BQU3" s="284"/>
      <c r="BQV3" s="284"/>
      <c r="BQW3" s="284"/>
      <c r="BQX3" s="284"/>
      <c r="BQY3" s="284"/>
      <c r="BQZ3" s="284"/>
      <c r="BRA3" s="284"/>
      <c r="BRB3" s="284"/>
      <c r="BRC3" s="284"/>
      <c r="BRD3" s="284"/>
      <c r="BRE3" s="284"/>
      <c r="BRF3" s="284"/>
      <c r="BRG3" s="284"/>
      <c r="BRH3" s="284"/>
      <c r="BRI3" s="284"/>
      <c r="BRJ3" s="284"/>
      <c r="BRK3" s="284"/>
      <c r="BRL3" s="284"/>
      <c r="BRM3" s="284"/>
      <c r="BRN3" s="284"/>
      <c r="BRO3" s="284"/>
      <c r="BRP3" s="284"/>
      <c r="BRQ3" s="284"/>
      <c r="BRR3" s="284"/>
      <c r="BRS3" s="284"/>
      <c r="BRT3" s="284"/>
      <c r="BRU3" s="284"/>
      <c r="BRV3" s="284"/>
      <c r="BRW3" s="284"/>
      <c r="BRX3" s="284"/>
      <c r="BRY3" s="284"/>
      <c r="BRZ3" s="284"/>
      <c r="BSA3" s="284"/>
      <c r="BSB3" s="284"/>
      <c r="BSC3" s="284"/>
      <c r="BSD3" s="284"/>
      <c r="BSE3" s="284"/>
      <c r="BSF3" s="284"/>
      <c r="BSG3" s="284"/>
      <c r="BSH3" s="284"/>
      <c r="BSI3" s="284"/>
      <c r="BSJ3" s="284"/>
      <c r="BSK3" s="284"/>
      <c r="BSL3" s="284"/>
      <c r="BSM3" s="284"/>
      <c r="BSN3" s="284"/>
      <c r="BSO3" s="284"/>
      <c r="BSP3" s="284"/>
      <c r="BSQ3" s="284"/>
      <c r="BSR3" s="284"/>
      <c r="BSS3" s="284"/>
      <c r="BST3" s="284"/>
      <c r="BSU3" s="284"/>
      <c r="BSV3" s="284"/>
      <c r="BSW3" s="284"/>
      <c r="BSX3" s="284"/>
      <c r="BSY3" s="284"/>
      <c r="BSZ3" s="284"/>
      <c r="BTA3" s="284"/>
      <c r="BTB3" s="284"/>
      <c r="BTC3" s="284"/>
      <c r="BTD3" s="284"/>
      <c r="BTE3" s="284"/>
      <c r="BTF3" s="284"/>
      <c r="BTG3" s="284"/>
      <c r="BTH3" s="284"/>
      <c r="BTI3" s="284"/>
      <c r="BTJ3" s="284"/>
      <c r="BTK3" s="284"/>
      <c r="BTL3" s="284"/>
      <c r="BTM3" s="284"/>
      <c r="BTN3" s="284"/>
      <c r="BTO3" s="284"/>
      <c r="BTP3" s="284"/>
      <c r="BTQ3" s="284"/>
      <c r="BTR3" s="284"/>
      <c r="BTS3" s="284"/>
      <c r="BTT3" s="284"/>
      <c r="BTU3" s="284"/>
      <c r="BTV3" s="284"/>
      <c r="BTW3" s="284"/>
      <c r="BTX3" s="284"/>
      <c r="BTY3" s="284"/>
      <c r="BTZ3" s="284"/>
      <c r="BUA3" s="284"/>
      <c r="BUB3" s="284"/>
      <c r="BUC3" s="284"/>
      <c r="BUD3" s="284"/>
      <c r="BUE3" s="284"/>
      <c r="BUF3" s="284"/>
      <c r="BUG3" s="284"/>
      <c r="BUH3" s="284"/>
      <c r="BUI3" s="284"/>
      <c r="BUJ3" s="284"/>
      <c r="BUK3" s="284"/>
      <c r="BUL3" s="284"/>
      <c r="BUM3" s="284"/>
      <c r="BUN3" s="284"/>
      <c r="BUO3" s="284"/>
      <c r="BUP3" s="284"/>
      <c r="BUQ3" s="284"/>
      <c r="BUR3" s="284"/>
      <c r="BUS3" s="284"/>
      <c r="BUT3" s="284"/>
      <c r="BUU3" s="284"/>
      <c r="BUV3" s="284"/>
      <c r="BUW3" s="284"/>
      <c r="BUX3" s="284"/>
      <c r="BUY3" s="284"/>
      <c r="BUZ3" s="284"/>
      <c r="BVA3" s="284"/>
      <c r="BVB3" s="284"/>
      <c r="BVC3" s="284"/>
      <c r="BVD3" s="284"/>
      <c r="BVE3" s="284"/>
      <c r="BVF3" s="284"/>
      <c r="BVG3" s="284"/>
      <c r="BVH3" s="284"/>
      <c r="BVI3" s="284"/>
      <c r="BVJ3" s="284"/>
      <c r="BVK3" s="284"/>
      <c r="BVL3" s="284"/>
      <c r="BVM3" s="284"/>
      <c r="BVN3" s="284"/>
      <c r="BVO3" s="284"/>
      <c r="BVP3" s="284"/>
      <c r="BVQ3" s="284"/>
      <c r="BVR3" s="284"/>
      <c r="BVS3" s="284"/>
      <c r="BVT3" s="284"/>
      <c r="BVU3" s="284"/>
      <c r="BVV3" s="284"/>
      <c r="BVW3" s="284"/>
      <c r="BVX3" s="284"/>
      <c r="BVY3" s="284"/>
      <c r="BVZ3" s="284"/>
      <c r="BWA3" s="284"/>
      <c r="BWB3" s="284"/>
      <c r="BWC3" s="284"/>
      <c r="BWD3" s="284"/>
      <c r="BWE3" s="284"/>
      <c r="BWF3" s="284"/>
      <c r="BWG3" s="284"/>
      <c r="BWH3" s="284"/>
      <c r="BWI3" s="284"/>
      <c r="BWJ3" s="284"/>
      <c r="BWK3" s="284"/>
      <c r="BWL3" s="284"/>
      <c r="BWM3" s="284"/>
      <c r="BWN3" s="284"/>
      <c r="BWO3" s="284"/>
      <c r="BWP3" s="284"/>
      <c r="BWQ3" s="284"/>
      <c r="BWR3" s="284"/>
      <c r="BWS3" s="284"/>
      <c r="BWT3" s="284"/>
      <c r="BWU3" s="284"/>
      <c r="BWV3" s="284"/>
      <c r="BWW3" s="284"/>
      <c r="BWX3" s="284"/>
      <c r="BWY3" s="284"/>
      <c r="BWZ3" s="284"/>
      <c r="BXA3" s="284"/>
      <c r="BXB3" s="284"/>
      <c r="BXC3" s="284"/>
      <c r="BXD3" s="284"/>
      <c r="BXE3" s="284"/>
      <c r="BXF3" s="284"/>
      <c r="BXG3" s="284"/>
      <c r="BXH3" s="284"/>
      <c r="BXI3" s="284"/>
      <c r="BXJ3" s="284"/>
      <c r="BXK3" s="284"/>
      <c r="BXL3" s="284"/>
      <c r="BXM3" s="284"/>
      <c r="BXN3" s="284"/>
      <c r="BXO3" s="284"/>
      <c r="BXP3" s="284"/>
      <c r="BXQ3" s="284"/>
      <c r="BXR3" s="284"/>
      <c r="BXS3" s="284"/>
      <c r="BXT3" s="284"/>
      <c r="BXU3" s="284"/>
      <c r="BXV3" s="284"/>
      <c r="BXW3" s="284"/>
      <c r="BXX3" s="284"/>
      <c r="BXY3" s="284"/>
      <c r="BXZ3" s="284"/>
      <c r="BYA3" s="284"/>
      <c r="BYB3" s="284"/>
      <c r="BYC3" s="284"/>
      <c r="BYD3" s="284"/>
      <c r="BYE3" s="284"/>
      <c r="BYF3" s="284"/>
      <c r="BYG3" s="284"/>
      <c r="BYH3" s="284"/>
      <c r="BYI3" s="284"/>
      <c r="BYJ3" s="284"/>
      <c r="BYK3" s="284"/>
      <c r="BYL3" s="284"/>
      <c r="BYM3" s="284"/>
      <c r="BYN3" s="284"/>
      <c r="BYO3" s="284"/>
      <c r="BYP3" s="284"/>
      <c r="BYQ3" s="284"/>
      <c r="BYR3" s="284"/>
      <c r="BYS3" s="284"/>
      <c r="BYT3" s="284"/>
      <c r="BYU3" s="284"/>
      <c r="BYV3" s="284"/>
      <c r="BYW3" s="284"/>
      <c r="BYX3" s="284"/>
      <c r="BYY3" s="284"/>
      <c r="BYZ3" s="284"/>
      <c r="BZA3" s="284"/>
      <c r="BZB3" s="284"/>
      <c r="BZC3" s="284"/>
      <c r="BZD3" s="284"/>
      <c r="BZE3" s="284"/>
      <c r="BZF3" s="284"/>
      <c r="BZG3" s="284"/>
      <c r="BZH3" s="284"/>
      <c r="BZI3" s="284"/>
      <c r="BZJ3" s="284"/>
      <c r="BZK3" s="284"/>
      <c r="BZL3" s="284"/>
      <c r="BZM3" s="284"/>
      <c r="BZN3" s="284"/>
      <c r="BZO3" s="284"/>
      <c r="BZP3" s="284"/>
      <c r="BZQ3" s="284"/>
      <c r="BZR3" s="284"/>
      <c r="BZS3" s="284"/>
      <c r="BZT3" s="284"/>
      <c r="BZU3" s="284"/>
      <c r="BZV3" s="284"/>
      <c r="BZW3" s="284"/>
      <c r="BZX3" s="284"/>
      <c r="BZY3" s="284"/>
      <c r="BZZ3" s="284"/>
      <c r="CAA3" s="284"/>
      <c r="CAB3" s="284"/>
      <c r="CAC3" s="284"/>
      <c r="CAD3" s="284"/>
      <c r="CAE3" s="284"/>
      <c r="CAF3" s="284"/>
      <c r="CAG3" s="284"/>
      <c r="CAH3" s="284"/>
      <c r="CAI3" s="284"/>
      <c r="CAJ3" s="284"/>
      <c r="CAK3" s="284"/>
      <c r="CAL3" s="284"/>
      <c r="CAM3" s="284"/>
      <c r="CAN3" s="284"/>
      <c r="CAO3" s="284"/>
      <c r="CAP3" s="284"/>
      <c r="CAQ3" s="284"/>
      <c r="CAR3" s="284"/>
      <c r="CAS3" s="284"/>
      <c r="CAT3" s="284"/>
      <c r="CAU3" s="284"/>
      <c r="CAV3" s="284"/>
      <c r="CAW3" s="284"/>
      <c r="CAX3" s="284"/>
      <c r="CAY3" s="284"/>
      <c r="CAZ3" s="284"/>
      <c r="CBA3" s="284"/>
      <c r="CBB3" s="284"/>
      <c r="CBC3" s="284"/>
      <c r="CBD3" s="284"/>
      <c r="CBE3" s="284"/>
      <c r="CBF3" s="284"/>
      <c r="CBG3" s="284"/>
      <c r="CBH3" s="284"/>
      <c r="CBI3" s="284"/>
      <c r="CBJ3" s="284"/>
      <c r="CBK3" s="284"/>
      <c r="CBL3" s="284"/>
      <c r="CBM3" s="284"/>
      <c r="CBN3" s="284"/>
      <c r="CBO3" s="284"/>
      <c r="CBP3" s="284"/>
      <c r="CBQ3" s="284"/>
      <c r="CBR3" s="284"/>
      <c r="CBS3" s="284"/>
      <c r="CBT3" s="284"/>
      <c r="CBU3" s="284"/>
      <c r="CBV3" s="284"/>
      <c r="CBW3" s="284"/>
      <c r="CBX3" s="284"/>
      <c r="CBY3" s="284"/>
      <c r="CBZ3" s="284"/>
      <c r="CCA3" s="284"/>
      <c r="CCB3" s="284"/>
      <c r="CCC3" s="284"/>
      <c r="CCD3" s="284"/>
      <c r="CCE3" s="284"/>
      <c r="CCF3" s="284"/>
      <c r="CCG3" s="284"/>
      <c r="CCH3" s="284"/>
      <c r="CCI3" s="284"/>
      <c r="CCJ3" s="284"/>
      <c r="CCK3" s="284"/>
      <c r="CCL3" s="284"/>
      <c r="CCM3" s="284"/>
      <c r="CCN3" s="284"/>
      <c r="CCO3" s="284"/>
      <c r="CCP3" s="284"/>
      <c r="CCQ3" s="284"/>
      <c r="CCR3" s="284"/>
      <c r="CCS3" s="284"/>
      <c r="CCT3" s="284"/>
      <c r="CCU3" s="284"/>
      <c r="CCV3" s="284"/>
      <c r="CCW3" s="284"/>
      <c r="CCX3" s="284"/>
      <c r="CCY3" s="284"/>
      <c r="CCZ3" s="284"/>
      <c r="CDA3" s="284"/>
      <c r="CDB3" s="284"/>
      <c r="CDC3" s="284"/>
      <c r="CDD3" s="284"/>
      <c r="CDE3" s="284"/>
      <c r="CDF3" s="284"/>
      <c r="CDG3" s="284"/>
      <c r="CDH3" s="284"/>
      <c r="CDI3" s="284"/>
      <c r="CDJ3" s="284"/>
      <c r="CDK3" s="284"/>
      <c r="CDL3" s="284"/>
      <c r="CDM3" s="284"/>
      <c r="CDN3" s="284"/>
      <c r="CDO3" s="284"/>
      <c r="CDP3" s="284"/>
      <c r="CDQ3" s="284"/>
      <c r="CDR3" s="284"/>
      <c r="CDS3" s="284"/>
      <c r="CDT3" s="284"/>
      <c r="CDU3" s="284"/>
      <c r="CDV3" s="284"/>
      <c r="CDW3" s="284"/>
      <c r="CDX3" s="284"/>
      <c r="CDY3" s="284"/>
      <c r="CDZ3" s="284"/>
      <c r="CEA3" s="284"/>
      <c r="CEB3" s="284"/>
      <c r="CEC3" s="284"/>
      <c r="CED3" s="284"/>
      <c r="CEE3" s="284"/>
      <c r="CEF3" s="284"/>
      <c r="CEG3" s="284"/>
      <c r="CEH3" s="284"/>
      <c r="CEI3" s="284"/>
      <c r="CEJ3" s="284"/>
      <c r="CEK3" s="284"/>
      <c r="CEL3" s="284"/>
      <c r="CEM3" s="284"/>
      <c r="CEN3" s="284"/>
      <c r="CEO3" s="284"/>
      <c r="CEP3" s="284"/>
      <c r="CEQ3" s="284"/>
      <c r="CER3" s="284"/>
      <c r="CES3" s="284"/>
      <c r="CET3" s="284"/>
      <c r="CEU3" s="284"/>
      <c r="CEV3" s="284"/>
      <c r="CEW3" s="284"/>
      <c r="CEX3" s="284"/>
      <c r="CEY3" s="284"/>
      <c r="CEZ3" s="284"/>
      <c r="CFA3" s="284"/>
      <c r="CFB3" s="284"/>
      <c r="CFC3" s="284"/>
      <c r="CFD3" s="284"/>
      <c r="CFE3" s="284"/>
      <c r="CFF3" s="284"/>
      <c r="CFG3" s="284"/>
      <c r="CFH3" s="284"/>
      <c r="CFI3" s="284"/>
      <c r="CFJ3" s="284"/>
      <c r="CFK3" s="284"/>
      <c r="CFL3" s="284"/>
      <c r="CFM3" s="284"/>
      <c r="CFN3" s="284"/>
      <c r="CFO3" s="284"/>
      <c r="CFP3" s="284"/>
      <c r="CFQ3" s="284"/>
      <c r="CFR3" s="284"/>
      <c r="CFS3" s="284"/>
      <c r="CFT3" s="284"/>
      <c r="CFU3" s="284"/>
      <c r="CFV3" s="284"/>
      <c r="CFW3" s="284"/>
      <c r="CFX3" s="284"/>
      <c r="CFY3" s="284"/>
      <c r="CFZ3" s="284"/>
      <c r="CGA3" s="284"/>
      <c r="CGB3" s="284"/>
      <c r="CGC3" s="284"/>
      <c r="CGD3" s="284"/>
      <c r="CGE3" s="284"/>
      <c r="CGF3" s="284"/>
      <c r="CGG3" s="284"/>
      <c r="CGH3" s="284"/>
      <c r="CGI3" s="284"/>
      <c r="CGJ3" s="284"/>
      <c r="CGK3" s="284"/>
      <c r="CGL3" s="284"/>
      <c r="CGM3" s="284"/>
      <c r="CGN3" s="284"/>
      <c r="CGO3" s="284"/>
      <c r="CGP3" s="284"/>
      <c r="CGQ3" s="284"/>
      <c r="CGR3" s="284"/>
      <c r="CGS3" s="284"/>
      <c r="CGT3" s="284"/>
      <c r="CGU3" s="284"/>
      <c r="CGV3" s="284"/>
      <c r="CGW3" s="284"/>
      <c r="CGX3" s="284"/>
      <c r="CGY3" s="284"/>
      <c r="CGZ3" s="284"/>
      <c r="CHA3" s="284"/>
      <c r="CHB3" s="284"/>
      <c r="CHC3" s="284"/>
      <c r="CHD3" s="284"/>
      <c r="CHE3" s="284"/>
      <c r="CHF3" s="284"/>
      <c r="CHG3" s="284"/>
      <c r="CHH3" s="284"/>
      <c r="CHI3" s="284"/>
      <c r="CHJ3" s="284"/>
      <c r="CHK3" s="284"/>
      <c r="CHL3" s="284"/>
      <c r="CHM3" s="284"/>
      <c r="CHN3" s="284"/>
      <c r="CHO3" s="284"/>
      <c r="CHP3" s="284"/>
      <c r="CHQ3" s="284"/>
      <c r="CHR3" s="284"/>
      <c r="CHS3" s="284"/>
      <c r="CHT3" s="284"/>
      <c r="CHU3" s="284"/>
      <c r="CHV3" s="284"/>
      <c r="CHW3" s="284"/>
      <c r="CHX3" s="284"/>
      <c r="CHY3" s="284"/>
      <c r="CHZ3" s="284"/>
      <c r="CIA3" s="284"/>
      <c r="CIB3" s="284"/>
      <c r="CIC3" s="284"/>
      <c r="CID3" s="284"/>
      <c r="CIE3" s="284"/>
      <c r="CIF3" s="284"/>
      <c r="CIG3" s="284"/>
      <c r="CIH3" s="284"/>
      <c r="CII3" s="284"/>
      <c r="CIJ3" s="284"/>
      <c r="CIK3" s="284"/>
      <c r="CIL3" s="284"/>
      <c r="CIM3" s="284"/>
      <c r="CIN3" s="284"/>
      <c r="CIO3" s="284"/>
      <c r="CIP3" s="284"/>
      <c r="CIQ3" s="284"/>
      <c r="CIR3" s="284"/>
      <c r="CIS3" s="284"/>
      <c r="CIT3" s="284"/>
      <c r="CIU3" s="284"/>
      <c r="CIV3" s="284"/>
      <c r="CIW3" s="284"/>
      <c r="CIX3" s="284"/>
      <c r="CIY3" s="284"/>
      <c r="CIZ3" s="284"/>
      <c r="CJA3" s="284"/>
      <c r="CJB3" s="284"/>
      <c r="CJC3" s="284"/>
      <c r="CJD3" s="284"/>
      <c r="CJE3" s="284"/>
      <c r="CJF3" s="284"/>
      <c r="CJG3" s="284"/>
      <c r="CJH3" s="284"/>
      <c r="CJI3" s="284"/>
      <c r="CJJ3" s="284"/>
      <c r="CJK3" s="284"/>
      <c r="CJL3" s="284"/>
      <c r="CJM3" s="284"/>
      <c r="CJN3" s="284"/>
      <c r="CJO3" s="284"/>
      <c r="CJP3" s="284"/>
      <c r="CJQ3" s="284"/>
      <c r="CJR3" s="284"/>
      <c r="CJS3" s="284"/>
      <c r="CJT3" s="284"/>
      <c r="CJU3" s="284"/>
      <c r="CJV3" s="284"/>
      <c r="CJW3" s="284"/>
      <c r="CJX3" s="284"/>
      <c r="CJY3" s="284"/>
      <c r="CJZ3" s="284"/>
      <c r="CKA3" s="284"/>
      <c r="CKB3" s="284"/>
      <c r="CKC3" s="284"/>
      <c r="CKD3" s="284"/>
      <c r="CKE3" s="284"/>
      <c r="CKF3" s="284"/>
      <c r="CKG3" s="284"/>
      <c r="CKH3" s="284"/>
      <c r="CKI3" s="284"/>
      <c r="CKJ3" s="284"/>
      <c r="CKK3" s="284"/>
      <c r="CKL3" s="284"/>
      <c r="CKM3" s="284"/>
      <c r="CKN3" s="284"/>
      <c r="CKO3" s="284"/>
      <c r="CKP3" s="284"/>
      <c r="CKQ3" s="284"/>
      <c r="CKR3" s="284"/>
      <c r="CKS3" s="284"/>
      <c r="CKT3" s="284"/>
      <c r="CKU3" s="284"/>
      <c r="CKV3" s="284"/>
      <c r="CKW3" s="284"/>
      <c r="CKX3" s="284"/>
      <c r="CKY3" s="284"/>
      <c r="CKZ3" s="284"/>
      <c r="CLA3" s="284"/>
      <c r="CLB3" s="284"/>
      <c r="CLC3" s="284"/>
      <c r="CLD3" s="284"/>
      <c r="CLE3" s="284"/>
      <c r="CLF3" s="284"/>
      <c r="CLG3" s="284"/>
      <c r="CLH3" s="284"/>
      <c r="CLI3" s="284"/>
      <c r="CLJ3" s="284"/>
      <c r="CLK3" s="284"/>
      <c r="CLL3" s="284"/>
      <c r="CLM3" s="284"/>
      <c r="CLN3" s="284"/>
      <c r="CLO3" s="284"/>
      <c r="CLP3" s="284"/>
      <c r="CLQ3" s="284"/>
      <c r="CLR3" s="284"/>
      <c r="CLS3" s="284"/>
      <c r="CLT3" s="284"/>
      <c r="CLU3" s="284"/>
      <c r="CLV3" s="284"/>
      <c r="CLW3" s="284"/>
      <c r="CLX3" s="284"/>
      <c r="CLY3" s="284"/>
      <c r="CLZ3" s="284"/>
      <c r="CMA3" s="284"/>
      <c r="CMB3" s="284"/>
      <c r="CMC3" s="284"/>
      <c r="CMD3" s="284"/>
      <c r="CME3" s="284"/>
      <c r="CMF3" s="284"/>
      <c r="CMG3" s="284"/>
      <c r="CMH3" s="284"/>
      <c r="CMI3" s="284"/>
      <c r="CMJ3" s="284"/>
      <c r="CMK3" s="284"/>
      <c r="CML3" s="284"/>
      <c r="CMM3" s="284"/>
      <c r="CMN3" s="284"/>
      <c r="CMO3" s="284"/>
      <c r="CMP3" s="284"/>
      <c r="CMQ3" s="284"/>
      <c r="CMR3" s="284"/>
      <c r="CMS3" s="284"/>
      <c r="CMT3" s="284"/>
      <c r="CMU3" s="284"/>
      <c r="CMV3" s="284"/>
      <c r="CMW3" s="284"/>
      <c r="CMX3" s="284"/>
      <c r="CMY3" s="284"/>
      <c r="CMZ3" s="284"/>
      <c r="CNA3" s="284"/>
      <c r="CNB3" s="284"/>
      <c r="CNC3" s="284"/>
      <c r="CND3" s="284"/>
      <c r="CNE3" s="284"/>
      <c r="CNF3" s="284"/>
      <c r="CNG3" s="284"/>
      <c r="CNH3" s="284"/>
      <c r="CNI3" s="284"/>
      <c r="CNJ3" s="284"/>
      <c r="CNK3" s="284"/>
      <c r="CNL3" s="284"/>
      <c r="CNM3" s="284"/>
      <c r="CNN3" s="284"/>
      <c r="CNO3" s="284"/>
      <c r="CNP3" s="284"/>
      <c r="CNQ3" s="284"/>
      <c r="CNR3" s="284"/>
      <c r="CNS3" s="284"/>
      <c r="CNT3" s="284"/>
      <c r="CNU3" s="284"/>
      <c r="CNV3" s="284"/>
      <c r="CNW3" s="284"/>
      <c r="CNX3" s="284"/>
      <c r="CNY3" s="284"/>
      <c r="CNZ3" s="284"/>
      <c r="COA3" s="284"/>
      <c r="COB3" s="284"/>
      <c r="COC3" s="284"/>
      <c r="COD3" s="284"/>
      <c r="COE3" s="284"/>
      <c r="COF3" s="284"/>
      <c r="COG3" s="284"/>
      <c r="COH3" s="284"/>
      <c r="COI3" s="284"/>
      <c r="COJ3" s="284"/>
      <c r="COK3" s="284"/>
      <c r="COL3" s="284"/>
      <c r="COM3" s="284"/>
      <c r="CON3" s="284"/>
      <c r="COO3" s="284"/>
      <c r="COP3" s="284"/>
      <c r="COQ3" s="284"/>
      <c r="COR3" s="284"/>
      <c r="COS3" s="284"/>
      <c r="COT3" s="284"/>
      <c r="COU3" s="284"/>
      <c r="COV3" s="284"/>
      <c r="COW3" s="284"/>
      <c r="COX3" s="284"/>
      <c r="COY3" s="284"/>
      <c r="COZ3" s="284"/>
      <c r="CPA3" s="284"/>
      <c r="CPB3" s="284"/>
      <c r="CPC3" s="284"/>
      <c r="CPD3" s="284"/>
      <c r="CPE3" s="284"/>
      <c r="CPF3" s="284"/>
      <c r="CPG3" s="284"/>
      <c r="CPH3" s="284"/>
      <c r="CPI3" s="284"/>
      <c r="CPJ3" s="284"/>
      <c r="CPK3" s="284"/>
      <c r="CPL3" s="284"/>
      <c r="CPM3" s="284"/>
      <c r="CPN3" s="284"/>
      <c r="CPO3" s="284"/>
      <c r="CPP3" s="284"/>
      <c r="CPQ3" s="284"/>
      <c r="CPR3" s="284"/>
      <c r="CPS3" s="284"/>
      <c r="CPT3" s="284"/>
      <c r="CPU3" s="284"/>
      <c r="CPV3" s="284"/>
      <c r="CPW3" s="284"/>
      <c r="CPX3" s="284"/>
      <c r="CPY3" s="284"/>
      <c r="CPZ3" s="284"/>
      <c r="CQA3" s="284"/>
      <c r="CQB3" s="284"/>
      <c r="CQC3" s="284"/>
      <c r="CQD3" s="284"/>
      <c r="CQE3" s="284"/>
      <c r="CQF3" s="284"/>
      <c r="CQG3" s="284"/>
      <c r="CQH3" s="284"/>
      <c r="CQI3" s="284"/>
      <c r="CQJ3" s="284"/>
      <c r="CQK3" s="284"/>
      <c r="CQL3" s="284"/>
      <c r="CQM3" s="284"/>
      <c r="CQN3" s="284"/>
      <c r="CQO3" s="284"/>
      <c r="CQP3" s="284"/>
      <c r="CQQ3" s="284"/>
      <c r="CQR3" s="284"/>
      <c r="CQS3" s="284"/>
      <c r="CQT3" s="284"/>
      <c r="CQU3" s="284"/>
      <c r="CQV3" s="284"/>
      <c r="CQW3" s="284"/>
      <c r="CQX3" s="284"/>
      <c r="CQY3" s="284"/>
      <c r="CQZ3" s="284"/>
      <c r="CRA3" s="284"/>
      <c r="CRB3" s="284"/>
      <c r="CRC3" s="284"/>
      <c r="CRD3" s="284"/>
      <c r="CRE3" s="284"/>
      <c r="CRF3" s="284"/>
      <c r="CRG3" s="284"/>
      <c r="CRH3" s="284"/>
      <c r="CRI3" s="284"/>
      <c r="CRJ3" s="284"/>
      <c r="CRK3" s="284"/>
      <c r="CRL3" s="284"/>
      <c r="CRM3" s="284"/>
      <c r="CRN3" s="284"/>
      <c r="CRO3" s="284"/>
      <c r="CRP3" s="284"/>
      <c r="CRQ3" s="284"/>
      <c r="CRR3" s="284"/>
      <c r="CRS3" s="284"/>
      <c r="CRT3" s="284"/>
      <c r="CRU3" s="284"/>
      <c r="CRV3" s="284"/>
      <c r="CRW3" s="284"/>
      <c r="CRX3" s="284"/>
      <c r="CRY3" s="284"/>
      <c r="CRZ3" s="284"/>
      <c r="CSA3" s="284"/>
      <c r="CSB3" s="284"/>
      <c r="CSC3" s="284"/>
      <c r="CSD3" s="284"/>
      <c r="CSE3" s="284"/>
      <c r="CSF3" s="284"/>
      <c r="CSG3" s="284"/>
      <c r="CSH3" s="284"/>
      <c r="CSI3" s="284"/>
      <c r="CSJ3" s="284"/>
      <c r="CSK3" s="284"/>
      <c r="CSL3" s="284"/>
      <c r="CSM3" s="284"/>
      <c r="CSN3" s="284"/>
      <c r="CSO3" s="284"/>
      <c r="CSP3" s="284"/>
      <c r="CSQ3" s="284"/>
      <c r="CSR3" s="284"/>
      <c r="CSS3" s="284"/>
      <c r="CST3" s="284"/>
      <c r="CSU3" s="284"/>
      <c r="CSV3" s="284"/>
      <c r="CSW3" s="284"/>
      <c r="CSX3" s="284"/>
      <c r="CSY3" s="284"/>
      <c r="CSZ3" s="284"/>
      <c r="CTA3" s="284"/>
      <c r="CTB3" s="284"/>
      <c r="CTC3" s="284"/>
      <c r="CTD3" s="284"/>
      <c r="CTE3" s="284"/>
      <c r="CTF3" s="284"/>
      <c r="CTG3" s="284"/>
      <c r="CTH3" s="284"/>
      <c r="CTI3" s="284"/>
      <c r="CTJ3" s="284"/>
      <c r="CTK3" s="284"/>
      <c r="CTL3" s="284"/>
      <c r="CTM3" s="284"/>
      <c r="CTN3" s="284"/>
      <c r="CTO3" s="284"/>
      <c r="CTP3" s="284"/>
      <c r="CTQ3" s="284"/>
      <c r="CTR3" s="284"/>
      <c r="CTS3" s="284"/>
      <c r="CTT3" s="284"/>
      <c r="CTU3" s="284"/>
      <c r="CTV3" s="284"/>
      <c r="CTW3" s="284"/>
      <c r="CTX3" s="284"/>
      <c r="CTY3" s="284"/>
      <c r="CTZ3" s="284"/>
      <c r="CUA3" s="284"/>
      <c r="CUB3" s="284"/>
      <c r="CUC3" s="284"/>
      <c r="CUD3" s="284"/>
      <c r="CUE3" s="284"/>
      <c r="CUF3" s="284"/>
      <c r="CUG3" s="284"/>
      <c r="CUH3" s="284"/>
      <c r="CUI3" s="284"/>
      <c r="CUJ3" s="284"/>
      <c r="CUK3" s="284"/>
      <c r="CUL3" s="284"/>
      <c r="CUM3" s="284"/>
      <c r="CUN3" s="284"/>
      <c r="CUO3" s="284"/>
      <c r="CUP3" s="284"/>
      <c r="CUQ3" s="284"/>
      <c r="CUR3" s="284"/>
      <c r="CUS3" s="284"/>
      <c r="CUT3" s="284"/>
      <c r="CUU3" s="284"/>
      <c r="CUV3" s="284"/>
      <c r="CUW3" s="284"/>
      <c r="CUX3" s="284"/>
      <c r="CUY3" s="284"/>
      <c r="CUZ3" s="284"/>
      <c r="CVA3" s="284"/>
      <c r="CVB3" s="284"/>
      <c r="CVC3" s="284"/>
      <c r="CVD3" s="284"/>
      <c r="CVE3" s="284"/>
      <c r="CVF3" s="284"/>
      <c r="CVG3" s="284"/>
      <c r="CVH3" s="284"/>
      <c r="CVI3" s="284"/>
      <c r="CVJ3" s="284"/>
      <c r="CVK3" s="284"/>
      <c r="CVL3" s="284"/>
      <c r="CVM3" s="284"/>
      <c r="CVN3" s="284"/>
      <c r="CVO3" s="284"/>
      <c r="CVP3" s="284"/>
      <c r="CVQ3" s="284"/>
      <c r="CVR3" s="284"/>
      <c r="CVS3" s="284"/>
      <c r="CVT3" s="284"/>
      <c r="CVU3" s="284"/>
      <c r="CVV3" s="284"/>
      <c r="CVW3" s="284"/>
      <c r="CVX3" s="284"/>
      <c r="CVY3" s="284"/>
      <c r="CVZ3" s="284"/>
      <c r="CWA3" s="284"/>
      <c r="CWB3" s="284"/>
      <c r="CWC3" s="284"/>
      <c r="CWD3" s="284"/>
      <c r="CWE3" s="284"/>
      <c r="CWF3" s="284"/>
      <c r="CWG3" s="284"/>
      <c r="CWH3" s="284"/>
      <c r="CWI3" s="284"/>
      <c r="CWJ3" s="284"/>
      <c r="CWK3" s="284"/>
      <c r="CWL3" s="284"/>
      <c r="CWM3" s="284"/>
      <c r="CWN3" s="284"/>
      <c r="CWO3" s="284"/>
      <c r="CWP3" s="284"/>
      <c r="CWQ3" s="284"/>
      <c r="CWR3" s="284"/>
      <c r="CWS3" s="284"/>
      <c r="CWT3" s="284"/>
      <c r="CWU3" s="284"/>
      <c r="CWV3" s="284"/>
      <c r="CWW3" s="284"/>
      <c r="CWX3" s="284"/>
      <c r="CWY3" s="284"/>
      <c r="CWZ3" s="284"/>
      <c r="CXA3" s="284"/>
      <c r="CXB3" s="284"/>
      <c r="CXC3" s="284"/>
      <c r="CXD3" s="284"/>
      <c r="CXE3" s="284"/>
      <c r="CXF3" s="284"/>
      <c r="CXG3" s="284"/>
      <c r="CXH3" s="284"/>
      <c r="CXI3" s="284"/>
      <c r="CXJ3" s="284"/>
      <c r="CXK3" s="284"/>
      <c r="CXL3" s="284"/>
      <c r="CXM3" s="284"/>
      <c r="CXN3" s="284"/>
      <c r="CXO3" s="284"/>
      <c r="CXP3" s="284"/>
      <c r="CXQ3" s="284"/>
      <c r="CXR3" s="284"/>
      <c r="CXS3" s="284"/>
      <c r="CXT3" s="284"/>
      <c r="CXU3" s="284"/>
      <c r="CXV3" s="284"/>
      <c r="CXW3" s="284"/>
      <c r="CXX3" s="284"/>
      <c r="CXY3" s="284"/>
      <c r="CXZ3" s="284"/>
      <c r="CYA3" s="284"/>
      <c r="CYB3" s="284"/>
      <c r="CYC3" s="284"/>
      <c r="CYD3" s="284"/>
      <c r="CYE3" s="284"/>
      <c r="CYF3" s="284"/>
      <c r="CYG3" s="284"/>
      <c r="CYH3" s="284"/>
      <c r="CYI3" s="284"/>
      <c r="CYJ3" s="284"/>
      <c r="CYK3" s="284"/>
      <c r="CYL3" s="284"/>
      <c r="CYM3" s="284"/>
      <c r="CYN3" s="284"/>
      <c r="CYO3" s="284"/>
      <c r="CYP3" s="284"/>
      <c r="CYQ3" s="284"/>
      <c r="CYR3" s="284"/>
      <c r="CYS3" s="284"/>
      <c r="CYT3" s="284"/>
      <c r="CYU3" s="284"/>
      <c r="CYV3" s="284"/>
      <c r="CYW3" s="284"/>
      <c r="CYX3" s="284"/>
      <c r="CYY3" s="284"/>
      <c r="CYZ3" s="284"/>
      <c r="CZA3" s="284"/>
      <c r="CZB3" s="284"/>
      <c r="CZC3" s="284"/>
      <c r="CZD3" s="284"/>
      <c r="CZE3" s="284"/>
      <c r="CZF3" s="284"/>
      <c r="CZG3" s="284"/>
      <c r="CZH3" s="284"/>
      <c r="CZI3" s="284"/>
      <c r="CZJ3" s="284"/>
      <c r="CZK3" s="284"/>
      <c r="CZL3" s="284"/>
      <c r="CZM3" s="284"/>
      <c r="CZN3" s="284"/>
      <c r="CZO3" s="284"/>
      <c r="CZP3" s="284"/>
      <c r="CZQ3" s="284"/>
      <c r="CZR3" s="284"/>
      <c r="CZS3" s="284"/>
      <c r="CZT3" s="284"/>
      <c r="CZU3" s="284"/>
      <c r="CZV3" s="284"/>
      <c r="CZW3" s="284"/>
      <c r="CZX3" s="284"/>
      <c r="CZY3" s="284"/>
      <c r="CZZ3" s="284"/>
      <c r="DAA3" s="284"/>
      <c r="DAB3" s="284"/>
      <c r="DAC3" s="284"/>
      <c r="DAD3" s="284"/>
      <c r="DAE3" s="284"/>
      <c r="DAF3" s="284"/>
      <c r="DAG3" s="284"/>
      <c r="DAH3" s="284"/>
      <c r="DAI3" s="284"/>
      <c r="DAJ3" s="284"/>
      <c r="DAK3" s="284"/>
      <c r="DAL3" s="284"/>
      <c r="DAM3" s="284"/>
      <c r="DAN3" s="284"/>
      <c r="DAO3" s="284"/>
      <c r="DAP3" s="284"/>
      <c r="DAQ3" s="284"/>
      <c r="DAR3" s="284"/>
      <c r="DAS3" s="284"/>
      <c r="DAT3" s="284"/>
      <c r="DAU3" s="284"/>
      <c r="DAV3" s="284"/>
      <c r="DAW3" s="284"/>
      <c r="DAX3" s="284"/>
      <c r="DAY3" s="284"/>
      <c r="DAZ3" s="284"/>
      <c r="DBA3" s="284"/>
      <c r="DBB3" s="284"/>
      <c r="DBC3" s="284"/>
      <c r="DBD3" s="284"/>
      <c r="DBE3" s="284"/>
      <c r="DBF3" s="284"/>
      <c r="DBG3" s="284"/>
      <c r="DBH3" s="284"/>
      <c r="DBI3" s="284"/>
      <c r="DBJ3" s="284"/>
      <c r="DBK3" s="284"/>
      <c r="DBL3" s="284"/>
      <c r="DBM3" s="284"/>
      <c r="DBN3" s="284"/>
      <c r="DBO3" s="284"/>
      <c r="DBP3" s="284"/>
      <c r="DBQ3" s="284"/>
      <c r="DBR3" s="284"/>
      <c r="DBS3" s="284"/>
      <c r="DBT3" s="284"/>
      <c r="DBU3" s="284"/>
      <c r="DBV3" s="284"/>
      <c r="DBW3" s="284"/>
      <c r="DBX3" s="284"/>
      <c r="DBY3" s="284"/>
      <c r="DBZ3" s="284"/>
      <c r="DCA3" s="284"/>
      <c r="DCB3" s="284"/>
      <c r="DCC3" s="284"/>
      <c r="DCD3" s="284"/>
      <c r="DCE3" s="284"/>
      <c r="DCF3" s="284"/>
      <c r="DCG3" s="284"/>
      <c r="DCH3" s="284"/>
      <c r="DCI3" s="284"/>
      <c r="DCJ3" s="284"/>
      <c r="DCK3" s="284"/>
      <c r="DCL3" s="284"/>
      <c r="DCM3" s="284"/>
      <c r="DCN3" s="284"/>
      <c r="DCO3" s="284"/>
      <c r="DCP3" s="284"/>
      <c r="DCQ3" s="284"/>
      <c r="DCR3" s="284"/>
      <c r="DCS3" s="284"/>
      <c r="DCT3" s="284"/>
      <c r="DCU3" s="284"/>
      <c r="DCV3" s="284"/>
      <c r="DCW3" s="284"/>
      <c r="DCX3" s="284"/>
      <c r="DCY3" s="284"/>
      <c r="DCZ3" s="284"/>
      <c r="DDA3" s="284"/>
      <c r="DDB3" s="284"/>
      <c r="DDC3" s="284"/>
      <c r="DDD3" s="284"/>
      <c r="DDE3" s="284"/>
      <c r="DDF3" s="284"/>
      <c r="DDG3" s="284"/>
      <c r="DDH3" s="284"/>
      <c r="DDI3" s="284"/>
      <c r="DDJ3" s="284"/>
      <c r="DDK3" s="284"/>
      <c r="DDL3" s="284"/>
      <c r="DDM3" s="284"/>
      <c r="DDN3" s="284"/>
      <c r="DDO3" s="284"/>
      <c r="DDP3" s="284"/>
      <c r="DDQ3" s="284"/>
      <c r="DDR3" s="284"/>
      <c r="DDS3" s="284"/>
      <c r="DDT3" s="284"/>
      <c r="DDU3" s="284"/>
      <c r="DDV3" s="284"/>
      <c r="DDW3" s="284"/>
      <c r="DDX3" s="284"/>
      <c r="DDY3" s="284"/>
      <c r="DDZ3" s="284"/>
      <c r="DEA3" s="284"/>
      <c r="DEB3" s="284"/>
      <c r="DEC3" s="284"/>
      <c r="DED3" s="284"/>
      <c r="DEE3" s="284"/>
      <c r="DEF3" s="284"/>
      <c r="DEG3" s="284"/>
      <c r="DEH3" s="284"/>
      <c r="DEI3" s="284"/>
      <c r="DEJ3" s="284"/>
      <c r="DEK3" s="284"/>
      <c r="DEL3" s="284"/>
      <c r="DEM3" s="284"/>
      <c r="DEN3" s="284"/>
      <c r="DEO3" s="284"/>
      <c r="DEP3" s="284"/>
      <c r="DEQ3" s="284"/>
      <c r="DER3" s="284"/>
      <c r="DES3" s="284"/>
      <c r="DET3" s="284"/>
      <c r="DEU3" s="284"/>
      <c r="DEV3" s="284"/>
      <c r="DEW3" s="284"/>
      <c r="DEX3" s="284"/>
      <c r="DEY3" s="284"/>
      <c r="DEZ3" s="284"/>
      <c r="DFA3" s="284"/>
      <c r="DFB3" s="284"/>
      <c r="DFC3" s="284"/>
      <c r="DFD3" s="284"/>
      <c r="DFE3" s="284"/>
      <c r="DFF3" s="284"/>
      <c r="DFG3" s="284"/>
      <c r="DFH3" s="284"/>
      <c r="DFI3" s="284"/>
      <c r="DFJ3" s="284"/>
      <c r="DFK3" s="284"/>
      <c r="DFL3" s="284"/>
      <c r="DFM3" s="284"/>
      <c r="DFN3" s="284"/>
      <c r="DFO3" s="284"/>
      <c r="DFP3" s="284"/>
      <c r="DFQ3" s="284"/>
      <c r="DFR3" s="284"/>
      <c r="DFS3" s="284"/>
      <c r="DFT3" s="284"/>
      <c r="DFU3" s="284"/>
      <c r="DFV3" s="284"/>
      <c r="DFW3" s="284"/>
      <c r="DFX3" s="284"/>
      <c r="DFY3" s="284"/>
      <c r="DFZ3" s="284"/>
      <c r="DGA3" s="284"/>
      <c r="DGB3" s="284"/>
      <c r="DGC3" s="284"/>
      <c r="DGD3" s="284"/>
      <c r="DGE3" s="284"/>
      <c r="DGF3" s="284"/>
      <c r="DGG3" s="284"/>
      <c r="DGH3" s="284"/>
      <c r="DGI3" s="284"/>
      <c r="DGJ3" s="284"/>
      <c r="DGK3" s="284"/>
      <c r="DGL3" s="284"/>
      <c r="DGM3" s="284"/>
      <c r="DGN3" s="284"/>
      <c r="DGO3" s="284"/>
      <c r="DGP3" s="284"/>
      <c r="DGQ3" s="284"/>
      <c r="DGR3" s="284"/>
      <c r="DGS3" s="284"/>
      <c r="DGT3" s="284"/>
      <c r="DGU3" s="284"/>
      <c r="DGV3" s="284"/>
      <c r="DGW3" s="284"/>
      <c r="DGX3" s="284"/>
      <c r="DGY3" s="284"/>
      <c r="DGZ3" s="284"/>
      <c r="DHA3" s="284"/>
      <c r="DHB3" s="284"/>
      <c r="DHC3" s="284"/>
      <c r="DHD3" s="284"/>
      <c r="DHE3" s="284"/>
      <c r="DHF3" s="284"/>
      <c r="DHG3" s="284"/>
      <c r="DHH3" s="284"/>
      <c r="DHI3" s="284"/>
      <c r="DHJ3" s="284"/>
      <c r="DHK3" s="284"/>
      <c r="DHL3" s="284"/>
      <c r="DHM3" s="284"/>
      <c r="DHN3" s="284"/>
      <c r="DHO3" s="284"/>
      <c r="DHP3" s="284"/>
      <c r="DHQ3" s="284"/>
      <c r="DHR3" s="284"/>
      <c r="DHS3" s="284"/>
      <c r="DHT3" s="284"/>
      <c r="DHU3" s="284"/>
      <c r="DHV3" s="284"/>
      <c r="DHW3" s="284"/>
      <c r="DHX3" s="284"/>
      <c r="DHY3" s="284"/>
      <c r="DHZ3" s="284"/>
      <c r="DIA3" s="284"/>
      <c r="DIB3" s="284"/>
      <c r="DIC3" s="284"/>
      <c r="DID3" s="284"/>
      <c r="DIE3" s="284"/>
      <c r="DIF3" s="284"/>
      <c r="DIG3" s="284"/>
      <c r="DIH3" s="284"/>
      <c r="DII3" s="284"/>
      <c r="DIJ3" s="284"/>
      <c r="DIK3" s="284"/>
      <c r="DIL3" s="284"/>
      <c r="DIM3" s="284"/>
      <c r="DIN3" s="284"/>
      <c r="DIO3" s="284"/>
      <c r="DIP3" s="284"/>
      <c r="DIQ3" s="284"/>
      <c r="DIR3" s="284"/>
      <c r="DIS3" s="284"/>
      <c r="DIT3" s="284"/>
      <c r="DIU3" s="284"/>
      <c r="DIV3" s="284"/>
      <c r="DIW3" s="284"/>
      <c r="DIX3" s="284"/>
      <c r="DIY3" s="284"/>
      <c r="DIZ3" s="284"/>
      <c r="DJA3" s="284"/>
      <c r="DJB3" s="284"/>
      <c r="DJC3" s="284"/>
      <c r="DJD3" s="284"/>
      <c r="DJE3" s="284"/>
      <c r="DJF3" s="284"/>
      <c r="DJG3" s="284"/>
      <c r="DJH3" s="284"/>
      <c r="DJI3" s="284"/>
      <c r="DJJ3" s="284"/>
      <c r="DJK3" s="284"/>
      <c r="DJL3" s="284"/>
      <c r="DJM3" s="284"/>
      <c r="DJN3" s="284"/>
      <c r="DJO3" s="284"/>
      <c r="DJP3" s="284"/>
      <c r="DJQ3" s="284"/>
      <c r="DJR3" s="284"/>
      <c r="DJS3" s="284"/>
      <c r="DJT3" s="284"/>
      <c r="DJU3" s="284"/>
      <c r="DJV3" s="284"/>
      <c r="DJW3" s="284"/>
      <c r="DJX3" s="284"/>
      <c r="DJY3" s="284"/>
      <c r="DJZ3" s="284"/>
      <c r="DKA3" s="284"/>
      <c r="DKB3" s="284"/>
      <c r="DKC3" s="284"/>
      <c r="DKD3" s="284"/>
      <c r="DKE3" s="284"/>
      <c r="DKF3" s="284"/>
      <c r="DKG3" s="284"/>
      <c r="DKH3" s="284"/>
      <c r="DKI3" s="284"/>
      <c r="DKJ3" s="284"/>
      <c r="DKK3" s="284"/>
      <c r="DKL3" s="284"/>
      <c r="DKM3" s="284"/>
      <c r="DKN3" s="284"/>
      <c r="DKO3" s="284"/>
      <c r="DKP3" s="284"/>
      <c r="DKQ3" s="284"/>
      <c r="DKR3" s="284"/>
      <c r="DKS3" s="284"/>
      <c r="DKT3" s="284"/>
      <c r="DKU3" s="284"/>
      <c r="DKV3" s="284"/>
      <c r="DKW3" s="284"/>
      <c r="DKX3" s="284"/>
      <c r="DKY3" s="284"/>
      <c r="DKZ3" s="284"/>
      <c r="DLA3" s="284"/>
      <c r="DLB3" s="284"/>
      <c r="DLC3" s="284"/>
      <c r="DLD3" s="284"/>
      <c r="DLE3" s="284"/>
      <c r="DLF3" s="284"/>
      <c r="DLG3" s="284"/>
      <c r="DLH3" s="284"/>
      <c r="DLI3" s="284"/>
      <c r="DLJ3" s="284"/>
      <c r="DLK3" s="284"/>
      <c r="DLL3" s="284"/>
      <c r="DLM3" s="284"/>
      <c r="DLN3" s="284"/>
      <c r="DLO3" s="284"/>
      <c r="DLP3" s="284"/>
      <c r="DLQ3" s="284"/>
      <c r="DLR3" s="284"/>
      <c r="DLS3" s="284"/>
      <c r="DLT3" s="284"/>
      <c r="DLU3" s="284"/>
      <c r="DLV3" s="284"/>
      <c r="DLW3" s="284"/>
      <c r="DLX3" s="284"/>
      <c r="DLY3" s="284"/>
      <c r="DLZ3" s="284"/>
      <c r="DMA3" s="284"/>
      <c r="DMB3" s="284"/>
      <c r="DMC3" s="284"/>
      <c r="DMD3" s="284"/>
      <c r="DME3" s="284"/>
      <c r="DMF3" s="284"/>
      <c r="DMG3" s="284"/>
      <c r="DMH3" s="284"/>
      <c r="DMI3" s="284"/>
      <c r="DMJ3" s="284"/>
      <c r="DMK3" s="284"/>
      <c r="DML3" s="284"/>
      <c r="DMM3" s="284"/>
      <c r="DMN3" s="284"/>
      <c r="DMO3" s="284"/>
      <c r="DMP3" s="284"/>
      <c r="DMQ3" s="284"/>
      <c r="DMR3" s="284"/>
      <c r="DMS3" s="284"/>
      <c r="DMT3" s="284"/>
      <c r="DMU3" s="284"/>
      <c r="DMV3" s="284"/>
      <c r="DMW3" s="284"/>
      <c r="DMX3" s="284"/>
      <c r="DMY3" s="284"/>
      <c r="DMZ3" s="284"/>
      <c r="DNA3" s="284"/>
      <c r="DNB3" s="284"/>
      <c r="DNC3" s="284"/>
      <c r="DND3" s="284"/>
      <c r="DNE3" s="284"/>
      <c r="DNF3" s="284"/>
      <c r="DNG3" s="284"/>
      <c r="DNH3" s="284"/>
      <c r="DNI3" s="284"/>
      <c r="DNJ3" s="284"/>
      <c r="DNK3" s="284"/>
      <c r="DNL3" s="284"/>
      <c r="DNM3" s="284"/>
      <c r="DNN3" s="284"/>
      <c r="DNO3" s="284"/>
      <c r="DNP3" s="284"/>
      <c r="DNQ3" s="284"/>
      <c r="DNR3" s="284"/>
      <c r="DNS3" s="284"/>
      <c r="DNT3" s="284"/>
      <c r="DNU3" s="284"/>
      <c r="DNV3" s="284"/>
      <c r="DNW3" s="284"/>
      <c r="DNX3" s="284"/>
      <c r="DNY3" s="284"/>
      <c r="DNZ3" s="284"/>
      <c r="DOA3" s="284"/>
      <c r="DOB3" s="284"/>
      <c r="DOC3" s="284"/>
      <c r="DOD3" s="284"/>
      <c r="DOE3" s="284"/>
      <c r="DOF3" s="284"/>
      <c r="DOG3" s="284"/>
      <c r="DOH3" s="284"/>
      <c r="DOI3" s="284"/>
      <c r="DOJ3" s="284"/>
      <c r="DOK3" s="284"/>
      <c r="DOL3" s="284"/>
      <c r="DOM3" s="284"/>
      <c r="DON3" s="284"/>
      <c r="DOO3" s="284"/>
      <c r="DOP3" s="284"/>
      <c r="DOQ3" s="284"/>
      <c r="DOR3" s="284"/>
      <c r="DOS3" s="284"/>
      <c r="DOT3" s="284"/>
      <c r="DOU3" s="284"/>
      <c r="DOV3" s="284"/>
      <c r="DOW3" s="284"/>
      <c r="DOX3" s="284"/>
      <c r="DOY3" s="284"/>
      <c r="DOZ3" s="284"/>
      <c r="DPA3" s="284"/>
      <c r="DPB3" s="284"/>
      <c r="DPC3" s="284"/>
      <c r="DPD3" s="284"/>
      <c r="DPE3" s="284"/>
      <c r="DPF3" s="284"/>
      <c r="DPG3" s="284"/>
      <c r="DPH3" s="284"/>
      <c r="DPI3" s="284"/>
      <c r="DPJ3" s="284"/>
      <c r="DPK3" s="284"/>
      <c r="DPL3" s="284"/>
      <c r="DPM3" s="284"/>
      <c r="DPN3" s="284"/>
      <c r="DPO3" s="284"/>
      <c r="DPP3" s="284"/>
      <c r="DPQ3" s="284"/>
      <c r="DPR3" s="284"/>
      <c r="DPS3" s="284"/>
      <c r="DPT3" s="284"/>
      <c r="DPU3" s="284"/>
      <c r="DPV3" s="284"/>
      <c r="DPW3" s="284"/>
      <c r="DPX3" s="284"/>
      <c r="DPY3" s="284"/>
      <c r="DPZ3" s="284"/>
      <c r="DQA3" s="284"/>
      <c r="DQB3" s="284"/>
      <c r="DQC3" s="284"/>
      <c r="DQD3" s="284"/>
      <c r="DQE3" s="284"/>
      <c r="DQF3" s="284"/>
      <c r="DQG3" s="284"/>
      <c r="DQH3" s="284"/>
      <c r="DQI3" s="284"/>
      <c r="DQJ3" s="284"/>
      <c r="DQK3" s="284"/>
      <c r="DQL3" s="284"/>
      <c r="DQM3" s="284"/>
      <c r="DQN3" s="284"/>
      <c r="DQO3" s="284"/>
      <c r="DQP3" s="284"/>
      <c r="DQQ3" s="284"/>
      <c r="DQR3" s="284"/>
      <c r="DQS3" s="284"/>
      <c r="DQT3" s="284"/>
      <c r="DQU3" s="284"/>
      <c r="DQV3" s="284"/>
      <c r="DQW3" s="284"/>
      <c r="DQX3" s="284"/>
      <c r="DQY3" s="284"/>
      <c r="DQZ3" s="284"/>
      <c r="DRA3" s="284"/>
      <c r="DRB3" s="284"/>
      <c r="DRC3" s="284"/>
      <c r="DRD3" s="284"/>
      <c r="DRE3" s="284"/>
      <c r="DRF3" s="284"/>
      <c r="DRG3" s="284"/>
      <c r="DRH3" s="284"/>
      <c r="DRI3" s="284"/>
      <c r="DRJ3" s="284"/>
      <c r="DRK3" s="284"/>
      <c r="DRL3" s="284"/>
      <c r="DRM3" s="284"/>
      <c r="DRN3" s="284"/>
      <c r="DRO3" s="284"/>
      <c r="DRP3" s="284"/>
      <c r="DRQ3" s="284"/>
      <c r="DRR3" s="284"/>
      <c r="DRS3" s="284"/>
      <c r="DRT3" s="284"/>
      <c r="DRU3" s="284"/>
      <c r="DRV3" s="284"/>
      <c r="DRW3" s="284"/>
      <c r="DRX3" s="284"/>
      <c r="DRY3" s="284"/>
      <c r="DRZ3" s="284"/>
      <c r="DSA3" s="284"/>
      <c r="DSB3" s="284"/>
      <c r="DSC3" s="284"/>
      <c r="DSD3" s="284"/>
      <c r="DSE3" s="284"/>
      <c r="DSF3" s="284"/>
      <c r="DSG3" s="284"/>
      <c r="DSH3" s="284"/>
      <c r="DSI3" s="284"/>
      <c r="DSJ3" s="284"/>
      <c r="DSK3" s="284"/>
      <c r="DSL3" s="284"/>
      <c r="DSM3" s="284"/>
      <c r="DSN3" s="284"/>
      <c r="DSO3" s="284"/>
      <c r="DSP3" s="284"/>
      <c r="DSQ3" s="284"/>
      <c r="DSR3" s="284"/>
      <c r="DSS3" s="284"/>
      <c r="DST3" s="284"/>
      <c r="DSU3" s="284"/>
      <c r="DSV3" s="284"/>
      <c r="DSW3" s="284"/>
      <c r="DSX3" s="284"/>
      <c r="DSY3" s="284"/>
      <c r="DSZ3" s="284"/>
      <c r="DTA3" s="284"/>
      <c r="DTB3" s="284"/>
      <c r="DTC3" s="284"/>
      <c r="DTD3" s="284"/>
      <c r="DTE3" s="284"/>
      <c r="DTF3" s="284"/>
      <c r="DTG3" s="284"/>
      <c r="DTH3" s="284"/>
      <c r="DTI3" s="284"/>
      <c r="DTJ3" s="284"/>
      <c r="DTK3" s="284"/>
      <c r="DTL3" s="284"/>
      <c r="DTM3" s="284"/>
      <c r="DTN3" s="284"/>
      <c r="DTO3" s="284"/>
      <c r="DTP3" s="284"/>
      <c r="DTQ3" s="284"/>
      <c r="DTR3" s="284"/>
      <c r="DTS3" s="284"/>
      <c r="DTT3" s="284"/>
      <c r="DTU3" s="284"/>
      <c r="DTV3" s="284"/>
      <c r="DTW3" s="284"/>
      <c r="DTX3" s="284"/>
      <c r="DTY3" s="284"/>
      <c r="DTZ3" s="284"/>
      <c r="DUA3" s="284"/>
      <c r="DUB3" s="284"/>
      <c r="DUC3" s="284"/>
      <c r="DUD3" s="284"/>
      <c r="DUE3" s="284"/>
      <c r="DUF3" s="284"/>
      <c r="DUG3" s="284"/>
      <c r="DUH3" s="284"/>
      <c r="DUI3" s="284"/>
      <c r="DUJ3" s="284"/>
      <c r="DUK3" s="284"/>
      <c r="DUL3" s="284"/>
      <c r="DUM3" s="284"/>
      <c r="DUN3" s="284"/>
      <c r="DUO3" s="284"/>
      <c r="DUP3" s="284"/>
      <c r="DUQ3" s="284"/>
      <c r="DUR3" s="284"/>
      <c r="DUS3" s="284"/>
      <c r="DUT3" s="284"/>
      <c r="DUU3" s="284"/>
      <c r="DUV3" s="284"/>
      <c r="DUW3" s="284"/>
      <c r="DUX3" s="284"/>
      <c r="DUY3" s="284"/>
      <c r="DUZ3" s="284"/>
      <c r="DVA3" s="284"/>
      <c r="DVB3" s="284"/>
      <c r="DVC3" s="284"/>
      <c r="DVD3" s="284"/>
      <c r="DVE3" s="284"/>
      <c r="DVF3" s="284"/>
      <c r="DVG3" s="284"/>
      <c r="DVH3" s="284"/>
      <c r="DVI3" s="284"/>
      <c r="DVJ3" s="284"/>
      <c r="DVK3" s="284"/>
      <c r="DVL3" s="284"/>
      <c r="DVM3" s="284"/>
      <c r="DVN3" s="284"/>
      <c r="DVO3" s="284"/>
      <c r="DVP3" s="284"/>
      <c r="DVQ3" s="284"/>
      <c r="DVR3" s="284"/>
      <c r="DVS3" s="284"/>
      <c r="DVT3" s="284"/>
      <c r="DVU3" s="284"/>
      <c r="DVV3" s="284"/>
      <c r="DVW3" s="284"/>
      <c r="DVX3" s="284"/>
      <c r="DVY3" s="284"/>
      <c r="DVZ3" s="284"/>
      <c r="DWA3" s="284"/>
      <c r="DWB3" s="284"/>
      <c r="DWC3" s="284"/>
      <c r="DWD3" s="284"/>
      <c r="DWE3" s="284"/>
      <c r="DWF3" s="284"/>
      <c r="DWG3" s="284"/>
      <c r="DWH3" s="284"/>
      <c r="DWI3" s="284"/>
      <c r="DWJ3" s="284"/>
      <c r="DWK3" s="284"/>
      <c r="DWL3" s="284"/>
      <c r="DWM3" s="284"/>
      <c r="DWN3" s="284"/>
      <c r="DWO3" s="284"/>
      <c r="DWP3" s="284"/>
      <c r="DWQ3" s="284"/>
      <c r="DWR3" s="284"/>
      <c r="DWS3" s="284"/>
      <c r="DWT3" s="284"/>
      <c r="DWU3" s="284"/>
      <c r="DWV3" s="284"/>
      <c r="DWW3" s="284"/>
      <c r="DWX3" s="284"/>
      <c r="DWY3" s="284"/>
      <c r="DWZ3" s="284"/>
      <c r="DXA3" s="284"/>
      <c r="DXB3" s="284"/>
      <c r="DXC3" s="284"/>
      <c r="DXD3" s="284"/>
      <c r="DXE3" s="284"/>
      <c r="DXF3" s="284"/>
      <c r="DXG3" s="284"/>
      <c r="DXH3" s="284"/>
      <c r="DXI3" s="284"/>
      <c r="DXJ3" s="284"/>
      <c r="DXK3" s="284"/>
      <c r="DXL3" s="284"/>
      <c r="DXM3" s="284"/>
      <c r="DXN3" s="284"/>
      <c r="DXO3" s="284"/>
      <c r="DXP3" s="284"/>
      <c r="DXQ3" s="284"/>
      <c r="DXR3" s="284"/>
      <c r="DXS3" s="284"/>
      <c r="DXT3" s="284"/>
      <c r="DXU3" s="284"/>
      <c r="DXV3" s="284"/>
      <c r="DXW3" s="284"/>
      <c r="DXX3" s="284"/>
      <c r="DXY3" s="284"/>
      <c r="DXZ3" s="284"/>
      <c r="DYA3" s="284"/>
      <c r="DYB3" s="284"/>
      <c r="DYC3" s="284"/>
      <c r="DYD3" s="284"/>
      <c r="DYE3" s="284"/>
      <c r="DYF3" s="284"/>
      <c r="DYG3" s="284"/>
      <c r="DYH3" s="284"/>
      <c r="DYI3" s="284"/>
      <c r="DYJ3" s="284"/>
      <c r="DYK3" s="284"/>
      <c r="DYL3" s="284"/>
      <c r="DYM3" s="284"/>
      <c r="DYN3" s="284"/>
      <c r="DYO3" s="284"/>
      <c r="DYP3" s="284"/>
      <c r="DYQ3" s="284"/>
      <c r="DYR3" s="284"/>
      <c r="DYS3" s="284"/>
      <c r="DYT3" s="284"/>
      <c r="DYU3" s="284"/>
      <c r="DYV3" s="284"/>
      <c r="DYW3" s="284"/>
      <c r="DYX3" s="284"/>
      <c r="DYY3" s="284"/>
      <c r="DYZ3" s="284"/>
      <c r="DZA3" s="284"/>
      <c r="DZB3" s="284"/>
      <c r="DZC3" s="284"/>
      <c r="DZD3" s="284"/>
      <c r="DZE3" s="284"/>
      <c r="DZF3" s="284"/>
      <c r="DZG3" s="284"/>
      <c r="DZH3" s="284"/>
      <c r="DZI3" s="284"/>
      <c r="DZJ3" s="284"/>
      <c r="DZK3" s="284"/>
      <c r="DZL3" s="284"/>
      <c r="DZM3" s="284"/>
      <c r="DZN3" s="284"/>
      <c r="DZO3" s="284"/>
      <c r="DZP3" s="284"/>
      <c r="DZQ3" s="284"/>
      <c r="DZR3" s="284"/>
      <c r="DZS3" s="284"/>
      <c r="DZT3" s="284"/>
      <c r="DZU3" s="284"/>
      <c r="DZV3" s="284"/>
      <c r="DZW3" s="284"/>
      <c r="DZX3" s="284"/>
      <c r="DZY3" s="284"/>
      <c r="DZZ3" s="284"/>
      <c r="EAA3" s="284"/>
      <c r="EAB3" s="284"/>
      <c r="EAC3" s="284"/>
      <c r="EAD3" s="284"/>
      <c r="EAE3" s="284"/>
      <c r="EAF3" s="284"/>
      <c r="EAG3" s="284"/>
      <c r="EAH3" s="284"/>
      <c r="EAI3" s="284"/>
      <c r="EAJ3" s="284"/>
      <c r="EAK3" s="284"/>
      <c r="EAL3" s="284"/>
      <c r="EAM3" s="284"/>
      <c r="EAN3" s="284"/>
      <c r="EAO3" s="284"/>
      <c r="EAP3" s="284"/>
      <c r="EAQ3" s="284"/>
      <c r="EAR3" s="284"/>
      <c r="EAS3" s="284"/>
      <c r="EAT3" s="284"/>
      <c r="EAU3" s="284"/>
      <c r="EAV3" s="284"/>
      <c r="EAW3" s="284"/>
      <c r="EAX3" s="284"/>
      <c r="EAY3" s="284"/>
      <c r="EAZ3" s="284"/>
      <c r="EBA3" s="284"/>
      <c r="EBB3" s="284"/>
      <c r="EBC3" s="284"/>
      <c r="EBD3" s="284"/>
      <c r="EBE3" s="284"/>
      <c r="EBF3" s="284"/>
      <c r="EBG3" s="284"/>
      <c r="EBH3" s="284"/>
      <c r="EBI3" s="284"/>
      <c r="EBJ3" s="284"/>
      <c r="EBK3" s="284"/>
      <c r="EBL3" s="284"/>
      <c r="EBM3" s="284"/>
      <c r="EBN3" s="284"/>
      <c r="EBO3" s="284"/>
      <c r="EBP3" s="284"/>
      <c r="EBQ3" s="284"/>
      <c r="EBR3" s="284"/>
      <c r="EBS3" s="284"/>
      <c r="EBT3" s="284"/>
      <c r="EBU3" s="284"/>
      <c r="EBV3" s="284"/>
      <c r="EBW3" s="284"/>
      <c r="EBX3" s="284"/>
      <c r="EBY3" s="284"/>
      <c r="EBZ3" s="284"/>
      <c r="ECA3" s="284"/>
      <c r="ECB3" s="284"/>
      <c r="ECC3" s="284"/>
      <c r="ECD3" s="284"/>
      <c r="ECE3" s="284"/>
      <c r="ECF3" s="284"/>
      <c r="ECG3" s="284"/>
      <c r="ECH3" s="284"/>
      <c r="ECI3" s="284"/>
      <c r="ECJ3" s="284"/>
      <c r="ECK3" s="284"/>
      <c r="ECL3" s="284"/>
      <c r="ECM3" s="284"/>
      <c r="ECN3" s="284"/>
      <c r="ECO3" s="284"/>
      <c r="ECP3" s="284"/>
      <c r="ECQ3" s="284"/>
      <c r="ECR3" s="284"/>
      <c r="ECS3" s="284"/>
      <c r="ECT3" s="284"/>
      <c r="ECU3" s="284"/>
      <c r="ECV3" s="284"/>
      <c r="ECW3" s="284"/>
      <c r="ECX3" s="284"/>
      <c r="ECY3" s="284"/>
      <c r="ECZ3" s="284"/>
      <c r="EDA3" s="284"/>
      <c r="EDB3" s="284"/>
      <c r="EDC3" s="284"/>
      <c r="EDD3" s="284"/>
      <c r="EDE3" s="284"/>
      <c r="EDF3" s="284"/>
      <c r="EDG3" s="284"/>
      <c r="EDH3" s="284"/>
      <c r="EDI3" s="284"/>
      <c r="EDJ3" s="284"/>
      <c r="EDK3" s="284"/>
      <c r="EDL3" s="284"/>
      <c r="EDM3" s="284"/>
      <c r="EDN3" s="284"/>
      <c r="EDO3" s="284"/>
      <c r="EDP3" s="284"/>
      <c r="EDQ3" s="284"/>
      <c r="EDR3" s="284"/>
      <c r="EDS3" s="284"/>
      <c r="EDT3" s="284"/>
      <c r="EDU3" s="284"/>
      <c r="EDV3" s="284"/>
      <c r="EDW3" s="284"/>
      <c r="EDX3" s="284"/>
      <c r="EDY3" s="284"/>
      <c r="EDZ3" s="284"/>
      <c r="EEA3" s="284"/>
      <c r="EEB3" s="284"/>
      <c r="EEC3" s="284"/>
      <c r="EED3" s="284"/>
      <c r="EEE3" s="284"/>
      <c r="EEF3" s="284"/>
      <c r="EEG3" s="284"/>
      <c r="EEH3" s="284"/>
      <c r="EEI3" s="284"/>
      <c r="EEJ3" s="284"/>
      <c r="EEK3" s="284"/>
      <c r="EEL3" s="284"/>
      <c r="EEM3" s="284"/>
      <c r="EEN3" s="284"/>
      <c r="EEO3" s="284"/>
      <c r="EEP3" s="284"/>
      <c r="EEQ3" s="284"/>
      <c r="EER3" s="284"/>
      <c r="EES3" s="284"/>
      <c r="EET3" s="284"/>
      <c r="EEU3" s="284"/>
      <c r="EEV3" s="284"/>
      <c r="EEW3" s="284"/>
      <c r="EEX3" s="284"/>
      <c r="EEY3" s="284"/>
      <c r="EEZ3" s="284"/>
      <c r="EFA3" s="284"/>
      <c r="EFB3" s="284"/>
      <c r="EFC3" s="284"/>
      <c r="EFD3" s="284"/>
      <c r="EFE3" s="284"/>
      <c r="EFF3" s="284"/>
      <c r="EFG3" s="284"/>
      <c r="EFH3" s="284"/>
      <c r="EFI3" s="284"/>
      <c r="EFJ3" s="284"/>
      <c r="EFK3" s="284"/>
      <c r="EFL3" s="284"/>
      <c r="EFM3" s="284"/>
      <c r="EFN3" s="284"/>
      <c r="EFO3" s="284"/>
      <c r="EFP3" s="284"/>
      <c r="EFQ3" s="284"/>
      <c r="EFR3" s="284"/>
      <c r="EFS3" s="284"/>
      <c r="EFT3" s="284"/>
      <c r="EFU3" s="284"/>
      <c r="EFV3" s="284"/>
      <c r="EFW3" s="284"/>
      <c r="EFX3" s="284"/>
      <c r="EFY3" s="284"/>
      <c r="EFZ3" s="284"/>
      <c r="EGA3" s="284"/>
      <c r="EGB3" s="284"/>
      <c r="EGC3" s="284"/>
      <c r="EGD3" s="284"/>
      <c r="EGE3" s="284"/>
      <c r="EGF3" s="284"/>
      <c r="EGG3" s="284"/>
      <c r="EGH3" s="284"/>
      <c r="EGI3" s="284"/>
      <c r="EGJ3" s="284"/>
      <c r="EGK3" s="284"/>
      <c r="EGL3" s="284"/>
      <c r="EGM3" s="284"/>
      <c r="EGN3" s="284"/>
      <c r="EGO3" s="284"/>
      <c r="EGP3" s="284"/>
      <c r="EGQ3" s="284"/>
      <c r="EGR3" s="284"/>
      <c r="EGS3" s="284"/>
      <c r="EGT3" s="284"/>
      <c r="EGU3" s="284"/>
      <c r="EGV3" s="284"/>
      <c r="EGW3" s="284"/>
      <c r="EGX3" s="284"/>
      <c r="EGY3" s="284"/>
      <c r="EGZ3" s="284"/>
      <c r="EHA3" s="284"/>
      <c r="EHB3" s="284"/>
      <c r="EHC3" s="284"/>
      <c r="EHD3" s="284"/>
      <c r="EHE3" s="284"/>
      <c r="EHF3" s="284"/>
      <c r="EHG3" s="284"/>
      <c r="EHH3" s="284"/>
      <c r="EHI3" s="284"/>
      <c r="EHJ3" s="284"/>
      <c r="EHK3" s="284"/>
      <c r="EHL3" s="284"/>
      <c r="EHM3" s="284"/>
      <c r="EHN3" s="284"/>
      <c r="EHO3" s="284"/>
      <c r="EHP3" s="284"/>
      <c r="EHQ3" s="284"/>
      <c r="EHR3" s="284"/>
      <c r="EHS3" s="284"/>
      <c r="EHT3" s="284"/>
      <c r="EHU3" s="284"/>
      <c r="EHV3" s="284"/>
      <c r="EHW3" s="284"/>
      <c r="EHX3" s="284"/>
      <c r="EHY3" s="284"/>
      <c r="EHZ3" s="284"/>
      <c r="EIA3" s="284"/>
      <c r="EIB3" s="284"/>
      <c r="EIC3" s="284"/>
      <c r="EID3" s="284"/>
      <c r="EIE3" s="284"/>
      <c r="EIF3" s="284"/>
      <c r="EIG3" s="284"/>
      <c r="EIH3" s="284"/>
      <c r="EII3" s="284"/>
      <c r="EIJ3" s="284"/>
      <c r="EIK3" s="284"/>
      <c r="EIL3" s="284"/>
      <c r="EIM3" s="284"/>
      <c r="EIN3" s="284"/>
      <c r="EIO3" s="284"/>
      <c r="EIP3" s="284"/>
      <c r="EIQ3" s="284"/>
      <c r="EIR3" s="284"/>
      <c r="EIS3" s="284"/>
      <c r="EIT3" s="284"/>
      <c r="EIU3" s="284"/>
      <c r="EIV3" s="284"/>
      <c r="EIW3" s="284"/>
      <c r="EIX3" s="284"/>
      <c r="EIY3" s="284"/>
      <c r="EIZ3" s="284"/>
      <c r="EJA3" s="284"/>
      <c r="EJB3" s="284"/>
      <c r="EJC3" s="284"/>
      <c r="EJD3" s="284"/>
      <c r="EJE3" s="284"/>
      <c r="EJF3" s="284"/>
      <c r="EJG3" s="284"/>
      <c r="EJH3" s="284"/>
      <c r="EJI3" s="284"/>
      <c r="EJJ3" s="284"/>
      <c r="EJK3" s="284"/>
      <c r="EJL3" s="284"/>
      <c r="EJM3" s="284"/>
      <c r="EJN3" s="284"/>
      <c r="EJO3" s="284"/>
      <c r="EJP3" s="284"/>
      <c r="EJQ3" s="284"/>
      <c r="EJR3" s="284"/>
      <c r="EJS3" s="284"/>
      <c r="EJT3" s="284"/>
      <c r="EJU3" s="284"/>
      <c r="EJV3" s="284"/>
      <c r="EJW3" s="284"/>
      <c r="EJX3" s="284"/>
      <c r="EJY3" s="284"/>
      <c r="EJZ3" s="284"/>
      <c r="EKA3" s="284"/>
      <c r="EKB3" s="284"/>
      <c r="EKC3" s="284"/>
      <c r="EKD3" s="284"/>
      <c r="EKE3" s="284"/>
      <c r="EKF3" s="284"/>
      <c r="EKG3" s="284"/>
      <c r="EKH3" s="284"/>
      <c r="EKI3" s="284"/>
      <c r="EKJ3" s="284"/>
      <c r="EKK3" s="284"/>
      <c r="EKL3" s="284"/>
      <c r="EKM3" s="284"/>
      <c r="EKN3" s="284"/>
      <c r="EKO3" s="284"/>
      <c r="EKP3" s="284"/>
      <c r="EKQ3" s="284"/>
      <c r="EKR3" s="284"/>
      <c r="EKS3" s="284"/>
      <c r="EKT3" s="284"/>
      <c r="EKU3" s="284"/>
      <c r="EKV3" s="284"/>
      <c r="EKW3" s="284"/>
      <c r="EKX3" s="284"/>
      <c r="EKY3" s="284"/>
      <c r="EKZ3" s="284"/>
      <c r="ELA3" s="284"/>
      <c r="ELB3" s="284"/>
      <c r="ELC3" s="284"/>
      <c r="ELD3" s="284"/>
      <c r="ELE3" s="284"/>
      <c r="ELF3" s="284"/>
      <c r="ELG3" s="284"/>
      <c r="ELH3" s="284"/>
      <c r="ELI3" s="284"/>
      <c r="ELJ3" s="284"/>
      <c r="ELK3" s="284"/>
      <c r="ELL3" s="284"/>
      <c r="ELM3" s="284"/>
      <c r="ELN3" s="284"/>
      <c r="ELO3" s="284"/>
      <c r="ELP3" s="284"/>
      <c r="ELQ3" s="284"/>
      <c r="ELR3" s="284"/>
      <c r="ELS3" s="284"/>
      <c r="ELT3" s="284"/>
      <c r="ELU3" s="284"/>
      <c r="ELV3" s="284"/>
      <c r="ELW3" s="284"/>
      <c r="ELX3" s="284"/>
      <c r="ELY3" s="284"/>
      <c r="ELZ3" s="284"/>
      <c r="EMA3" s="284"/>
      <c r="EMB3" s="284"/>
      <c r="EMC3" s="284"/>
      <c r="EMD3" s="284"/>
      <c r="EME3" s="284"/>
      <c r="EMF3" s="284"/>
      <c r="EMG3" s="284"/>
      <c r="EMH3" s="284"/>
      <c r="EMI3" s="284"/>
      <c r="EMJ3" s="284"/>
      <c r="EMK3" s="284"/>
      <c r="EML3" s="284"/>
      <c r="EMM3" s="284"/>
      <c r="EMN3" s="284"/>
      <c r="EMO3" s="284"/>
      <c r="EMP3" s="284"/>
      <c r="EMQ3" s="284"/>
      <c r="EMR3" s="284"/>
      <c r="EMS3" s="284"/>
      <c r="EMT3" s="284"/>
      <c r="EMU3" s="284"/>
      <c r="EMV3" s="284"/>
      <c r="EMW3" s="284"/>
      <c r="EMX3" s="284"/>
      <c r="EMY3" s="284"/>
      <c r="EMZ3" s="284"/>
      <c r="ENA3" s="284"/>
      <c r="ENB3" s="284"/>
      <c r="ENC3" s="284"/>
      <c r="END3" s="284"/>
      <c r="ENE3" s="284"/>
      <c r="ENF3" s="284"/>
      <c r="ENG3" s="284"/>
      <c r="ENH3" s="284"/>
      <c r="ENI3" s="284"/>
      <c r="ENJ3" s="284"/>
      <c r="ENK3" s="284"/>
      <c r="ENL3" s="284"/>
      <c r="ENM3" s="284"/>
      <c r="ENN3" s="284"/>
      <c r="ENO3" s="284"/>
      <c r="ENP3" s="284"/>
      <c r="ENQ3" s="284"/>
      <c r="ENR3" s="284"/>
      <c r="ENS3" s="284"/>
      <c r="ENT3" s="284"/>
      <c r="ENU3" s="284"/>
      <c r="ENV3" s="284"/>
      <c r="ENW3" s="284"/>
      <c r="ENX3" s="284"/>
      <c r="ENY3" s="284"/>
      <c r="ENZ3" s="284"/>
      <c r="EOA3" s="284"/>
      <c r="EOB3" s="284"/>
      <c r="EOC3" s="284"/>
      <c r="EOD3" s="284"/>
      <c r="EOE3" s="284"/>
      <c r="EOF3" s="284"/>
      <c r="EOG3" s="284"/>
      <c r="EOH3" s="284"/>
      <c r="EOI3" s="284"/>
      <c r="EOJ3" s="284"/>
      <c r="EOK3" s="284"/>
      <c r="EOL3" s="284"/>
      <c r="EOM3" s="284"/>
      <c r="EON3" s="284"/>
      <c r="EOO3" s="284"/>
      <c r="EOP3" s="284"/>
      <c r="EOQ3" s="284"/>
      <c r="EOR3" s="284"/>
      <c r="EOS3" s="284"/>
      <c r="EOT3" s="284"/>
      <c r="EOU3" s="284"/>
      <c r="EOV3" s="284"/>
      <c r="EOW3" s="284"/>
      <c r="EOX3" s="284"/>
      <c r="EOY3" s="284"/>
      <c r="EOZ3" s="284"/>
      <c r="EPA3" s="284"/>
      <c r="EPB3" s="284"/>
      <c r="EPC3" s="284"/>
      <c r="EPD3" s="284"/>
      <c r="EPE3" s="284"/>
      <c r="EPF3" s="284"/>
      <c r="EPG3" s="284"/>
      <c r="EPH3" s="284"/>
      <c r="EPI3" s="284"/>
      <c r="EPJ3" s="284"/>
      <c r="EPK3" s="284"/>
      <c r="EPL3" s="284"/>
      <c r="EPM3" s="284"/>
      <c r="EPN3" s="284"/>
      <c r="EPO3" s="284"/>
      <c r="EPP3" s="284"/>
      <c r="EPQ3" s="284"/>
      <c r="EPR3" s="284"/>
      <c r="EPS3" s="284"/>
      <c r="EPT3" s="284"/>
      <c r="EPU3" s="284"/>
      <c r="EPV3" s="284"/>
      <c r="EPW3" s="284"/>
      <c r="EPX3" s="284"/>
      <c r="EPY3" s="284"/>
      <c r="EPZ3" s="284"/>
      <c r="EQA3" s="284"/>
      <c r="EQB3" s="284"/>
      <c r="EQC3" s="284"/>
      <c r="EQD3" s="284"/>
      <c r="EQE3" s="284"/>
      <c r="EQF3" s="284"/>
      <c r="EQG3" s="284"/>
      <c r="EQH3" s="284"/>
      <c r="EQI3" s="284"/>
      <c r="EQJ3" s="284"/>
      <c r="EQK3" s="284"/>
      <c r="EQL3" s="284"/>
      <c r="EQM3" s="284"/>
      <c r="EQN3" s="284"/>
      <c r="EQO3" s="284"/>
      <c r="EQP3" s="284"/>
      <c r="EQQ3" s="284"/>
      <c r="EQR3" s="284"/>
      <c r="EQS3" s="284"/>
      <c r="EQT3" s="284"/>
      <c r="EQU3" s="284"/>
      <c r="EQV3" s="284"/>
      <c r="EQW3" s="284"/>
      <c r="EQX3" s="284"/>
      <c r="EQY3" s="284"/>
      <c r="EQZ3" s="284"/>
      <c r="ERA3" s="284"/>
      <c r="ERB3" s="284"/>
      <c r="ERC3" s="284"/>
      <c r="ERD3" s="284"/>
      <c r="ERE3" s="284"/>
      <c r="ERF3" s="284"/>
      <c r="ERG3" s="284"/>
      <c r="ERH3" s="284"/>
      <c r="ERI3" s="284"/>
      <c r="ERJ3" s="284"/>
      <c r="ERK3" s="284"/>
      <c r="ERL3" s="284"/>
      <c r="ERM3" s="284"/>
      <c r="ERN3" s="284"/>
      <c r="ERO3" s="284"/>
      <c r="ERP3" s="284"/>
      <c r="ERQ3" s="284"/>
      <c r="ERR3" s="284"/>
      <c r="ERS3" s="284"/>
      <c r="ERT3" s="284"/>
      <c r="ERU3" s="284"/>
      <c r="ERV3" s="284"/>
      <c r="ERW3" s="284"/>
      <c r="ERX3" s="284"/>
      <c r="ERY3" s="284"/>
      <c r="ERZ3" s="284"/>
      <c r="ESA3" s="284"/>
      <c r="ESB3" s="284"/>
      <c r="ESC3" s="284"/>
      <c r="ESD3" s="284"/>
      <c r="ESE3" s="284"/>
      <c r="ESF3" s="284"/>
      <c r="ESG3" s="284"/>
      <c r="ESH3" s="284"/>
      <c r="ESI3" s="284"/>
      <c r="ESJ3" s="284"/>
      <c r="ESK3" s="284"/>
      <c r="ESL3" s="284"/>
      <c r="ESM3" s="284"/>
      <c r="ESN3" s="284"/>
      <c r="ESO3" s="284"/>
      <c r="ESP3" s="284"/>
      <c r="ESQ3" s="284"/>
      <c r="ESR3" s="284"/>
      <c r="ESS3" s="284"/>
      <c r="EST3" s="284"/>
      <c r="ESU3" s="284"/>
      <c r="ESV3" s="284"/>
      <c r="ESW3" s="284"/>
      <c r="ESX3" s="284"/>
      <c r="ESY3" s="284"/>
      <c r="ESZ3" s="284"/>
      <c r="ETA3" s="284"/>
      <c r="ETB3" s="284"/>
      <c r="ETC3" s="284"/>
      <c r="ETD3" s="284"/>
      <c r="ETE3" s="284"/>
      <c r="ETF3" s="284"/>
      <c r="ETG3" s="284"/>
      <c r="ETH3" s="284"/>
      <c r="ETI3" s="284"/>
      <c r="ETJ3" s="284"/>
      <c r="ETK3" s="284"/>
      <c r="ETL3" s="284"/>
      <c r="ETM3" s="284"/>
      <c r="ETN3" s="284"/>
      <c r="ETO3" s="284"/>
      <c r="ETP3" s="284"/>
      <c r="ETQ3" s="284"/>
      <c r="ETR3" s="284"/>
      <c r="ETS3" s="284"/>
      <c r="ETT3" s="284"/>
      <c r="ETU3" s="284"/>
      <c r="ETV3" s="284"/>
      <c r="ETW3" s="284"/>
      <c r="ETX3" s="284"/>
      <c r="ETY3" s="284"/>
      <c r="ETZ3" s="284"/>
      <c r="EUA3" s="284"/>
      <c r="EUB3" s="284"/>
      <c r="EUC3" s="284"/>
      <c r="EUD3" s="284"/>
      <c r="EUE3" s="284"/>
      <c r="EUF3" s="284"/>
      <c r="EUG3" s="284"/>
      <c r="EUH3" s="284"/>
      <c r="EUI3" s="284"/>
      <c r="EUJ3" s="284"/>
      <c r="EUK3" s="284"/>
      <c r="EUL3" s="284"/>
      <c r="EUM3" s="284"/>
      <c r="EUN3" s="284"/>
      <c r="EUO3" s="284"/>
      <c r="EUP3" s="284"/>
      <c r="EUQ3" s="284"/>
      <c r="EUR3" s="284"/>
      <c r="EUS3" s="284"/>
      <c r="EUT3" s="284"/>
      <c r="EUU3" s="284"/>
      <c r="EUV3" s="284"/>
      <c r="EUW3" s="284"/>
      <c r="EUX3" s="284"/>
      <c r="EUY3" s="284"/>
      <c r="EUZ3" s="284"/>
      <c r="EVA3" s="284"/>
      <c r="EVB3" s="284"/>
      <c r="EVC3" s="284"/>
      <c r="EVD3" s="284"/>
      <c r="EVE3" s="284"/>
      <c r="EVF3" s="284"/>
      <c r="EVG3" s="284"/>
      <c r="EVH3" s="284"/>
      <c r="EVI3" s="284"/>
      <c r="EVJ3" s="284"/>
      <c r="EVK3" s="284"/>
      <c r="EVL3" s="284"/>
      <c r="EVM3" s="284"/>
      <c r="EVN3" s="284"/>
      <c r="EVO3" s="284"/>
      <c r="EVP3" s="284"/>
      <c r="EVQ3" s="284"/>
      <c r="EVR3" s="284"/>
      <c r="EVS3" s="284"/>
      <c r="EVT3" s="284"/>
      <c r="EVU3" s="284"/>
      <c r="EVV3" s="284"/>
      <c r="EVW3" s="284"/>
      <c r="EVX3" s="284"/>
      <c r="EVY3" s="284"/>
      <c r="EVZ3" s="284"/>
      <c r="EWA3" s="284"/>
      <c r="EWB3" s="284"/>
      <c r="EWC3" s="284"/>
      <c r="EWD3" s="284"/>
      <c r="EWE3" s="284"/>
      <c r="EWF3" s="284"/>
      <c r="EWG3" s="284"/>
      <c r="EWH3" s="284"/>
      <c r="EWI3" s="284"/>
      <c r="EWJ3" s="284"/>
      <c r="EWK3" s="284"/>
      <c r="EWL3" s="284"/>
      <c r="EWM3" s="284"/>
      <c r="EWN3" s="284"/>
      <c r="EWO3" s="284"/>
      <c r="EWP3" s="284"/>
      <c r="EWQ3" s="284"/>
      <c r="EWR3" s="284"/>
      <c r="EWS3" s="284"/>
      <c r="EWT3" s="284"/>
      <c r="EWU3" s="284"/>
      <c r="EWV3" s="284"/>
      <c r="EWW3" s="284"/>
      <c r="EWX3" s="284"/>
      <c r="EWY3" s="284"/>
      <c r="EWZ3" s="284"/>
      <c r="EXA3" s="284"/>
      <c r="EXB3" s="284"/>
      <c r="EXC3" s="284"/>
      <c r="EXD3" s="284"/>
      <c r="EXE3" s="284"/>
      <c r="EXF3" s="284"/>
      <c r="EXG3" s="284"/>
      <c r="EXH3" s="284"/>
      <c r="EXI3" s="284"/>
      <c r="EXJ3" s="284"/>
      <c r="EXK3" s="284"/>
      <c r="EXL3" s="284"/>
      <c r="EXM3" s="284"/>
      <c r="EXN3" s="284"/>
      <c r="EXO3" s="284"/>
      <c r="EXP3" s="284"/>
      <c r="EXQ3" s="284"/>
      <c r="EXR3" s="284"/>
      <c r="EXS3" s="284"/>
      <c r="EXT3" s="284"/>
      <c r="EXU3" s="284"/>
      <c r="EXV3" s="284"/>
      <c r="EXW3" s="284"/>
      <c r="EXX3" s="284"/>
      <c r="EXY3" s="284"/>
      <c r="EXZ3" s="284"/>
      <c r="EYA3" s="284"/>
      <c r="EYB3" s="284"/>
      <c r="EYC3" s="284"/>
      <c r="EYD3" s="284"/>
      <c r="EYE3" s="284"/>
      <c r="EYF3" s="284"/>
      <c r="EYG3" s="284"/>
      <c r="EYH3" s="284"/>
      <c r="EYI3" s="284"/>
      <c r="EYJ3" s="284"/>
      <c r="EYK3" s="284"/>
      <c r="EYL3" s="284"/>
      <c r="EYM3" s="284"/>
      <c r="EYN3" s="284"/>
      <c r="EYO3" s="284"/>
      <c r="EYP3" s="284"/>
      <c r="EYQ3" s="284"/>
      <c r="EYR3" s="284"/>
      <c r="EYS3" s="284"/>
      <c r="EYT3" s="284"/>
      <c r="EYU3" s="284"/>
      <c r="EYV3" s="284"/>
      <c r="EYW3" s="284"/>
      <c r="EYX3" s="284"/>
      <c r="EYY3" s="284"/>
      <c r="EYZ3" s="284"/>
      <c r="EZA3" s="284"/>
      <c r="EZB3" s="284"/>
      <c r="EZC3" s="284"/>
      <c r="EZD3" s="284"/>
      <c r="EZE3" s="284"/>
      <c r="EZF3" s="284"/>
      <c r="EZG3" s="284"/>
      <c r="EZH3" s="284"/>
      <c r="EZI3" s="284"/>
      <c r="EZJ3" s="284"/>
      <c r="EZK3" s="284"/>
      <c r="EZL3" s="284"/>
      <c r="EZM3" s="284"/>
      <c r="EZN3" s="284"/>
      <c r="EZO3" s="284"/>
      <c r="EZP3" s="284"/>
      <c r="EZQ3" s="284"/>
      <c r="EZR3" s="284"/>
      <c r="EZS3" s="284"/>
      <c r="EZT3" s="284"/>
      <c r="EZU3" s="284"/>
      <c r="EZV3" s="284"/>
      <c r="EZW3" s="284"/>
      <c r="EZX3" s="284"/>
      <c r="EZY3" s="284"/>
      <c r="EZZ3" s="284"/>
      <c r="FAA3" s="284"/>
      <c r="FAB3" s="284"/>
      <c r="FAC3" s="284"/>
      <c r="FAD3" s="284"/>
      <c r="FAE3" s="284"/>
      <c r="FAF3" s="284"/>
      <c r="FAG3" s="284"/>
      <c r="FAH3" s="284"/>
      <c r="FAI3" s="284"/>
      <c r="FAJ3" s="284"/>
      <c r="FAK3" s="284"/>
      <c r="FAL3" s="284"/>
      <c r="FAM3" s="284"/>
      <c r="FAN3" s="284"/>
      <c r="FAO3" s="284"/>
      <c r="FAP3" s="284"/>
      <c r="FAQ3" s="284"/>
      <c r="FAR3" s="284"/>
      <c r="FAS3" s="284"/>
      <c r="FAT3" s="284"/>
      <c r="FAU3" s="284"/>
      <c r="FAV3" s="284"/>
      <c r="FAW3" s="284"/>
      <c r="FAX3" s="284"/>
      <c r="FAY3" s="284"/>
      <c r="FAZ3" s="284"/>
      <c r="FBA3" s="284"/>
      <c r="FBB3" s="284"/>
      <c r="FBC3" s="284"/>
      <c r="FBD3" s="284"/>
      <c r="FBE3" s="284"/>
      <c r="FBF3" s="284"/>
      <c r="FBG3" s="284"/>
      <c r="FBH3" s="284"/>
      <c r="FBI3" s="284"/>
      <c r="FBJ3" s="284"/>
      <c r="FBK3" s="284"/>
      <c r="FBL3" s="284"/>
      <c r="FBM3" s="284"/>
      <c r="FBN3" s="284"/>
      <c r="FBO3" s="284"/>
      <c r="FBP3" s="284"/>
      <c r="FBQ3" s="284"/>
      <c r="FBR3" s="284"/>
      <c r="FBS3" s="284"/>
      <c r="FBT3" s="284"/>
      <c r="FBU3" s="284"/>
      <c r="FBV3" s="284"/>
      <c r="FBW3" s="284"/>
      <c r="FBX3" s="284"/>
      <c r="FBY3" s="284"/>
      <c r="FBZ3" s="284"/>
      <c r="FCA3" s="284"/>
      <c r="FCB3" s="284"/>
      <c r="FCC3" s="284"/>
      <c r="FCD3" s="284"/>
      <c r="FCE3" s="284"/>
      <c r="FCF3" s="284"/>
      <c r="FCG3" s="284"/>
      <c r="FCH3" s="284"/>
      <c r="FCI3" s="284"/>
      <c r="FCJ3" s="284"/>
      <c r="FCK3" s="284"/>
      <c r="FCL3" s="284"/>
      <c r="FCM3" s="284"/>
      <c r="FCN3" s="284"/>
      <c r="FCO3" s="284"/>
      <c r="FCP3" s="284"/>
      <c r="FCQ3" s="284"/>
      <c r="FCR3" s="284"/>
      <c r="FCS3" s="284"/>
      <c r="FCT3" s="284"/>
      <c r="FCU3" s="284"/>
      <c r="FCV3" s="284"/>
      <c r="FCW3" s="284"/>
      <c r="FCX3" s="284"/>
      <c r="FCY3" s="284"/>
      <c r="FCZ3" s="284"/>
      <c r="FDA3" s="284"/>
      <c r="FDB3" s="284"/>
      <c r="FDC3" s="284"/>
      <c r="FDD3" s="284"/>
      <c r="FDE3" s="284"/>
      <c r="FDF3" s="284"/>
      <c r="FDG3" s="284"/>
      <c r="FDH3" s="284"/>
      <c r="FDI3" s="284"/>
      <c r="FDJ3" s="284"/>
      <c r="FDK3" s="284"/>
      <c r="FDL3" s="284"/>
      <c r="FDM3" s="284"/>
      <c r="FDN3" s="284"/>
      <c r="FDO3" s="284"/>
      <c r="FDP3" s="284"/>
      <c r="FDQ3" s="284"/>
      <c r="FDR3" s="284"/>
      <c r="FDS3" s="284"/>
      <c r="FDT3" s="284"/>
      <c r="FDU3" s="284"/>
      <c r="FDV3" s="284"/>
      <c r="FDW3" s="284"/>
      <c r="FDX3" s="284"/>
      <c r="FDY3" s="284"/>
      <c r="FDZ3" s="284"/>
      <c r="FEA3" s="284"/>
      <c r="FEB3" s="284"/>
      <c r="FEC3" s="284"/>
      <c r="FED3" s="284"/>
      <c r="FEE3" s="284"/>
      <c r="FEF3" s="284"/>
      <c r="FEG3" s="284"/>
      <c r="FEH3" s="284"/>
      <c r="FEI3" s="284"/>
      <c r="FEJ3" s="284"/>
      <c r="FEK3" s="284"/>
      <c r="FEL3" s="284"/>
      <c r="FEM3" s="284"/>
      <c r="FEN3" s="284"/>
      <c r="FEO3" s="284"/>
      <c r="FEP3" s="284"/>
      <c r="FEQ3" s="284"/>
      <c r="FER3" s="284"/>
      <c r="FES3" s="284"/>
      <c r="FET3" s="284"/>
      <c r="FEU3" s="284"/>
      <c r="FEV3" s="284"/>
      <c r="FEW3" s="284"/>
      <c r="FEX3" s="284"/>
      <c r="FEY3" s="284"/>
      <c r="FEZ3" s="284"/>
      <c r="FFA3" s="284"/>
      <c r="FFB3" s="284"/>
      <c r="FFC3" s="284"/>
      <c r="FFD3" s="284"/>
      <c r="FFE3" s="284"/>
      <c r="FFF3" s="284"/>
      <c r="FFG3" s="284"/>
      <c r="FFH3" s="284"/>
      <c r="FFI3" s="284"/>
      <c r="FFJ3" s="284"/>
      <c r="FFK3" s="284"/>
      <c r="FFL3" s="284"/>
      <c r="FFM3" s="284"/>
      <c r="FFN3" s="284"/>
      <c r="FFO3" s="284"/>
      <c r="FFP3" s="284"/>
      <c r="FFQ3" s="284"/>
      <c r="FFR3" s="284"/>
      <c r="FFS3" s="284"/>
      <c r="FFT3" s="284"/>
      <c r="FFU3" s="284"/>
      <c r="FFV3" s="284"/>
      <c r="FFW3" s="284"/>
      <c r="FFX3" s="284"/>
      <c r="FFY3" s="284"/>
      <c r="FFZ3" s="284"/>
      <c r="FGA3" s="284"/>
      <c r="FGB3" s="284"/>
      <c r="FGC3" s="284"/>
      <c r="FGD3" s="284"/>
      <c r="FGE3" s="284"/>
      <c r="FGF3" s="284"/>
      <c r="FGG3" s="284"/>
      <c r="FGH3" s="284"/>
      <c r="FGI3" s="284"/>
      <c r="FGJ3" s="284"/>
      <c r="FGK3" s="284"/>
      <c r="FGL3" s="284"/>
      <c r="FGM3" s="284"/>
      <c r="FGN3" s="284"/>
      <c r="FGO3" s="284"/>
      <c r="FGP3" s="284"/>
      <c r="FGQ3" s="284"/>
      <c r="FGR3" s="284"/>
      <c r="FGS3" s="284"/>
      <c r="FGT3" s="284"/>
      <c r="FGU3" s="284"/>
      <c r="FGV3" s="284"/>
      <c r="FGW3" s="284"/>
      <c r="FGX3" s="284"/>
      <c r="FGY3" s="284"/>
      <c r="FGZ3" s="284"/>
      <c r="FHA3" s="284"/>
      <c r="FHB3" s="284"/>
      <c r="FHC3" s="284"/>
      <c r="FHD3" s="284"/>
      <c r="FHE3" s="284"/>
      <c r="FHF3" s="284"/>
      <c r="FHG3" s="284"/>
      <c r="FHH3" s="284"/>
      <c r="FHI3" s="284"/>
      <c r="FHJ3" s="284"/>
      <c r="FHK3" s="284"/>
      <c r="FHL3" s="284"/>
      <c r="FHM3" s="284"/>
      <c r="FHN3" s="284"/>
      <c r="FHO3" s="284"/>
      <c r="FHP3" s="284"/>
      <c r="FHQ3" s="284"/>
      <c r="FHR3" s="284"/>
      <c r="FHS3" s="284"/>
      <c r="FHT3" s="284"/>
      <c r="FHU3" s="284"/>
      <c r="FHV3" s="284"/>
      <c r="FHW3" s="284"/>
      <c r="FHX3" s="284"/>
      <c r="FHY3" s="284"/>
      <c r="FHZ3" s="284"/>
      <c r="FIA3" s="284"/>
      <c r="FIB3" s="284"/>
      <c r="FIC3" s="284"/>
      <c r="FID3" s="284"/>
      <c r="FIE3" s="284"/>
      <c r="FIF3" s="284"/>
      <c r="FIG3" s="284"/>
      <c r="FIH3" s="284"/>
      <c r="FII3" s="284"/>
      <c r="FIJ3" s="284"/>
      <c r="FIK3" s="284"/>
      <c r="FIL3" s="284"/>
      <c r="FIM3" s="284"/>
      <c r="FIN3" s="284"/>
      <c r="FIO3" s="284"/>
      <c r="FIP3" s="284"/>
      <c r="FIQ3" s="284"/>
      <c r="FIR3" s="284"/>
      <c r="FIS3" s="284"/>
      <c r="FIT3" s="284"/>
      <c r="FIU3" s="284"/>
      <c r="FIV3" s="284"/>
      <c r="FIW3" s="284"/>
      <c r="FIX3" s="284"/>
      <c r="FIY3" s="284"/>
      <c r="FIZ3" s="284"/>
      <c r="FJA3" s="284"/>
      <c r="FJB3" s="284"/>
      <c r="FJC3" s="284"/>
      <c r="FJD3" s="284"/>
      <c r="FJE3" s="284"/>
      <c r="FJF3" s="284"/>
      <c r="FJG3" s="284"/>
      <c r="FJH3" s="284"/>
      <c r="FJI3" s="284"/>
      <c r="FJJ3" s="284"/>
      <c r="FJK3" s="284"/>
      <c r="FJL3" s="284"/>
      <c r="FJM3" s="284"/>
      <c r="FJN3" s="284"/>
      <c r="FJO3" s="284"/>
      <c r="FJP3" s="284"/>
      <c r="FJQ3" s="284"/>
      <c r="FJR3" s="284"/>
      <c r="FJS3" s="284"/>
      <c r="FJT3" s="284"/>
      <c r="FJU3" s="284"/>
      <c r="FJV3" s="284"/>
      <c r="FJW3" s="284"/>
      <c r="FJX3" s="284"/>
      <c r="FJY3" s="284"/>
      <c r="FJZ3" s="284"/>
      <c r="FKA3" s="284"/>
      <c r="FKB3" s="284"/>
      <c r="FKC3" s="284"/>
      <c r="FKD3" s="284"/>
      <c r="FKE3" s="284"/>
      <c r="FKF3" s="284"/>
      <c r="FKG3" s="284"/>
      <c r="FKH3" s="284"/>
      <c r="FKI3" s="284"/>
      <c r="FKJ3" s="284"/>
      <c r="FKK3" s="284"/>
      <c r="FKL3" s="284"/>
      <c r="FKM3" s="284"/>
      <c r="FKN3" s="284"/>
      <c r="FKO3" s="284"/>
      <c r="FKP3" s="284"/>
      <c r="FKQ3" s="284"/>
      <c r="FKR3" s="284"/>
      <c r="FKS3" s="284"/>
      <c r="FKT3" s="284"/>
      <c r="FKU3" s="284"/>
      <c r="FKV3" s="284"/>
      <c r="FKW3" s="284"/>
      <c r="FKX3" s="284"/>
      <c r="FKY3" s="284"/>
      <c r="FKZ3" s="284"/>
      <c r="FLA3" s="284"/>
      <c r="FLB3" s="284"/>
      <c r="FLC3" s="284"/>
      <c r="FLD3" s="284"/>
      <c r="FLE3" s="284"/>
      <c r="FLF3" s="284"/>
      <c r="FLG3" s="284"/>
      <c r="FLH3" s="284"/>
      <c r="FLI3" s="284"/>
      <c r="FLJ3" s="284"/>
      <c r="FLK3" s="284"/>
      <c r="FLL3" s="284"/>
      <c r="FLM3" s="284"/>
      <c r="FLN3" s="284"/>
      <c r="FLO3" s="284"/>
      <c r="FLP3" s="284"/>
      <c r="FLQ3" s="284"/>
      <c r="FLR3" s="284"/>
      <c r="FLS3" s="284"/>
      <c r="FLT3" s="284"/>
      <c r="FLU3" s="284"/>
      <c r="FLV3" s="284"/>
      <c r="FLW3" s="284"/>
      <c r="FLX3" s="284"/>
      <c r="FLY3" s="284"/>
      <c r="FLZ3" s="284"/>
      <c r="FMA3" s="284"/>
      <c r="FMB3" s="284"/>
      <c r="FMC3" s="284"/>
      <c r="FMD3" s="284"/>
      <c r="FME3" s="284"/>
      <c r="FMF3" s="284"/>
      <c r="FMG3" s="284"/>
      <c r="FMH3" s="284"/>
      <c r="FMI3" s="284"/>
      <c r="FMJ3" s="284"/>
      <c r="FMK3" s="284"/>
      <c r="FML3" s="284"/>
      <c r="FMM3" s="284"/>
      <c r="FMN3" s="284"/>
      <c r="FMO3" s="284"/>
      <c r="FMP3" s="284"/>
      <c r="FMQ3" s="284"/>
      <c r="FMR3" s="284"/>
      <c r="FMS3" s="284"/>
      <c r="FMT3" s="284"/>
      <c r="FMU3" s="284"/>
      <c r="FMV3" s="284"/>
      <c r="FMW3" s="284"/>
      <c r="FMX3" s="284"/>
      <c r="FMY3" s="284"/>
      <c r="FMZ3" s="284"/>
      <c r="FNA3" s="284"/>
      <c r="FNB3" s="284"/>
      <c r="FNC3" s="284"/>
      <c r="FND3" s="284"/>
      <c r="FNE3" s="284"/>
      <c r="FNF3" s="284"/>
      <c r="FNG3" s="284"/>
      <c r="FNH3" s="284"/>
      <c r="FNI3" s="284"/>
      <c r="FNJ3" s="284"/>
      <c r="FNK3" s="284"/>
      <c r="FNL3" s="284"/>
      <c r="FNM3" s="284"/>
      <c r="FNN3" s="284"/>
      <c r="FNO3" s="284"/>
      <c r="FNP3" s="284"/>
      <c r="FNQ3" s="284"/>
      <c r="FNR3" s="284"/>
      <c r="FNS3" s="284"/>
      <c r="FNT3" s="284"/>
      <c r="FNU3" s="284"/>
      <c r="FNV3" s="284"/>
      <c r="FNW3" s="284"/>
      <c r="FNX3" s="284"/>
      <c r="FNY3" s="284"/>
      <c r="FNZ3" s="284"/>
      <c r="FOA3" s="284"/>
      <c r="FOB3" s="284"/>
      <c r="FOC3" s="284"/>
      <c r="FOD3" s="284"/>
      <c r="FOE3" s="284"/>
      <c r="FOF3" s="284"/>
      <c r="FOG3" s="284"/>
      <c r="FOH3" s="284"/>
      <c r="FOI3" s="284"/>
      <c r="FOJ3" s="284"/>
      <c r="FOK3" s="284"/>
      <c r="FOL3" s="284"/>
      <c r="FOM3" s="284"/>
      <c r="FON3" s="284"/>
      <c r="FOO3" s="284"/>
      <c r="FOP3" s="284"/>
      <c r="FOQ3" s="284"/>
      <c r="FOR3" s="284"/>
      <c r="FOS3" s="284"/>
      <c r="FOT3" s="284"/>
      <c r="FOU3" s="284"/>
      <c r="FOV3" s="284"/>
      <c r="FOW3" s="284"/>
      <c r="FOX3" s="284"/>
      <c r="FOY3" s="284"/>
      <c r="FOZ3" s="284"/>
      <c r="FPA3" s="284"/>
      <c r="FPB3" s="284"/>
      <c r="FPC3" s="284"/>
      <c r="FPD3" s="284"/>
      <c r="FPE3" s="284"/>
      <c r="FPF3" s="284"/>
      <c r="FPG3" s="284"/>
      <c r="FPH3" s="284"/>
      <c r="FPI3" s="284"/>
      <c r="FPJ3" s="284"/>
      <c r="FPK3" s="284"/>
      <c r="FPL3" s="284"/>
      <c r="FPM3" s="284"/>
      <c r="FPN3" s="284"/>
      <c r="FPO3" s="284"/>
      <c r="FPP3" s="284"/>
      <c r="FPQ3" s="284"/>
      <c r="FPR3" s="284"/>
      <c r="FPS3" s="284"/>
      <c r="FPT3" s="284"/>
      <c r="FPU3" s="284"/>
      <c r="FPV3" s="284"/>
      <c r="FPW3" s="284"/>
      <c r="FPX3" s="284"/>
      <c r="FPY3" s="284"/>
      <c r="FPZ3" s="284"/>
      <c r="FQA3" s="284"/>
      <c r="FQB3" s="284"/>
      <c r="FQC3" s="284"/>
      <c r="FQD3" s="284"/>
      <c r="FQE3" s="284"/>
      <c r="FQF3" s="284"/>
      <c r="FQG3" s="284"/>
      <c r="FQH3" s="284"/>
      <c r="FQI3" s="284"/>
      <c r="FQJ3" s="284"/>
      <c r="FQK3" s="284"/>
      <c r="FQL3" s="284"/>
      <c r="FQM3" s="284"/>
      <c r="FQN3" s="284"/>
      <c r="FQO3" s="284"/>
      <c r="FQP3" s="284"/>
      <c r="FQQ3" s="284"/>
      <c r="FQR3" s="284"/>
      <c r="FQS3" s="284"/>
      <c r="FQT3" s="284"/>
      <c r="FQU3" s="284"/>
      <c r="FQV3" s="284"/>
      <c r="FQW3" s="284"/>
      <c r="FQX3" s="284"/>
      <c r="FQY3" s="284"/>
      <c r="FQZ3" s="284"/>
      <c r="FRA3" s="284"/>
      <c r="FRB3" s="284"/>
      <c r="FRC3" s="284"/>
      <c r="FRD3" s="284"/>
      <c r="FRE3" s="284"/>
      <c r="FRF3" s="284"/>
      <c r="FRG3" s="284"/>
      <c r="FRH3" s="284"/>
      <c r="FRI3" s="284"/>
      <c r="FRJ3" s="284"/>
      <c r="FRK3" s="284"/>
      <c r="FRL3" s="284"/>
      <c r="FRM3" s="284"/>
      <c r="FRN3" s="284"/>
      <c r="FRO3" s="284"/>
      <c r="FRP3" s="284"/>
      <c r="FRQ3" s="284"/>
      <c r="FRR3" s="284"/>
      <c r="FRS3" s="284"/>
      <c r="FRT3" s="284"/>
      <c r="FRU3" s="284"/>
      <c r="FRV3" s="284"/>
      <c r="FRW3" s="284"/>
      <c r="FRX3" s="284"/>
      <c r="FRY3" s="284"/>
      <c r="FRZ3" s="284"/>
      <c r="FSA3" s="284"/>
      <c r="FSB3" s="284"/>
      <c r="FSC3" s="284"/>
      <c r="FSD3" s="284"/>
      <c r="FSE3" s="284"/>
      <c r="FSF3" s="284"/>
      <c r="FSG3" s="284"/>
      <c r="FSH3" s="284"/>
      <c r="FSI3" s="284"/>
      <c r="FSJ3" s="284"/>
      <c r="FSK3" s="284"/>
      <c r="FSL3" s="284"/>
      <c r="FSM3" s="284"/>
      <c r="FSN3" s="284"/>
      <c r="FSO3" s="284"/>
      <c r="FSP3" s="284"/>
      <c r="FSQ3" s="284"/>
      <c r="FSR3" s="284"/>
      <c r="FSS3" s="284"/>
      <c r="FST3" s="284"/>
      <c r="FSU3" s="284"/>
      <c r="FSV3" s="284"/>
      <c r="FSW3" s="284"/>
      <c r="FSX3" s="284"/>
      <c r="FSY3" s="284"/>
      <c r="FSZ3" s="284"/>
      <c r="FTA3" s="284"/>
      <c r="FTB3" s="284"/>
      <c r="FTC3" s="284"/>
      <c r="FTD3" s="284"/>
      <c r="FTE3" s="284"/>
      <c r="FTF3" s="284"/>
      <c r="FTG3" s="284"/>
      <c r="FTH3" s="284"/>
      <c r="FTI3" s="284"/>
      <c r="FTJ3" s="284"/>
      <c r="FTK3" s="284"/>
      <c r="FTL3" s="284"/>
      <c r="FTM3" s="284"/>
      <c r="FTN3" s="284"/>
      <c r="FTO3" s="284"/>
      <c r="FTP3" s="284"/>
      <c r="FTQ3" s="284"/>
      <c r="FTR3" s="284"/>
      <c r="FTS3" s="284"/>
      <c r="FTT3" s="284"/>
      <c r="FTU3" s="284"/>
      <c r="FTV3" s="284"/>
      <c r="FTW3" s="284"/>
      <c r="FTX3" s="284"/>
      <c r="FTY3" s="284"/>
      <c r="FTZ3" s="284"/>
      <c r="FUA3" s="284"/>
      <c r="FUB3" s="284"/>
      <c r="FUC3" s="284"/>
      <c r="FUD3" s="284"/>
      <c r="FUE3" s="284"/>
      <c r="FUF3" s="284"/>
      <c r="FUG3" s="284"/>
      <c r="FUH3" s="284"/>
      <c r="FUI3" s="284"/>
      <c r="FUJ3" s="284"/>
      <c r="FUK3" s="284"/>
      <c r="FUL3" s="284"/>
      <c r="FUM3" s="284"/>
      <c r="FUN3" s="284"/>
      <c r="FUO3" s="284"/>
      <c r="FUP3" s="284"/>
      <c r="FUQ3" s="284"/>
      <c r="FUR3" s="284"/>
      <c r="FUS3" s="284"/>
      <c r="FUT3" s="284"/>
      <c r="FUU3" s="284"/>
      <c r="FUV3" s="284"/>
      <c r="FUW3" s="284"/>
      <c r="FUX3" s="284"/>
      <c r="FUY3" s="284"/>
      <c r="FUZ3" s="284"/>
      <c r="FVA3" s="284"/>
      <c r="FVB3" s="284"/>
      <c r="FVC3" s="284"/>
      <c r="FVD3" s="284"/>
      <c r="FVE3" s="284"/>
      <c r="FVF3" s="284"/>
      <c r="FVG3" s="284"/>
      <c r="FVH3" s="284"/>
      <c r="FVI3" s="284"/>
      <c r="FVJ3" s="284"/>
      <c r="FVK3" s="284"/>
      <c r="FVL3" s="284"/>
      <c r="FVM3" s="284"/>
      <c r="FVN3" s="284"/>
      <c r="FVO3" s="284"/>
      <c r="FVP3" s="284"/>
      <c r="FVQ3" s="284"/>
      <c r="FVR3" s="284"/>
      <c r="FVS3" s="284"/>
      <c r="FVT3" s="284"/>
      <c r="FVU3" s="284"/>
      <c r="FVV3" s="284"/>
      <c r="FVW3" s="284"/>
      <c r="FVX3" s="284"/>
      <c r="FVY3" s="284"/>
      <c r="FVZ3" s="284"/>
      <c r="FWA3" s="284"/>
      <c r="FWB3" s="284"/>
      <c r="FWC3" s="284"/>
      <c r="FWD3" s="284"/>
      <c r="FWE3" s="284"/>
      <c r="FWF3" s="284"/>
      <c r="FWG3" s="284"/>
      <c r="FWH3" s="284"/>
      <c r="FWI3" s="284"/>
      <c r="FWJ3" s="284"/>
      <c r="FWK3" s="284"/>
      <c r="FWL3" s="284"/>
      <c r="FWM3" s="284"/>
      <c r="FWN3" s="284"/>
      <c r="FWO3" s="284"/>
      <c r="FWP3" s="284"/>
      <c r="FWQ3" s="284"/>
      <c r="FWR3" s="284"/>
      <c r="FWS3" s="284"/>
      <c r="FWT3" s="284"/>
      <c r="FWU3" s="284"/>
      <c r="FWV3" s="284"/>
      <c r="FWW3" s="284"/>
      <c r="FWX3" s="284"/>
      <c r="FWY3" s="284"/>
      <c r="FWZ3" s="284"/>
      <c r="FXA3" s="284"/>
      <c r="FXB3" s="284"/>
      <c r="FXC3" s="284"/>
      <c r="FXD3" s="284"/>
      <c r="FXE3" s="284"/>
      <c r="FXF3" s="284"/>
      <c r="FXG3" s="284"/>
      <c r="FXH3" s="284"/>
      <c r="FXI3" s="284"/>
      <c r="FXJ3" s="284"/>
      <c r="FXK3" s="284"/>
      <c r="FXL3" s="284"/>
      <c r="FXM3" s="284"/>
      <c r="FXN3" s="284"/>
      <c r="FXO3" s="284"/>
      <c r="FXP3" s="284"/>
      <c r="FXQ3" s="284"/>
      <c r="FXR3" s="284"/>
      <c r="FXS3" s="284"/>
      <c r="FXT3" s="284"/>
      <c r="FXU3" s="284"/>
      <c r="FXV3" s="284"/>
      <c r="FXW3" s="284"/>
      <c r="FXX3" s="284"/>
      <c r="FXY3" s="284"/>
      <c r="FXZ3" s="284"/>
      <c r="FYA3" s="284"/>
      <c r="FYB3" s="284"/>
      <c r="FYC3" s="284"/>
      <c r="FYD3" s="284"/>
      <c r="FYE3" s="284"/>
      <c r="FYF3" s="284"/>
      <c r="FYG3" s="284"/>
      <c r="FYH3" s="284"/>
      <c r="FYI3" s="284"/>
      <c r="FYJ3" s="284"/>
      <c r="FYK3" s="284"/>
      <c r="FYL3" s="284"/>
      <c r="FYM3" s="284"/>
      <c r="FYN3" s="284"/>
      <c r="FYO3" s="284"/>
      <c r="FYP3" s="284"/>
      <c r="FYQ3" s="284"/>
      <c r="FYR3" s="284"/>
      <c r="FYS3" s="284"/>
      <c r="FYT3" s="284"/>
      <c r="FYU3" s="284"/>
      <c r="FYV3" s="284"/>
      <c r="FYW3" s="284"/>
      <c r="FYX3" s="284"/>
      <c r="FYY3" s="284"/>
      <c r="FYZ3" s="284"/>
      <c r="FZA3" s="284"/>
      <c r="FZB3" s="284"/>
      <c r="FZC3" s="284"/>
      <c r="FZD3" s="284"/>
      <c r="FZE3" s="284"/>
      <c r="FZF3" s="284"/>
      <c r="FZG3" s="284"/>
      <c r="FZH3" s="284"/>
      <c r="FZI3" s="284"/>
      <c r="FZJ3" s="284"/>
      <c r="FZK3" s="284"/>
      <c r="FZL3" s="284"/>
      <c r="FZM3" s="284"/>
      <c r="FZN3" s="284"/>
      <c r="FZO3" s="284"/>
      <c r="FZP3" s="284"/>
      <c r="FZQ3" s="284"/>
      <c r="FZR3" s="284"/>
      <c r="FZS3" s="284"/>
      <c r="FZT3" s="284"/>
      <c r="FZU3" s="284"/>
      <c r="FZV3" s="284"/>
      <c r="FZW3" s="284"/>
      <c r="FZX3" s="284"/>
      <c r="FZY3" s="284"/>
      <c r="FZZ3" s="284"/>
      <c r="GAA3" s="284"/>
      <c r="GAB3" s="284"/>
      <c r="GAC3" s="284"/>
      <c r="GAD3" s="284"/>
      <c r="GAE3" s="284"/>
      <c r="GAF3" s="284"/>
      <c r="GAG3" s="284"/>
      <c r="GAH3" s="284"/>
      <c r="GAI3" s="284"/>
      <c r="GAJ3" s="284"/>
      <c r="GAK3" s="284"/>
      <c r="GAL3" s="284"/>
      <c r="GAM3" s="284"/>
      <c r="GAN3" s="284"/>
      <c r="GAO3" s="284"/>
      <c r="GAP3" s="284"/>
      <c r="GAQ3" s="284"/>
      <c r="GAR3" s="284"/>
      <c r="GAS3" s="284"/>
      <c r="GAT3" s="284"/>
      <c r="GAU3" s="284"/>
      <c r="GAV3" s="284"/>
      <c r="GAW3" s="284"/>
      <c r="GAX3" s="284"/>
      <c r="GAY3" s="284"/>
      <c r="GAZ3" s="284"/>
      <c r="GBA3" s="284"/>
      <c r="GBB3" s="284"/>
      <c r="GBC3" s="284"/>
      <c r="GBD3" s="284"/>
      <c r="GBE3" s="284"/>
      <c r="GBF3" s="284"/>
      <c r="GBG3" s="284"/>
      <c r="GBH3" s="284"/>
      <c r="GBI3" s="284"/>
      <c r="GBJ3" s="284"/>
      <c r="GBK3" s="284"/>
      <c r="GBL3" s="284"/>
      <c r="GBM3" s="284"/>
      <c r="GBN3" s="284"/>
      <c r="GBO3" s="284"/>
      <c r="GBP3" s="284"/>
      <c r="GBQ3" s="284"/>
      <c r="GBR3" s="284"/>
      <c r="GBS3" s="284"/>
      <c r="GBT3" s="284"/>
      <c r="GBU3" s="284"/>
      <c r="GBV3" s="284"/>
      <c r="GBW3" s="284"/>
      <c r="GBX3" s="284"/>
      <c r="GBY3" s="284"/>
      <c r="GBZ3" s="284"/>
      <c r="GCA3" s="284"/>
      <c r="GCB3" s="284"/>
      <c r="GCC3" s="284"/>
      <c r="GCD3" s="284"/>
      <c r="GCE3" s="284"/>
      <c r="GCF3" s="284"/>
      <c r="GCG3" s="284"/>
      <c r="GCH3" s="284"/>
      <c r="GCI3" s="284"/>
      <c r="GCJ3" s="284"/>
      <c r="GCK3" s="284"/>
      <c r="GCL3" s="284"/>
      <c r="GCM3" s="284"/>
      <c r="GCN3" s="284"/>
      <c r="GCO3" s="284"/>
      <c r="GCP3" s="284"/>
      <c r="GCQ3" s="284"/>
      <c r="GCR3" s="284"/>
      <c r="GCS3" s="284"/>
      <c r="GCT3" s="284"/>
      <c r="GCU3" s="284"/>
      <c r="GCV3" s="284"/>
      <c r="GCW3" s="284"/>
      <c r="GCX3" s="284"/>
      <c r="GCY3" s="284"/>
      <c r="GCZ3" s="284"/>
      <c r="GDA3" s="284"/>
      <c r="GDB3" s="284"/>
      <c r="GDC3" s="284"/>
      <c r="GDD3" s="284"/>
      <c r="GDE3" s="284"/>
      <c r="GDF3" s="284"/>
      <c r="GDG3" s="284"/>
      <c r="GDH3" s="284"/>
      <c r="GDI3" s="284"/>
      <c r="GDJ3" s="284"/>
      <c r="GDK3" s="284"/>
      <c r="GDL3" s="284"/>
      <c r="GDM3" s="284"/>
      <c r="GDN3" s="284"/>
      <c r="GDO3" s="284"/>
      <c r="GDP3" s="284"/>
      <c r="GDQ3" s="284"/>
      <c r="GDR3" s="284"/>
      <c r="GDS3" s="284"/>
      <c r="GDT3" s="284"/>
      <c r="GDU3" s="284"/>
      <c r="GDV3" s="284"/>
      <c r="GDW3" s="284"/>
      <c r="GDX3" s="284"/>
      <c r="GDY3" s="284"/>
      <c r="GDZ3" s="284"/>
      <c r="GEA3" s="284"/>
      <c r="GEB3" s="284"/>
      <c r="GEC3" s="284"/>
      <c r="GED3" s="284"/>
      <c r="GEE3" s="284"/>
      <c r="GEF3" s="284"/>
      <c r="GEG3" s="284"/>
      <c r="GEH3" s="284"/>
      <c r="GEI3" s="284"/>
      <c r="GEJ3" s="284"/>
      <c r="GEK3" s="284"/>
      <c r="GEL3" s="284"/>
      <c r="GEM3" s="284"/>
      <c r="GEN3" s="284"/>
      <c r="GEO3" s="284"/>
      <c r="GEP3" s="284"/>
      <c r="GEQ3" s="284"/>
      <c r="GER3" s="284"/>
      <c r="GES3" s="284"/>
      <c r="GET3" s="284"/>
      <c r="GEU3" s="284"/>
      <c r="GEV3" s="284"/>
      <c r="GEW3" s="284"/>
      <c r="GEX3" s="284"/>
      <c r="GEY3" s="284"/>
      <c r="GEZ3" s="284"/>
      <c r="GFA3" s="284"/>
      <c r="GFB3" s="284"/>
      <c r="GFC3" s="284"/>
      <c r="GFD3" s="284"/>
      <c r="GFE3" s="284"/>
      <c r="GFF3" s="284"/>
      <c r="GFG3" s="284"/>
      <c r="GFH3" s="284"/>
      <c r="GFI3" s="284"/>
      <c r="GFJ3" s="284"/>
      <c r="GFK3" s="284"/>
      <c r="GFL3" s="284"/>
      <c r="GFM3" s="284"/>
      <c r="GFN3" s="284"/>
      <c r="GFO3" s="284"/>
      <c r="GFP3" s="284"/>
      <c r="GFQ3" s="284"/>
      <c r="GFR3" s="284"/>
      <c r="GFS3" s="284"/>
      <c r="GFT3" s="284"/>
      <c r="GFU3" s="284"/>
      <c r="GFV3" s="284"/>
      <c r="GFW3" s="284"/>
      <c r="GFX3" s="284"/>
      <c r="GFY3" s="284"/>
      <c r="GFZ3" s="284"/>
      <c r="GGA3" s="284"/>
      <c r="GGB3" s="284"/>
      <c r="GGC3" s="284"/>
      <c r="GGD3" s="284"/>
      <c r="GGE3" s="284"/>
      <c r="GGF3" s="284"/>
      <c r="GGG3" s="284"/>
      <c r="GGH3" s="284"/>
      <c r="GGI3" s="284"/>
      <c r="GGJ3" s="284"/>
      <c r="GGK3" s="284"/>
      <c r="GGL3" s="284"/>
      <c r="GGM3" s="284"/>
      <c r="GGN3" s="284"/>
      <c r="GGO3" s="284"/>
      <c r="GGP3" s="284"/>
      <c r="GGQ3" s="284"/>
      <c r="GGR3" s="284"/>
      <c r="GGS3" s="284"/>
      <c r="GGT3" s="284"/>
      <c r="GGU3" s="284"/>
      <c r="GGV3" s="284"/>
      <c r="GGW3" s="284"/>
      <c r="GGX3" s="284"/>
      <c r="GGY3" s="284"/>
      <c r="GGZ3" s="284"/>
      <c r="GHA3" s="284"/>
      <c r="GHB3" s="284"/>
      <c r="GHC3" s="284"/>
      <c r="GHD3" s="284"/>
      <c r="GHE3" s="284"/>
      <c r="GHF3" s="284"/>
      <c r="GHG3" s="284"/>
      <c r="GHH3" s="284"/>
      <c r="GHI3" s="284"/>
      <c r="GHJ3" s="284"/>
      <c r="GHK3" s="284"/>
      <c r="GHL3" s="284"/>
      <c r="GHM3" s="284"/>
      <c r="GHN3" s="284"/>
      <c r="GHO3" s="284"/>
      <c r="GHP3" s="284"/>
      <c r="GHQ3" s="284"/>
      <c r="GHR3" s="284"/>
      <c r="GHS3" s="284"/>
      <c r="GHT3" s="284"/>
      <c r="GHU3" s="284"/>
      <c r="GHV3" s="284"/>
      <c r="GHW3" s="284"/>
      <c r="GHX3" s="284"/>
      <c r="GHY3" s="284"/>
      <c r="GHZ3" s="284"/>
      <c r="GIA3" s="284"/>
      <c r="GIB3" s="284"/>
      <c r="GIC3" s="284"/>
      <c r="GID3" s="284"/>
      <c r="GIE3" s="284"/>
      <c r="GIF3" s="284"/>
      <c r="GIG3" s="284"/>
      <c r="GIH3" s="284"/>
      <c r="GII3" s="284"/>
      <c r="GIJ3" s="284"/>
      <c r="GIK3" s="284"/>
      <c r="GIL3" s="284"/>
      <c r="GIM3" s="284"/>
      <c r="GIN3" s="284"/>
      <c r="GIO3" s="284"/>
      <c r="GIP3" s="284"/>
      <c r="GIQ3" s="284"/>
      <c r="GIR3" s="284"/>
      <c r="GIS3" s="284"/>
      <c r="GIT3" s="284"/>
      <c r="GIU3" s="284"/>
      <c r="GIV3" s="284"/>
      <c r="GIW3" s="284"/>
      <c r="GIX3" s="284"/>
      <c r="GIY3" s="284"/>
      <c r="GIZ3" s="284"/>
      <c r="GJA3" s="284"/>
      <c r="GJB3" s="284"/>
      <c r="GJC3" s="284"/>
      <c r="GJD3" s="284"/>
      <c r="GJE3" s="284"/>
      <c r="GJF3" s="284"/>
      <c r="GJG3" s="284"/>
      <c r="GJH3" s="284"/>
      <c r="GJI3" s="284"/>
      <c r="GJJ3" s="284"/>
      <c r="GJK3" s="284"/>
      <c r="GJL3" s="284"/>
      <c r="GJM3" s="284"/>
      <c r="GJN3" s="284"/>
      <c r="GJO3" s="284"/>
      <c r="GJP3" s="284"/>
      <c r="GJQ3" s="284"/>
      <c r="GJR3" s="284"/>
      <c r="GJS3" s="284"/>
      <c r="GJT3" s="284"/>
      <c r="GJU3" s="284"/>
      <c r="GJV3" s="284"/>
      <c r="GJW3" s="284"/>
      <c r="GJX3" s="284"/>
      <c r="GJY3" s="284"/>
      <c r="GJZ3" s="284"/>
      <c r="GKA3" s="284"/>
      <c r="GKB3" s="284"/>
      <c r="GKC3" s="284"/>
      <c r="GKD3" s="284"/>
      <c r="GKE3" s="284"/>
      <c r="GKF3" s="284"/>
      <c r="GKG3" s="284"/>
      <c r="GKH3" s="284"/>
      <c r="GKI3" s="284"/>
      <c r="GKJ3" s="284"/>
      <c r="GKK3" s="284"/>
      <c r="GKL3" s="284"/>
      <c r="GKM3" s="284"/>
      <c r="GKN3" s="284"/>
      <c r="GKO3" s="284"/>
      <c r="GKP3" s="284"/>
      <c r="GKQ3" s="284"/>
      <c r="GKR3" s="284"/>
      <c r="GKS3" s="284"/>
      <c r="GKT3" s="284"/>
      <c r="GKU3" s="284"/>
      <c r="GKV3" s="284"/>
      <c r="GKW3" s="284"/>
      <c r="GKX3" s="284"/>
      <c r="GKY3" s="284"/>
      <c r="GKZ3" s="284"/>
      <c r="GLA3" s="284"/>
      <c r="GLB3" s="284"/>
      <c r="GLC3" s="284"/>
      <c r="GLD3" s="284"/>
      <c r="GLE3" s="284"/>
      <c r="GLF3" s="284"/>
      <c r="GLG3" s="284"/>
      <c r="GLH3" s="284"/>
      <c r="GLI3" s="284"/>
      <c r="GLJ3" s="284"/>
      <c r="GLK3" s="284"/>
      <c r="GLL3" s="284"/>
      <c r="GLM3" s="284"/>
      <c r="GLN3" s="284"/>
      <c r="GLO3" s="284"/>
      <c r="GLP3" s="284"/>
      <c r="GLQ3" s="284"/>
      <c r="GLR3" s="284"/>
      <c r="GLS3" s="284"/>
      <c r="GLT3" s="284"/>
      <c r="GLU3" s="284"/>
      <c r="GLV3" s="284"/>
      <c r="GLW3" s="284"/>
      <c r="GLX3" s="284"/>
      <c r="GLY3" s="284"/>
      <c r="GLZ3" s="284"/>
      <c r="GMA3" s="284"/>
      <c r="GMB3" s="284"/>
      <c r="GMC3" s="284"/>
      <c r="GMD3" s="284"/>
      <c r="GME3" s="284"/>
      <c r="GMF3" s="284"/>
      <c r="GMG3" s="284"/>
      <c r="GMH3" s="284"/>
      <c r="GMI3" s="284"/>
      <c r="GMJ3" s="284"/>
      <c r="GMK3" s="284"/>
      <c r="GML3" s="284"/>
      <c r="GMM3" s="284"/>
      <c r="GMN3" s="284"/>
      <c r="GMO3" s="284"/>
      <c r="GMP3" s="284"/>
      <c r="GMQ3" s="284"/>
      <c r="GMR3" s="284"/>
      <c r="GMS3" s="284"/>
      <c r="GMT3" s="284"/>
      <c r="GMU3" s="284"/>
      <c r="GMV3" s="284"/>
      <c r="GMW3" s="284"/>
      <c r="GMX3" s="284"/>
      <c r="GMY3" s="284"/>
      <c r="GMZ3" s="284"/>
      <c r="GNA3" s="284"/>
      <c r="GNB3" s="284"/>
      <c r="GNC3" s="284"/>
      <c r="GND3" s="284"/>
      <c r="GNE3" s="284"/>
      <c r="GNF3" s="284"/>
      <c r="GNG3" s="284"/>
      <c r="GNH3" s="284"/>
      <c r="GNI3" s="284"/>
      <c r="GNJ3" s="284"/>
      <c r="GNK3" s="284"/>
      <c r="GNL3" s="284"/>
      <c r="GNM3" s="284"/>
      <c r="GNN3" s="284"/>
      <c r="GNO3" s="284"/>
      <c r="GNP3" s="284"/>
      <c r="GNQ3" s="284"/>
      <c r="GNR3" s="284"/>
      <c r="GNS3" s="284"/>
      <c r="GNT3" s="284"/>
      <c r="GNU3" s="284"/>
      <c r="GNV3" s="284"/>
      <c r="GNW3" s="284"/>
      <c r="GNX3" s="284"/>
      <c r="GNY3" s="284"/>
      <c r="GNZ3" s="284"/>
      <c r="GOA3" s="284"/>
      <c r="GOB3" s="284"/>
      <c r="GOC3" s="284"/>
      <c r="GOD3" s="284"/>
      <c r="GOE3" s="284"/>
      <c r="GOF3" s="284"/>
      <c r="GOG3" s="284"/>
      <c r="GOH3" s="284"/>
      <c r="GOI3" s="284"/>
      <c r="GOJ3" s="284"/>
      <c r="GOK3" s="284"/>
      <c r="GOL3" s="284"/>
      <c r="GOM3" s="284"/>
      <c r="GON3" s="284"/>
      <c r="GOO3" s="284"/>
      <c r="GOP3" s="284"/>
      <c r="GOQ3" s="284"/>
      <c r="GOR3" s="284"/>
      <c r="GOS3" s="284"/>
      <c r="GOT3" s="284"/>
      <c r="GOU3" s="284"/>
      <c r="GOV3" s="284"/>
      <c r="GOW3" s="284"/>
      <c r="GOX3" s="284"/>
      <c r="GOY3" s="284"/>
      <c r="GOZ3" s="284"/>
      <c r="GPA3" s="284"/>
      <c r="GPB3" s="284"/>
      <c r="GPC3" s="284"/>
      <c r="GPD3" s="284"/>
      <c r="GPE3" s="284"/>
      <c r="GPF3" s="284"/>
      <c r="GPG3" s="284"/>
      <c r="GPH3" s="284"/>
      <c r="GPI3" s="284"/>
      <c r="GPJ3" s="284"/>
      <c r="GPK3" s="284"/>
      <c r="GPL3" s="284"/>
      <c r="GPM3" s="284"/>
      <c r="GPN3" s="284"/>
      <c r="GPO3" s="284"/>
      <c r="GPP3" s="284"/>
      <c r="GPQ3" s="284"/>
      <c r="GPR3" s="284"/>
      <c r="GPS3" s="284"/>
      <c r="GPT3" s="284"/>
      <c r="GPU3" s="284"/>
      <c r="GPV3" s="284"/>
      <c r="GPW3" s="284"/>
      <c r="GPX3" s="284"/>
      <c r="GPY3" s="284"/>
      <c r="GPZ3" s="284"/>
      <c r="GQA3" s="284"/>
      <c r="GQB3" s="284"/>
      <c r="GQC3" s="284"/>
      <c r="GQD3" s="284"/>
      <c r="GQE3" s="284"/>
      <c r="GQF3" s="284"/>
      <c r="GQG3" s="284"/>
      <c r="GQH3" s="284"/>
      <c r="GQI3" s="284"/>
      <c r="GQJ3" s="284"/>
      <c r="GQK3" s="284"/>
      <c r="GQL3" s="284"/>
      <c r="GQM3" s="284"/>
      <c r="GQN3" s="284"/>
      <c r="GQO3" s="284"/>
      <c r="GQP3" s="284"/>
      <c r="GQQ3" s="284"/>
      <c r="GQR3" s="284"/>
      <c r="GQS3" s="284"/>
      <c r="GQT3" s="284"/>
      <c r="GQU3" s="284"/>
      <c r="GQV3" s="284"/>
      <c r="GQW3" s="284"/>
      <c r="GQX3" s="284"/>
      <c r="GQY3" s="284"/>
      <c r="GQZ3" s="284"/>
      <c r="GRA3" s="284"/>
      <c r="GRB3" s="284"/>
      <c r="GRC3" s="284"/>
      <c r="GRD3" s="284"/>
      <c r="GRE3" s="284"/>
      <c r="GRF3" s="284"/>
      <c r="GRG3" s="284"/>
      <c r="GRH3" s="284"/>
      <c r="GRI3" s="284"/>
      <c r="GRJ3" s="284"/>
      <c r="GRK3" s="284"/>
      <c r="GRL3" s="284"/>
      <c r="GRM3" s="284"/>
      <c r="GRN3" s="284"/>
      <c r="GRO3" s="284"/>
      <c r="GRP3" s="284"/>
      <c r="GRQ3" s="284"/>
      <c r="GRR3" s="284"/>
      <c r="GRS3" s="284"/>
      <c r="GRT3" s="284"/>
      <c r="GRU3" s="284"/>
      <c r="GRV3" s="284"/>
      <c r="GRW3" s="284"/>
      <c r="GRX3" s="284"/>
      <c r="GRY3" s="284"/>
      <c r="GRZ3" s="284"/>
      <c r="GSA3" s="284"/>
      <c r="GSB3" s="284"/>
      <c r="GSC3" s="284"/>
      <c r="GSD3" s="284"/>
      <c r="GSE3" s="284"/>
      <c r="GSF3" s="284"/>
      <c r="GSG3" s="284"/>
      <c r="GSH3" s="284"/>
      <c r="GSI3" s="284"/>
      <c r="GSJ3" s="284"/>
      <c r="GSK3" s="284"/>
      <c r="GSL3" s="284"/>
      <c r="GSM3" s="284"/>
      <c r="GSN3" s="284"/>
      <c r="GSO3" s="284"/>
      <c r="GSP3" s="284"/>
      <c r="GSQ3" s="284"/>
      <c r="GSR3" s="284"/>
      <c r="GSS3" s="284"/>
      <c r="GST3" s="284"/>
      <c r="GSU3" s="284"/>
      <c r="GSV3" s="284"/>
      <c r="GSW3" s="284"/>
      <c r="GSX3" s="284"/>
      <c r="GSY3" s="284"/>
      <c r="GSZ3" s="284"/>
      <c r="GTA3" s="284"/>
      <c r="GTB3" s="284"/>
      <c r="GTC3" s="284"/>
      <c r="GTD3" s="284"/>
      <c r="GTE3" s="284"/>
      <c r="GTF3" s="284"/>
      <c r="GTG3" s="284"/>
      <c r="GTH3" s="284"/>
      <c r="GTI3" s="284"/>
      <c r="GTJ3" s="284"/>
      <c r="GTK3" s="284"/>
      <c r="GTL3" s="284"/>
      <c r="GTM3" s="284"/>
      <c r="GTN3" s="284"/>
      <c r="GTO3" s="284"/>
      <c r="GTP3" s="284"/>
      <c r="GTQ3" s="284"/>
      <c r="GTR3" s="284"/>
      <c r="GTS3" s="284"/>
      <c r="GTT3" s="284"/>
      <c r="GTU3" s="284"/>
      <c r="GTV3" s="284"/>
      <c r="GTW3" s="284"/>
      <c r="GTX3" s="284"/>
      <c r="GTY3" s="284"/>
      <c r="GTZ3" s="284"/>
      <c r="GUA3" s="284"/>
      <c r="GUB3" s="284"/>
      <c r="GUC3" s="284"/>
      <c r="GUD3" s="284"/>
      <c r="GUE3" s="284"/>
      <c r="GUF3" s="284"/>
      <c r="GUG3" s="284"/>
      <c r="GUH3" s="284"/>
      <c r="GUI3" s="284"/>
      <c r="GUJ3" s="284"/>
      <c r="GUK3" s="284"/>
      <c r="GUL3" s="284"/>
      <c r="GUM3" s="284"/>
      <c r="GUN3" s="284"/>
      <c r="GUO3" s="284"/>
      <c r="GUP3" s="284"/>
      <c r="GUQ3" s="284"/>
      <c r="GUR3" s="284"/>
      <c r="GUS3" s="284"/>
      <c r="GUT3" s="284"/>
      <c r="GUU3" s="284"/>
      <c r="GUV3" s="284"/>
      <c r="GUW3" s="284"/>
      <c r="GUX3" s="284"/>
      <c r="GUY3" s="284"/>
      <c r="GUZ3" s="284"/>
      <c r="GVA3" s="284"/>
      <c r="GVB3" s="284"/>
      <c r="GVC3" s="284"/>
      <c r="GVD3" s="284"/>
      <c r="GVE3" s="284"/>
      <c r="GVF3" s="284"/>
      <c r="GVG3" s="284"/>
      <c r="GVH3" s="284"/>
      <c r="GVI3" s="284"/>
      <c r="GVJ3" s="284"/>
      <c r="GVK3" s="284"/>
      <c r="GVL3" s="284"/>
      <c r="GVM3" s="284"/>
      <c r="GVN3" s="284"/>
      <c r="GVO3" s="284"/>
      <c r="GVP3" s="284"/>
      <c r="GVQ3" s="284"/>
      <c r="GVR3" s="284"/>
      <c r="GVS3" s="284"/>
      <c r="GVT3" s="284"/>
      <c r="GVU3" s="284"/>
      <c r="GVV3" s="284"/>
      <c r="GVW3" s="284"/>
      <c r="GVX3" s="284"/>
      <c r="GVY3" s="284"/>
      <c r="GVZ3" s="284"/>
      <c r="GWA3" s="284"/>
      <c r="GWB3" s="284"/>
      <c r="GWC3" s="284"/>
      <c r="GWD3" s="284"/>
      <c r="GWE3" s="284"/>
      <c r="GWF3" s="284"/>
      <c r="GWG3" s="284"/>
      <c r="GWH3" s="284"/>
      <c r="GWI3" s="284"/>
      <c r="GWJ3" s="284"/>
      <c r="GWK3" s="284"/>
      <c r="GWL3" s="284"/>
      <c r="GWM3" s="284"/>
      <c r="GWN3" s="284"/>
      <c r="GWO3" s="284"/>
      <c r="GWP3" s="284"/>
      <c r="GWQ3" s="284"/>
      <c r="GWR3" s="284"/>
      <c r="GWS3" s="284"/>
      <c r="GWT3" s="284"/>
      <c r="GWU3" s="284"/>
      <c r="GWV3" s="284"/>
      <c r="GWW3" s="284"/>
      <c r="GWX3" s="284"/>
      <c r="GWY3" s="284"/>
      <c r="GWZ3" s="284"/>
      <c r="GXA3" s="284"/>
      <c r="GXB3" s="284"/>
      <c r="GXC3" s="284"/>
      <c r="GXD3" s="284"/>
      <c r="GXE3" s="284"/>
      <c r="GXF3" s="284"/>
      <c r="GXG3" s="284"/>
      <c r="GXH3" s="284"/>
      <c r="GXI3" s="284"/>
      <c r="GXJ3" s="284"/>
      <c r="GXK3" s="284"/>
      <c r="GXL3" s="284"/>
      <c r="GXM3" s="284"/>
      <c r="GXN3" s="284"/>
      <c r="GXO3" s="284"/>
      <c r="GXP3" s="284"/>
      <c r="GXQ3" s="284"/>
      <c r="GXR3" s="284"/>
      <c r="GXS3" s="284"/>
      <c r="GXT3" s="284"/>
      <c r="GXU3" s="284"/>
      <c r="GXV3" s="284"/>
      <c r="GXW3" s="284"/>
      <c r="GXX3" s="284"/>
      <c r="GXY3" s="284"/>
      <c r="GXZ3" s="284"/>
      <c r="GYA3" s="284"/>
      <c r="GYB3" s="284"/>
      <c r="GYC3" s="284"/>
      <c r="GYD3" s="284"/>
      <c r="GYE3" s="284"/>
      <c r="GYF3" s="284"/>
      <c r="GYG3" s="284"/>
      <c r="GYH3" s="284"/>
      <c r="GYI3" s="284"/>
      <c r="GYJ3" s="284"/>
      <c r="GYK3" s="284"/>
      <c r="GYL3" s="284"/>
      <c r="GYM3" s="284"/>
      <c r="GYN3" s="284"/>
      <c r="GYO3" s="284"/>
      <c r="GYP3" s="284"/>
      <c r="GYQ3" s="284"/>
      <c r="GYR3" s="284"/>
      <c r="GYS3" s="284"/>
      <c r="GYT3" s="284"/>
      <c r="GYU3" s="284"/>
      <c r="GYV3" s="284"/>
      <c r="GYW3" s="284"/>
      <c r="GYX3" s="284"/>
      <c r="GYY3" s="284"/>
      <c r="GYZ3" s="284"/>
      <c r="GZA3" s="284"/>
      <c r="GZB3" s="284"/>
      <c r="GZC3" s="284"/>
      <c r="GZD3" s="284"/>
      <c r="GZE3" s="284"/>
      <c r="GZF3" s="284"/>
      <c r="GZG3" s="284"/>
      <c r="GZH3" s="284"/>
      <c r="GZI3" s="284"/>
      <c r="GZJ3" s="284"/>
      <c r="GZK3" s="284"/>
      <c r="GZL3" s="284"/>
      <c r="GZM3" s="284"/>
      <c r="GZN3" s="284"/>
      <c r="GZO3" s="284"/>
      <c r="GZP3" s="284"/>
      <c r="GZQ3" s="284"/>
      <c r="GZR3" s="284"/>
      <c r="GZS3" s="284"/>
      <c r="GZT3" s="284"/>
      <c r="GZU3" s="284"/>
      <c r="GZV3" s="284"/>
      <c r="GZW3" s="284"/>
      <c r="GZX3" s="284"/>
      <c r="GZY3" s="284"/>
      <c r="GZZ3" s="284"/>
      <c r="HAA3" s="284"/>
      <c r="HAB3" s="284"/>
      <c r="HAC3" s="284"/>
      <c r="HAD3" s="284"/>
      <c r="HAE3" s="284"/>
      <c r="HAF3" s="284"/>
      <c r="HAG3" s="284"/>
      <c r="HAH3" s="284"/>
      <c r="HAI3" s="284"/>
      <c r="HAJ3" s="284"/>
      <c r="HAK3" s="284"/>
      <c r="HAL3" s="284"/>
      <c r="HAM3" s="284"/>
      <c r="HAN3" s="284"/>
      <c r="HAO3" s="284"/>
      <c r="HAP3" s="284"/>
      <c r="HAQ3" s="284"/>
      <c r="HAR3" s="284"/>
      <c r="HAS3" s="284"/>
      <c r="HAT3" s="284"/>
      <c r="HAU3" s="284"/>
      <c r="HAV3" s="284"/>
      <c r="HAW3" s="284"/>
      <c r="HAX3" s="284"/>
      <c r="HAY3" s="284"/>
      <c r="HAZ3" s="284"/>
      <c r="HBA3" s="284"/>
      <c r="HBB3" s="284"/>
      <c r="HBC3" s="284"/>
      <c r="HBD3" s="284"/>
      <c r="HBE3" s="284"/>
      <c r="HBF3" s="284"/>
      <c r="HBG3" s="284"/>
      <c r="HBH3" s="284"/>
      <c r="HBI3" s="284"/>
      <c r="HBJ3" s="284"/>
      <c r="HBK3" s="284"/>
      <c r="HBL3" s="284"/>
      <c r="HBM3" s="284"/>
      <c r="HBN3" s="284"/>
      <c r="HBO3" s="284"/>
      <c r="HBP3" s="284"/>
      <c r="HBQ3" s="284"/>
      <c r="HBR3" s="284"/>
      <c r="HBS3" s="284"/>
      <c r="HBT3" s="284"/>
      <c r="HBU3" s="284"/>
      <c r="HBV3" s="284"/>
      <c r="HBW3" s="284"/>
      <c r="HBX3" s="284"/>
      <c r="HBY3" s="284"/>
      <c r="HBZ3" s="284"/>
      <c r="HCA3" s="284"/>
      <c r="HCB3" s="284"/>
      <c r="HCC3" s="284"/>
      <c r="HCD3" s="284"/>
      <c r="HCE3" s="284"/>
      <c r="HCF3" s="284"/>
      <c r="HCG3" s="284"/>
      <c r="HCH3" s="284"/>
      <c r="HCI3" s="284"/>
      <c r="HCJ3" s="284"/>
      <c r="HCK3" s="284"/>
      <c r="HCL3" s="284"/>
      <c r="HCM3" s="284"/>
      <c r="HCN3" s="284"/>
      <c r="HCO3" s="284"/>
      <c r="HCP3" s="284"/>
      <c r="HCQ3" s="284"/>
      <c r="HCR3" s="284"/>
      <c r="HCS3" s="284"/>
      <c r="HCT3" s="284"/>
      <c r="HCU3" s="284"/>
      <c r="HCV3" s="284"/>
      <c r="HCW3" s="284"/>
      <c r="HCX3" s="284"/>
      <c r="HCY3" s="284"/>
      <c r="HCZ3" s="284"/>
      <c r="HDA3" s="284"/>
      <c r="HDB3" s="284"/>
      <c r="HDC3" s="284"/>
      <c r="HDD3" s="284"/>
      <c r="HDE3" s="284"/>
      <c r="HDF3" s="284"/>
      <c r="HDG3" s="284"/>
      <c r="HDH3" s="284"/>
      <c r="HDI3" s="284"/>
      <c r="HDJ3" s="284"/>
      <c r="HDK3" s="284"/>
      <c r="HDL3" s="284"/>
      <c r="HDM3" s="284"/>
      <c r="HDN3" s="284"/>
      <c r="HDO3" s="284"/>
      <c r="HDP3" s="284"/>
      <c r="HDQ3" s="284"/>
      <c r="HDR3" s="284"/>
      <c r="HDS3" s="284"/>
      <c r="HDT3" s="284"/>
      <c r="HDU3" s="284"/>
      <c r="HDV3" s="284"/>
      <c r="HDW3" s="284"/>
      <c r="HDX3" s="284"/>
      <c r="HDY3" s="284"/>
      <c r="HDZ3" s="284"/>
      <c r="HEA3" s="284"/>
      <c r="HEB3" s="284"/>
      <c r="HEC3" s="284"/>
      <c r="HED3" s="284"/>
      <c r="HEE3" s="284"/>
      <c r="HEF3" s="284"/>
      <c r="HEG3" s="284"/>
      <c r="HEH3" s="284"/>
      <c r="HEI3" s="284"/>
      <c r="HEJ3" s="284"/>
      <c r="HEK3" s="284"/>
      <c r="HEL3" s="284"/>
      <c r="HEM3" s="284"/>
      <c r="HEN3" s="284"/>
      <c r="HEO3" s="284"/>
      <c r="HEP3" s="284"/>
      <c r="HEQ3" s="284"/>
      <c r="HER3" s="284"/>
      <c r="HES3" s="284"/>
      <c r="HET3" s="284"/>
      <c r="HEU3" s="284"/>
      <c r="HEV3" s="284"/>
      <c r="HEW3" s="284"/>
      <c r="HEX3" s="284"/>
      <c r="HEY3" s="284"/>
      <c r="HEZ3" s="284"/>
      <c r="HFA3" s="284"/>
      <c r="HFB3" s="284"/>
      <c r="HFC3" s="284"/>
      <c r="HFD3" s="284"/>
      <c r="HFE3" s="284"/>
      <c r="HFF3" s="284"/>
      <c r="HFG3" s="284"/>
      <c r="HFH3" s="284"/>
      <c r="HFI3" s="284"/>
      <c r="HFJ3" s="284"/>
      <c r="HFK3" s="284"/>
      <c r="HFL3" s="284"/>
      <c r="HFM3" s="284"/>
      <c r="HFN3" s="284"/>
      <c r="HFO3" s="284"/>
      <c r="HFP3" s="284"/>
      <c r="HFQ3" s="284"/>
      <c r="HFR3" s="284"/>
      <c r="HFS3" s="284"/>
      <c r="HFT3" s="284"/>
      <c r="HFU3" s="284"/>
      <c r="HFV3" s="284"/>
      <c r="HFW3" s="284"/>
      <c r="HFX3" s="284"/>
      <c r="HFY3" s="284"/>
      <c r="HFZ3" s="284"/>
      <c r="HGA3" s="284"/>
      <c r="HGB3" s="284"/>
      <c r="HGC3" s="284"/>
      <c r="HGD3" s="284"/>
      <c r="HGE3" s="284"/>
      <c r="HGF3" s="284"/>
      <c r="HGG3" s="284"/>
      <c r="HGH3" s="284"/>
      <c r="HGI3" s="284"/>
      <c r="HGJ3" s="284"/>
      <c r="HGK3" s="284"/>
      <c r="HGL3" s="284"/>
      <c r="HGM3" s="284"/>
      <c r="HGN3" s="284"/>
      <c r="HGO3" s="284"/>
      <c r="HGP3" s="284"/>
      <c r="HGQ3" s="284"/>
      <c r="HGR3" s="284"/>
      <c r="HGS3" s="284"/>
      <c r="HGT3" s="284"/>
      <c r="HGU3" s="284"/>
      <c r="HGV3" s="284"/>
      <c r="HGW3" s="284"/>
      <c r="HGX3" s="284"/>
      <c r="HGY3" s="284"/>
      <c r="HGZ3" s="284"/>
      <c r="HHA3" s="284"/>
      <c r="HHB3" s="284"/>
      <c r="HHC3" s="284"/>
      <c r="HHD3" s="284"/>
      <c r="HHE3" s="284"/>
      <c r="HHF3" s="284"/>
      <c r="HHG3" s="284"/>
      <c r="HHH3" s="284"/>
      <c r="HHI3" s="284"/>
      <c r="HHJ3" s="284"/>
      <c r="HHK3" s="284"/>
      <c r="HHL3" s="284"/>
      <c r="HHM3" s="284"/>
      <c r="HHN3" s="284"/>
      <c r="HHO3" s="284"/>
      <c r="HHP3" s="284"/>
      <c r="HHQ3" s="284"/>
      <c r="HHR3" s="284"/>
      <c r="HHS3" s="284"/>
      <c r="HHT3" s="284"/>
      <c r="HHU3" s="284"/>
      <c r="HHV3" s="284"/>
      <c r="HHW3" s="284"/>
      <c r="HHX3" s="284"/>
      <c r="HHY3" s="284"/>
      <c r="HHZ3" s="284"/>
      <c r="HIA3" s="284"/>
      <c r="HIB3" s="284"/>
      <c r="HIC3" s="284"/>
      <c r="HID3" s="284"/>
      <c r="HIE3" s="284"/>
      <c r="HIF3" s="284"/>
      <c r="HIG3" s="284"/>
      <c r="HIH3" s="284"/>
      <c r="HII3" s="284"/>
      <c r="HIJ3" s="284"/>
      <c r="HIK3" s="284"/>
      <c r="HIL3" s="284"/>
      <c r="HIM3" s="284"/>
      <c r="HIN3" s="284"/>
      <c r="HIO3" s="284"/>
      <c r="HIP3" s="284"/>
      <c r="HIQ3" s="284"/>
      <c r="HIR3" s="284"/>
      <c r="HIS3" s="284"/>
      <c r="HIT3" s="284"/>
      <c r="HIU3" s="284"/>
      <c r="HIV3" s="284"/>
      <c r="HIW3" s="284"/>
      <c r="HIX3" s="284"/>
      <c r="HIY3" s="284"/>
      <c r="HIZ3" s="284"/>
      <c r="HJA3" s="284"/>
      <c r="HJB3" s="284"/>
      <c r="HJC3" s="284"/>
      <c r="HJD3" s="284"/>
      <c r="HJE3" s="284"/>
      <c r="HJF3" s="284"/>
      <c r="HJG3" s="284"/>
      <c r="HJH3" s="284"/>
      <c r="HJI3" s="284"/>
      <c r="HJJ3" s="284"/>
      <c r="HJK3" s="284"/>
      <c r="HJL3" s="284"/>
      <c r="HJM3" s="284"/>
      <c r="HJN3" s="284"/>
      <c r="HJO3" s="284"/>
      <c r="HJP3" s="284"/>
      <c r="HJQ3" s="284"/>
      <c r="HJR3" s="284"/>
      <c r="HJS3" s="284"/>
      <c r="HJT3" s="284"/>
      <c r="HJU3" s="284"/>
      <c r="HJV3" s="284"/>
      <c r="HJW3" s="284"/>
      <c r="HJX3" s="284"/>
      <c r="HJY3" s="284"/>
      <c r="HJZ3" s="284"/>
      <c r="HKA3" s="284"/>
      <c r="HKB3" s="284"/>
      <c r="HKC3" s="284"/>
      <c r="HKD3" s="284"/>
      <c r="HKE3" s="284"/>
      <c r="HKF3" s="284"/>
      <c r="HKG3" s="284"/>
      <c r="HKH3" s="284"/>
      <c r="HKI3" s="284"/>
      <c r="HKJ3" s="284"/>
      <c r="HKK3" s="284"/>
      <c r="HKL3" s="284"/>
      <c r="HKM3" s="284"/>
      <c r="HKN3" s="284"/>
      <c r="HKO3" s="284"/>
      <c r="HKP3" s="284"/>
      <c r="HKQ3" s="284"/>
      <c r="HKR3" s="284"/>
      <c r="HKS3" s="284"/>
      <c r="HKT3" s="284"/>
      <c r="HKU3" s="284"/>
      <c r="HKV3" s="284"/>
      <c r="HKW3" s="284"/>
      <c r="HKX3" s="284"/>
      <c r="HKY3" s="284"/>
      <c r="HKZ3" s="284"/>
      <c r="HLA3" s="284"/>
      <c r="HLB3" s="284"/>
      <c r="HLC3" s="284"/>
      <c r="HLD3" s="284"/>
      <c r="HLE3" s="284"/>
      <c r="HLF3" s="284"/>
      <c r="HLG3" s="284"/>
      <c r="HLH3" s="284"/>
      <c r="HLI3" s="284"/>
      <c r="HLJ3" s="284"/>
      <c r="HLK3" s="284"/>
      <c r="HLL3" s="284"/>
      <c r="HLM3" s="284"/>
      <c r="HLN3" s="284"/>
      <c r="HLO3" s="284"/>
      <c r="HLP3" s="284"/>
      <c r="HLQ3" s="284"/>
      <c r="HLR3" s="284"/>
      <c r="HLS3" s="284"/>
      <c r="HLT3" s="284"/>
      <c r="HLU3" s="284"/>
      <c r="HLV3" s="284"/>
      <c r="HLW3" s="284"/>
      <c r="HLX3" s="284"/>
      <c r="HLY3" s="284"/>
      <c r="HLZ3" s="284"/>
      <c r="HMA3" s="284"/>
      <c r="HMB3" s="284"/>
      <c r="HMC3" s="284"/>
      <c r="HMD3" s="284"/>
      <c r="HME3" s="284"/>
      <c r="HMF3" s="284"/>
      <c r="HMG3" s="284"/>
      <c r="HMH3" s="284"/>
      <c r="HMI3" s="284"/>
      <c r="HMJ3" s="284"/>
      <c r="HMK3" s="284"/>
      <c r="HML3" s="284"/>
      <c r="HMM3" s="284"/>
      <c r="HMN3" s="284"/>
      <c r="HMO3" s="284"/>
      <c r="HMP3" s="284"/>
      <c r="HMQ3" s="284"/>
      <c r="HMR3" s="284"/>
      <c r="HMS3" s="284"/>
      <c r="HMT3" s="284"/>
      <c r="HMU3" s="284"/>
      <c r="HMV3" s="284"/>
      <c r="HMW3" s="284"/>
      <c r="HMX3" s="284"/>
      <c r="HMY3" s="284"/>
      <c r="HMZ3" s="284"/>
      <c r="HNA3" s="284"/>
      <c r="HNB3" s="284"/>
      <c r="HNC3" s="284"/>
      <c r="HND3" s="284"/>
      <c r="HNE3" s="284"/>
      <c r="HNF3" s="284"/>
      <c r="HNG3" s="284"/>
      <c r="HNH3" s="284"/>
      <c r="HNI3" s="284"/>
      <c r="HNJ3" s="284"/>
      <c r="HNK3" s="284"/>
      <c r="HNL3" s="284"/>
      <c r="HNM3" s="284"/>
      <c r="HNN3" s="284"/>
      <c r="HNO3" s="284"/>
      <c r="HNP3" s="284"/>
      <c r="HNQ3" s="284"/>
      <c r="HNR3" s="284"/>
      <c r="HNS3" s="284"/>
      <c r="HNT3" s="284"/>
      <c r="HNU3" s="284"/>
      <c r="HNV3" s="284"/>
      <c r="HNW3" s="284"/>
      <c r="HNX3" s="284"/>
      <c r="HNY3" s="284"/>
      <c r="HNZ3" s="284"/>
      <c r="HOA3" s="284"/>
      <c r="HOB3" s="284"/>
      <c r="HOC3" s="284"/>
      <c r="HOD3" s="284"/>
      <c r="HOE3" s="284"/>
      <c r="HOF3" s="284"/>
      <c r="HOG3" s="284"/>
      <c r="HOH3" s="284"/>
      <c r="HOI3" s="284"/>
      <c r="HOJ3" s="284"/>
      <c r="HOK3" s="284"/>
      <c r="HOL3" s="284"/>
      <c r="HOM3" s="284"/>
      <c r="HON3" s="284"/>
      <c r="HOO3" s="284"/>
      <c r="HOP3" s="284"/>
      <c r="HOQ3" s="284"/>
      <c r="HOR3" s="284"/>
      <c r="HOS3" s="284"/>
      <c r="HOT3" s="284"/>
      <c r="HOU3" s="284"/>
      <c r="HOV3" s="284"/>
      <c r="HOW3" s="284"/>
      <c r="HOX3" s="284"/>
      <c r="HOY3" s="284"/>
      <c r="HOZ3" s="284"/>
      <c r="HPA3" s="284"/>
      <c r="HPB3" s="284"/>
      <c r="HPC3" s="284"/>
      <c r="HPD3" s="284"/>
      <c r="HPE3" s="284"/>
      <c r="HPF3" s="284"/>
      <c r="HPG3" s="284"/>
      <c r="HPH3" s="284"/>
      <c r="HPI3" s="284"/>
      <c r="HPJ3" s="284"/>
      <c r="HPK3" s="284"/>
      <c r="HPL3" s="284"/>
      <c r="HPM3" s="284"/>
      <c r="HPN3" s="284"/>
      <c r="HPO3" s="284"/>
      <c r="HPP3" s="284"/>
      <c r="HPQ3" s="284"/>
      <c r="HPR3" s="284"/>
      <c r="HPS3" s="284"/>
      <c r="HPT3" s="284"/>
      <c r="HPU3" s="284"/>
      <c r="HPV3" s="284"/>
      <c r="HPW3" s="284"/>
      <c r="HPX3" s="284"/>
      <c r="HPY3" s="284"/>
      <c r="HPZ3" s="284"/>
      <c r="HQA3" s="284"/>
      <c r="HQB3" s="284"/>
      <c r="HQC3" s="284"/>
      <c r="HQD3" s="284"/>
      <c r="HQE3" s="284"/>
      <c r="HQF3" s="284"/>
      <c r="HQG3" s="284"/>
      <c r="HQH3" s="284"/>
      <c r="HQI3" s="284"/>
      <c r="HQJ3" s="284"/>
      <c r="HQK3" s="284"/>
      <c r="HQL3" s="284"/>
      <c r="HQM3" s="284"/>
      <c r="HQN3" s="284"/>
      <c r="HQO3" s="284"/>
      <c r="HQP3" s="284"/>
      <c r="HQQ3" s="284"/>
      <c r="HQR3" s="284"/>
      <c r="HQS3" s="284"/>
      <c r="HQT3" s="284"/>
      <c r="HQU3" s="284"/>
      <c r="HQV3" s="284"/>
      <c r="HQW3" s="284"/>
      <c r="HQX3" s="284"/>
      <c r="HQY3" s="284"/>
      <c r="HQZ3" s="284"/>
      <c r="HRA3" s="284"/>
      <c r="HRB3" s="284"/>
      <c r="HRC3" s="284"/>
      <c r="HRD3" s="284"/>
      <c r="HRE3" s="284"/>
      <c r="HRF3" s="284"/>
      <c r="HRG3" s="284"/>
      <c r="HRH3" s="284"/>
      <c r="HRI3" s="284"/>
      <c r="HRJ3" s="284"/>
      <c r="HRK3" s="284"/>
      <c r="HRL3" s="284"/>
      <c r="HRM3" s="284"/>
      <c r="HRN3" s="284"/>
      <c r="HRO3" s="284"/>
      <c r="HRP3" s="284"/>
      <c r="HRQ3" s="284"/>
      <c r="HRR3" s="284"/>
      <c r="HRS3" s="284"/>
      <c r="HRT3" s="284"/>
      <c r="HRU3" s="284"/>
      <c r="HRV3" s="284"/>
      <c r="HRW3" s="284"/>
      <c r="HRX3" s="284"/>
      <c r="HRY3" s="284"/>
      <c r="HRZ3" s="284"/>
      <c r="HSA3" s="284"/>
      <c r="HSB3" s="284"/>
      <c r="HSC3" s="284"/>
      <c r="HSD3" s="284"/>
      <c r="HSE3" s="284"/>
      <c r="HSF3" s="284"/>
      <c r="HSG3" s="284"/>
      <c r="HSH3" s="284"/>
      <c r="HSI3" s="284"/>
      <c r="HSJ3" s="284"/>
      <c r="HSK3" s="284"/>
      <c r="HSL3" s="284"/>
      <c r="HSM3" s="284"/>
      <c r="HSN3" s="284"/>
      <c r="HSO3" s="284"/>
      <c r="HSP3" s="284"/>
      <c r="HSQ3" s="284"/>
      <c r="HSR3" s="284"/>
      <c r="HSS3" s="284"/>
      <c r="HST3" s="284"/>
      <c r="HSU3" s="284"/>
      <c r="HSV3" s="284"/>
      <c r="HSW3" s="284"/>
      <c r="HSX3" s="284"/>
      <c r="HSY3" s="284"/>
      <c r="HSZ3" s="284"/>
      <c r="HTA3" s="284"/>
      <c r="HTB3" s="284"/>
      <c r="HTC3" s="284"/>
      <c r="HTD3" s="284"/>
      <c r="HTE3" s="284"/>
      <c r="HTF3" s="284"/>
      <c r="HTG3" s="284"/>
      <c r="HTH3" s="284"/>
      <c r="HTI3" s="284"/>
      <c r="HTJ3" s="284"/>
      <c r="HTK3" s="284"/>
      <c r="HTL3" s="284"/>
      <c r="HTM3" s="284"/>
      <c r="HTN3" s="284"/>
      <c r="HTO3" s="284"/>
      <c r="HTP3" s="284"/>
      <c r="HTQ3" s="284"/>
      <c r="HTR3" s="284"/>
      <c r="HTS3" s="284"/>
      <c r="HTT3" s="284"/>
      <c r="HTU3" s="284"/>
      <c r="HTV3" s="284"/>
      <c r="HTW3" s="284"/>
      <c r="HTX3" s="284"/>
      <c r="HTY3" s="284"/>
      <c r="HTZ3" s="284"/>
      <c r="HUA3" s="284"/>
      <c r="HUB3" s="284"/>
      <c r="HUC3" s="284"/>
      <c r="HUD3" s="284"/>
      <c r="HUE3" s="284"/>
      <c r="HUF3" s="284"/>
      <c r="HUG3" s="284"/>
      <c r="HUH3" s="284"/>
      <c r="HUI3" s="284"/>
      <c r="HUJ3" s="284"/>
      <c r="HUK3" s="284"/>
      <c r="HUL3" s="284"/>
      <c r="HUM3" s="284"/>
      <c r="HUN3" s="284"/>
      <c r="HUO3" s="284"/>
      <c r="HUP3" s="284"/>
      <c r="HUQ3" s="284"/>
      <c r="HUR3" s="284"/>
      <c r="HUS3" s="284"/>
      <c r="HUT3" s="284"/>
      <c r="HUU3" s="284"/>
      <c r="HUV3" s="284"/>
      <c r="HUW3" s="284"/>
      <c r="HUX3" s="284"/>
      <c r="HUY3" s="284"/>
      <c r="HUZ3" s="284"/>
      <c r="HVA3" s="284"/>
      <c r="HVB3" s="284"/>
      <c r="HVC3" s="284"/>
      <c r="HVD3" s="284"/>
      <c r="HVE3" s="284"/>
      <c r="HVF3" s="284"/>
      <c r="HVG3" s="284"/>
      <c r="HVH3" s="284"/>
      <c r="HVI3" s="284"/>
      <c r="HVJ3" s="284"/>
      <c r="HVK3" s="284"/>
      <c r="HVL3" s="284"/>
      <c r="HVM3" s="284"/>
      <c r="HVN3" s="284"/>
      <c r="HVO3" s="284"/>
      <c r="HVP3" s="284"/>
      <c r="HVQ3" s="284"/>
      <c r="HVR3" s="284"/>
      <c r="HVS3" s="284"/>
      <c r="HVT3" s="284"/>
      <c r="HVU3" s="284"/>
      <c r="HVV3" s="284"/>
      <c r="HVW3" s="284"/>
      <c r="HVX3" s="284"/>
      <c r="HVY3" s="284"/>
      <c r="HVZ3" s="284"/>
      <c r="HWA3" s="284"/>
      <c r="HWB3" s="284"/>
      <c r="HWC3" s="284"/>
      <c r="HWD3" s="284"/>
      <c r="HWE3" s="284"/>
      <c r="HWF3" s="284"/>
      <c r="HWG3" s="284"/>
      <c r="HWH3" s="284"/>
      <c r="HWI3" s="284"/>
      <c r="HWJ3" s="284"/>
      <c r="HWK3" s="284"/>
      <c r="HWL3" s="284"/>
      <c r="HWM3" s="284"/>
      <c r="HWN3" s="284"/>
      <c r="HWO3" s="284"/>
      <c r="HWP3" s="284"/>
      <c r="HWQ3" s="284"/>
      <c r="HWR3" s="284"/>
      <c r="HWS3" s="284"/>
      <c r="HWT3" s="284"/>
      <c r="HWU3" s="284"/>
      <c r="HWV3" s="284"/>
      <c r="HWW3" s="284"/>
      <c r="HWX3" s="284"/>
      <c r="HWY3" s="284"/>
      <c r="HWZ3" s="284"/>
      <c r="HXA3" s="284"/>
      <c r="HXB3" s="284"/>
      <c r="HXC3" s="284"/>
      <c r="HXD3" s="284"/>
      <c r="HXE3" s="284"/>
      <c r="HXF3" s="284"/>
      <c r="HXG3" s="284"/>
      <c r="HXH3" s="284"/>
      <c r="HXI3" s="284"/>
      <c r="HXJ3" s="284"/>
      <c r="HXK3" s="284"/>
      <c r="HXL3" s="284"/>
      <c r="HXM3" s="284"/>
      <c r="HXN3" s="284"/>
      <c r="HXO3" s="284"/>
      <c r="HXP3" s="284"/>
      <c r="HXQ3" s="284"/>
      <c r="HXR3" s="284"/>
      <c r="HXS3" s="284"/>
      <c r="HXT3" s="284"/>
      <c r="HXU3" s="284"/>
      <c r="HXV3" s="284"/>
      <c r="HXW3" s="284"/>
      <c r="HXX3" s="284"/>
      <c r="HXY3" s="284"/>
      <c r="HXZ3" s="284"/>
      <c r="HYA3" s="284"/>
      <c r="HYB3" s="284"/>
      <c r="HYC3" s="284"/>
      <c r="HYD3" s="284"/>
      <c r="HYE3" s="284"/>
      <c r="HYF3" s="284"/>
      <c r="HYG3" s="284"/>
      <c r="HYH3" s="284"/>
      <c r="HYI3" s="284"/>
      <c r="HYJ3" s="284"/>
      <c r="HYK3" s="284"/>
      <c r="HYL3" s="284"/>
      <c r="HYM3" s="284"/>
      <c r="HYN3" s="284"/>
      <c r="HYO3" s="284"/>
      <c r="HYP3" s="284"/>
      <c r="HYQ3" s="284"/>
      <c r="HYR3" s="284"/>
      <c r="HYS3" s="284"/>
      <c r="HYT3" s="284"/>
      <c r="HYU3" s="284"/>
      <c r="HYV3" s="284"/>
      <c r="HYW3" s="284"/>
      <c r="HYX3" s="284"/>
      <c r="HYY3" s="284"/>
      <c r="HYZ3" s="284"/>
      <c r="HZA3" s="284"/>
      <c r="HZB3" s="284"/>
      <c r="HZC3" s="284"/>
      <c r="HZD3" s="284"/>
      <c r="HZE3" s="284"/>
      <c r="HZF3" s="284"/>
      <c r="HZG3" s="284"/>
      <c r="HZH3" s="284"/>
      <c r="HZI3" s="284"/>
      <c r="HZJ3" s="284"/>
      <c r="HZK3" s="284"/>
      <c r="HZL3" s="284"/>
      <c r="HZM3" s="284"/>
      <c r="HZN3" s="284"/>
      <c r="HZO3" s="284"/>
      <c r="HZP3" s="284"/>
      <c r="HZQ3" s="284"/>
      <c r="HZR3" s="284"/>
      <c r="HZS3" s="284"/>
      <c r="HZT3" s="284"/>
      <c r="HZU3" s="284"/>
      <c r="HZV3" s="284"/>
      <c r="HZW3" s="284"/>
      <c r="HZX3" s="284"/>
      <c r="HZY3" s="284"/>
      <c r="HZZ3" s="284"/>
      <c r="IAA3" s="284"/>
      <c r="IAB3" s="284"/>
      <c r="IAC3" s="284"/>
      <c r="IAD3" s="284"/>
      <c r="IAE3" s="284"/>
      <c r="IAF3" s="284"/>
      <c r="IAG3" s="284"/>
      <c r="IAH3" s="284"/>
      <c r="IAI3" s="284"/>
      <c r="IAJ3" s="284"/>
      <c r="IAK3" s="284"/>
      <c r="IAL3" s="284"/>
      <c r="IAM3" s="284"/>
      <c r="IAN3" s="284"/>
      <c r="IAO3" s="284"/>
      <c r="IAP3" s="284"/>
      <c r="IAQ3" s="284"/>
      <c r="IAR3" s="284"/>
      <c r="IAS3" s="284"/>
      <c r="IAT3" s="284"/>
      <c r="IAU3" s="284"/>
      <c r="IAV3" s="284"/>
      <c r="IAW3" s="284"/>
      <c r="IAX3" s="284"/>
      <c r="IAY3" s="284"/>
      <c r="IAZ3" s="284"/>
      <c r="IBA3" s="284"/>
      <c r="IBB3" s="284"/>
      <c r="IBC3" s="284"/>
      <c r="IBD3" s="284"/>
      <c r="IBE3" s="284"/>
      <c r="IBF3" s="284"/>
      <c r="IBG3" s="284"/>
      <c r="IBH3" s="284"/>
      <c r="IBI3" s="284"/>
      <c r="IBJ3" s="284"/>
      <c r="IBK3" s="284"/>
      <c r="IBL3" s="284"/>
      <c r="IBM3" s="284"/>
      <c r="IBN3" s="284"/>
      <c r="IBO3" s="284"/>
      <c r="IBP3" s="284"/>
      <c r="IBQ3" s="284"/>
      <c r="IBR3" s="284"/>
      <c r="IBS3" s="284"/>
      <c r="IBT3" s="284"/>
      <c r="IBU3" s="284"/>
      <c r="IBV3" s="284"/>
      <c r="IBW3" s="284"/>
      <c r="IBX3" s="284"/>
      <c r="IBY3" s="284"/>
      <c r="IBZ3" s="284"/>
      <c r="ICA3" s="284"/>
      <c r="ICB3" s="284"/>
      <c r="ICC3" s="284"/>
      <c r="ICD3" s="284"/>
      <c r="ICE3" s="284"/>
      <c r="ICF3" s="284"/>
      <c r="ICG3" s="284"/>
      <c r="ICH3" s="284"/>
      <c r="ICI3" s="284"/>
      <c r="ICJ3" s="284"/>
      <c r="ICK3" s="284"/>
      <c r="ICL3" s="284"/>
      <c r="ICM3" s="284"/>
      <c r="ICN3" s="284"/>
      <c r="ICO3" s="284"/>
      <c r="ICP3" s="284"/>
      <c r="ICQ3" s="284"/>
      <c r="ICR3" s="284"/>
      <c r="ICS3" s="284"/>
      <c r="ICT3" s="284"/>
      <c r="ICU3" s="284"/>
      <c r="ICV3" s="284"/>
      <c r="ICW3" s="284"/>
      <c r="ICX3" s="284"/>
      <c r="ICY3" s="284"/>
      <c r="ICZ3" s="284"/>
      <c r="IDA3" s="284"/>
      <c r="IDB3" s="284"/>
      <c r="IDC3" s="284"/>
      <c r="IDD3" s="284"/>
      <c r="IDE3" s="284"/>
      <c r="IDF3" s="284"/>
      <c r="IDG3" s="284"/>
      <c r="IDH3" s="284"/>
      <c r="IDI3" s="284"/>
      <c r="IDJ3" s="284"/>
      <c r="IDK3" s="284"/>
      <c r="IDL3" s="284"/>
      <c r="IDM3" s="284"/>
      <c r="IDN3" s="284"/>
      <c r="IDO3" s="284"/>
      <c r="IDP3" s="284"/>
      <c r="IDQ3" s="284"/>
      <c r="IDR3" s="284"/>
      <c r="IDS3" s="284"/>
      <c r="IDT3" s="284"/>
      <c r="IDU3" s="284"/>
      <c r="IDV3" s="284"/>
      <c r="IDW3" s="284"/>
      <c r="IDX3" s="284"/>
      <c r="IDY3" s="284"/>
      <c r="IDZ3" s="284"/>
      <c r="IEA3" s="284"/>
      <c r="IEB3" s="284"/>
      <c r="IEC3" s="284"/>
      <c r="IED3" s="284"/>
      <c r="IEE3" s="284"/>
      <c r="IEF3" s="284"/>
      <c r="IEG3" s="284"/>
      <c r="IEH3" s="284"/>
      <c r="IEI3" s="284"/>
      <c r="IEJ3" s="284"/>
      <c r="IEK3" s="284"/>
      <c r="IEL3" s="284"/>
      <c r="IEM3" s="284"/>
      <c r="IEN3" s="284"/>
      <c r="IEO3" s="284"/>
      <c r="IEP3" s="284"/>
      <c r="IEQ3" s="284"/>
      <c r="IER3" s="284"/>
      <c r="IES3" s="284"/>
      <c r="IET3" s="284"/>
      <c r="IEU3" s="284"/>
      <c r="IEV3" s="284"/>
      <c r="IEW3" s="284"/>
      <c r="IEX3" s="284"/>
      <c r="IEY3" s="284"/>
      <c r="IEZ3" s="284"/>
      <c r="IFA3" s="284"/>
      <c r="IFB3" s="284"/>
      <c r="IFC3" s="284"/>
      <c r="IFD3" s="284"/>
      <c r="IFE3" s="284"/>
      <c r="IFF3" s="284"/>
      <c r="IFG3" s="284"/>
      <c r="IFH3" s="284"/>
      <c r="IFI3" s="284"/>
      <c r="IFJ3" s="284"/>
      <c r="IFK3" s="284"/>
      <c r="IFL3" s="284"/>
      <c r="IFM3" s="284"/>
      <c r="IFN3" s="284"/>
      <c r="IFO3" s="284"/>
      <c r="IFP3" s="284"/>
      <c r="IFQ3" s="284"/>
      <c r="IFR3" s="284"/>
      <c r="IFS3" s="284"/>
      <c r="IFT3" s="284"/>
      <c r="IFU3" s="284"/>
      <c r="IFV3" s="284"/>
      <c r="IFW3" s="284"/>
      <c r="IFX3" s="284"/>
      <c r="IFY3" s="284"/>
      <c r="IFZ3" s="284"/>
      <c r="IGA3" s="284"/>
      <c r="IGB3" s="284"/>
      <c r="IGC3" s="284"/>
      <c r="IGD3" s="284"/>
      <c r="IGE3" s="284"/>
      <c r="IGF3" s="284"/>
      <c r="IGG3" s="284"/>
      <c r="IGH3" s="284"/>
      <c r="IGI3" s="284"/>
      <c r="IGJ3" s="284"/>
      <c r="IGK3" s="284"/>
      <c r="IGL3" s="284"/>
      <c r="IGM3" s="284"/>
      <c r="IGN3" s="284"/>
      <c r="IGO3" s="284"/>
      <c r="IGP3" s="284"/>
      <c r="IGQ3" s="284"/>
      <c r="IGR3" s="284"/>
      <c r="IGS3" s="284"/>
      <c r="IGT3" s="284"/>
      <c r="IGU3" s="284"/>
      <c r="IGV3" s="284"/>
      <c r="IGW3" s="284"/>
      <c r="IGX3" s="284"/>
      <c r="IGY3" s="284"/>
      <c r="IGZ3" s="284"/>
      <c r="IHA3" s="284"/>
      <c r="IHB3" s="284"/>
      <c r="IHC3" s="284"/>
      <c r="IHD3" s="284"/>
      <c r="IHE3" s="284"/>
      <c r="IHF3" s="284"/>
      <c r="IHG3" s="284"/>
      <c r="IHH3" s="284"/>
      <c r="IHI3" s="284"/>
      <c r="IHJ3" s="284"/>
      <c r="IHK3" s="284"/>
      <c r="IHL3" s="284"/>
      <c r="IHM3" s="284"/>
      <c r="IHN3" s="284"/>
      <c r="IHO3" s="284"/>
      <c r="IHP3" s="284"/>
      <c r="IHQ3" s="284"/>
      <c r="IHR3" s="284"/>
      <c r="IHS3" s="284"/>
      <c r="IHT3" s="284"/>
      <c r="IHU3" s="284"/>
      <c r="IHV3" s="284"/>
      <c r="IHW3" s="284"/>
      <c r="IHX3" s="284"/>
      <c r="IHY3" s="284"/>
      <c r="IHZ3" s="284"/>
      <c r="IIA3" s="284"/>
      <c r="IIB3" s="284"/>
      <c r="IIC3" s="284"/>
      <c r="IID3" s="284"/>
      <c r="IIE3" s="284"/>
      <c r="IIF3" s="284"/>
      <c r="IIG3" s="284"/>
      <c r="IIH3" s="284"/>
      <c r="III3" s="284"/>
      <c r="IIJ3" s="284"/>
      <c r="IIK3" s="284"/>
      <c r="IIL3" s="284"/>
      <c r="IIM3" s="284"/>
      <c r="IIN3" s="284"/>
      <c r="IIO3" s="284"/>
      <c r="IIP3" s="284"/>
      <c r="IIQ3" s="284"/>
      <c r="IIR3" s="284"/>
      <c r="IIS3" s="284"/>
      <c r="IIT3" s="284"/>
      <c r="IIU3" s="284"/>
      <c r="IIV3" s="284"/>
      <c r="IIW3" s="284"/>
      <c r="IIX3" s="284"/>
      <c r="IIY3" s="284"/>
      <c r="IIZ3" s="284"/>
      <c r="IJA3" s="284"/>
      <c r="IJB3" s="284"/>
      <c r="IJC3" s="284"/>
      <c r="IJD3" s="284"/>
      <c r="IJE3" s="284"/>
      <c r="IJF3" s="284"/>
      <c r="IJG3" s="284"/>
      <c r="IJH3" s="284"/>
      <c r="IJI3" s="284"/>
      <c r="IJJ3" s="284"/>
      <c r="IJK3" s="284"/>
      <c r="IJL3" s="284"/>
      <c r="IJM3" s="284"/>
      <c r="IJN3" s="284"/>
      <c r="IJO3" s="284"/>
      <c r="IJP3" s="284"/>
      <c r="IJQ3" s="284"/>
      <c r="IJR3" s="284"/>
      <c r="IJS3" s="284"/>
      <c r="IJT3" s="284"/>
      <c r="IJU3" s="284"/>
      <c r="IJV3" s="284"/>
      <c r="IJW3" s="284"/>
      <c r="IJX3" s="284"/>
      <c r="IJY3" s="284"/>
      <c r="IJZ3" s="284"/>
      <c r="IKA3" s="284"/>
      <c r="IKB3" s="284"/>
      <c r="IKC3" s="284"/>
      <c r="IKD3" s="284"/>
      <c r="IKE3" s="284"/>
      <c r="IKF3" s="284"/>
      <c r="IKG3" s="284"/>
      <c r="IKH3" s="284"/>
      <c r="IKI3" s="284"/>
      <c r="IKJ3" s="284"/>
      <c r="IKK3" s="284"/>
      <c r="IKL3" s="284"/>
      <c r="IKM3" s="284"/>
      <c r="IKN3" s="284"/>
      <c r="IKO3" s="284"/>
      <c r="IKP3" s="284"/>
      <c r="IKQ3" s="284"/>
      <c r="IKR3" s="284"/>
      <c r="IKS3" s="284"/>
      <c r="IKT3" s="284"/>
      <c r="IKU3" s="284"/>
      <c r="IKV3" s="284"/>
      <c r="IKW3" s="284"/>
      <c r="IKX3" s="284"/>
      <c r="IKY3" s="284"/>
      <c r="IKZ3" s="284"/>
      <c r="ILA3" s="284"/>
      <c r="ILB3" s="284"/>
      <c r="ILC3" s="284"/>
      <c r="ILD3" s="284"/>
      <c r="ILE3" s="284"/>
      <c r="ILF3" s="284"/>
      <c r="ILG3" s="284"/>
      <c r="ILH3" s="284"/>
      <c r="ILI3" s="284"/>
      <c r="ILJ3" s="284"/>
      <c r="ILK3" s="284"/>
      <c r="ILL3" s="284"/>
      <c r="ILM3" s="284"/>
      <c r="ILN3" s="284"/>
      <c r="ILO3" s="284"/>
      <c r="ILP3" s="284"/>
      <c r="ILQ3" s="284"/>
      <c r="ILR3" s="284"/>
      <c r="ILS3" s="284"/>
      <c r="ILT3" s="284"/>
      <c r="ILU3" s="284"/>
      <c r="ILV3" s="284"/>
      <c r="ILW3" s="284"/>
      <c r="ILX3" s="284"/>
      <c r="ILY3" s="284"/>
      <c r="ILZ3" s="284"/>
      <c r="IMA3" s="284"/>
      <c r="IMB3" s="284"/>
      <c r="IMC3" s="284"/>
      <c r="IMD3" s="284"/>
      <c r="IME3" s="284"/>
      <c r="IMF3" s="284"/>
      <c r="IMG3" s="284"/>
      <c r="IMH3" s="284"/>
      <c r="IMI3" s="284"/>
      <c r="IMJ3" s="284"/>
      <c r="IMK3" s="284"/>
      <c r="IML3" s="284"/>
      <c r="IMM3" s="284"/>
      <c r="IMN3" s="284"/>
      <c r="IMO3" s="284"/>
      <c r="IMP3" s="284"/>
      <c r="IMQ3" s="284"/>
      <c r="IMR3" s="284"/>
      <c r="IMS3" s="284"/>
      <c r="IMT3" s="284"/>
      <c r="IMU3" s="284"/>
      <c r="IMV3" s="284"/>
      <c r="IMW3" s="284"/>
      <c r="IMX3" s="284"/>
      <c r="IMY3" s="284"/>
      <c r="IMZ3" s="284"/>
      <c r="INA3" s="284"/>
      <c r="INB3" s="284"/>
      <c r="INC3" s="284"/>
      <c r="IND3" s="284"/>
      <c r="INE3" s="284"/>
      <c r="INF3" s="284"/>
      <c r="ING3" s="284"/>
      <c r="INH3" s="284"/>
      <c r="INI3" s="284"/>
      <c r="INJ3" s="284"/>
      <c r="INK3" s="284"/>
      <c r="INL3" s="284"/>
      <c r="INM3" s="284"/>
      <c r="INN3" s="284"/>
      <c r="INO3" s="284"/>
      <c r="INP3" s="284"/>
      <c r="INQ3" s="284"/>
      <c r="INR3" s="284"/>
      <c r="INS3" s="284"/>
      <c r="INT3" s="284"/>
      <c r="INU3" s="284"/>
      <c r="INV3" s="284"/>
      <c r="INW3" s="284"/>
      <c r="INX3" s="284"/>
      <c r="INY3" s="284"/>
      <c r="INZ3" s="284"/>
      <c r="IOA3" s="284"/>
      <c r="IOB3" s="284"/>
      <c r="IOC3" s="284"/>
      <c r="IOD3" s="284"/>
      <c r="IOE3" s="284"/>
      <c r="IOF3" s="284"/>
      <c r="IOG3" s="284"/>
      <c r="IOH3" s="284"/>
      <c r="IOI3" s="284"/>
      <c r="IOJ3" s="284"/>
      <c r="IOK3" s="284"/>
      <c r="IOL3" s="284"/>
      <c r="IOM3" s="284"/>
      <c r="ION3" s="284"/>
      <c r="IOO3" s="284"/>
      <c r="IOP3" s="284"/>
      <c r="IOQ3" s="284"/>
      <c r="IOR3" s="284"/>
      <c r="IOS3" s="284"/>
      <c r="IOT3" s="284"/>
      <c r="IOU3" s="284"/>
      <c r="IOV3" s="284"/>
      <c r="IOW3" s="284"/>
      <c r="IOX3" s="284"/>
      <c r="IOY3" s="284"/>
      <c r="IOZ3" s="284"/>
      <c r="IPA3" s="284"/>
      <c r="IPB3" s="284"/>
      <c r="IPC3" s="284"/>
      <c r="IPD3" s="284"/>
      <c r="IPE3" s="284"/>
      <c r="IPF3" s="284"/>
      <c r="IPG3" s="284"/>
      <c r="IPH3" s="284"/>
      <c r="IPI3" s="284"/>
      <c r="IPJ3" s="284"/>
      <c r="IPK3" s="284"/>
      <c r="IPL3" s="284"/>
      <c r="IPM3" s="284"/>
      <c r="IPN3" s="284"/>
      <c r="IPO3" s="284"/>
      <c r="IPP3" s="284"/>
      <c r="IPQ3" s="284"/>
      <c r="IPR3" s="284"/>
      <c r="IPS3" s="284"/>
      <c r="IPT3" s="284"/>
      <c r="IPU3" s="284"/>
      <c r="IPV3" s="284"/>
      <c r="IPW3" s="284"/>
      <c r="IPX3" s="284"/>
      <c r="IPY3" s="284"/>
      <c r="IPZ3" s="284"/>
      <c r="IQA3" s="284"/>
      <c r="IQB3" s="284"/>
      <c r="IQC3" s="284"/>
      <c r="IQD3" s="284"/>
      <c r="IQE3" s="284"/>
      <c r="IQF3" s="284"/>
      <c r="IQG3" s="284"/>
      <c r="IQH3" s="284"/>
      <c r="IQI3" s="284"/>
      <c r="IQJ3" s="284"/>
      <c r="IQK3" s="284"/>
      <c r="IQL3" s="284"/>
      <c r="IQM3" s="284"/>
      <c r="IQN3" s="284"/>
      <c r="IQO3" s="284"/>
      <c r="IQP3" s="284"/>
      <c r="IQQ3" s="284"/>
      <c r="IQR3" s="284"/>
      <c r="IQS3" s="284"/>
      <c r="IQT3" s="284"/>
      <c r="IQU3" s="284"/>
      <c r="IQV3" s="284"/>
      <c r="IQW3" s="284"/>
      <c r="IQX3" s="284"/>
      <c r="IQY3" s="284"/>
      <c r="IQZ3" s="284"/>
      <c r="IRA3" s="284"/>
      <c r="IRB3" s="284"/>
      <c r="IRC3" s="284"/>
      <c r="IRD3" s="284"/>
      <c r="IRE3" s="284"/>
      <c r="IRF3" s="284"/>
      <c r="IRG3" s="284"/>
      <c r="IRH3" s="284"/>
      <c r="IRI3" s="284"/>
      <c r="IRJ3" s="284"/>
      <c r="IRK3" s="284"/>
      <c r="IRL3" s="284"/>
      <c r="IRM3" s="284"/>
      <c r="IRN3" s="284"/>
      <c r="IRO3" s="284"/>
      <c r="IRP3" s="284"/>
      <c r="IRQ3" s="284"/>
      <c r="IRR3" s="284"/>
      <c r="IRS3" s="284"/>
      <c r="IRT3" s="284"/>
      <c r="IRU3" s="284"/>
      <c r="IRV3" s="284"/>
      <c r="IRW3" s="284"/>
      <c r="IRX3" s="284"/>
      <c r="IRY3" s="284"/>
      <c r="IRZ3" s="284"/>
      <c r="ISA3" s="284"/>
      <c r="ISB3" s="284"/>
      <c r="ISC3" s="284"/>
      <c r="ISD3" s="284"/>
      <c r="ISE3" s="284"/>
      <c r="ISF3" s="284"/>
      <c r="ISG3" s="284"/>
      <c r="ISH3" s="284"/>
      <c r="ISI3" s="284"/>
      <c r="ISJ3" s="284"/>
      <c r="ISK3" s="284"/>
      <c r="ISL3" s="284"/>
      <c r="ISM3" s="284"/>
      <c r="ISN3" s="284"/>
      <c r="ISO3" s="284"/>
      <c r="ISP3" s="284"/>
      <c r="ISQ3" s="284"/>
      <c r="ISR3" s="284"/>
      <c r="ISS3" s="284"/>
      <c r="IST3" s="284"/>
      <c r="ISU3" s="284"/>
      <c r="ISV3" s="284"/>
      <c r="ISW3" s="284"/>
      <c r="ISX3" s="284"/>
      <c r="ISY3" s="284"/>
      <c r="ISZ3" s="284"/>
      <c r="ITA3" s="284"/>
      <c r="ITB3" s="284"/>
      <c r="ITC3" s="284"/>
      <c r="ITD3" s="284"/>
      <c r="ITE3" s="284"/>
      <c r="ITF3" s="284"/>
      <c r="ITG3" s="284"/>
      <c r="ITH3" s="284"/>
      <c r="ITI3" s="284"/>
      <c r="ITJ3" s="284"/>
      <c r="ITK3" s="284"/>
      <c r="ITL3" s="284"/>
      <c r="ITM3" s="284"/>
      <c r="ITN3" s="284"/>
      <c r="ITO3" s="284"/>
      <c r="ITP3" s="284"/>
      <c r="ITQ3" s="284"/>
      <c r="ITR3" s="284"/>
      <c r="ITS3" s="284"/>
      <c r="ITT3" s="284"/>
      <c r="ITU3" s="284"/>
      <c r="ITV3" s="284"/>
      <c r="ITW3" s="284"/>
      <c r="ITX3" s="284"/>
      <c r="ITY3" s="284"/>
      <c r="ITZ3" s="284"/>
      <c r="IUA3" s="284"/>
      <c r="IUB3" s="284"/>
      <c r="IUC3" s="284"/>
      <c r="IUD3" s="284"/>
      <c r="IUE3" s="284"/>
      <c r="IUF3" s="284"/>
      <c r="IUG3" s="284"/>
      <c r="IUH3" s="284"/>
      <c r="IUI3" s="284"/>
      <c r="IUJ3" s="284"/>
      <c r="IUK3" s="284"/>
      <c r="IUL3" s="284"/>
      <c r="IUM3" s="284"/>
      <c r="IUN3" s="284"/>
      <c r="IUO3" s="284"/>
      <c r="IUP3" s="284"/>
      <c r="IUQ3" s="284"/>
      <c r="IUR3" s="284"/>
      <c r="IUS3" s="284"/>
      <c r="IUT3" s="284"/>
      <c r="IUU3" s="284"/>
      <c r="IUV3" s="284"/>
      <c r="IUW3" s="284"/>
      <c r="IUX3" s="284"/>
      <c r="IUY3" s="284"/>
      <c r="IUZ3" s="284"/>
      <c r="IVA3" s="284"/>
      <c r="IVB3" s="284"/>
      <c r="IVC3" s="284"/>
      <c r="IVD3" s="284"/>
      <c r="IVE3" s="284"/>
      <c r="IVF3" s="284"/>
      <c r="IVG3" s="284"/>
      <c r="IVH3" s="284"/>
      <c r="IVI3" s="284"/>
      <c r="IVJ3" s="284"/>
      <c r="IVK3" s="284"/>
      <c r="IVL3" s="284"/>
      <c r="IVM3" s="284"/>
      <c r="IVN3" s="284"/>
      <c r="IVO3" s="284"/>
      <c r="IVP3" s="284"/>
      <c r="IVQ3" s="284"/>
      <c r="IVR3" s="284"/>
      <c r="IVS3" s="284"/>
      <c r="IVT3" s="284"/>
      <c r="IVU3" s="284"/>
      <c r="IVV3" s="284"/>
      <c r="IVW3" s="284"/>
      <c r="IVX3" s="284"/>
      <c r="IVY3" s="284"/>
      <c r="IVZ3" s="284"/>
      <c r="IWA3" s="284"/>
      <c r="IWB3" s="284"/>
      <c r="IWC3" s="284"/>
      <c r="IWD3" s="284"/>
      <c r="IWE3" s="284"/>
      <c r="IWF3" s="284"/>
      <c r="IWG3" s="284"/>
      <c r="IWH3" s="284"/>
      <c r="IWI3" s="284"/>
      <c r="IWJ3" s="284"/>
      <c r="IWK3" s="284"/>
      <c r="IWL3" s="284"/>
      <c r="IWM3" s="284"/>
      <c r="IWN3" s="284"/>
      <c r="IWO3" s="284"/>
      <c r="IWP3" s="284"/>
      <c r="IWQ3" s="284"/>
      <c r="IWR3" s="284"/>
      <c r="IWS3" s="284"/>
      <c r="IWT3" s="284"/>
      <c r="IWU3" s="284"/>
      <c r="IWV3" s="284"/>
      <c r="IWW3" s="284"/>
      <c r="IWX3" s="284"/>
      <c r="IWY3" s="284"/>
      <c r="IWZ3" s="284"/>
      <c r="IXA3" s="284"/>
      <c r="IXB3" s="284"/>
      <c r="IXC3" s="284"/>
      <c r="IXD3" s="284"/>
      <c r="IXE3" s="284"/>
      <c r="IXF3" s="284"/>
      <c r="IXG3" s="284"/>
      <c r="IXH3" s="284"/>
      <c r="IXI3" s="284"/>
      <c r="IXJ3" s="284"/>
      <c r="IXK3" s="284"/>
      <c r="IXL3" s="284"/>
      <c r="IXM3" s="284"/>
      <c r="IXN3" s="284"/>
      <c r="IXO3" s="284"/>
      <c r="IXP3" s="284"/>
      <c r="IXQ3" s="284"/>
      <c r="IXR3" s="284"/>
      <c r="IXS3" s="284"/>
      <c r="IXT3" s="284"/>
      <c r="IXU3" s="284"/>
      <c r="IXV3" s="284"/>
      <c r="IXW3" s="284"/>
      <c r="IXX3" s="284"/>
      <c r="IXY3" s="284"/>
      <c r="IXZ3" s="284"/>
      <c r="IYA3" s="284"/>
      <c r="IYB3" s="284"/>
      <c r="IYC3" s="284"/>
      <c r="IYD3" s="284"/>
      <c r="IYE3" s="284"/>
      <c r="IYF3" s="284"/>
      <c r="IYG3" s="284"/>
      <c r="IYH3" s="284"/>
      <c r="IYI3" s="284"/>
      <c r="IYJ3" s="284"/>
      <c r="IYK3" s="284"/>
      <c r="IYL3" s="284"/>
      <c r="IYM3" s="284"/>
      <c r="IYN3" s="284"/>
      <c r="IYO3" s="284"/>
      <c r="IYP3" s="284"/>
      <c r="IYQ3" s="284"/>
      <c r="IYR3" s="284"/>
      <c r="IYS3" s="284"/>
      <c r="IYT3" s="284"/>
      <c r="IYU3" s="284"/>
      <c r="IYV3" s="284"/>
      <c r="IYW3" s="284"/>
      <c r="IYX3" s="284"/>
      <c r="IYY3" s="284"/>
      <c r="IYZ3" s="284"/>
      <c r="IZA3" s="284"/>
      <c r="IZB3" s="284"/>
      <c r="IZC3" s="284"/>
      <c r="IZD3" s="284"/>
      <c r="IZE3" s="284"/>
      <c r="IZF3" s="284"/>
      <c r="IZG3" s="284"/>
      <c r="IZH3" s="284"/>
      <c r="IZI3" s="284"/>
      <c r="IZJ3" s="284"/>
      <c r="IZK3" s="284"/>
      <c r="IZL3" s="284"/>
      <c r="IZM3" s="284"/>
      <c r="IZN3" s="284"/>
      <c r="IZO3" s="284"/>
      <c r="IZP3" s="284"/>
      <c r="IZQ3" s="284"/>
      <c r="IZR3" s="284"/>
      <c r="IZS3" s="284"/>
      <c r="IZT3" s="284"/>
      <c r="IZU3" s="284"/>
      <c r="IZV3" s="284"/>
      <c r="IZW3" s="284"/>
      <c r="IZX3" s="284"/>
      <c r="IZY3" s="284"/>
      <c r="IZZ3" s="284"/>
      <c r="JAA3" s="284"/>
      <c r="JAB3" s="284"/>
      <c r="JAC3" s="284"/>
      <c r="JAD3" s="284"/>
      <c r="JAE3" s="284"/>
      <c r="JAF3" s="284"/>
      <c r="JAG3" s="284"/>
      <c r="JAH3" s="284"/>
      <c r="JAI3" s="284"/>
      <c r="JAJ3" s="284"/>
      <c r="JAK3" s="284"/>
      <c r="JAL3" s="284"/>
      <c r="JAM3" s="284"/>
      <c r="JAN3" s="284"/>
      <c r="JAO3" s="284"/>
      <c r="JAP3" s="284"/>
      <c r="JAQ3" s="284"/>
      <c r="JAR3" s="284"/>
      <c r="JAS3" s="284"/>
      <c r="JAT3" s="284"/>
      <c r="JAU3" s="284"/>
      <c r="JAV3" s="284"/>
      <c r="JAW3" s="284"/>
      <c r="JAX3" s="284"/>
      <c r="JAY3" s="284"/>
      <c r="JAZ3" s="284"/>
      <c r="JBA3" s="284"/>
      <c r="JBB3" s="284"/>
      <c r="JBC3" s="284"/>
      <c r="JBD3" s="284"/>
      <c r="JBE3" s="284"/>
      <c r="JBF3" s="284"/>
      <c r="JBG3" s="284"/>
      <c r="JBH3" s="284"/>
      <c r="JBI3" s="284"/>
      <c r="JBJ3" s="284"/>
      <c r="JBK3" s="284"/>
      <c r="JBL3" s="284"/>
      <c r="JBM3" s="284"/>
      <c r="JBN3" s="284"/>
      <c r="JBO3" s="284"/>
      <c r="JBP3" s="284"/>
      <c r="JBQ3" s="284"/>
      <c r="JBR3" s="284"/>
      <c r="JBS3" s="284"/>
      <c r="JBT3" s="284"/>
      <c r="JBU3" s="284"/>
      <c r="JBV3" s="284"/>
      <c r="JBW3" s="284"/>
      <c r="JBX3" s="284"/>
      <c r="JBY3" s="284"/>
      <c r="JBZ3" s="284"/>
      <c r="JCA3" s="284"/>
      <c r="JCB3" s="284"/>
      <c r="JCC3" s="284"/>
      <c r="JCD3" s="284"/>
      <c r="JCE3" s="284"/>
      <c r="JCF3" s="284"/>
      <c r="JCG3" s="284"/>
      <c r="JCH3" s="284"/>
      <c r="JCI3" s="284"/>
      <c r="JCJ3" s="284"/>
      <c r="JCK3" s="284"/>
      <c r="JCL3" s="284"/>
      <c r="JCM3" s="284"/>
      <c r="JCN3" s="284"/>
      <c r="JCO3" s="284"/>
      <c r="JCP3" s="284"/>
      <c r="JCQ3" s="284"/>
      <c r="JCR3" s="284"/>
      <c r="JCS3" s="284"/>
      <c r="JCT3" s="284"/>
      <c r="JCU3" s="284"/>
      <c r="JCV3" s="284"/>
      <c r="JCW3" s="284"/>
      <c r="JCX3" s="284"/>
      <c r="JCY3" s="284"/>
      <c r="JCZ3" s="284"/>
      <c r="JDA3" s="284"/>
      <c r="JDB3" s="284"/>
      <c r="JDC3" s="284"/>
      <c r="JDD3" s="284"/>
      <c r="JDE3" s="284"/>
      <c r="JDF3" s="284"/>
      <c r="JDG3" s="284"/>
      <c r="JDH3" s="284"/>
      <c r="JDI3" s="284"/>
      <c r="JDJ3" s="284"/>
      <c r="JDK3" s="284"/>
      <c r="JDL3" s="284"/>
      <c r="JDM3" s="284"/>
      <c r="JDN3" s="284"/>
      <c r="JDO3" s="284"/>
      <c r="JDP3" s="284"/>
      <c r="JDQ3" s="284"/>
      <c r="JDR3" s="284"/>
      <c r="JDS3" s="284"/>
      <c r="JDT3" s="284"/>
      <c r="JDU3" s="284"/>
      <c r="JDV3" s="284"/>
      <c r="JDW3" s="284"/>
      <c r="JDX3" s="284"/>
      <c r="JDY3" s="284"/>
      <c r="JDZ3" s="284"/>
      <c r="JEA3" s="284"/>
      <c r="JEB3" s="284"/>
      <c r="JEC3" s="284"/>
      <c r="JED3" s="284"/>
      <c r="JEE3" s="284"/>
      <c r="JEF3" s="284"/>
      <c r="JEG3" s="284"/>
      <c r="JEH3" s="284"/>
      <c r="JEI3" s="284"/>
      <c r="JEJ3" s="284"/>
      <c r="JEK3" s="284"/>
      <c r="JEL3" s="284"/>
      <c r="JEM3" s="284"/>
      <c r="JEN3" s="284"/>
      <c r="JEO3" s="284"/>
      <c r="JEP3" s="284"/>
      <c r="JEQ3" s="284"/>
      <c r="JER3" s="284"/>
      <c r="JES3" s="284"/>
      <c r="JET3" s="284"/>
      <c r="JEU3" s="284"/>
      <c r="JEV3" s="284"/>
      <c r="JEW3" s="284"/>
      <c r="JEX3" s="284"/>
      <c r="JEY3" s="284"/>
      <c r="JEZ3" s="284"/>
      <c r="JFA3" s="284"/>
      <c r="JFB3" s="284"/>
      <c r="JFC3" s="284"/>
      <c r="JFD3" s="284"/>
      <c r="JFE3" s="284"/>
      <c r="JFF3" s="284"/>
      <c r="JFG3" s="284"/>
      <c r="JFH3" s="284"/>
      <c r="JFI3" s="284"/>
      <c r="JFJ3" s="284"/>
      <c r="JFK3" s="284"/>
      <c r="JFL3" s="284"/>
      <c r="JFM3" s="284"/>
      <c r="JFN3" s="284"/>
      <c r="JFO3" s="284"/>
      <c r="JFP3" s="284"/>
      <c r="JFQ3" s="284"/>
      <c r="JFR3" s="284"/>
      <c r="JFS3" s="284"/>
      <c r="JFT3" s="284"/>
      <c r="JFU3" s="284"/>
      <c r="JFV3" s="284"/>
      <c r="JFW3" s="284"/>
      <c r="JFX3" s="284"/>
      <c r="JFY3" s="284"/>
      <c r="JFZ3" s="284"/>
      <c r="JGA3" s="284"/>
      <c r="JGB3" s="284"/>
      <c r="JGC3" s="284"/>
      <c r="JGD3" s="284"/>
      <c r="JGE3" s="284"/>
      <c r="JGF3" s="284"/>
      <c r="JGG3" s="284"/>
      <c r="JGH3" s="284"/>
      <c r="JGI3" s="284"/>
      <c r="JGJ3" s="284"/>
      <c r="JGK3" s="284"/>
      <c r="JGL3" s="284"/>
      <c r="JGM3" s="284"/>
      <c r="JGN3" s="284"/>
      <c r="JGO3" s="284"/>
      <c r="JGP3" s="284"/>
      <c r="JGQ3" s="284"/>
      <c r="JGR3" s="284"/>
      <c r="JGS3" s="284"/>
      <c r="JGT3" s="284"/>
      <c r="JGU3" s="284"/>
      <c r="JGV3" s="284"/>
      <c r="JGW3" s="284"/>
      <c r="JGX3" s="284"/>
      <c r="JGY3" s="284"/>
      <c r="JGZ3" s="284"/>
      <c r="JHA3" s="284"/>
      <c r="JHB3" s="284"/>
      <c r="JHC3" s="284"/>
      <c r="JHD3" s="284"/>
      <c r="JHE3" s="284"/>
      <c r="JHF3" s="284"/>
      <c r="JHG3" s="284"/>
      <c r="JHH3" s="284"/>
      <c r="JHI3" s="284"/>
      <c r="JHJ3" s="284"/>
      <c r="JHK3" s="284"/>
      <c r="JHL3" s="284"/>
      <c r="JHM3" s="284"/>
      <c r="JHN3" s="284"/>
      <c r="JHO3" s="284"/>
      <c r="JHP3" s="284"/>
      <c r="JHQ3" s="284"/>
      <c r="JHR3" s="284"/>
      <c r="JHS3" s="284"/>
      <c r="JHT3" s="284"/>
      <c r="JHU3" s="284"/>
      <c r="JHV3" s="284"/>
      <c r="JHW3" s="284"/>
      <c r="JHX3" s="284"/>
      <c r="JHY3" s="284"/>
      <c r="JHZ3" s="284"/>
      <c r="JIA3" s="284"/>
      <c r="JIB3" s="284"/>
      <c r="JIC3" s="284"/>
      <c r="JID3" s="284"/>
      <c r="JIE3" s="284"/>
      <c r="JIF3" s="284"/>
      <c r="JIG3" s="284"/>
      <c r="JIH3" s="284"/>
      <c r="JII3" s="284"/>
      <c r="JIJ3" s="284"/>
      <c r="JIK3" s="284"/>
      <c r="JIL3" s="284"/>
      <c r="JIM3" s="284"/>
      <c r="JIN3" s="284"/>
      <c r="JIO3" s="284"/>
      <c r="JIP3" s="284"/>
      <c r="JIQ3" s="284"/>
      <c r="JIR3" s="284"/>
      <c r="JIS3" s="284"/>
      <c r="JIT3" s="284"/>
      <c r="JIU3" s="284"/>
      <c r="JIV3" s="284"/>
      <c r="JIW3" s="284"/>
      <c r="JIX3" s="284"/>
      <c r="JIY3" s="284"/>
      <c r="JIZ3" s="284"/>
      <c r="JJA3" s="284"/>
      <c r="JJB3" s="284"/>
      <c r="JJC3" s="284"/>
      <c r="JJD3" s="284"/>
      <c r="JJE3" s="284"/>
      <c r="JJF3" s="284"/>
      <c r="JJG3" s="284"/>
      <c r="JJH3" s="284"/>
      <c r="JJI3" s="284"/>
      <c r="JJJ3" s="284"/>
      <c r="JJK3" s="284"/>
      <c r="JJL3" s="284"/>
      <c r="JJM3" s="284"/>
      <c r="JJN3" s="284"/>
      <c r="JJO3" s="284"/>
      <c r="JJP3" s="284"/>
      <c r="JJQ3" s="284"/>
      <c r="JJR3" s="284"/>
      <c r="JJS3" s="284"/>
      <c r="JJT3" s="284"/>
      <c r="JJU3" s="284"/>
      <c r="JJV3" s="284"/>
      <c r="JJW3" s="284"/>
      <c r="JJX3" s="284"/>
      <c r="JJY3" s="284"/>
      <c r="JJZ3" s="284"/>
      <c r="JKA3" s="284"/>
      <c r="JKB3" s="284"/>
      <c r="JKC3" s="284"/>
      <c r="JKD3" s="284"/>
      <c r="JKE3" s="284"/>
      <c r="JKF3" s="284"/>
      <c r="JKG3" s="284"/>
      <c r="JKH3" s="284"/>
      <c r="JKI3" s="284"/>
      <c r="JKJ3" s="284"/>
      <c r="JKK3" s="284"/>
      <c r="JKL3" s="284"/>
      <c r="JKM3" s="284"/>
      <c r="JKN3" s="284"/>
      <c r="JKO3" s="284"/>
      <c r="JKP3" s="284"/>
      <c r="JKQ3" s="284"/>
      <c r="JKR3" s="284"/>
      <c r="JKS3" s="284"/>
      <c r="JKT3" s="284"/>
      <c r="JKU3" s="284"/>
      <c r="JKV3" s="284"/>
      <c r="JKW3" s="284"/>
      <c r="JKX3" s="284"/>
      <c r="JKY3" s="284"/>
      <c r="JKZ3" s="284"/>
      <c r="JLA3" s="284"/>
      <c r="JLB3" s="284"/>
      <c r="JLC3" s="284"/>
      <c r="JLD3" s="284"/>
      <c r="JLE3" s="284"/>
      <c r="JLF3" s="284"/>
      <c r="JLG3" s="284"/>
      <c r="JLH3" s="284"/>
      <c r="JLI3" s="284"/>
      <c r="JLJ3" s="284"/>
      <c r="JLK3" s="284"/>
      <c r="JLL3" s="284"/>
      <c r="JLM3" s="284"/>
      <c r="JLN3" s="284"/>
      <c r="JLO3" s="284"/>
      <c r="JLP3" s="284"/>
      <c r="JLQ3" s="284"/>
      <c r="JLR3" s="284"/>
      <c r="JLS3" s="284"/>
      <c r="JLT3" s="284"/>
      <c r="JLU3" s="284"/>
      <c r="JLV3" s="284"/>
      <c r="JLW3" s="284"/>
      <c r="JLX3" s="284"/>
      <c r="JLY3" s="284"/>
      <c r="JLZ3" s="284"/>
      <c r="JMA3" s="284"/>
      <c r="JMB3" s="284"/>
      <c r="JMC3" s="284"/>
      <c r="JMD3" s="284"/>
      <c r="JME3" s="284"/>
      <c r="JMF3" s="284"/>
      <c r="JMG3" s="284"/>
      <c r="JMH3" s="284"/>
      <c r="JMI3" s="284"/>
      <c r="JMJ3" s="284"/>
      <c r="JMK3" s="284"/>
      <c r="JML3" s="284"/>
      <c r="JMM3" s="284"/>
      <c r="JMN3" s="284"/>
      <c r="JMO3" s="284"/>
      <c r="JMP3" s="284"/>
      <c r="JMQ3" s="284"/>
      <c r="JMR3" s="284"/>
      <c r="JMS3" s="284"/>
      <c r="JMT3" s="284"/>
      <c r="JMU3" s="284"/>
      <c r="JMV3" s="284"/>
      <c r="JMW3" s="284"/>
      <c r="JMX3" s="284"/>
      <c r="JMY3" s="284"/>
      <c r="JMZ3" s="284"/>
      <c r="JNA3" s="284"/>
      <c r="JNB3" s="284"/>
      <c r="JNC3" s="284"/>
      <c r="JND3" s="284"/>
      <c r="JNE3" s="284"/>
      <c r="JNF3" s="284"/>
      <c r="JNG3" s="284"/>
      <c r="JNH3" s="284"/>
      <c r="JNI3" s="284"/>
      <c r="JNJ3" s="284"/>
      <c r="JNK3" s="284"/>
      <c r="JNL3" s="284"/>
      <c r="JNM3" s="284"/>
      <c r="JNN3" s="284"/>
      <c r="JNO3" s="284"/>
      <c r="JNP3" s="284"/>
      <c r="JNQ3" s="284"/>
      <c r="JNR3" s="284"/>
      <c r="JNS3" s="284"/>
      <c r="JNT3" s="284"/>
      <c r="JNU3" s="284"/>
      <c r="JNV3" s="284"/>
      <c r="JNW3" s="284"/>
      <c r="JNX3" s="284"/>
      <c r="JNY3" s="284"/>
      <c r="JNZ3" s="284"/>
      <c r="JOA3" s="284"/>
      <c r="JOB3" s="284"/>
      <c r="JOC3" s="284"/>
      <c r="JOD3" s="284"/>
      <c r="JOE3" s="284"/>
      <c r="JOF3" s="284"/>
      <c r="JOG3" s="284"/>
      <c r="JOH3" s="284"/>
      <c r="JOI3" s="284"/>
      <c r="JOJ3" s="284"/>
      <c r="JOK3" s="284"/>
      <c r="JOL3" s="284"/>
      <c r="JOM3" s="284"/>
      <c r="JON3" s="284"/>
      <c r="JOO3" s="284"/>
      <c r="JOP3" s="284"/>
      <c r="JOQ3" s="284"/>
      <c r="JOR3" s="284"/>
      <c r="JOS3" s="284"/>
      <c r="JOT3" s="284"/>
      <c r="JOU3" s="284"/>
      <c r="JOV3" s="284"/>
      <c r="JOW3" s="284"/>
      <c r="JOX3" s="284"/>
      <c r="JOY3" s="284"/>
      <c r="JOZ3" s="284"/>
      <c r="JPA3" s="284"/>
      <c r="JPB3" s="284"/>
      <c r="JPC3" s="284"/>
      <c r="JPD3" s="284"/>
      <c r="JPE3" s="284"/>
      <c r="JPF3" s="284"/>
      <c r="JPG3" s="284"/>
      <c r="JPH3" s="284"/>
      <c r="JPI3" s="284"/>
      <c r="JPJ3" s="284"/>
      <c r="JPK3" s="284"/>
      <c r="JPL3" s="284"/>
      <c r="JPM3" s="284"/>
      <c r="JPN3" s="284"/>
      <c r="JPO3" s="284"/>
      <c r="JPP3" s="284"/>
      <c r="JPQ3" s="284"/>
      <c r="JPR3" s="284"/>
      <c r="JPS3" s="284"/>
      <c r="JPT3" s="284"/>
      <c r="JPU3" s="284"/>
      <c r="JPV3" s="284"/>
      <c r="JPW3" s="284"/>
      <c r="JPX3" s="284"/>
      <c r="JPY3" s="284"/>
      <c r="JPZ3" s="284"/>
      <c r="JQA3" s="284"/>
      <c r="JQB3" s="284"/>
      <c r="JQC3" s="284"/>
      <c r="JQD3" s="284"/>
      <c r="JQE3" s="284"/>
      <c r="JQF3" s="284"/>
      <c r="JQG3" s="284"/>
      <c r="JQH3" s="284"/>
      <c r="JQI3" s="284"/>
      <c r="JQJ3" s="284"/>
      <c r="JQK3" s="284"/>
      <c r="JQL3" s="284"/>
      <c r="JQM3" s="284"/>
      <c r="JQN3" s="284"/>
      <c r="JQO3" s="284"/>
      <c r="JQP3" s="284"/>
      <c r="JQQ3" s="284"/>
      <c r="JQR3" s="284"/>
      <c r="JQS3" s="284"/>
      <c r="JQT3" s="284"/>
      <c r="JQU3" s="284"/>
      <c r="JQV3" s="284"/>
      <c r="JQW3" s="284"/>
      <c r="JQX3" s="284"/>
      <c r="JQY3" s="284"/>
      <c r="JQZ3" s="284"/>
      <c r="JRA3" s="284"/>
      <c r="JRB3" s="284"/>
      <c r="JRC3" s="284"/>
      <c r="JRD3" s="284"/>
      <c r="JRE3" s="284"/>
      <c r="JRF3" s="284"/>
      <c r="JRG3" s="284"/>
      <c r="JRH3" s="284"/>
      <c r="JRI3" s="284"/>
      <c r="JRJ3" s="284"/>
      <c r="JRK3" s="284"/>
      <c r="JRL3" s="284"/>
      <c r="JRM3" s="284"/>
      <c r="JRN3" s="284"/>
      <c r="JRO3" s="284"/>
      <c r="JRP3" s="284"/>
      <c r="JRQ3" s="284"/>
      <c r="JRR3" s="284"/>
      <c r="JRS3" s="284"/>
      <c r="JRT3" s="284"/>
      <c r="JRU3" s="284"/>
      <c r="JRV3" s="284"/>
      <c r="JRW3" s="284"/>
      <c r="JRX3" s="284"/>
      <c r="JRY3" s="284"/>
      <c r="JRZ3" s="284"/>
      <c r="JSA3" s="284"/>
      <c r="JSB3" s="284"/>
      <c r="JSC3" s="284"/>
      <c r="JSD3" s="284"/>
      <c r="JSE3" s="284"/>
      <c r="JSF3" s="284"/>
      <c r="JSG3" s="284"/>
      <c r="JSH3" s="284"/>
      <c r="JSI3" s="284"/>
      <c r="JSJ3" s="284"/>
      <c r="JSK3" s="284"/>
      <c r="JSL3" s="284"/>
      <c r="JSM3" s="284"/>
      <c r="JSN3" s="284"/>
      <c r="JSO3" s="284"/>
      <c r="JSP3" s="284"/>
      <c r="JSQ3" s="284"/>
      <c r="JSR3" s="284"/>
      <c r="JSS3" s="284"/>
      <c r="JST3" s="284"/>
      <c r="JSU3" s="284"/>
      <c r="JSV3" s="284"/>
      <c r="JSW3" s="284"/>
      <c r="JSX3" s="284"/>
      <c r="JSY3" s="284"/>
      <c r="JSZ3" s="284"/>
      <c r="JTA3" s="284"/>
      <c r="JTB3" s="284"/>
      <c r="JTC3" s="284"/>
      <c r="JTD3" s="284"/>
      <c r="JTE3" s="284"/>
      <c r="JTF3" s="284"/>
      <c r="JTG3" s="284"/>
      <c r="JTH3" s="284"/>
      <c r="JTI3" s="284"/>
      <c r="JTJ3" s="284"/>
      <c r="JTK3" s="284"/>
      <c r="JTL3" s="284"/>
      <c r="JTM3" s="284"/>
      <c r="JTN3" s="284"/>
      <c r="JTO3" s="284"/>
      <c r="JTP3" s="284"/>
      <c r="JTQ3" s="284"/>
      <c r="JTR3" s="284"/>
      <c r="JTS3" s="284"/>
      <c r="JTT3" s="284"/>
      <c r="JTU3" s="284"/>
      <c r="JTV3" s="284"/>
      <c r="JTW3" s="284"/>
      <c r="JTX3" s="284"/>
      <c r="JTY3" s="284"/>
      <c r="JTZ3" s="284"/>
      <c r="JUA3" s="284"/>
      <c r="JUB3" s="284"/>
      <c r="JUC3" s="284"/>
      <c r="JUD3" s="284"/>
      <c r="JUE3" s="284"/>
      <c r="JUF3" s="284"/>
      <c r="JUG3" s="284"/>
      <c r="JUH3" s="284"/>
      <c r="JUI3" s="284"/>
      <c r="JUJ3" s="284"/>
      <c r="JUK3" s="284"/>
      <c r="JUL3" s="284"/>
      <c r="JUM3" s="284"/>
      <c r="JUN3" s="284"/>
      <c r="JUO3" s="284"/>
      <c r="JUP3" s="284"/>
      <c r="JUQ3" s="284"/>
      <c r="JUR3" s="284"/>
      <c r="JUS3" s="284"/>
      <c r="JUT3" s="284"/>
      <c r="JUU3" s="284"/>
      <c r="JUV3" s="284"/>
      <c r="JUW3" s="284"/>
      <c r="JUX3" s="284"/>
      <c r="JUY3" s="284"/>
      <c r="JUZ3" s="284"/>
      <c r="JVA3" s="284"/>
      <c r="JVB3" s="284"/>
      <c r="JVC3" s="284"/>
      <c r="JVD3" s="284"/>
      <c r="JVE3" s="284"/>
      <c r="JVF3" s="284"/>
      <c r="JVG3" s="284"/>
      <c r="JVH3" s="284"/>
      <c r="JVI3" s="284"/>
      <c r="JVJ3" s="284"/>
      <c r="JVK3" s="284"/>
      <c r="JVL3" s="284"/>
      <c r="JVM3" s="284"/>
      <c r="JVN3" s="284"/>
      <c r="JVO3" s="284"/>
      <c r="JVP3" s="284"/>
      <c r="JVQ3" s="284"/>
      <c r="JVR3" s="284"/>
      <c r="JVS3" s="284"/>
      <c r="JVT3" s="284"/>
      <c r="JVU3" s="284"/>
      <c r="JVV3" s="284"/>
      <c r="JVW3" s="284"/>
      <c r="JVX3" s="284"/>
      <c r="JVY3" s="284"/>
      <c r="JVZ3" s="284"/>
      <c r="JWA3" s="284"/>
      <c r="JWB3" s="284"/>
      <c r="JWC3" s="284"/>
      <c r="JWD3" s="284"/>
      <c r="JWE3" s="284"/>
      <c r="JWF3" s="284"/>
      <c r="JWG3" s="284"/>
      <c r="JWH3" s="284"/>
      <c r="JWI3" s="284"/>
      <c r="JWJ3" s="284"/>
      <c r="JWK3" s="284"/>
      <c r="JWL3" s="284"/>
      <c r="JWM3" s="284"/>
      <c r="JWN3" s="284"/>
      <c r="JWO3" s="284"/>
      <c r="JWP3" s="284"/>
      <c r="JWQ3" s="284"/>
      <c r="JWR3" s="284"/>
      <c r="JWS3" s="284"/>
      <c r="JWT3" s="284"/>
      <c r="JWU3" s="284"/>
      <c r="JWV3" s="284"/>
      <c r="JWW3" s="284"/>
      <c r="JWX3" s="284"/>
      <c r="JWY3" s="284"/>
      <c r="JWZ3" s="284"/>
      <c r="JXA3" s="284"/>
      <c r="JXB3" s="284"/>
      <c r="JXC3" s="284"/>
      <c r="JXD3" s="284"/>
      <c r="JXE3" s="284"/>
      <c r="JXF3" s="284"/>
      <c r="JXG3" s="284"/>
      <c r="JXH3" s="284"/>
      <c r="JXI3" s="284"/>
      <c r="JXJ3" s="284"/>
      <c r="JXK3" s="284"/>
      <c r="JXL3" s="284"/>
      <c r="JXM3" s="284"/>
      <c r="JXN3" s="284"/>
      <c r="JXO3" s="284"/>
      <c r="JXP3" s="284"/>
      <c r="JXQ3" s="284"/>
      <c r="JXR3" s="284"/>
      <c r="JXS3" s="284"/>
      <c r="JXT3" s="284"/>
      <c r="JXU3" s="284"/>
      <c r="JXV3" s="284"/>
      <c r="JXW3" s="284"/>
      <c r="JXX3" s="284"/>
      <c r="JXY3" s="284"/>
      <c r="JXZ3" s="284"/>
      <c r="JYA3" s="284"/>
      <c r="JYB3" s="284"/>
      <c r="JYC3" s="284"/>
      <c r="JYD3" s="284"/>
      <c r="JYE3" s="284"/>
      <c r="JYF3" s="284"/>
      <c r="JYG3" s="284"/>
      <c r="JYH3" s="284"/>
      <c r="JYI3" s="284"/>
      <c r="JYJ3" s="284"/>
      <c r="JYK3" s="284"/>
      <c r="JYL3" s="284"/>
      <c r="JYM3" s="284"/>
      <c r="JYN3" s="284"/>
      <c r="JYO3" s="284"/>
      <c r="JYP3" s="284"/>
      <c r="JYQ3" s="284"/>
      <c r="JYR3" s="284"/>
      <c r="JYS3" s="284"/>
      <c r="JYT3" s="284"/>
      <c r="JYU3" s="284"/>
      <c r="JYV3" s="284"/>
      <c r="JYW3" s="284"/>
      <c r="JYX3" s="284"/>
      <c r="JYY3" s="284"/>
      <c r="JYZ3" s="284"/>
      <c r="JZA3" s="284"/>
      <c r="JZB3" s="284"/>
      <c r="JZC3" s="284"/>
      <c r="JZD3" s="284"/>
      <c r="JZE3" s="284"/>
      <c r="JZF3" s="284"/>
      <c r="JZG3" s="284"/>
      <c r="JZH3" s="284"/>
      <c r="JZI3" s="284"/>
      <c r="JZJ3" s="284"/>
      <c r="JZK3" s="284"/>
      <c r="JZL3" s="284"/>
      <c r="JZM3" s="284"/>
      <c r="JZN3" s="284"/>
      <c r="JZO3" s="284"/>
      <c r="JZP3" s="284"/>
      <c r="JZQ3" s="284"/>
      <c r="JZR3" s="284"/>
      <c r="JZS3" s="284"/>
      <c r="JZT3" s="284"/>
      <c r="JZU3" s="284"/>
      <c r="JZV3" s="284"/>
      <c r="JZW3" s="284"/>
      <c r="JZX3" s="284"/>
      <c r="JZY3" s="284"/>
      <c r="JZZ3" s="284"/>
      <c r="KAA3" s="284"/>
      <c r="KAB3" s="284"/>
      <c r="KAC3" s="284"/>
      <c r="KAD3" s="284"/>
      <c r="KAE3" s="284"/>
      <c r="KAF3" s="284"/>
      <c r="KAG3" s="284"/>
      <c r="KAH3" s="284"/>
      <c r="KAI3" s="284"/>
      <c r="KAJ3" s="284"/>
      <c r="KAK3" s="284"/>
      <c r="KAL3" s="284"/>
      <c r="KAM3" s="284"/>
      <c r="KAN3" s="284"/>
      <c r="KAO3" s="284"/>
      <c r="KAP3" s="284"/>
      <c r="KAQ3" s="284"/>
      <c r="KAR3" s="284"/>
      <c r="KAS3" s="284"/>
      <c r="KAT3" s="284"/>
      <c r="KAU3" s="284"/>
      <c r="KAV3" s="284"/>
      <c r="KAW3" s="284"/>
      <c r="KAX3" s="284"/>
      <c r="KAY3" s="284"/>
      <c r="KAZ3" s="284"/>
      <c r="KBA3" s="284"/>
      <c r="KBB3" s="284"/>
      <c r="KBC3" s="284"/>
      <c r="KBD3" s="284"/>
      <c r="KBE3" s="284"/>
      <c r="KBF3" s="284"/>
      <c r="KBG3" s="284"/>
      <c r="KBH3" s="284"/>
      <c r="KBI3" s="284"/>
      <c r="KBJ3" s="284"/>
      <c r="KBK3" s="284"/>
      <c r="KBL3" s="284"/>
      <c r="KBM3" s="284"/>
      <c r="KBN3" s="284"/>
      <c r="KBO3" s="284"/>
      <c r="KBP3" s="284"/>
      <c r="KBQ3" s="284"/>
      <c r="KBR3" s="284"/>
      <c r="KBS3" s="284"/>
      <c r="KBT3" s="284"/>
      <c r="KBU3" s="284"/>
      <c r="KBV3" s="284"/>
      <c r="KBW3" s="284"/>
      <c r="KBX3" s="284"/>
      <c r="KBY3" s="284"/>
      <c r="KBZ3" s="284"/>
      <c r="KCA3" s="284"/>
      <c r="KCB3" s="284"/>
      <c r="KCC3" s="284"/>
      <c r="KCD3" s="284"/>
      <c r="KCE3" s="284"/>
      <c r="KCF3" s="284"/>
      <c r="KCG3" s="284"/>
      <c r="KCH3" s="284"/>
      <c r="KCI3" s="284"/>
      <c r="KCJ3" s="284"/>
      <c r="KCK3" s="284"/>
      <c r="KCL3" s="284"/>
      <c r="KCM3" s="284"/>
      <c r="KCN3" s="284"/>
      <c r="KCO3" s="284"/>
      <c r="KCP3" s="284"/>
      <c r="KCQ3" s="284"/>
      <c r="KCR3" s="284"/>
      <c r="KCS3" s="284"/>
      <c r="KCT3" s="284"/>
      <c r="KCU3" s="284"/>
      <c r="KCV3" s="284"/>
      <c r="KCW3" s="284"/>
      <c r="KCX3" s="284"/>
      <c r="KCY3" s="284"/>
      <c r="KCZ3" s="284"/>
      <c r="KDA3" s="284"/>
      <c r="KDB3" s="284"/>
      <c r="KDC3" s="284"/>
      <c r="KDD3" s="284"/>
      <c r="KDE3" s="284"/>
      <c r="KDF3" s="284"/>
      <c r="KDG3" s="284"/>
      <c r="KDH3" s="284"/>
      <c r="KDI3" s="284"/>
      <c r="KDJ3" s="284"/>
      <c r="KDK3" s="284"/>
      <c r="KDL3" s="284"/>
      <c r="KDM3" s="284"/>
      <c r="KDN3" s="284"/>
      <c r="KDO3" s="284"/>
      <c r="KDP3" s="284"/>
      <c r="KDQ3" s="284"/>
      <c r="KDR3" s="284"/>
      <c r="KDS3" s="284"/>
      <c r="KDT3" s="284"/>
      <c r="KDU3" s="284"/>
      <c r="KDV3" s="284"/>
      <c r="KDW3" s="284"/>
      <c r="KDX3" s="284"/>
      <c r="KDY3" s="284"/>
      <c r="KDZ3" s="284"/>
      <c r="KEA3" s="284"/>
      <c r="KEB3" s="284"/>
      <c r="KEC3" s="284"/>
      <c r="KED3" s="284"/>
      <c r="KEE3" s="284"/>
      <c r="KEF3" s="284"/>
      <c r="KEG3" s="284"/>
      <c r="KEH3" s="284"/>
      <c r="KEI3" s="284"/>
      <c r="KEJ3" s="284"/>
      <c r="KEK3" s="284"/>
      <c r="KEL3" s="284"/>
      <c r="KEM3" s="284"/>
      <c r="KEN3" s="284"/>
      <c r="KEO3" s="284"/>
      <c r="KEP3" s="284"/>
      <c r="KEQ3" s="284"/>
      <c r="KER3" s="284"/>
      <c r="KES3" s="284"/>
      <c r="KET3" s="284"/>
      <c r="KEU3" s="284"/>
      <c r="KEV3" s="284"/>
      <c r="KEW3" s="284"/>
      <c r="KEX3" s="284"/>
      <c r="KEY3" s="284"/>
      <c r="KEZ3" s="284"/>
      <c r="KFA3" s="284"/>
      <c r="KFB3" s="284"/>
      <c r="KFC3" s="284"/>
      <c r="KFD3" s="284"/>
      <c r="KFE3" s="284"/>
      <c r="KFF3" s="284"/>
      <c r="KFG3" s="284"/>
      <c r="KFH3" s="284"/>
      <c r="KFI3" s="284"/>
      <c r="KFJ3" s="284"/>
      <c r="KFK3" s="284"/>
      <c r="KFL3" s="284"/>
      <c r="KFM3" s="284"/>
      <c r="KFN3" s="284"/>
      <c r="KFO3" s="284"/>
      <c r="KFP3" s="284"/>
      <c r="KFQ3" s="284"/>
      <c r="KFR3" s="284"/>
      <c r="KFS3" s="284"/>
      <c r="KFT3" s="284"/>
      <c r="KFU3" s="284"/>
      <c r="KFV3" s="284"/>
      <c r="KFW3" s="284"/>
      <c r="KFX3" s="284"/>
      <c r="KFY3" s="284"/>
      <c r="KFZ3" s="284"/>
      <c r="KGA3" s="284"/>
      <c r="KGB3" s="284"/>
      <c r="KGC3" s="284"/>
      <c r="KGD3" s="284"/>
      <c r="KGE3" s="284"/>
      <c r="KGF3" s="284"/>
      <c r="KGG3" s="284"/>
      <c r="KGH3" s="284"/>
      <c r="KGI3" s="284"/>
      <c r="KGJ3" s="284"/>
      <c r="KGK3" s="284"/>
      <c r="KGL3" s="284"/>
      <c r="KGM3" s="284"/>
      <c r="KGN3" s="284"/>
      <c r="KGO3" s="284"/>
      <c r="KGP3" s="284"/>
      <c r="KGQ3" s="284"/>
      <c r="KGR3" s="284"/>
      <c r="KGS3" s="284"/>
      <c r="KGT3" s="284"/>
      <c r="KGU3" s="284"/>
      <c r="KGV3" s="284"/>
      <c r="KGW3" s="284"/>
      <c r="KGX3" s="284"/>
      <c r="KGY3" s="284"/>
      <c r="KGZ3" s="284"/>
      <c r="KHA3" s="284"/>
      <c r="KHB3" s="284"/>
      <c r="KHC3" s="284"/>
      <c r="KHD3" s="284"/>
      <c r="KHE3" s="284"/>
      <c r="KHF3" s="284"/>
      <c r="KHG3" s="284"/>
      <c r="KHH3" s="284"/>
      <c r="KHI3" s="284"/>
      <c r="KHJ3" s="284"/>
      <c r="KHK3" s="284"/>
      <c r="KHL3" s="284"/>
      <c r="KHM3" s="284"/>
      <c r="KHN3" s="284"/>
      <c r="KHO3" s="284"/>
      <c r="KHP3" s="284"/>
      <c r="KHQ3" s="284"/>
      <c r="KHR3" s="284"/>
      <c r="KHS3" s="284"/>
      <c r="KHT3" s="284"/>
      <c r="KHU3" s="284"/>
      <c r="KHV3" s="284"/>
      <c r="KHW3" s="284"/>
      <c r="KHX3" s="284"/>
      <c r="KHY3" s="284"/>
      <c r="KHZ3" s="284"/>
      <c r="KIA3" s="284"/>
      <c r="KIB3" s="284"/>
      <c r="KIC3" s="284"/>
      <c r="KID3" s="284"/>
      <c r="KIE3" s="284"/>
      <c r="KIF3" s="284"/>
      <c r="KIG3" s="284"/>
      <c r="KIH3" s="284"/>
      <c r="KII3" s="284"/>
      <c r="KIJ3" s="284"/>
      <c r="KIK3" s="284"/>
      <c r="KIL3" s="284"/>
      <c r="KIM3" s="284"/>
      <c r="KIN3" s="284"/>
      <c r="KIO3" s="284"/>
      <c r="KIP3" s="284"/>
      <c r="KIQ3" s="284"/>
      <c r="KIR3" s="284"/>
      <c r="KIS3" s="284"/>
      <c r="KIT3" s="284"/>
      <c r="KIU3" s="284"/>
      <c r="KIV3" s="284"/>
      <c r="KIW3" s="284"/>
      <c r="KIX3" s="284"/>
      <c r="KIY3" s="284"/>
      <c r="KIZ3" s="284"/>
      <c r="KJA3" s="284"/>
      <c r="KJB3" s="284"/>
      <c r="KJC3" s="284"/>
      <c r="KJD3" s="284"/>
      <c r="KJE3" s="284"/>
      <c r="KJF3" s="284"/>
      <c r="KJG3" s="284"/>
      <c r="KJH3" s="284"/>
      <c r="KJI3" s="284"/>
      <c r="KJJ3" s="284"/>
      <c r="KJK3" s="284"/>
      <c r="KJL3" s="284"/>
      <c r="KJM3" s="284"/>
      <c r="KJN3" s="284"/>
      <c r="KJO3" s="284"/>
      <c r="KJP3" s="284"/>
      <c r="KJQ3" s="284"/>
      <c r="KJR3" s="284"/>
      <c r="KJS3" s="284"/>
      <c r="KJT3" s="284"/>
      <c r="KJU3" s="284"/>
      <c r="KJV3" s="284"/>
      <c r="KJW3" s="284"/>
      <c r="KJX3" s="284"/>
      <c r="KJY3" s="284"/>
      <c r="KJZ3" s="284"/>
      <c r="KKA3" s="284"/>
      <c r="KKB3" s="284"/>
      <c r="KKC3" s="284"/>
      <c r="KKD3" s="284"/>
      <c r="KKE3" s="284"/>
      <c r="KKF3" s="284"/>
      <c r="KKG3" s="284"/>
      <c r="KKH3" s="284"/>
      <c r="KKI3" s="284"/>
      <c r="KKJ3" s="284"/>
      <c r="KKK3" s="284"/>
      <c r="KKL3" s="284"/>
      <c r="KKM3" s="284"/>
      <c r="KKN3" s="284"/>
      <c r="KKO3" s="284"/>
      <c r="KKP3" s="284"/>
      <c r="KKQ3" s="284"/>
      <c r="KKR3" s="284"/>
      <c r="KKS3" s="284"/>
      <c r="KKT3" s="284"/>
      <c r="KKU3" s="284"/>
      <c r="KKV3" s="284"/>
      <c r="KKW3" s="284"/>
      <c r="KKX3" s="284"/>
      <c r="KKY3" s="284"/>
      <c r="KKZ3" s="284"/>
      <c r="KLA3" s="284"/>
      <c r="KLB3" s="284"/>
      <c r="KLC3" s="284"/>
      <c r="KLD3" s="284"/>
      <c r="KLE3" s="284"/>
      <c r="KLF3" s="284"/>
      <c r="KLG3" s="284"/>
      <c r="KLH3" s="284"/>
      <c r="KLI3" s="284"/>
      <c r="KLJ3" s="284"/>
      <c r="KLK3" s="284"/>
      <c r="KLL3" s="284"/>
      <c r="KLM3" s="284"/>
      <c r="KLN3" s="284"/>
      <c r="KLO3" s="284"/>
      <c r="KLP3" s="284"/>
      <c r="KLQ3" s="284"/>
      <c r="KLR3" s="284"/>
      <c r="KLS3" s="284"/>
      <c r="KLT3" s="284"/>
      <c r="KLU3" s="284"/>
      <c r="KLV3" s="284"/>
      <c r="KLW3" s="284"/>
      <c r="KLX3" s="284"/>
      <c r="KLY3" s="284"/>
      <c r="KLZ3" s="284"/>
      <c r="KMA3" s="284"/>
      <c r="KMB3" s="284"/>
      <c r="KMC3" s="284"/>
      <c r="KMD3" s="284"/>
      <c r="KME3" s="284"/>
      <c r="KMF3" s="284"/>
      <c r="KMG3" s="284"/>
      <c r="KMH3" s="284"/>
      <c r="KMI3" s="284"/>
      <c r="KMJ3" s="284"/>
      <c r="KMK3" s="284"/>
      <c r="KML3" s="284"/>
      <c r="KMM3" s="284"/>
      <c r="KMN3" s="284"/>
      <c r="KMO3" s="284"/>
      <c r="KMP3" s="284"/>
      <c r="KMQ3" s="284"/>
      <c r="KMR3" s="284"/>
      <c r="KMS3" s="284"/>
      <c r="KMT3" s="284"/>
      <c r="KMU3" s="284"/>
      <c r="KMV3" s="284"/>
      <c r="KMW3" s="284"/>
      <c r="KMX3" s="284"/>
      <c r="KMY3" s="284"/>
      <c r="KMZ3" s="284"/>
      <c r="KNA3" s="284"/>
      <c r="KNB3" s="284"/>
      <c r="KNC3" s="284"/>
      <c r="KND3" s="284"/>
      <c r="KNE3" s="284"/>
      <c r="KNF3" s="284"/>
      <c r="KNG3" s="284"/>
      <c r="KNH3" s="284"/>
      <c r="KNI3" s="284"/>
      <c r="KNJ3" s="284"/>
      <c r="KNK3" s="284"/>
      <c r="KNL3" s="284"/>
      <c r="KNM3" s="284"/>
      <c r="KNN3" s="284"/>
      <c r="KNO3" s="284"/>
      <c r="KNP3" s="284"/>
      <c r="KNQ3" s="284"/>
      <c r="KNR3" s="284"/>
      <c r="KNS3" s="284"/>
      <c r="KNT3" s="284"/>
      <c r="KNU3" s="284"/>
      <c r="KNV3" s="284"/>
      <c r="KNW3" s="284"/>
      <c r="KNX3" s="284"/>
      <c r="KNY3" s="284"/>
      <c r="KNZ3" s="284"/>
      <c r="KOA3" s="284"/>
      <c r="KOB3" s="284"/>
      <c r="KOC3" s="284"/>
      <c r="KOD3" s="284"/>
      <c r="KOE3" s="284"/>
      <c r="KOF3" s="284"/>
      <c r="KOG3" s="284"/>
      <c r="KOH3" s="284"/>
      <c r="KOI3" s="284"/>
      <c r="KOJ3" s="284"/>
      <c r="KOK3" s="284"/>
      <c r="KOL3" s="284"/>
      <c r="KOM3" s="284"/>
      <c r="KON3" s="284"/>
      <c r="KOO3" s="284"/>
      <c r="KOP3" s="284"/>
      <c r="KOQ3" s="284"/>
      <c r="KOR3" s="284"/>
      <c r="KOS3" s="284"/>
      <c r="KOT3" s="284"/>
      <c r="KOU3" s="284"/>
      <c r="KOV3" s="284"/>
      <c r="KOW3" s="284"/>
      <c r="KOX3" s="284"/>
      <c r="KOY3" s="284"/>
      <c r="KOZ3" s="284"/>
      <c r="KPA3" s="284"/>
      <c r="KPB3" s="284"/>
      <c r="KPC3" s="284"/>
      <c r="KPD3" s="284"/>
      <c r="KPE3" s="284"/>
      <c r="KPF3" s="284"/>
      <c r="KPG3" s="284"/>
      <c r="KPH3" s="284"/>
      <c r="KPI3" s="284"/>
      <c r="KPJ3" s="284"/>
      <c r="KPK3" s="284"/>
      <c r="KPL3" s="284"/>
      <c r="KPM3" s="284"/>
      <c r="KPN3" s="284"/>
      <c r="KPO3" s="284"/>
      <c r="KPP3" s="284"/>
      <c r="KPQ3" s="284"/>
      <c r="KPR3" s="284"/>
      <c r="KPS3" s="284"/>
      <c r="KPT3" s="284"/>
      <c r="KPU3" s="284"/>
      <c r="KPV3" s="284"/>
      <c r="KPW3" s="284"/>
      <c r="KPX3" s="284"/>
      <c r="KPY3" s="284"/>
      <c r="KPZ3" s="284"/>
      <c r="KQA3" s="284"/>
      <c r="KQB3" s="284"/>
      <c r="KQC3" s="284"/>
      <c r="KQD3" s="284"/>
      <c r="KQE3" s="284"/>
      <c r="KQF3" s="284"/>
      <c r="KQG3" s="284"/>
      <c r="KQH3" s="284"/>
      <c r="KQI3" s="284"/>
      <c r="KQJ3" s="284"/>
      <c r="KQK3" s="284"/>
      <c r="KQL3" s="284"/>
      <c r="KQM3" s="284"/>
      <c r="KQN3" s="284"/>
      <c r="KQO3" s="284"/>
      <c r="KQP3" s="284"/>
      <c r="KQQ3" s="284"/>
      <c r="KQR3" s="284"/>
      <c r="KQS3" s="284"/>
      <c r="KQT3" s="284"/>
      <c r="KQU3" s="284"/>
      <c r="KQV3" s="284"/>
      <c r="KQW3" s="284"/>
      <c r="KQX3" s="284"/>
      <c r="KQY3" s="284"/>
      <c r="KQZ3" s="284"/>
      <c r="KRA3" s="284"/>
      <c r="KRB3" s="284"/>
      <c r="KRC3" s="284"/>
      <c r="KRD3" s="284"/>
      <c r="KRE3" s="284"/>
      <c r="KRF3" s="284"/>
      <c r="KRG3" s="284"/>
      <c r="KRH3" s="284"/>
      <c r="KRI3" s="284"/>
      <c r="KRJ3" s="284"/>
      <c r="KRK3" s="284"/>
      <c r="KRL3" s="284"/>
      <c r="KRM3" s="284"/>
      <c r="KRN3" s="284"/>
      <c r="KRO3" s="284"/>
      <c r="KRP3" s="284"/>
      <c r="KRQ3" s="284"/>
      <c r="KRR3" s="284"/>
      <c r="KRS3" s="284"/>
      <c r="KRT3" s="284"/>
      <c r="KRU3" s="284"/>
      <c r="KRV3" s="284"/>
      <c r="KRW3" s="284"/>
      <c r="KRX3" s="284"/>
      <c r="KRY3" s="284"/>
      <c r="KRZ3" s="284"/>
      <c r="KSA3" s="284"/>
      <c r="KSB3" s="284"/>
      <c r="KSC3" s="284"/>
      <c r="KSD3" s="284"/>
      <c r="KSE3" s="284"/>
      <c r="KSF3" s="284"/>
      <c r="KSG3" s="284"/>
      <c r="KSH3" s="284"/>
      <c r="KSI3" s="284"/>
      <c r="KSJ3" s="284"/>
      <c r="KSK3" s="284"/>
      <c r="KSL3" s="284"/>
      <c r="KSM3" s="284"/>
      <c r="KSN3" s="284"/>
      <c r="KSO3" s="284"/>
      <c r="KSP3" s="284"/>
      <c r="KSQ3" s="284"/>
      <c r="KSR3" s="284"/>
      <c r="KSS3" s="284"/>
      <c r="KST3" s="284"/>
      <c r="KSU3" s="284"/>
      <c r="KSV3" s="284"/>
      <c r="KSW3" s="284"/>
      <c r="KSX3" s="284"/>
      <c r="KSY3" s="284"/>
      <c r="KSZ3" s="284"/>
      <c r="KTA3" s="284"/>
      <c r="KTB3" s="284"/>
      <c r="KTC3" s="284"/>
      <c r="KTD3" s="284"/>
      <c r="KTE3" s="284"/>
      <c r="KTF3" s="284"/>
      <c r="KTG3" s="284"/>
      <c r="KTH3" s="284"/>
      <c r="KTI3" s="284"/>
      <c r="KTJ3" s="284"/>
      <c r="KTK3" s="284"/>
      <c r="KTL3" s="284"/>
      <c r="KTM3" s="284"/>
      <c r="KTN3" s="284"/>
      <c r="KTO3" s="284"/>
      <c r="KTP3" s="284"/>
      <c r="KTQ3" s="284"/>
      <c r="KTR3" s="284"/>
      <c r="KTS3" s="284"/>
      <c r="KTT3" s="284"/>
      <c r="KTU3" s="284"/>
      <c r="KTV3" s="284"/>
      <c r="KTW3" s="284"/>
      <c r="KTX3" s="284"/>
      <c r="KTY3" s="284"/>
      <c r="KTZ3" s="284"/>
      <c r="KUA3" s="284"/>
      <c r="KUB3" s="284"/>
      <c r="KUC3" s="284"/>
      <c r="KUD3" s="284"/>
      <c r="KUE3" s="284"/>
      <c r="KUF3" s="284"/>
      <c r="KUG3" s="284"/>
      <c r="KUH3" s="284"/>
      <c r="KUI3" s="284"/>
      <c r="KUJ3" s="284"/>
      <c r="KUK3" s="284"/>
      <c r="KUL3" s="284"/>
      <c r="KUM3" s="284"/>
      <c r="KUN3" s="284"/>
      <c r="KUO3" s="284"/>
      <c r="KUP3" s="284"/>
      <c r="KUQ3" s="284"/>
      <c r="KUR3" s="284"/>
      <c r="KUS3" s="284"/>
      <c r="KUT3" s="284"/>
      <c r="KUU3" s="284"/>
      <c r="KUV3" s="284"/>
      <c r="KUW3" s="284"/>
      <c r="KUX3" s="284"/>
      <c r="KUY3" s="284"/>
      <c r="KUZ3" s="284"/>
      <c r="KVA3" s="284"/>
      <c r="KVB3" s="284"/>
      <c r="KVC3" s="284"/>
      <c r="KVD3" s="284"/>
      <c r="KVE3" s="284"/>
      <c r="KVF3" s="284"/>
      <c r="KVG3" s="284"/>
      <c r="KVH3" s="284"/>
      <c r="KVI3" s="284"/>
      <c r="KVJ3" s="284"/>
      <c r="KVK3" s="284"/>
      <c r="KVL3" s="284"/>
      <c r="KVM3" s="284"/>
      <c r="KVN3" s="284"/>
      <c r="KVO3" s="284"/>
      <c r="KVP3" s="284"/>
      <c r="KVQ3" s="284"/>
      <c r="KVR3" s="284"/>
      <c r="KVS3" s="284"/>
      <c r="KVT3" s="284"/>
      <c r="KVU3" s="284"/>
      <c r="KVV3" s="284"/>
      <c r="KVW3" s="284"/>
      <c r="KVX3" s="284"/>
      <c r="KVY3" s="284"/>
      <c r="KVZ3" s="284"/>
      <c r="KWA3" s="284"/>
      <c r="KWB3" s="284"/>
      <c r="KWC3" s="284"/>
      <c r="KWD3" s="284"/>
      <c r="KWE3" s="284"/>
      <c r="KWF3" s="284"/>
      <c r="KWG3" s="284"/>
      <c r="KWH3" s="284"/>
      <c r="KWI3" s="284"/>
      <c r="KWJ3" s="284"/>
      <c r="KWK3" s="284"/>
      <c r="KWL3" s="284"/>
      <c r="KWM3" s="284"/>
      <c r="KWN3" s="284"/>
      <c r="KWO3" s="284"/>
      <c r="KWP3" s="284"/>
      <c r="KWQ3" s="284"/>
      <c r="KWR3" s="284"/>
      <c r="KWS3" s="284"/>
      <c r="KWT3" s="284"/>
      <c r="KWU3" s="284"/>
      <c r="KWV3" s="284"/>
      <c r="KWW3" s="284"/>
      <c r="KWX3" s="284"/>
      <c r="KWY3" s="284"/>
      <c r="KWZ3" s="284"/>
      <c r="KXA3" s="284"/>
      <c r="KXB3" s="284"/>
      <c r="KXC3" s="284"/>
      <c r="KXD3" s="284"/>
      <c r="KXE3" s="284"/>
      <c r="KXF3" s="284"/>
      <c r="KXG3" s="284"/>
      <c r="KXH3" s="284"/>
      <c r="KXI3" s="284"/>
      <c r="KXJ3" s="284"/>
      <c r="KXK3" s="284"/>
      <c r="KXL3" s="284"/>
      <c r="KXM3" s="284"/>
      <c r="KXN3" s="284"/>
      <c r="KXO3" s="284"/>
      <c r="KXP3" s="284"/>
      <c r="KXQ3" s="284"/>
      <c r="KXR3" s="284"/>
      <c r="KXS3" s="284"/>
      <c r="KXT3" s="284"/>
      <c r="KXU3" s="284"/>
      <c r="KXV3" s="284"/>
      <c r="KXW3" s="284"/>
      <c r="KXX3" s="284"/>
      <c r="KXY3" s="284"/>
      <c r="KXZ3" s="284"/>
      <c r="KYA3" s="284"/>
      <c r="KYB3" s="284"/>
      <c r="KYC3" s="284"/>
      <c r="KYD3" s="284"/>
      <c r="KYE3" s="284"/>
      <c r="KYF3" s="284"/>
      <c r="KYG3" s="284"/>
      <c r="KYH3" s="284"/>
      <c r="KYI3" s="284"/>
      <c r="KYJ3" s="284"/>
      <c r="KYK3" s="284"/>
      <c r="KYL3" s="284"/>
      <c r="KYM3" s="284"/>
      <c r="KYN3" s="284"/>
      <c r="KYO3" s="284"/>
      <c r="KYP3" s="284"/>
      <c r="KYQ3" s="284"/>
      <c r="KYR3" s="284"/>
      <c r="KYS3" s="284"/>
      <c r="KYT3" s="284"/>
      <c r="KYU3" s="284"/>
      <c r="KYV3" s="284"/>
      <c r="KYW3" s="284"/>
      <c r="KYX3" s="284"/>
      <c r="KYY3" s="284"/>
      <c r="KYZ3" s="284"/>
      <c r="KZA3" s="284"/>
      <c r="KZB3" s="284"/>
      <c r="KZC3" s="284"/>
      <c r="KZD3" s="284"/>
      <c r="KZE3" s="284"/>
      <c r="KZF3" s="284"/>
      <c r="KZG3" s="284"/>
      <c r="KZH3" s="284"/>
      <c r="KZI3" s="284"/>
      <c r="KZJ3" s="284"/>
      <c r="KZK3" s="284"/>
      <c r="KZL3" s="284"/>
      <c r="KZM3" s="284"/>
      <c r="KZN3" s="284"/>
      <c r="KZO3" s="284"/>
      <c r="KZP3" s="284"/>
      <c r="KZQ3" s="284"/>
      <c r="KZR3" s="284"/>
      <c r="KZS3" s="284"/>
      <c r="KZT3" s="284"/>
      <c r="KZU3" s="284"/>
      <c r="KZV3" s="284"/>
      <c r="KZW3" s="284"/>
      <c r="KZX3" s="284"/>
      <c r="KZY3" s="284"/>
      <c r="KZZ3" s="284"/>
      <c r="LAA3" s="284"/>
      <c r="LAB3" s="284"/>
      <c r="LAC3" s="284"/>
      <c r="LAD3" s="284"/>
      <c r="LAE3" s="284"/>
      <c r="LAF3" s="284"/>
      <c r="LAG3" s="284"/>
      <c r="LAH3" s="284"/>
      <c r="LAI3" s="284"/>
      <c r="LAJ3" s="284"/>
      <c r="LAK3" s="284"/>
      <c r="LAL3" s="284"/>
      <c r="LAM3" s="284"/>
      <c r="LAN3" s="284"/>
      <c r="LAO3" s="284"/>
      <c r="LAP3" s="284"/>
      <c r="LAQ3" s="284"/>
      <c r="LAR3" s="284"/>
      <c r="LAS3" s="284"/>
      <c r="LAT3" s="284"/>
      <c r="LAU3" s="284"/>
      <c r="LAV3" s="284"/>
      <c r="LAW3" s="284"/>
      <c r="LAX3" s="284"/>
      <c r="LAY3" s="284"/>
      <c r="LAZ3" s="284"/>
      <c r="LBA3" s="284"/>
      <c r="LBB3" s="284"/>
      <c r="LBC3" s="284"/>
      <c r="LBD3" s="284"/>
      <c r="LBE3" s="284"/>
      <c r="LBF3" s="284"/>
      <c r="LBG3" s="284"/>
      <c r="LBH3" s="284"/>
      <c r="LBI3" s="284"/>
      <c r="LBJ3" s="284"/>
      <c r="LBK3" s="284"/>
      <c r="LBL3" s="284"/>
      <c r="LBM3" s="284"/>
      <c r="LBN3" s="284"/>
      <c r="LBO3" s="284"/>
      <c r="LBP3" s="284"/>
      <c r="LBQ3" s="284"/>
      <c r="LBR3" s="284"/>
      <c r="LBS3" s="284"/>
      <c r="LBT3" s="284"/>
      <c r="LBU3" s="284"/>
      <c r="LBV3" s="284"/>
      <c r="LBW3" s="284"/>
      <c r="LBX3" s="284"/>
      <c r="LBY3" s="284"/>
      <c r="LBZ3" s="284"/>
      <c r="LCA3" s="284"/>
      <c r="LCB3" s="284"/>
      <c r="LCC3" s="284"/>
      <c r="LCD3" s="284"/>
      <c r="LCE3" s="284"/>
      <c r="LCF3" s="284"/>
      <c r="LCG3" s="284"/>
      <c r="LCH3" s="284"/>
      <c r="LCI3" s="284"/>
      <c r="LCJ3" s="284"/>
      <c r="LCK3" s="284"/>
      <c r="LCL3" s="284"/>
      <c r="LCM3" s="284"/>
      <c r="LCN3" s="284"/>
      <c r="LCO3" s="284"/>
      <c r="LCP3" s="284"/>
      <c r="LCQ3" s="284"/>
      <c r="LCR3" s="284"/>
      <c r="LCS3" s="284"/>
      <c r="LCT3" s="284"/>
      <c r="LCU3" s="284"/>
      <c r="LCV3" s="284"/>
      <c r="LCW3" s="284"/>
      <c r="LCX3" s="284"/>
      <c r="LCY3" s="284"/>
      <c r="LCZ3" s="284"/>
      <c r="LDA3" s="284"/>
      <c r="LDB3" s="284"/>
      <c r="LDC3" s="284"/>
      <c r="LDD3" s="284"/>
      <c r="LDE3" s="284"/>
      <c r="LDF3" s="284"/>
      <c r="LDG3" s="284"/>
      <c r="LDH3" s="284"/>
      <c r="LDI3" s="284"/>
      <c r="LDJ3" s="284"/>
      <c r="LDK3" s="284"/>
      <c r="LDL3" s="284"/>
      <c r="LDM3" s="284"/>
      <c r="LDN3" s="284"/>
      <c r="LDO3" s="284"/>
      <c r="LDP3" s="284"/>
      <c r="LDQ3" s="284"/>
      <c r="LDR3" s="284"/>
      <c r="LDS3" s="284"/>
      <c r="LDT3" s="284"/>
      <c r="LDU3" s="284"/>
      <c r="LDV3" s="284"/>
      <c r="LDW3" s="284"/>
      <c r="LDX3" s="284"/>
      <c r="LDY3" s="284"/>
      <c r="LDZ3" s="284"/>
      <c r="LEA3" s="284"/>
      <c r="LEB3" s="284"/>
      <c r="LEC3" s="284"/>
      <c r="LED3" s="284"/>
      <c r="LEE3" s="284"/>
      <c r="LEF3" s="284"/>
      <c r="LEG3" s="284"/>
      <c r="LEH3" s="284"/>
      <c r="LEI3" s="284"/>
      <c r="LEJ3" s="284"/>
      <c r="LEK3" s="284"/>
      <c r="LEL3" s="284"/>
      <c r="LEM3" s="284"/>
      <c r="LEN3" s="284"/>
      <c r="LEO3" s="284"/>
      <c r="LEP3" s="284"/>
      <c r="LEQ3" s="284"/>
      <c r="LER3" s="284"/>
      <c r="LES3" s="284"/>
      <c r="LET3" s="284"/>
      <c r="LEU3" s="284"/>
      <c r="LEV3" s="284"/>
      <c r="LEW3" s="284"/>
      <c r="LEX3" s="284"/>
      <c r="LEY3" s="284"/>
      <c r="LEZ3" s="284"/>
      <c r="LFA3" s="284"/>
      <c r="LFB3" s="284"/>
      <c r="LFC3" s="284"/>
      <c r="LFD3" s="284"/>
      <c r="LFE3" s="284"/>
      <c r="LFF3" s="284"/>
      <c r="LFG3" s="284"/>
      <c r="LFH3" s="284"/>
      <c r="LFI3" s="284"/>
      <c r="LFJ3" s="284"/>
      <c r="LFK3" s="284"/>
      <c r="LFL3" s="284"/>
      <c r="LFM3" s="284"/>
      <c r="LFN3" s="284"/>
      <c r="LFO3" s="284"/>
      <c r="LFP3" s="284"/>
      <c r="LFQ3" s="284"/>
      <c r="LFR3" s="284"/>
      <c r="LFS3" s="284"/>
      <c r="LFT3" s="284"/>
      <c r="LFU3" s="284"/>
      <c r="LFV3" s="284"/>
      <c r="LFW3" s="284"/>
      <c r="LFX3" s="284"/>
      <c r="LFY3" s="284"/>
      <c r="LFZ3" s="284"/>
      <c r="LGA3" s="284"/>
      <c r="LGB3" s="284"/>
      <c r="LGC3" s="284"/>
      <c r="LGD3" s="284"/>
      <c r="LGE3" s="284"/>
      <c r="LGF3" s="284"/>
      <c r="LGG3" s="284"/>
      <c r="LGH3" s="284"/>
      <c r="LGI3" s="284"/>
      <c r="LGJ3" s="284"/>
      <c r="LGK3" s="284"/>
      <c r="LGL3" s="284"/>
      <c r="LGM3" s="284"/>
      <c r="LGN3" s="284"/>
      <c r="LGO3" s="284"/>
      <c r="LGP3" s="284"/>
      <c r="LGQ3" s="284"/>
      <c r="LGR3" s="284"/>
      <c r="LGS3" s="284"/>
      <c r="LGT3" s="284"/>
      <c r="LGU3" s="284"/>
      <c r="LGV3" s="284"/>
      <c r="LGW3" s="284"/>
      <c r="LGX3" s="284"/>
      <c r="LGY3" s="284"/>
      <c r="LGZ3" s="284"/>
      <c r="LHA3" s="284"/>
      <c r="LHB3" s="284"/>
      <c r="LHC3" s="284"/>
      <c r="LHD3" s="284"/>
      <c r="LHE3" s="284"/>
      <c r="LHF3" s="284"/>
      <c r="LHG3" s="284"/>
      <c r="LHH3" s="284"/>
      <c r="LHI3" s="284"/>
      <c r="LHJ3" s="284"/>
      <c r="LHK3" s="284"/>
      <c r="LHL3" s="284"/>
      <c r="LHM3" s="284"/>
      <c r="LHN3" s="284"/>
      <c r="LHO3" s="284"/>
      <c r="LHP3" s="284"/>
      <c r="LHQ3" s="284"/>
      <c r="LHR3" s="284"/>
      <c r="LHS3" s="284"/>
      <c r="LHT3" s="284"/>
      <c r="LHU3" s="284"/>
      <c r="LHV3" s="284"/>
      <c r="LHW3" s="284"/>
      <c r="LHX3" s="284"/>
      <c r="LHY3" s="284"/>
      <c r="LHZ3" s="284"/>
      <c r="LIA3" s="284"/>
      <c r="LIB3" s="284"/>
      <c r="LIC3" s="284"/>
      <c r="LID3" s="284"/>
      <c r="LIE3" s="284"/>
      <c r="LIF3" s="284"/>
      <c r="LIG3" s="284"/>
      <c r="LIH3" s="284"/>
      <c r="LII3" s="284"/>
      <c r="LIJ3" s="284"/>
      <c r="LIK3" s="284"/>
      <c r="LIL3" s="284"/>
      <c r="LIM3" s="284"/>
      <c r="LIN3" s="284"/>
      <c r="LIO3" s="284"/>
      <c r="LIP3" s="284"/>
      <c r="LIQ3" s="284"/>
      <c r="LIR3" s="284"/>
      <c r="LIS3" s="284"/>
      <c r="LIT3" s="284"/>
      <c r="LIU3" s="284"/>
      <c r="LIV3" s="284"/>
      <c r="LIW3" s="284"/>
      <c r="LIX3" s="284"/>
      <c r="LIY3" s="284"/>
      <c r="LIZ3" s="284"/>
      <c r="LJA3" s="284"/>
      <c r="LJB3" s="284"/>
      <c r="LJC3" s="284"/>
      <c r="LJD3" s="284"/>
      <c r="LJE3" s="284"/>
      <c r="LJF3" s="284"/>
      <c r="LJG3" s="284"/>
      <c r="LJH3" s="284"/>
      <c r="LJI3" s="284"/>
      <c r="LJJ3" s="284"/>
      <c r="LJK3" s="284"/>
      <c r="LJL3" s="284"/>
      <c r="LJM3" s="284"/>
      <c r="LJN3" s="284"/>
      <c r="LJO3" s="284"/>
      <c r="LJP3" s="284"/>
      <c r="LJQ3" s="284"/>
      <c r="LJR3" s="284"/>
      <c r="LJS3" s="284"/>
      <c r="LJT3" s="284"/>
      <c r="LJU3" s="284"/>
      <c r="LJV3" s="284"/>
      <c r="LJW3" s="284"/>
      <c r="LJX3" s="284"/>
      <c r="LJY3" s="284"/>
      <c r="LJZ3" s="284"/>
      <c r="LKA3" s="284"/>
      <c r="LKB3" s="284"/>
      <c r="LKC3" s="284"/>
      <c r="LKD3" s="284"/>
      <c r="LKE3" s="284"/>
      <c r="LKF3" s="284"/>
      <c r="LKG3" s="284"/>
      <c r="LKH3" s="284"/>
      <c r="LKI3" s="284"/>
      <c r="LKJ3" s="284"/>
      <c r="LKK3" s="284"/>
      <c r="LKL3" s="284"/>
      <c r="LKM3" s="284"/>
      <c r="LKN3" s="284"/>
      <c r="LKO3" s="284"/>
      <c r="LKP3" s="284"/>
      <c r="LKQ3" s="284"/>
      <c r="LKR3" s="284"/>
      <c r="LKS3" s="284"/>
      <c r="LKT3" s="284"/>
      <c r="LKU3" s="284"/>
      <c r="LKV3" s="284"/>
      <c r="LKW3" s="284"/>
      <c r="LKX3" s="284"/>
      <c r="LKY3" s="284"/>
      <c r="LKZ3" s="284"/>
      <c r="LLA3" s="284"/>
      <c r="LLB3" s="284"/>
      <c r="LLC3" s="284"/>
      <c r="LLD3" s="284"/>
      <c r="LLE3" s="284"/>
      <c r="LLF3" s="284"/>
      <c r="LLG3" s="284"/>
      <c r="LLH3" s="284"/>
      <c r="LLI3" s="284"/>
      <c r="LLJ3" s="284"/>
      <c r="LLK3" s="284"/>
      <c r="LLL3" s="284"/>
      <c r="LLM3" s="284"/>
      <c r="LLN3" s="284"/>
      <c r="LLO3" s="284"/>
      <c r="LLP3" s="284"/>
      <c r="LLQ3" s="284"/>
      <c r="LLR3" s="284"/>
      <c r="LLS3" s="284"/>
      <c r="LLT3" s="284"/>
      <c r="LLU3" s="284"/>
      <c r="LLV3" s="284"/>
      <c r="LLW3" s="284"/>
      <c r="LLX3" s="284"/>
      <c r="LLY3" s="284"/>
      <c r="LLZ3" s="284"/>
      <c r="LMA3" s="284"/>
      <c r="LMB3" s="284"/>
      <c r="LMC3" s="284"/>
      <c r="LMD3" s="284"/>
      <c r="LME3" s="284"/>
      <c r="LMF3" s="284"/>
      <c r="LMG3" s="284"/>
      <c r="LMH3" s="284"/>
      <c r="LMI3" s="284"/>
      <c r="LMJ3" s="284"/>
      <c r="LMK3" s="284"/>
      <c r="LML3" s="284"/>
      <c r="LMM3" s="284"/>
      <c r="LMN3" s="284"/>
      <c r="LMO3" s="284"/>
      <c r="LMP3" s="284"/>
      <c r="LMQ3" s="284"/>
      <c r="LMR3" s="284"/>
      <c r="LMS3" s="284"/>
      <c r="LMT3" s="284"/>
      <c r="LMU3" s="284"/>
      <c r="LMV3" s="284"/>
      <c r="LMW3" s="284"/>
      <c r="LMX3" s="284"/>
      <c r="LMY3" s="284"/>
      <c r="LMZ3" s="284"/>
      <c r="LNA3" s="284"/>
      <c r="LNB3" s="284"/>
      <c r="LNC3" s="284"/>
      <c r="LND3" s="284"/>
      <c r="LNE3" s="284"/>
      <c r="LNF3" s="284"/>
      <c r="LNG3" s="284"/>
      <c r="LNH3" s="284"/>
      <c r="LNI3" s="284"/>
      <c r="LNJ3" s="284"/>
      <c r="LNK3" s="284"/>
      <c r="LNL3" s="284"/>
      <c r="LNM3" s="284"/>
      <c r="LNN3" s="284"/>
      <c r="LNO3" s="284"/>
      <c r="LNP3" s="284"/>
      <c r="LNQ3" s="284"/>
      <c r="LNR3" s="284"/>
      <c r="LNS3" s="284"/>
      <c r="LNT3" s="284"/>
      <c r="LNU3" s="284"/>
      <c r="LNV3" s="284"/>
      <c r="LNW3" s="284"/>
      <c r="LNX3" s="284"/>
      <c r="LNY3" s="284"/>
      <c r="LNZ3" s="284"/>
      <c r="LOA3" s="284"/>
      <c r="LOB3" s="284"/>
      <c r="LOC3" s="284"/>
      <c r="LOD3" s="284"/>
      <c r="LOE3" s="284"/>
      <c r="LOF3" s="284"/>
      <c r="LOG3" s="284"/>
      <c r="LOH3" s="284"/>
      <c r="LOI3" s="284"/>
      <c r="LOJ3" s="284"/>
      <c r="LOK3" s="284"/>
      <c r="LOL3" s="284"/>
      <c r="LOM3" s="284"/>
      <c r="LON3" s="284"/>
      <c r="LOO3" s="284"/>
      <c r="LOP3" s="284"/>
      <c r="LOQ3" s="284"/>
      <c r="LOR3" s="284"/>
      <c r="LOS3" s="284"/>
      <c r="LOT3" s="284"/>
      <c r="LOU3" s="284"/>
      <c r="LOV3" s="284"/>
      <c r="LOW3" s="284"/>
      <c r="LOX3" s="284"/>
      <c r="LOY3" s="284"/>
      <c r="LOZ3" s="284"/>
      <c r="LPA3" s="284"/>
      <c r="LPB3" s="284"/>
      <c r="LPC3" s="284"/>
      <c r="LPD3" s="284"/>
      <c r="LPE3" s="284"/>
      <c r="LPF3" s="284"/>
      <c r="LPG3" s="284"/>
      <c r="LPH3" s="284"/>
      <c r="LPI3" s="284"/>
      <c r="LPJ3" s="284"/>
      <c r="LPK3" s="284"/>
      <c r="LPL3" s="284"/>
      <c r="LPM3" s="284"/>
      <c r="LPN3" s="284"/>
      <c r="LPO3" s="284"/>
      <c r="LPP3" s="284"/>
      <c r="LPQ3" s="284"/>
      <c r="LPR3" s="284"/>
      <c r="LPS3" s="284"/>
      <c r="LPT3" s="284"/>
      <c r="LPU3" s="284"/>
      <c r="LPV3" s="284"/>
      <c r="LPW3" s="284"/>
      <c r="LPX3" s="284"/>
      <c r="LPY3" s="284"/>
      <c r="LPZ3" s="284"/>
      <c r="LQA3" s="284"/>
      <c r="LQB3" s="284"/>
      <c r="LQC3" s="284"/>
      <c r="LQD3" s="284"/>
      <c r="LQE3" s="284"/>
      <c r="LQF3" s="284"/>
      <c r="LQG3" s="284"/>
      <c r="LQH3" s="284"/>
      <c r="LQI3" s="284"/>
      <c r="LQJ3" s="284"/>
      <c r="LQK3" s="284"/>
      <c r="LQL3" s="284"/>
      <c r="LQM3" s="284"/>
      <c r="LQN3" s="284"/>
      <c r="LQO3" s="284"/>
      <c r="LQP3" s="284"/>
      <c r="LQQ3" s="284"/>
      <c r="LQR3" s="284"/>
      <c r="LQS3" s="284"/>
      <c r="LQT3" s="284"/>
      <c r="LQU3" s="284"/>
      <c r="LQV3" s="284"/>
      <c r="LQW3" s="284"/>
      <c r="LQX3" s="284"/>
      <c r="LQY3" s="284"/>
      <c r="LQZ3" s="284"/>
      <c r="LRA3" s="284"/>
      <c r="LRB3" s="284"/>
      <c r="LRC3" s="284"/>
      <c r="LRD3" s="284"/>
      <c r="LRE3" s="284"/>
      <c r="LRF3" s="284"/>
      <c r="LRG3" s="284"/>
      <c r="LRH3" s="284"/>
      <c r="LRI3" s="284"/>
      <c r="LRJ3" s="284"/>
      <c r="LRK3" s="284"/>
      <c r="LRL3" s="284"/>
      <c r="LRM3" s="284"/>
      <c r="LRN3" s="284"/>
      <c r="LRO3" s="284"/>
      <c r="LRP3" s="284"/>
      <c r="LRQ3" s="284"/>
      <c r="LRR3" s="284"/>
      <c r="LRS3" s="284"/>
      <c r="LRT3" s="284"/>
      <c r="LRU3" s="284"/>
      <c r="LRV3" s="284"/>
      <c r="LRW3" s="284"/>
      <c r="LRX3" s="284"/>
      <c r="LRY3" s="284"/>
      <c r="LRZ3" s="284"/>
      <c r="LSA3" s="284"/>
      <c r="LSB3" s="284"/>
      <c r="LSC3" s="284"/>
      <c r="LSD3" s="284"/>
      <c r="LSE3" s="284"/>
      <c r="LSF3" s="284"/>
      <c r="LSG3" s="284"/>
      <c r="LSH3" s="284"/>
      <c r="LSI3" s="284"/>
      <c r="LSJ3" s="284"/>
      <c r="LSK3" s="284"/>
      <c r="LSL3" s="284"/>
      <c r="LSM3" s="284"/>
      <c r="LSN3" s="284"/>
      <c r="LSO3" s="284"/>
      <c r="LSP3" s="284"/>
      <c r="LSQ3" s="284"/>
      <c r="LSR3" s="284"/>
      <c r="LSS3" s="284"/>
      <c r="LST3" s="284"/>
      <c r="LSU3" s="284"/>
      <c r="LSV3" s="284"/>
      <c r="LSW3" s="284"/>
      <c r="LSX3" s="284"/>
      <c r="LSY3" s="284"/>
      <c r="LSZ3" s="284"/>
      <c r="LTA3" s="284"/>
      <c r="LTB3" s="284"/>
      <c r="LTC3" s="284"/>
      <c r="LTD3" s="284"/>
      <c r="LTE3" s="284"/>
      <c r="LTF3" s="284"/>
      <c r="LTG3" s="284"/>
      <c r="LTH3" s="284"/>
      <c r="LTI3" s="284"/>
      <c r="LTJ3" s="284"/>
      <c r="LTK3" s="284"/>
      <c r="LTL3" s="284"/>
      <c r="LTM3" s="284"/>
      <c r="LTN3" s="284"/>
      <c r="LTO3" s="284"/>
      <c r="LTP3" s="284"/>
      <c r="LTQ3" s="284"/>
      <c r="LTR3" s="284"/>
      <c r="LTS3" s="284"/>
      <c r="LTT3" s="284"/>
      <c r="LTU3" s="284"/>
      <c r="LTV3" s="284"/>
      <c r="LTW3" s="284"/>
      <c r="LTX3" s="284"/>
      <c r="LTY3" s="284"/>
      <c r="LTZ3" s="284"/>
      <c r="LUA3" s="284"/>
      <c r="LUB3" s="284"/>
      <c r="LUC3" s="284"/>
      <c r="LUD3" s="284"/>
      <c r="LUE3" s="284"/>
      <c r="LUF3" s="284"/>
      <c r="LUG3" s="284"/>
      <c r="LUH3" s="284"/>
      <c r="LUI3" s="284"/>
      <c r="LUJ3" s="284"/>
      <c r="LUK3" s="284"/>
      <c r="LUL3" s="284"/>
      <c r="LUM3" s="284"/>
      <c r="LUN3" s="284"/>
      <c r="LUO3" s="284"/>
      <c r="LUP3" s="284"/>
      <c r="LUQ3" s="284"/>
      <c r="LUR3" s="284"/>
      <c r="LUS3" s="284"/>
      <c r="LUT3" s="284"/>
      <c r="LUU3" s="284"/>
      <c r="LUV3" s="284"/>
      <c r="LUW3" s="284"/>
      <c r="LUX3" s="284"/>
      <c r="LUY3" s="284"/>
      <c r="LUZ3" s="284"/>
      <c r="LVA3" s="284"/>
      <c r="LVB3" s="284"/>
      <c r="LVC3" s="284"/>
      <c r="LVD3" s="284"/>
      <c r="LVE3" s="284"/>
      <c r="LVF3" s="284"/>
      <c r="LVG3" s="284"/>
      <c r="LVH3" s="284"/>
      <c r="LVI3" s="284"/>
      <c r="LVJ3" s="284"/>
      <c r="LVK3" s="284"/>
      <c r="LVL3" s="284"/>
      <c r="LVM3" s="284"/>
      <c r="LVN3" s="284"/>
      <c r="LVO3" s="284"/>
      <c r="LVP3" s="284"/>
      <c r="LVQ3" s="284"/>
      <c r="LVR3" s="284"/>
      <c r="LVS3" s="284"/>
      <c r="LVT3" s="284"/>
      <c r="LVU3" s="284"/>
      <c r="LVV3" s="284"/>
      <c r="LVW3" s="284"/>
      <c r="LVX3" s="284"/>
      <c r="LVY3" s="284"/>
      <c r="LVZ3" s="284"/>
      <c r="LWA3" s="284"/>
      <c r="LWB3" s="284"/>
      <c r="LWC3" s="284"/>
      <c r="LWD3" s="284"/>
      <c r="LWE3" s="284"/>
      <c r="LWF3" s="284"/>
      <c r="LWG3" s="284"/>
      <c r="LWH3" s="284"/>
      <c r="LWI3" s="284"/>
      <c r="LWJ3" s="284"/>
      <c r="LWK3" s="284"/>
      <c r="LWL3" s="284"/>
      <c r="LWM3" s="284"/>
      <c r="LWN3" s="284"/>
      <c r="LWO3" s="284"/>
      <c r="LWP3" s="284"/>
      <c r="LWQ3" s="284"/>
      <c r="LWR3" s="284"/>
      <c r="LWS3" s="284"/>
      <c r="LWT3" s="284"/>
      <c r="LWU3" s="284"/>
      <c r="LWV3" s="284"/>
      <c r="LWW3" s="284"/>
      <c r="LWX3" s="284"/>
      <c r="LWY3" s="284"/>
      <c r="LWZ3" s="284"/>
      <c r="LXA3" s="284"/>
      <c r="LXB3" s="284"/>
      <c r="LXC3" s="284"/>
      <c r="LXD3" s="284"/>
      <c r="LXE3" s="284"/>
      <c r="LXF3" s="284"/>
      <c r="LXG3" s="284"/>
      <c r="LXH3" s="284"/>
      <c r="LXI3" s="284"/>
      <c r="LXJ3" s="284"/>
      <c r="LXK3" s="284"/>
      <c r="LXL3" s="284"/>
      <c r="LXM3" s="284"/>
      <c r="LXN3" s="284"/>
      <c r="LXO3" s="284"/>
      <c r="LXP3" s="284"/>
      <c r="LXQ3" s="284"/>
      <c r="LXR3" s="284"/>
      <c r="LXS3" s="284"/>
      <c r="LXT3" s="284"/>
      <c r="LXU3" s="284"/>
      <c r="LXV3" s="284"/>
      <c r="LXW3" s="284"/>
      <c r="LXX3" s="284"/>
      <c r="LXY3" s="284"/>
      <c r="LXZ3" s="284"/>
      <c r="LYA3" s="284"/>
      <c r="LYB3" s="284"/>
      <c r="LYC3" s="284"/>
      <c r="LYD3" s="284"/>
      <c r="LYE3" s="284"/>
      <c r="LYF3" s="284"/>
      <c r="LYG3" s="284"/>
      <c r="LYH3" s="284"/>
      <c r="LYI3" s="284"/>
      <c r="LYJ3" s="284"/>
      <c r="LYK3" s="284"/>
      <c r="LYL3" s="284"/>
      <c r="LYM3" s="284"/>
      <c r="LYN3" s="284"/>
      <c r="LYO3" s="284"/>
      <c r="LYP3" s="284"/>
      <c r="LYQ3" s="284"/>
      <c r="LYR3" s="284"/>
      <c r="LYS3" s="284"/>
      <c r="LYT3" s="284"/>
      <c r="LYU3" s="284"/>
      <c r="LYV3" s="284"/>
      <c r="LYW3" s="284"/>
      <c r="LYX3" s="284"/>
      <c r="LYY3" s="284"/>
      <c r="LYZ3" s="284"/>
      <c r="LZA3" s="284"/>
      <c r="LZB3" s="284"/>
      <c r="LZC3" s="284"/>
      <c r="LZD3" s="284"/>
      <c r="LZE3" s="284"/>
      <c r="LZF3" s="284"/>
      <c r="LZG3" s="284"/>
      <c r="LZH3" s="284"/>
      <c r="LZI3" s="284"/>
      <c r="LZJ3" s="284"/>
      <c r="LZK3" s="284"/>
      <c r="LZL3" s="284"/>
      <c r="LZM3" s="284"/>
      <c r="LZN3" s="284"/>
      <c r="LZO3" s="284"/>
      <c r="LZP3" s="284"/>
      <c r="LZQ3" s="284"/>
      <c r="LZR3" s="284"/>
      <c r="LZS3" s="284"/>
      <c r="LZT3" s="284"/>
      <c r="LZU3" s="284"/>
      <c r="LZV3" s="284"/>
      <c r="LZW3" s="284"/>
      <c r="LZX3" s="284"/>
      <c r="LZY3" s="284"/>
      <c r="LZZ3" s="284"/>
      <c r="MAA3" s="284"/>
      <c r="MAB3" s="284"/>
      <c r="MAC3" s="284"/>
      <c r="MAD3" s="284"/>
      <c r="MAE3" s="284"/>
      <c r="MAF3" s="284"/>
      <c r="MAG3" s="284"/>
      <c r="MAH3" s="284"/>
      <c r="MAI3" s="284"/>
      <c r="MAJ3" s="284"/>
      <c r="MAK3" s="284"/>
      <c r="MAL3" s="284"/>
      <c r="MAM3" s="284"/>
      <c r="MAN3" s="284"/>
      <c r="MAO3" s="284"/>
      <c r="MAP3" s="284"/>
      <c r="MAQ3" s="284"/>
      <c r="MAR3" s="284"/>
      <c r="MAS3" s="284"/>
      <c r="MAT3" s="284"/>
      <c r="MAU3" s="284"/>
      <c r="MAV3" s="284"/>
      <c r="MAW3" s="284"/>
      <c r="MAX3" s="284"/>
      <c r="MAY3" s="284"/>
      <c r="MAZ3" s="284"/>
      <c r="MBA3" s="284"/>
      <c r="MBB3" s="284"/>
      <c r="MBC3" s="284"/>
      <c r="MBD3" s="284"/>
      <c r="MBE3" s="284"/>
      <c r="MBF3" s="284"/>
      <c r="MBG3" s="284"/>
      <c r="MBH3" s="284"/>
      <c r="MBI3" s="284"/>
      <c r="MBJ3" s="284"/>
      <c r="MBK3" s="284"/>
      <c r="MBL3" s="284"/>
      <c r="MBM3" s="284"/>
      <c r="MBN3" s="284"/>
      <c r="MBO3" s="284"/>
      <c r="MBP3" s="284"/>
      <c r="MBQ3" s="284"/>
      <c r="MBR3" s="284"/>
      <c r="MBS3" s="284"/>
      <c r="MBT3" s="284"/>
      <c r="MBU3" s="284"/>
      <c r="MBV3" s="284"/>
      <c r="MBW3" s="284"/>
      <c r="MBX3" s="284"/>
      <c r="MBY3" s="284"/>
      <c r="MBZ3" s="284"/>
      <c r="MCA3" s="284"/>
      <c r="MCB3" s="284"/>
      <c r="MCC3" s="284"/>
      <c r="MCD3" s="284"/>
      <c r="MCE3" s="284"/>
      <c r="MCF3" s="284"/>
      <c r="MCG3" s="284"/>
      <c r="MCH3" s="284"/>
      <c r="MCI3" s="284"/>
      <c r="MCJ3" s="284"/>
      <c r="MCK3" s="284"/>
      <c r="MCL3" s="284"/>
      <c r="MCM3" s="284"/>
      <c r="MCN3" s="284"/>
      <c r="MCO3" s="284"/>
      <c r="MCP3" s="284"/>
      <c r="MCQ3" s="284"/>
      <c r="MCR3" s="284"/>
      <c r="MCS3" s="284"/>
      <c r="MCT3" s="284"/>
      <c r="MCU3" s="284"/>
      <c r="MCV3" s="284"/>
      <c r="MCW3" s="284"/>
      <c r="MCX3" s="284"/>
      <c r="MCY3" s="284"/>
      <c r="MCZ3" s="284"/>
      <c r="MDA3" s="284"/>
      <c r="MDB3" s="284"/>
      <c r="MDC3" s="284"/>
      <c r="MDD3" s="284"/>
      <c r="MDE3" s="284"/>
      <c r="MDF3" s="284"/>
      <c r="MDG3" s="284"/>
      <c r="MDH3" s="284"/>
      <c r="MDI3" s="284"/>
      <c r="MDJ3" s="284"/>
      <c r="MDK3" s="284"/>
      <c r="MDL3" s="284"/>
      <c r="MDM3" s="284"/>
      <c r="MDN3" s="284"/>
      <c r="MDO3" s="284"/>
      <c r="MDP3" s="284"/>
      <c r="MDQ3" s="284"/>
      <c r="MDR3" s="284"/>
      <c r="MDS3" s="284"/>
      <c r="MDT3" s="284"/>
      <c r="MDU3" s="284"/>
      <c r="MDV3" s="284"/>
      <c r="MDW3" s="284"/>
      <c r="MDX3" s="284"/>
      <c r="MDY3" s="284"/>
      <c r="MDZ3" s="284"/>
      <c r="MEA3" s="284"/>
      <c r="MEB3" s="284"/>
      <c r="MEC3" s="284"/>
      <c r="MED3" s="284"/>
      <c r="MEE3" s="284"/>
      <c r="MEF3" s="284"/>
      <c r="MEG3" s="284"/>
      <c r="MEH3" s="284"/>
      <c r="MEI3" s="284"/>
      <c r="MEJ3" s="284"/>
      <c r="MEK3" s="284"/>
      <c r="MEL3" s="284"/>
      <c r="MEM3" s="284"/>
      <c r="MEN3" s="284"/>
      <c r="MEO3" s="284"/>
      <c r="MEP3" s="284"/>
      <c r="MEQ3" s="284"/>
      <c r="MER3" s="284"/>
      <c r="MES3" s="284"/>
      <c r="MET3" s="284"/>
      <c r="MEU3" s="284"/>
      <c r="MEV3" s="284"/>
      <c r="MEW3" s="284"/>
      <c r="MEX3" s="284"/>
      <c r="MEY3" s="284"/>
      <c r="MEZ3" s="284"/>
      <c r="MFA3" s="284"/>
      <c r="MFB3" s="284"/>
      <c r="MFC3" s="284"/>
      <c r="MFD3" s="284"/>
      <c r="MFE3" s="284"/>
      <c r="MFF3" s="284"/>
      <c r="MFG3" s="284"/>
      <c r="MFH3" s="284"/>
      <c r="MFI3" s="284"/>
      <c r="MFJ3" s="284"/>
      <c r="MFK3" s="284"/>
      <c r="MFL3" s="284"/>
      <c r="MFM3" s="284"/>
      <c r="MFN3" s="284"/>
      <c r="MFO3" s="284"/>
      <c r="MFP3" s="284"/>
      <c r="MFQ3" s="284"/>
      <c r="MFR3" s="284"/>
      <c r="MFS3" s="284"/>
      <c r="MFT3" s="284"/>
      <c r="MFU3" s="284"/>
      <c r="MFV3" s="284"/>
      <c r="MFW3" s="284"/>
      <c r="MFX3" s="284"/>
      <c r="MFY3" s="284"/>
      <c r="MFZ3" s="284"/>
      <c r="MGA3" s="284"/>
      <c r="MGB3" s="284"/>
      <c r="MGC3" s="284"/>
      <c r="MGD3" s="284"/>
      <c r="MGE3" s="284"/>
      <c r="MGF3" s="284"/>
      <c r="MGG3" s="284"/>
      <c r="MGH3" s="284"/>
      <c r="MGI3" s="284"/>
      <c r="MGJ3" s="284"/>
      <c r="MGK3" s="284"/>
      <c r="MGL3" s="284"/>
      <c r="MGM3" s="284"/>
      <c r="MGN3" s="284"/>
      <c r="MGO3" s="284"/>
      <c r="MGP3" s="284"/>
      <c r="MGQ3" s="284"/>
      <c r="MGR3" s="284"/>
      <c r="MGS3" s="284"/>
      <c r="MGT3" s="284"/>
      <c r="MGU3" s="284"/>
      <c r="MGV3" s="284"/>
      <c r="MGW3" s="284"/>
      <c r="MGX3" s="284"/>
      <c r="MGY3" s="284"/>
      <c r="MGZ3" s="284"/>
      <c r="MHA3" s="284"/>
      <c r="MHB3" s="284"/>
      <c r="MHC3" s="284"/>
      <c r="MHD3" s="284"/>
      <c r="MHE3" s="284"/>
      <c r="MHF3" s="284"/>
      <c r="MHG3" s="284"/>
      <c r="MHH3" s="284"/>
      <c r="MHI3" s="284"/>
      <c r="MHJ3" s="284"/>
      <c r="MHK3" s="284"/>
      <c r="MHL3" s="284"/>
      <c r="MHM3" s="284"/>
      <c r="MHN3" s="284"/>
      <c r="MHO3" s="284"/>
      <c r="MHP3" s="284"/>
      <c r="MHQ3" s="284"/>
      <c r="MHR3" s="284"/>
      <c r="MHS3" s="284"/>
      <c r="MHT3" s="284"/>
      <c r="MHU3" s="284"/>
      <c r="MHV3" s="284"/>
      <c r="MHW3" s="284"/>
      <c r="MHX3" s="284"/>
      <c r="MHY3" s="284"/>
      <c r="MHZ3" s="284"/>
      <c r="MIA3" s="284"/>
      <c r="MIB3" s="284"/>
      <c r="MIC3" s="284"/>
      <c r="MID3" s="284"/>
      <c r="MIE3" s="284"/>
      <c r="MIF3" s="284"/>
      <c r="MIG3" s="284"/>
      <c r="MIH3" s="284"/>
      <c r="MII3" s="284"/>
      <c r="MIJ3" s="284"/>
      <c r="MIK3" s="284"/>
      <c r="MIL3" s="284"/>
      <c r="MIM3" s="284"/>
      <c r="MIN3" s="284"/>
      <c r="MIO3" s="284"/>
      <c r="MIP3" s="284"/>
      <c r="MIQ3" s="284"/>
      <c r="MIR3" s="284"/>
      <c r="MIS3" s="284"/>
      <c r="MIT3" s="284"/>
      <c r="MIU3" s="284"/>
      <c r="MIV3" s="284"/>
      <c r="MIW3" s="284"/>
      <c r="MIX3" s="284"/>
      <c r="MIY3" s="284"/>
      <c r="MIZ3" s="284"/>
      <c r="MJA3" s="284"/>
      <c r="MJB3" s="284"/>
      <c r="MJC3" s="284"/>
      <c r="MJD3" s="284"/>
      <c r="MJE3" s="284"/>
      <c r="MJF3" s="284"/>
      <c r="MJG3" s="284"/>
      <c r="MJH3" s="284"/>
      <c r="MJI3" s="284"/>
      <c r="MJJ3" s="284"/>
      <c r="MJK3" s="284"/>
      <c r="MJL3" s="284"/>
      <c r="MJM3" s="284"/>
      <c r="MJN3" s="284"/>
      <c r="MJO3" s="284"/>
      <c r="MJP3" s="284"/>
      <c r="MJQ3" s="284"/>
      <c r="MJR3" s="284"/>
      <c r="MJS3" s="284"/>
      <c r="MJT3" s="284"/>
      <c r="MJU3" s="284"/>
      <c r="MJV3" s="284"/>
      <c r="MJW3" s="284"/>
      <c r="MJX3" s="284"/>
      <c r="MJY3" s="284"/>
      <c r="MJZ3" s="284"/>
      <c r="MKA3" s="284"/>
      <c r="MKB3" s="284"/>
      <c r="MKC3" s="284"/>
      <c r="MKD3" s="284"/>
      <c r="MKE3" s="284"/>
      <c r="MKF3" s="284"/>
      <c r="MKG3" s="284"/>
      <c r="MKH3" s="284"/>
      <c r="MKI3" s="284"/>
      <c r="MKJ3" s="284"/>
      <c r="MKK3" s="284"/>
      <c r="MKL3" s="284"/>
      <c r="MKM3" s="284"/>
      <c r="MKN3" s="284"/>
      <c r="MKO3" s="284"/>
      <c r="MKP3" s="284"/>
      <c r="MKQ3" s="284"/>
      <c r="MKR3" s="284"/>
      <c r="MKS3" s="284"/>
      <c r="MKT3" s="284"/>
      <c r="MKU3" s="284"/>
      <c r="MKV3" s="284"/>
      <c r="MKW3" s="284"/>
      <c r="MKX3" s="284"/>
      <c r="MKY3" s="284"/>
      <c r="MKZ3" s="284"/>
      <c r="MLA3" s="284"/>
      <c r="MLB3" s="284"/>
      <c r="MLC3" s="284"/>
      <c r="MLD3" s="284"/>
      <c r="MLE3" s="284"/>
      <c r="MLF3" s="284"/>
      <c r="MLG3" s="284"/>
      <c r="MLH3" s="284"/>
      <c r="MLI3" s="284"/>
      <c r="MLJ3" s="284"/>
      <c r="MLK3" s="284"/>
      <c r="MLL3" s="284"/>
      <c r="MLM3" s="284"/>
      <c r="MLN3" s="284"/>
      <c r="MLO3" s="284"/>
      <c r="MLP3" s="284"/>
      <c r="MLQ3" s="284"/>
      <c r="MLR3" s="284"/>
      <c r="MLS3" s="284"/>
      <c r="MLT3" s="284"/>
      <c r="MLU3" s="284"/>
      <c r="MLV3" s="284"/>
      <c r="MLW3" s="284"/>
      <c r="MLX3" s="284"/>
      <c r="MLY3" s="284"/>
      <c r="MLZ3" s="284"/>
      <c r="MMA3" s="284"/>
      <c r="MMB3" s="284"/>
      <c r="MMC3" s="284"/>
      <c r="MMD3" s="284"/>
      <c r="MME3" s="284"/>
      <c r="MMF3" s="284"/>
      <c r="MMG3" s="284"/>
      <c r="MMH3" s="284"/>
      <c r="MMI3" s="284"/>
      <c r="MMJ3" s="284"/>
      <c r="MMK3" s="284"/>
      <c r="MML3" s="284"/>
      <c r="MMM3" s="284"/>
      <c r="MMN3" s="284"/>
      <c r="MMO3" s="284"/>
      <c r="MMP3" s="284"/>
      <c r="MMQ3" s="284"/>
      <c r="MMR3" s="284"/>
      <c r="MMS3" s="284"/>
      <c r="MMT3" s="284"/>
      <c r="MMU3" s="284"/>
      <c r="MMV3" s="284"/>
      <c r="MMW3" s="284"/>
      <c r="MMX3" s="284"/>
      <c r="MMY3" s="284"/>
      <c r="MMZ3" s="284"/>
      <c r="MNA3" s="284"/>
      <c r="MNB3" s="284"/>
      <c r="MNC3" s="284"/>
      <c r="MND3" s="284"/>
      <c r="MNE3" s="284"/>
      <c r="MNF3" s="284"/>
      <c r="MNG3" s="284"/>
      <c r="MNH3" s="284"/>
      <c r="MNI3" s="284"/>
      <c r="MNJ3" s="284"/>
      <c r="MNK3" s="284"/>
      <c r="MNL3" s="284"/>
      <c r="MNM3" s="284"/>
      <c r="MNN3" s="284"/>
      <c r="MNO3" s="284"/>
      <c r="MNP3" s="284"/>
      <c r="MNQ3" s="284"/>
      <c r="MNR3" s="284"/>
      <c r="MNS3" s="284"/>
      <c r="MNT3" s="284"/>
      <c r="MNU3" s="284"/>
      <c r="MNV3" s="284"/>
      <c r="MNW3" s="284"/>
      <c r="MNX3" s="284"/>
      <c r="MNY3" s="284"/>
      <c r="MNZ3" s="284"/>
      <c r="MOA3" s="284"/>
      <c r="MOB3" s="284"/>
      <c r="MOC3" s="284"/>
      <c r="MOD3" s="284"/>
      <c r="MOE3" s="284"/>
      <c r="MOF3" s="284"/>
      <c r="MOG3" s="284"/>
      <c r="MOH3" s="284"/>
      <c r="MOI3" s="284"/>
      <c r="MOJ3" s="284"/>
      <c r="MOK3" s="284"/>
      <c r="MOL3" s="284"/>
      <c r="MOM3" s="284"/>
      <c r="MON3" s="284"/>
      <c r="MOO3" s="284"/>
      <c r="MOP3" s="284"/>
      <c r="MOQ3" s="284"/>
      <c r="MOR3" s="284"/>
      <c r="MOS3" s="284"/>
      <c r="MOT3" s="284"/>
      <c r="MOU3" s="284"/>
      <c r="MOV3" s="284"/>
      <c r="MOW3" s="284"/>
      <c r="MOX3" s="284"/>
      <c r="MOY3" s="284"/>
      <c r="MOZ3" s="284"/>
      <c r="MPA3" s="284"/>
      <c r="MPB3" s="284"/>
      <c r="MPC3" s="284"/>
      <c r="MPD3" s="284"/>
      <c r="MPE3" s="284"/>
      <c r="MPF3" s="284"/>
      <c r="MPG3" s="284"/>
      <c r="MPH3" s="284"/>
      <c r="MPI3" s="284"/>
      <c r="MPJ3" s="284"/>
      <c r="MPK3" s="284"/>
      <c r="MPL3" s="284"/>
      <c r="MPM3" s="284"/>
      <c r="MPN3" s="284"/>
      <c r="MPO3" s="284"/>
      <c r="MPP3" s="284"/>
      <c r="MPQ3" s="284"/>
      <c r="MPR3" s="284"/>
      <c r="MPS3" s="284"/>
      <c r="MPT3" s="284"/>
      <c r="MPU3" s="284"/>
      <c r="MPV3" s="284"/>
      <c r="MPW3" s="284"/>
      <c r="MPX3" s="284"/>
      <c r="MPY3" s="284"/>
      <c r="MPZ3" s="284"/>
      <c r="MQA3" s="284"/>
      <c r="MQB3" s="284"/>
      <c r="MQC3" s="284"/>
      <c r="MQD3" s="284"/>
      <c r="MQE3" s="284"/>
      <c r="MQF3" s="284"/>
      <c r="MQG3" s="284"/>
      <c r="MQH3" s="284"/>
      <c r="MQI3" s="284"/>
      <c r="MQJ3" s="284"/>
      <c r="MQK3" s="284"/>
      <c r="MQL3" s="284"/>
      <c r="MQM3" s="284"/>
      <c r="MQN3" s="284"/>
      <c r="MQO3" s="284"/>
      <c r="MQP3" s="284"/>
      <c r="MQQ3" s="284"/>
      <c r="MQR3" s="284"/>
      <c r="MQS3" s="284"/>
      <c r="MQT3" s="284"/>
      <c r="MQU3" s="284"/>
      <c r="MQV3" s="284"/>
      <c r="MQW3" s="284"/>
      <c r="MQX3" s="284"/>
      <c r="MQY3" s="284"/>
      <c r="MQZ3" s="284"/>
      <c r="MRA3" s="284"/>
      <c r="MRB3" s="284"/>
      <c r="MRC3" s="284"/>
      <c r="MRD3" s="284"/>
      <c r="MRE3" s="284"/>
      <c r="MRF3" s="284"/>
      <c r="MRG3" s="284"/>
      <c r="MRH3" s="284"/>
      <c r="MRI3" s="284"/>
      <c r="MRJ3" s="284"/>
      <c r="MRK3" s="284"/>
      <c r="MRL3" s="284"/>
      <c r="MRM3" s="284"/>
      <c r="MRN3" s="284"/>
      <c r="MRO3" s="284"/>
      <c r="MRP3" s="284"/>
      <c r="MRQ3" s="284"/>
      <c r="MRR3" s="284"/>
      <c r="MRS3" s="284"/>
      <c r="MRT3" s="284"/>
      <c r="MRU3" s="284"/>
      <c r="MRV3" s="284"/>
      <c r="MRW3" s="284"/>
      <c r="MRX3" s="284"/>
      <c r="MRY3" s="284"/>
      <c r="MRZ3" s="284"/>
      <c r="MSA3" s="284"/>
      <c r="MSB3" s="284"/>
      <c r="MSC3" s="284"/>
      <c r="MSD3" s="284"/>
      <c r="MSE3" s="284"/>
      <c r="MSF3" s="284"/>
      <c r="MSG3" s="284"/>
      <c r="MSH3" s="284"/>
      <c r="MSI3" s="284"/>
      <c r="MSJ3" s="284"/>
      <c r="MSK3" s="284"/>
      <c r="MSL3" s="284"/>
      <c r="MSM3" s="284"/>
      <c r="MSN3" s="284"/>
      <c r="MSO3" s="284"/>
      <c r="MSP3" s="284"/>
      <c r="MSQ3" s="284"/>
      <c r="MSR3" s="284"/>
      <c r="MSS3" s="284"/>
      <c r="MST3" s="284"/>
      <c r="MSU3" s="284"/>
      <c r="MSV3" s="284"/>
      <c r="MSW3" s="284"/>
      <c r="MSX3" s="284"/>
      <c r="MSY3" s="284"/>
      <c r="MSZ3" s="284"/>
      <c r="MTA3" s="284"/>
      <c r="MTB3" s="284"/>
      <c r="MTC3" s="284"/>
      <c r="MTD3" s="284"/>
      <c r="MTE3" s="284"/>
      <c r="MTF3" s="284"/>
      <c r="MTG3" s="284"/>
      <c r="MTH3" s="284"/>
      <c r="MTI3" s="284"/>
      <c r="MTJ3" s="284"/>
      <c r="MTK3" s="284"/>
      <c r="MTL3" s="284"/>
      <c r="MTM3" s="284"/>
      <c r="MTN3" s="284"/>
      <c r="MTO3" s="284"/>
      <c r="MTP3" s="284"/>
      <c r="MTQ3" s="284"/>
      <c r="MTR3" s="284"/>
      <c r="MTS3" s="284"/>
      <c r="MTT3" s="284"/>
      <c r="MTU3" s="284"/>
      <c r="MTV3" s="284"/>
      <c r="MTW3" s="284"/>
      <c r="MTX3" s="284"/>
      <c r="MTY3" s="284"/>
      <c r="MTZ3" s="284"/>
      <c r="MUA3" s="284"/>
      <c r="MUB3" s="284"/>
      <c r="MUC3" s="284"/>
      <c r="MUD3" s="284"/>
      <c r="MUE3" s="284"/>
      <c r="MUF3" s="284"/>
      <c r="MUG3" s="284"/>
      <c r="MUH3" s="284"/>
      <c r="MUI3" s="284"/>
      <c r="MUJ3" s="284"/>
      <c r="MUK3" s="284"/>
      <c r="MUL3" s="284"/>
      <c r="MUM3" s="284"/>
      <c r="MUN3" s="284"/>
      <c r="MUO3" s="284"/>
      <c r="MUP3" s="284"/>
      <c r="MUQ3" s="284"/>
      <c r="MUR3" s="284"/>
      <c r="MUS3" s="284"/>
      <c r="MUT3" s="284"/>
      <c r="MUU3" s="284"/>
      <c r="MUV3" s="284"/>
      <c r="MUW3" s="284"/>
      <c r="MUX3" s="284"/>
      <c r="MUY3" s="284"/>
      <c r="MUZ3" s="284"/>
      <c r="MVA3" s="284"/>
      <c r="MVB3" s="284"/>
      <c r="MVC3" s="284"/>
      <c r="MVD3" s="284"/>
      <c r="MVE3" s="284"/>
      <c r="MVF3" s="284"/>
      <c r="MVG3" s="284"/>
      <c r="MVH3" s="284"/>
      <c r="MVI3" s="284"/>
      <c r="MVJ3" s="284"/>
      <c r="MVK3" s="284"/>
      <c r="MVL3" s="284"/>
      <c r="MVM3" s="284"/>
      <c r="MVN3" s="284"/>
      <c r="MVO3" s="284"/>
      <c r="MVP3" s="284"/>
      <c r="MVQ3" s="284"/>
      <c r="MVR3" s="284"/>
      <c r="MVS3" s="284"/>
      <c r="MVT3" s="284"/>
      <c r="MVU3" s="284"/>
      <c r="MVV3" s="284"/>
      <c r="MVW3" s="284"/>
      <c r="MVX3" s="284"/>
      <c r="MVY3" s="284"/>
      <c r="MVZ3" s="284"/>
      <c r="MWA3" s="284"/>
      <c r="MWB3" s="284"/>
      <c r="MWC3" s="284"/>
      <c r="MWD3" s="284"/>
      <c r="MWE3" s="284"/>
      <c r="MWF3" s="284"/>
      <c r="MWG3" s="284"/>
      <c r="MWH3" s="284"/>
      <c r="MWI3" s="284"/>
      <c r="MWJ3" s="284"/>
      <c r="MWK3" s="284"/>
      <c r="MWL3" s="284"/>
      <c r="MWM3" s="284"/>
      <c r="MWN3" s="284"/>
      <c r="MWO3" s="284"/>
      <c r="MWP3" s="284"/>
      <c r="MWQ3" s="284"/>
      <c r="MWR3" s="284"/>
      <c r="MWS3" s="284"/>
      <c r="MWT3" s="284"/>
      <c r="MWU3" s="284"/>
      <c r="MWV3" s="284"/>
      <c r="MWW3" s="284"/>
      <c r="MWX3" s="284"/>
      <c r="MWY3" s="284"/>
      <c r="MWZ3" s="284"/>
      <c r="MXA3" s="284"/>
      <c r="MXB3" s="284"/>
      <c r="MXC3" s="284"/>
      <c r="MXD3" s="284"/>
      <c r="MXE3" s="284"/>
      <c r="MXF3" s="284"/>
      <c r="MXG3" s="284"/>
      <c r="MXH3" s="284"/>
      <c r="MXI3" s="284"/>
      <c r="MXJ3" s="284"/>
      <c r="MXK3" s="284"/>
      <c r="MXL3" s="284"/>
      <c r="MXM3" s="284"/>
      <c r="MXN3" s="284"/>
      <c r="MXO3" s="284"/>
      <c r="MXP3" s="284"/>
      <c r="MXQ3" s="284"/>
      <c r="MXR3" s="284"/>
      <c r="MXS3" s="284"/>
      <c r="MXT3" s="284"/>
      <c r="MXU3" s="284"/>
      <c r="MXV3" s="284"/>
      <c r="MXW3" s="284"/>
      <c r="MXX3" s="284"/>
      <c r="MXY3" s="284"/>
      <c r="MXZ3" s="284"/>
      <c r="MYA3" s="284"/>
      <c r="MYB3" s="284"/>
      <c r="MYC3" s="284"/>
      <c r="MYD3" s="284"/>
      <c r="MYE3" s="284"/>
      <c r="MYF3" s="284"/>
      <c r="MYG3" s="284"/>
      <c r="MYH3" s="284"/>
      <c r="MYI3" s="284"/>
      <c r="MYJ3" s="284"/>
      <c r="MYK3" s="284"/>
      <c r="MYL3" s="284"/>
      <c r="MYM3" s="284"/>
      <c r="MYN3" s="284"/>
      <c r="MYO3" s="284"/>
      <c r="MYP3" s="284"/>
      <c r="MYQ3" s="284"/>
      <c r="MYR3" s="284"/>
      <c r="MYS3" s="284"/>
      <c r="MYT3" s="284"/>
      <c r="MYU3" s="284"/>
      <c r="MYV3" s="284"/>
      <c r="MYW3" s="284"/>
      <c r="MYX3" s="284"/>
      <c r="MYY3" s="284"/>
      <c r="MYZ3" s="284"/>
      <c r="MZA3" s="284"/>
      <c r="MZB3" s="284"/>
      <c r="MZC3" s="284"/>
      <c r="MZD3" s="284"/>
      <c r="MZE3" s="284"/>
      <c r="MZF3" s="284"/>
      <c r="MZG3" s="284"/>
      <c r="MZH3" s="284"/>
      <c r="MZI3" s="284"/>
      <c r="MZJ3" s="284"/>
      <c r="MZK3" s="284"/>
      <c r="MZL3" s="284"/>
      <c r="MZM3" s="284"/>
      <c r="MZN3" s="284"/>
      <c r="MZO3" s="284"/>
      <c r="MZP3" s="284"/>
      <c r="MZQ3" s="284"/>
      <c r="MZR3" s="284"/>
      <c r="MZS3" s="284"/>
      <c r="MZT3" s="284"/>
      <c r="MZU3" s="284"/>
      <c r="MZV3" s="284"/>
      <c r="MZW3" s="284"/>
      <c r="MZX3" s="284"/>
      <c r="MZY3" s="284"/>
      <c r="MZZ3" s="284"/>
      <c r="NAA3" s="284"/>
      <c r="NAB3" s="284"/>
      <c r="NAC3" s="284"/>
      <c r="NAD3" s="284"/>
      <c r="NAE3" s="284"/>
      <c r="NAF3" s="284"/>
      <c r="NAG3" s="284"/>
      <c r="NAH3" s="284"/>
      <c r="NAI3" s="284"/>
      <c r="NAJ3" s="284"/>
      <c r="NAK3" s="284"/>
      <c r="NAL3" s="284"/>
      <c r="NAM3" s="284"/>
      <c r="NAN3" s="284"/>
      <c r="NAO3" s="284"/>
      <c r="NAP3" s="284"/>
      <c r="NAQ3" s="284"/>
      <c r="NAR3" s="284"/>
      <c r="NAS3" s="284"/>
      <c r="NAT3" s="284"/>
      <c r="NAU3" s="284"/>
      <c r="NAV3" s="284"/>
      <c r="NAW3" s="284"/>
      <c r="NAX3" s="284"/>
      <c r="NAY3" s="284"/>
      <c r="NAZ3" s="284"/>
      <c r="NBA3" s="284"/>
      <c r="NBB3" s="284"/>
      <c r="NBC3" s="284"/>
      <c r="NBD3" s="284"/>
      <c r="NBE3" s="284"/>
      <c r="NBF3" s="284"/>
      <c r="NBG3" s="284"/>
      <c r="NBH3" s="284"/>
      <c r="NBI3" s="284"/>
      <c r="NBJ3" s="284"/>
      <c r="NBK3" s="284"/>
      <c r="NBL3" s="284"/>
      <c r="NBM3" s="284"/>
      <c r="NBN3" s="284"/>
      <c r="NBO3" s="284"/>
      <c r="NBP3" s="284"/>
      <c r="NBQ3" s="284"/>
      <c r="NBR3" s="284"/>
      <c r="NBS3" s="284"/>
      <c r="NBT3" s="284"/>
      <c r="NBU3" s="284"/>
      <c r="NBV3" s="284"/>
      <c r="NBW3" s="284"/>
      <c r="NBX3" s="284"/>
      <c r="NBY3" s="284"/>
      <c r="NBZ3" s="284"/>
      <c r="NCA3" s="284"/>
      <c r="NCB3" s="284"/>
      <c r="NCC3" s="284"/>
      <c r="NCD3" s="284"/>
      <c r="NCE3" s="284"/>
      <c r="NCF3" s="284"/>
      <c r="NCG3" s="284"/>
      <c r="NCH3" s="284"/>
      <c r="NCI3" s="284"/>
      <c r="NCJ3" s="284"/>
      <c r="NCK3" s="284"/>
      <c r="NCL3" s="284"/>
      <c r="NCM3" s="284"/>
      <c r="NCN3" s="284"/>
      <c r="NCO3" s="284"/>
      <c r="NCP3" s="284"/>
      <c r="NCQ3" s="284"/>
      <c r="NCR3" s="284"/>
      <c r="NCS3" s="284"/>
      <c r="NCT3" s="284"/>
      <c r="NCU3" s="284"/>
      <c r="NCV3" s="284"/>
      <c r="NCW3" s="284"/>
      <c r="NCX3" s="284"/>
      <c r="NCY3" s="284"/>
      <c r="NCZ3" s="284"/>
      <c r="NDA3" s="284"/>
      <c r="NDB3" s="284"/>
      <c r="NDC3" s="284"/>
      <c r="NDD3" s="284"/>
      <c r="NDE3" s="284"/>
      <c r="NDF3" s="284"/>
      <c r="NDG3" s="284"/>
      <c r="NDH3" s="284"/>
      <c r="NDI3" s="284"/>
      <c r="NDJ3" s="284"/>
      <c r="NDK3" s="284"/>
      <c r="NDL3" s="284"/>
      <c r="NDM3" s="284"/>
      <c r="NDN3" s="284"/>
      <c r="NDO3" s="284"/>
      <c r="NDP3" s="284"/>
      <c r="NDQ3" s="284"/>
      <c r="NDR3" s="284"/>
      <c r="NDS3" s="284"/>
      <c r="NDT3" s="284"/>
      <c r="NDU3" s="284"/>
      <c r="NDV3" s="284"/>
      <c r="NDW3" s="284"/>
      <c r="NDX3" s="284"/>
      <c r="NDY3" s="284"/>
      <c r="NDZ3" s="284"/>
      <c r="NEA3" s="284"/>
      <c r="NEB3" s="284"/>
      <c r="NEC3" s="284"/>
      <c r="NED3" s="284"/>
      <c r="NEE3" s="284"/>
      <c r="NEF3" s="284"/>
      <c r="NEG3" s="284"/>
      <c r="NEH3" s="284"/>
      <c r="NEI3" s="284"/>
      <c r="NEJ3" s="284"/>
      <c r="NEK3" s="284"/>
      <c r="NEL3" s="284"/>
      <c r="NEM3" s="284"/>
      <c r="NEN3" s="284"/>
      <c r="NEO3" s="284"/>
      <c r="NEP3" s="284"/>
      <c r="NEQ3" s="284"/>
      <c r="NER3" s="284"/>
      <c r="NES3" s="284"/>
      <c r="NET3" s="284"/>
      <c r="NEU3" s="284"/>
      <c r="NEV3" s="284"/>
      <c r="NEW3" s="284"/>
      <c r="NEX3" s="284"/>
      <c r="NEY3" s="284"/>
      <c r="NEZ3" s="284"/>
      <c r="NFA3" s="284"/>
      <c r="NFB3" s="284"/>
      <c r="NFC3" s="284"/>
      <c r="NFD3" s="284"/>
      <c r="NFE3" s="284"/>
      <c r="NFF3" s="284"/>
      <c r="NFG3" s="284"/>
      <c r="NFH3" s="284"/>
      <c r="NFI3" s="284"/>
      <c r="NFJ3" s="284"/>
      <c r="NFK3" s="284"/>
      <c r="NFL3" s="284"/>
      <c r="NFM3" s="284"/>
      <c r="NFN3" s="284"/>
      <c r="NFO3" s="284"/>
      <c r="NFP3" s="284"/>
      <c r="NFQ3" s="284"/>
      <c r="NFR3" s="284"/>
      <c r="NFS3" s="284"/>
      <c r="NFT3" s="284"/>
      <c r="NFU3" s="284"/>
      <c r="NFV3" s="284"/>
      <c r="NFW3" s="284"/>
      <c r="NFX3" s="284"/>
      <c r="NFY3" s="284"/>
      <c r="NFZ3" s="284"/>
      <c r="NGA3" s="284"/>
      <c r="NGB3" s="284"/>
      <c r="NGC3" s="284"/>
      <c r="NGD3" s="284"/>
      <c r="NGE3" s="284"/>
      <c r="NGF3" s="284"/>
      <c r="NGG3" s="284"/>
      <c r="NGH3" s="284"/>
      <c r="NGI3" s="284"/>
      <c r="NGJ3" s="284"/>
      <c r="NGK3" s="284"/>
      <c r="NGL3" s="284"/>
      <c r="NGM3" s="284"/>
      <c r="NGN3" s="284"/>
      <c r="NGO3" s="284"/>
      <c r="NGP3" s="284"/>
      <c r="NGQ3" s="284"/>
      <c r="NGR3" s="284"/>
      <c r="NGS3" s="284"/>
      <c r="NGT3" s="284"/>
      <c r="NGU3" s="284"/>
      <c r="NGV3" s="284"/>
      <c r="NGW3" s="284"/>
      <c r="NGX3" s="284"/>
      <c r="NGY3" s="284"/>
      <c r="NGZ3" s="284"/>
      <c r="NHA3" s="284"/>
      <c r="NHB3" s="284"/>
      <c r="NHC3" s="284"/>
      <c r="NHD3" s="284"/>
      <c r="NHE3" s="284"/>
      <c r="NHF3" s="284"/>
      <c r="NHG3" s="284"/>
      <c r="NHH3" s="284"/>
      <c r="NHI3" s="284"/>
      <c r="NHJ3" s="284"/>
      <c r="NHK3" s="284"/>
      <c r="NHL3" s="284"/>
      <c r="NHM3" s="284"/>
      <c r="NHN3" s="284"/>
      <c r="NHO3" s="284"/>
      <c r="NHP3" s="284"/>
      <c r="NHQ3" s="284"/>
      <c r="NHR3" s="284"/>
      <c r="NHS3" s="284"/>
      <c r="NHT3" s="284"/>
      <c r="NHU3" s="284"/>
      <c r="NHV3" s="284"/>
      <c r="NHW3" s="284"/>
      <c r="NHX3" s="284"/>
      <c r="NHY3" s="284"/>
      <c r="NHZ3" s="284"/>
      <c r="NIA3" s="284"/>
      <c r="NIB3" s="284"/>
      <c r="NIC3" s="284"/>
      <c r="NID3" s="284"/>
      <c r="NIE3" s="284"/>
      <c r="NIF3" s="284"/>
      <c r="NIG3" s="284"/>
      <c r="NIH3" s="284"/>
      <c r="NII3" s="284"/>
      <c r="NIJ3" s="284"/>
      <c r="NIK3" s="284"/>
      <c r="NIL3" s="284"/>
      <c r="NIM3" s="284"/>
      <c r="NIN3" s="284"/>
      <c r="NIO3" s="284"/>
      <c r="NIP3" s="284"/>
      <c r="NIQ3" s="284"/>
      <c r="NIR3" s="284"/>
      <c r="NIS3" s="284"/>
      <c r="NIT3" s="284"/>
      <c r="NIU3" s="284"/>
      <c r="NIV3" s="284"/>
      <c r="NIW3" s="284"/>
      <c r="NIX3" s="284"/>
      <c r="NIY3" s="284"/>
      <c r="NIZ3" s="284"/>
      <c r="NJA3" s="284"/>
      <c r="NJB3" s="284"/>
      <c r="NJC3" s="284"/>
      <c r="NJD3" s="284"/>
      <c r="NJE3" s="284"/>
      <c r="NJF3" s="284"/>
      <c r="NJG3" s="284"/>
      <c r="NJH3" s="284"/>
      <c r="NJI3" s="284"/>
      <c r="NJJ3" s="284"/>
      <c r="NJK3" s="284"/>
      <c r="NJL3" s="284"/>
      <c r="NJM3" s="284"/>
      <c r="NJN3" s="284"/>
      <c r="NJO3" s="284"/>
      <c r="NJP3" s="284"/>
      <c r="NJQ3" s="284"/>
      <c r="NJR3" s="284"/>
      <c r="NJS3" s="284"/>
      <c r="NJT3" s="284"/>
      <c r="NJU3" s="284"/>
      <c r="NJV3" s="284"/>
      <c r="NJW3" s="284"/>
      <c r="NJX3" s="284"/>
      <c r="NJY3" s="284"/>
      <c r="NJZ3" s="284"/>
      <c r="NKA3" s="284"/>
      <c r="NKB3" s="284"/>
      <c r="NKC3" s="284"/>
      <c r="NKD3" s="284"/>
      <c r="NKE3" s="284"/>
      <c r="NKF3" s="284"/>
      <c r="NKG3" s="284"/>
      <c r="NKH3" s="284"/>
      <c r="NKI3" s="284"/>
      <c r="NKJ3" s="284"/>
      <c r="NKK3" s="284"/>
      <c r="NKL3" s="284"/>
      <c r="NKM3" s="284"/>
      <c r="NKN3" s="284"/>
      <c r="NKO3" s="284"/>
      <c r="NKP3" s="284"/>
      <c r="NKQ3" s="284"/>
      <c r="NKR3" s="284"/>
      <c r="NKS3" s="284"/>
      <c r="NKT3" s="284"/>
      <c r="NKU3" s="284"/>
      <c r="NKV3" s="284"/>
      <c r="NKW3" s="284"/>
      <c r="NKX3" s="284"/>
      <c r="NKY3" s="284"/>
      <c r="NKZ3" s="284"/>
      <c r="NLA3" s="284"/>
      <c r="NLB3" s="284"/>
      <c r="NLC3" s="284"/>
      <c r="NLD3" s="284"/>
      <c r="NLE3" s="284"/>
      <c r="NLF3" s="284"/>
      <c r="NLG3" s="284"/>
      <c r="NLH3" s="284"/>
      <c r="NLI3" s="284"/>
      <c r="NLJ3" s="284"/>
      <c r="NLK3" s="284"/>
      <c r="NLL3" s="284"/>
      <c r="NLM3" s="284"/>
      <c r="NLN3" s="284"/>
      <c r="NLO3" s="284"/>
      <c r="NLP3" s="284"/>
      <c r="NLQ3" s="284"/>
      <c r="NLR3" s="284"/>
      <c r="NLS3" s="284"/>
      <c r="NLT3" s="284"/>
      <c r="NLU3" s="284"/>
      <c r="NLV3" s="284"/>
      <c r="NLW3" s="284"/>
      <c r="NLX3" s="284"/>
      <c r="NLY3" s="284"/>
      <c r="NLZ3" s="284"/>
      <c r="NMA3" s="284"/>
      <c r="NMB3" s="284"/>
      <c r="NMC3" s="284"/>
      <c r="NMD3" s="284"/>
      <c r="NME3" s="284"/>
      <c r="NMF3" s="284"/>
      <c r="NMG3" s="284"/>
      <c r="NMH3" s="284"/>
      <c r="NMI3" s="284"/>
      <c r="NMJ3" s="284"/>
      <c r="NMK3" s="284"/>
      <c r="NML3" s="284"/>
      <c r="NMM3" s="284"/>
      <c r="NMN3" s="284"/>
      <c r="NMO3" s="284"/>
      <c r="NMP3" s="284"/>
      <c r="NMQ3" s="284"/>
      <c r="NMR3" s="284"/>
      <c r="NMS3" s="284"/>
      <c r="NMT3" s="284"/>
      <c r="NMU3" s="284"/>
      <c r="NMV3" s="284"/>
      <c r="NMW3" s="284"/>
      <c r="NMX3" s="284"/>
      <c r="NMY3" s="284"/>
      <c r="NMZ3" s="284"/>
      <c r="NNA3" s="284"/>
      <c r="NNB3" s="284"/>
      <c r="NNC3" s="284"/>
      <c r="NND3" s="284"/>
      <c r="NNE3" s="284"/>
      <c r="NNF3" s="284"/>
      <c r="NNG3" s="284"/>
      <c r="NNH3" s="284"/>
      <c r="NNI3" s="284"/>
      <c r="NNJ3" s="284"/>
      <c r="NNK3" s="284"/>
      <c r="NNL3" s="284"/>
      <c r="NNM3" s="284"/>
      <c r="NNN3" s="284"/>
      <c r="NNO3" s="284"/>
      <c r="NNP3" s="284"/>
      <c r="NNQ3" s="284"/>
      <c r="NNR3" s="284"/>
      <c r="NNS3" s="284"/>
      <c r="NNT3" s="284"/>
      <c r="NNU3" s="284"/>
      <c r="NNV3" s="284"/>
      <c r="NNW3" s="284"/>
      <c r="NNX3" s="284"/>
      <c r="NNY3" s="284"/>
      <c r="NNZ3" s="284"/>
      <c r="NOA3" s="284"/>
      <c r="NOB3" s="284"/>
      <c r="NOC3" s="284"/>
      <c r="NOD3" s="284"/>
      <c r="NOE3" s="284"/>
      <c r="NOF3" s="284"/>
      <c r="NOG3" s="284"/>
      <c r="NOH3" s="284"/>
      <c r="NOI3" s="284"/>
      <c r="NOJ3" s="284"/>
      <c r="NOK3" s="284"/>
      <c r="NOL3" s="284"/>
      <c r="NOM3" s="284"/>
      <c r="NON3" s="284"/>
      <c r="NOO3" s="284"/>
      <c r="NOP3" s="284"/>
      <c r="NOQ3" s="284"/>
      <c r="NOR3" s="284"/>
      <c r="NOS3" s="284"/>
      <c r="NOT3" s="284"/>
      <c r="NOU3" s="284"/>
      <c r="NOV3" s="284"/>
      <c r="NOW3" s="284"/>
      <c r="NOX3" s="284"/>
      <c r="NOY3" s="284"/>
      <c r="NOZ3" s="284"/>
      <c r="NPA3" s="284"/>
      <c r="NPB3" s="284"/>
      <c r="NPC3" s="284"/>
      <c r="NPD3" s="284"/>
      <c r="NPE3" s="284"/>
      <c r="NPF3" s="284"/>
      <c r="NPG3" s="284"/>
      <c r="NPH3" s="284"/>
      <c r="NPI3" s="284"/>
      <c r="NPJ3" s="284"/>
      <c r="NPK3" s="284"/>
      <c r="NPL3" s="284"/>
      <c r="NPM3" s="284"/>
      <c r="NPN3" s="284"/>
      <c r="NPO3" s="284"/>
      <c r="NPP3" s="284"/>
      <c r="NPQ3" s="284"/>
      <c r="NPR3" s="284"/>
      <c r="NPS3" s="284"/>
      <c r="NPT3" s="284"/>
      <c r="NPU3" s="284"/>
      <c r="NPV3" s="284"/>
      <c r="NPW3" s="284"/>
      <c r="NPX3" s="284"/>
      <c r="NPY3" s="284"/>
      <c r="NPZ3" s="284"/>
      <c r="NQA3" s="284"/>
      <c r="NQB3" s="284"/>
      <c r="NQC3" s="284"/>
      <c r="NQD3" s="284"/>
      <c r="NQE3" s="284"/>
      <c r="NQF3" s="284"/>
      <c r="NQG3" s="284"/>
      <c r="NQH3" s="284"/>
      <c r="NQI3" s="284"/>
      <c r="NQJ3" s="284"/>
      <c r="NQK3" s="284"/>
      <c r="NQL3" s="284"/>
      <c r="NQM3" s="284"/>
      <c r="NQN3" s="284"/>
      <c r="NQO3" s="284"/>
      <c r="NQP3" s="284"/>
      <c r="NQQ3" s="284"/>
      <c r="NQR3" s="284"/>
      <c r="NQS3" s="284"/>
      <c r="NQT3" s="284"/>
      <c r="NQU3" s="284"/>
      <c r="NQV3" s="284"/>
      <c r="NQW3" s="284"/>
      <c r="NQX3" s="284"/>
      <c r="NQY3" s="284"/>
      <c r="NQZ3" s="284"/>
      <c r="NRA3" s="284"/>
      <c r="NRB3" s="284"/>
      <c r="NRC3" s="284"/>
      <c r="NRD3" s="284"/>
      <c r="NRE3" s="284"/>
      <c r="NRF3" s="284"/>
      <c r="NRG3" s="284"/>
      <c r="NRH3" s="284"/>
      <c r="NRI3" s="284"/>
      <c r="NRJ3" s="284"/>
      <c r="NRK3" s="284"/>
      <c r="NRL3" s="284"/>
      <c r="NRM3" s="284"/>
      <c r="NRN3" s="284"/>
      <c r="NRO3" s="284"/>
      <c r="NRP3" s="284"/>
      <c r="NRQ3" s="284"/>
      <c r="NRR3" s="284"/>
      <c r="NRS3" s="284"/>
      <c r="NRT3" s="284"/>
      <c r="NRU3" s="284"/>
      <c r="NRV3" s="284"/>
      <c r="NRW3" s="284"/>
      <c r="NRX3" s="284"/>
      <c r="NRY3" s="284"/>
      <c r="NRZ3" s="284"/>
      <c r="NSA3" s="284"/>
      <c r="NSB3" s="284"/>
      <c r="NSC3" s="284"/>
      <c r="NSD3" s="284"/>
      <c r="NSE3" s="284"/>
      <c r="NSF3" s="284"/>
      <c r="NSG3" s="284"/>
      <c r="NSH3" s="284"/>
      <c r="NSI3" s="284"/>
      <c r="NSJ3" s="284"/>
      <c r="NSK3" s="284"/>
      <c r="NSL3" s="284"/>
      <c r="NSM3" s="284"/>
      <c r="NSN3" s="284"/>
      <c r="NSO3" s="284"/>
      <c r="NSP3" s="284"/>
      <c r="NSQ3" s="284"/>
      <c r="NSR3" s="284"/>
      <c r="NSS3" s="284"/>
      <c r="NST3" s="284"/>
      <c r="NSU3" s="284"/>
      <c r="NSV3" s="284"/>
      <c r="NSW3" s="284"/>
      <c r="NSX3" s="284"/>
      <c r="NSY3" s="284"/>
      <c r="NSZ3" s="284"/>
      <c r="NTA3" s="284"/>
      <c r="NTB3" s="284"/>
      <c r="NTC3" s="284"/>
      <c r="NTD3" s="284"/>
      <c r="NTE3" s="284"/>
      <c r="NTF3" s="284"/>
      <c r="NTG3" s="284"/>
      <c r="NTH3" s="284"/>
      <c r="NTI3" s="284"/>
      <c r="NTJ3" s="284"/>
      <c r="NTK3" s="284"/>
      <c r="NTL3" s="284"/>
      <c r="NTM3" s="284"/>
      <c r="NTN3" s="284"/>
      <c r="NTO3" s="284"/>
      <c r="NTP3" s="284"/>
      <c r="NTQ3" s="284"/>
      <c r="NTR3" s="284"/>
      <c r="NTS3" s="284"/>
      <c r="NTT3" s="284"/>
      <c r="NTU3" s="284"/>
      <c r="NTV3" s="284"/>
      <c r="NTW3" s="284"/>
      <c r="NTX3" s="284"/>
      <c r="NTY3" s="284"/>
      <c r="NTZ3" s="284"/>
      <c r="NUA3" s="284"/>
      <c r="NUB3" s="284"/>
      <c r="NUC3" s="284"/>
      <c r="NUD3" s="284"/>
      <c r="NUE3" s="284"/>
      <c r="NUF3" s="284"/>
      <c r="NUG3" s="284"/>
      <c r="NUH3" s="284"/>
      <c r="NUI3" s="284"/>
      <c r="NUJ3" s="284"/>
      <c r="NUK3" s="284"/>
      <c r="NUL3" s="284"/>
      <c r="NUM3" s="284"/>
      <c r="NUN3" s="284"/>
      <c r="NUO3" s="284"/>
      <c r="NUP3" s="284"/>
      <c r="NUQ3" s="284"/>
      <c r="NUR3" s="284"/>
      <c r="NUS3" s="284"/>
      <c r="NUT3" s="284"/>
      <c r="NUU3" s="284"/>
      <c r="NUV3" s="284"/>
      <c r="NUW3" s="284"/>
      <c r="NUX3" s="284"/>
      <c r="NUY3" s="284"/>
      <c r="NUZ3" s="284"/>
      <c r="NVA3" s="284"/>
      <c r="NVB3" s="284"/>
      <c r="NVC3" s="284"/>
      <c r="NVD3" s="284"/>
      <c r="NVE3" s="284"/>
      <c r="NVF3" s="284"/>
      <c r="NVG3" s="284"/>
      <c r="NVH3" s="284"/>
      <c r="NVI3" s="284"/>
      <c r="NVJ3" s="284"/>
      <c r="NVK3" s="284"/>
      <c r="NVL3" s="284"/>
      <c r="NVM3" s="284"/>
      <c r="NVN3" s="284"/>
      <c r="NVO3" s="284"/>
      <c r="NVP3" s="284"/>
      <c r="NVQ3" s="284"/>
      <c r="NVR3" s="284"/>
      <c r="NVS3" s="284"/>
      <c r="NVT3" s="284"/>
      <c r="NVU3" s="284"/>
      <c r="NVV3" s="284"/>
      <c r="NVW3" s="284"/>
      <c r="NVX3" s="284"/>
      <c r="NVY3" s="284"/>
      <c r="NVZ3" s="284"/>
      <c r="NWA3" s="284"/>
      <c r="NWB3" s="284"/>
      <c r="NWC3" s="284"/>
      <c r="NWD3" s="284"/>
      <c r="NWE3" s="284"/>
      <c r="NWF3" s="284"/>
      <c r="NWG3" s="284"/>
      <c r="NWH3" s="284"/>
      <c r="NWI3" s="284"/>
      <c r="NWJ3" s="284"/>
      <c r="NWK3" s="284"/>
      <c r="NWL3" s="284"/>
      <c r="NWM3" s="284"/>
      <c r="NWN3" s="284"/>
      <c r="NWO3" s="284"/>
      <c r="NWP3" s="284"/>
      <c r="NWQ3" s="284"/>
      <c r="NWR3" s="284"/>
      <c r="NWS3" s="284"/>
      <c r="NWT3" s="284"/>
      <c r="NWU3" s="284"/>
      <c r="NWV3" s="284"/>
      <c r="NWW3" s="284"/>
      <c r="NWX3" s="284"/>
      <c r="NWY3" s="284"/>
      <c r="NWZ3" s="284"/>
      <c r="NXA3" s="284"/>
      <c r="NXB3" s="284"/>
      <c r="NXC3" s="284"/>
      <c r="NXD3" s="284"/>
      <c r="NXE3" s="284"/>
      <c r="NXF3" s="284"/>
      <c r="NXG3" s="284"/>
      <c r="NXH3" s="284"/>
      <c r="NXI3" s="284"/>
      <c r="NXJ3" s="284"/>
      <c r="NXK3" s="284"/>
      <c r="NXL3" s="284"/>
      <c r="NXM3" s="284"/>
      <c r="NXN3" s="284"/>
      <c r="NXO3" s="284"/>
      <c r="NXP3" s="284"/>
      <c r="NXQ3" s="284"/>
      <c r="NXR3" s="284"/>
      <c r="NXS3" s="284"/>
      <c r="NXT3" s="284"/>
      <c r="NXU3" s="284"/>
      <c r="NXV3" s="284"/>
      <c r="NXW3" s="284"/>
      <c r="NXX3" s="284"/>
      <c r="NXY3" s="284"/>
      <c r="NXZ3" s="284"/>
      <c r="NYA3" s="284"/>
      <c r="NYB3" s="284"/>
      <c r="NYC3" s="284"/>
      <c r="NYD3" s="284"/>
      <c r="NYE3" s="284"/>
      <c r="NYF3" s="284"/>
      <c r="NYG3" s="284"/>
      <c r="NYH3" s="284"/>
      <c r="NYI3" s="284"/>
      <c r="NYJ3" s="284"/>
      <c r="NYK3" s="284"/>
      <c r="NYL3" s="284"/>
      <c r="NYM3" s="284"/>
      <c r="NYN3" s="284"/>
      <c r="NYO3" s="284"/>
      <c r="NYP3" s="284"/>
      <c r="NYQ3" s="284"/>
      <c r="NYR3" s="284"/>
      <c r="NYS3" s="284"/>
      <c r="NYT3" s="284"/>
      <c r="NYU3" s="284"/>
      <c r="NYV3" s="284"/>
      <c r="NYW3" s="284"/>
      <c r="NYX3" s="284"/>
      <c r="NYY3" s="284"/>
      <c r="NYZ3" s="284"/>
      <c r="NZA3" s="284"/>
      <c r="NZB3" s="284"/>
      <c r="NZC3" s="284"/>
      <c r="NZD3" s="284"/>
      <c r="NZE3" s="284"/>
      <c r="NZF3" s="284"/>
      <c r="NZG3" s="284"/>
      <c r="NZH3" s="284"/>
      <c r="NZI3" s="284"/>
      <c r="NZJ3" s="284"/>
      <c r="NZK3" s="284"/>
      <c r="NZL3" s="284"/>
      <c r="NZM3" s="284"/>
      <c r="NZN3" s="284"/>
      <c r="NZO3" s="284"/>
      <c r="NZP3" s="284"/>
      <c r="NZQ3" s="284"/>
      <c r="NZR3" s="284"/>
      <c r="NZS3" s="284"/>
      <c r="NZT3" s="284"/>
      <c r="NZU3" s="284"/>
      <c r="NZV3" s="284"/>
      <c r="NZW3" s="284"/>
      <c r="NZX3" s="284"/>
      <c r="NZY3" s="284"/>
      <c r="NZZ3" s="284"/>
      <c r="OAA3" s="284"/>
      <c r="OAB3" s="284"/>
      <c r="OAC3" s="284"/>
      <c r="OAD3" s="284"/>
      <c r="OAE3" s="284"/>
      <c r="OAF3" s="284"/>
      <c r="OAG3" s="284"/>
      <c r="OAH3" s="284"/>
      <c r="OAI3" s="284"/>
      <c r="OAJ3" s="284"/>
      <c r="OAK3" s="284"/>
      <c r="OAL3" s="284"/>
      <c r="OAM3" s="284"/>
      <c r="OAN3" s="284"/>
      <c r="OAO3" s="284"/>
      <c r="OAP3" s="284"/>
      <c r="OAQ3" s="284"/>
      <c r="OAR3" s="284"/>
      <c r="OAS3" s="284"/>
      <c r="OAT3" s="284"/>
      <c r="OAU3" s="284"/>
      <c r="OAV3" s="284"/>
      <c r="OAW3" s="284"/>
      <c r="OAX3" s="284"/>
      <c r="OAY3" s="284"/>
      <c r="OAZ3" s="284"/>
      <c r="OBA3" s="284"/>
      <c r="OBB3" s="284"/>
      <c r="OBC3" s="284"/>
      <c r="OBD3" s="284"/>
      <c r="OBE3" s="284"/>
      <c r="OBF3" s="284"/>
      <c r="OBG3" s="284"/>
      <c r="OBH3" s="284"/>
      <c r="OBI3" s="284"/>
      <c r="OBJ3" s="284"/>
      <c r="OBK3" s="284"/>
      <c r="OBL3" s="284"/>
      <c r="OBM3" s="284"/>
      <c r="OBN3" s="284"/>
      <c r="OBO3" s="284"/>
      <c r="OBP3" s="284"/>
      <c r="OBQ3" s="284"/>
      <c r="OBR3" s="284"/>
      <c r="OBS3" s="284"/>
      <c r="OBT3" s="284"/>
      <c r="OBU3" s="284"/>
      <c r="OBV3" s="284"/>
      <c r="OBW3" s="284"/>
      <c r="OBX3" s="284"/>
      <c r="OBY3" s="284"/>
      <c r="OBZ3" s="284"/>
      <c r="OCA3" s="284"/>
      <c r="OCB3" s="284"/>
      <c r="OCC3" s="284"/>
      <c r="OCD3" s="284"/>
      <c r="OCE3" s="284"/>
      <c r="OCF3" s="284"/>
      <c r="OCG3" s="284"/>
      <c r="OCH3" s="284"/>
      <c r="OCI3" s="284"/>
      <c r="OCJ3" s="284"/>
      <c r="OCK3" s="284"/>
      <c r="OCL3" s="284"/>
      <c r="OCM3" s="284"/>
      <c r="OCN3" s="284"/>
      <c r="OCO3" s="284"/>
      <c r="OCP3" s="284"/>
      <c r="OCQ3" s="284"/>
      <c r="OCR3" s="284"/>
      <c r="OCS3" s="284"/>
      <c r="OCT3" s="284"/>
      <c r="OCU3" s="284"/>
      <c r="OCV3" s="284"/>
      <c r="OCW3" s="284"/>
      <c r="OCX3" s="284"/>
      <c r="OCY3" s="284"/>
      <c r="OCZ3" s="284"/>
      <c r="ODA3" s="284"/>
      <c r="ODB3" s="284"/>
      <c r="ODC3" s="284"/>
      <c r="ODD3" s="284"/>
      <c r="ODE3" s="284"/>
      <c r="ODF3" s="284"/>
      <c r="ODG3" s="284"/>
      <c r="ODH3" s="284"/>
      <c r="ODI3" s="284"/>
      <c r="ODJ3" s="284"/>
      <c r="ODK3" s="284"/>
      <c r="ODL3" s="284"/>
      <c r="ODM3" s="284"/>
      <c r="ODN3" s="284"/>
      <c r="ODO3" s="284"/>
      <c r="ODP3" s="284"/>
      <c r="ODQ3" s="284"/>
      <c r="ODR3" s="284"/>
      <c r="ODS3" s="284"/>
      <c r="ODT3" s="284"/>
      <c r="ODU3" s="284"/>
      <c r="ODV3" s="284"/>
      <c r="ODW3" s="284"/>
      <c r="ODX3" s="284"/>
      <c r="ODY3" s="284"/>
      <c r="ODZ3" s="284"/>
      <c r="OEA3" s="284"/>
      <c r="OEB3" s="284"/>
      <c r="OEC3" s="284"/>
      <c r="OED3" s="284"/>
      <c r="OEE3" s="284"/>
      <c r="OEF3" s="284"/>
      <c r="OEG3" s="284"/>
      <c r="OEH3" s="284"/>
      <c r="OEI3" s="284"/>
      <c r="OEJ3" s="284"/>
      <c r="OEK3" s="284"/>
      <c r="OEL3" s="284"/>
      <c r="OEM3" s="284"/>
      <c r="OEN3" s="284"/>
      <c r="OEO3" s="284"/>
      <c r="OEP3" s="284"/>
      <c r="OEQ3" s="284"/>
      <c r="OER3" s="284"/>
      <c r="OES3" s="284"/>
      <c r="OET3" s="284"/>
      <c r="OEU3" s="284"/>
      <c r="OEV3" s="284"/>
      <c r="OEW3" s="284"/>
      <c r="OEX3" s="284"/>
      <c r="OEY3" s="284"/>
      <c r="OEZ3" s="284"/>
      <c r="OFA3" s="284"/>
      <c r="OFB3" s="284"/>
      <c r="OFC3" s="284"/>
      <c r="OFD3" s="284"/>
      <c r="OFE3" s="284"/>
      <c r="OFF3" s="284"/>
      <c r="OFG3" s="284"/>
      <c r="OFH3" s="284"/>
      <c r="OFI3" s="284"/>
      <c r="OFJ3" s="284"/>
      <c r="OFK3" s="284"/>
      <c r="OFL3" s="284"/>
      <c r="OFM3" s="284"/>
      <c r="OFN3" s="284"/>
      <c r="OFO3" s="284"/>
      <c r="OFP3" s="284"/>
      <c r="OFQ3" s="284"/>
      <c r="OFR3" s="284"/>
      <c r="OFS3" s="284"/>
      <c r="OFT3" s="284"/>
      <c r="OFU3" s="284"/>
      <c r="OFV3" s="284"/>
      <c r="OFW3" s="284"/>
      <c r="OFX3" s="284"/>
      <c r="OFY3" s="284"/>
      <c r="OFZ3" s="284"/>
      <c r="OGA3" s="284"/>
      <c r="OGB3" s="284"/>
      <c r="OGC3" s="284"/>
      <c r="OGD3" s="284"/>
      <c r="OGE3" s="284"/>
      <c r="OGF3" s="284"/>
      <c r="OGG3" s="284"/>
      <c r="OGH3" s="284"/>
      <c r="OGI3" s="284"/>
      <c r="OGJ3" s="284"/>
      <c r="OGK3" s="284"/>
      <c r="OGL3" s="284"/>
      <c r="OGM3" s="284"/>
      <c r="OGN3" s="284"/>
      <c r="OGO3" s="284"/>
      <c r="OGP3" s="284"/>
      <c r="OGQ3" s="284"/>
      <c r="OGR3" s="284"/>
      <c r="OGS3" s="284"/>
      <c r="OGT3" s="284"/>
      <c r="OGU3" s="284"/>
      <c r="OGV3" s="284"/>
      <c r="OGW3" s="284"/>
      <c r="OGX3" s="284"/>
      <c r="OGY3" s="284"/>
      <c r="OGZ3" s="284"/>
      <c r="OHA3" s="284"/>
      <c r="OHB3" s="284"/>
      <c r="OHC3" s="284"/>
      <c r="OHD3" s="284"/>
      <c r="OHE3" s="284"/>
      <c r="OHF3" s="284"/>
      <c r="OHG3" s="284"/>
      <c r="OHH3" s="284"/>
      <c r="OHI3" s="284"/>
      <c r="OHJ3" s="284"/>
      <c r="OHK3" s="284"/>
      <c r="OHL3" s="284"/>
      <c r="OHM3" s="284"/>
      <c r="OHN3" s="284"/>
      <c r="OHO3" s="284"/>
      <c r="OHP3" s="284"/>
      <c r="OHQ3" s="284"/>
      <c r="OHR3" s="284"/>
      <c r="OHS3" s="284"/>
      <c r="OHT3" s="284"/>
      <c r="OHU3" s="284"/>
      <c r="OHV3" s="284"/>
      <c r="OHW3" s="284"/>
      <c r="OHX3" s="284"/>
      <c r="OHY3" s="284"/>
      <c r="OHZ3" s="284"/>
      <c r="OIA3" s="284"/>
      <c r="OIB3" s="284"/>
      <c r="OIC3" s="284"/>
      <c r="OID3" s="284"/>
      <c r="OIE3" s="284"/>
      <c r="OIF3" s="284"/>
      <c r="OIG3" s="284"/>
      <c r="OIH3" s="284"/>
      <c r="OII3" s="284"/>
      <c r="OIJ3" s="284"/>
      <c r="OIK3" s="284"/>
      <c r="OIL3" s="284"/>
      <c r="OIM3" s="284"/>
      <c r="OIN3" s="284"/>
      <c r="OIO3" s="284"/>
      <c r="OIP3" s="284"/>
      <c r="OIQ3" s="284"/>
      <c r="OIR3" s="284"/>
      <c r="OIS3" s="284"/>
      <c r="OIT3" s="284"/>
      <c r="OIU3" s="284"/>
      <c r="OIV3" s="284"/>
      <c r="OIW3" s="284"/>
      <c r="OIX3" s="284"/>
      <c r="OIY3" s="284"/>
      <c r="OIZ3" s="284"/>
      <c r="OJA3" s="284"/>
      <c r="OJB3" s="284"/>
      <c r="OJC3" s="284"/>
      <c r="OJD3" s="284"/>
      <c r="OJE3" s="284"/>
      <c r="OJF3" s="284"/>
      <c r="OJG3" s="284"/>
      <c r="OJH3" s="284"/>
      <c r="OJI3" s="284"/>
      <c r="OJJ3" s="284"/>
      <c r="OJK3" s="284"/>
      <c r="OJL3" s="284"/>
      <c r="OJM3" s="284"/>
      <c r="OJN3" s="284"/>
      <c r="OJO3" s="284"/>
      <c r="OJP3" s="284"/>
      <c r="OJQ3" s="284"/>
      <c r="OJR3" s="284"/>
      <c r="OJS3" s="284"/>
      <c r="OJT3" s="284"/>
      <c r="OJU3" s="284"/>
      <c r="OJV3" s="284"/>
      <c r="OJW3" s="284"/>
      <c r="OJX3" s="284"/>
      <c r="OJY3" s="284"/>
      <c r="OJZ3" s="284"/>
      <c r="OKA3" s="284"/>
      <c r="OKB3" s="284"/>
      <c r="OKC3" s="284"/>
      <c r="OKD3" s="284"/>
      <c r="OKE3" s="284"/>
      <c r="OKF3" s="284"/>
      <c r="OKG3" s="284"/>
      <c r="OKH3" s="284"/>
      <c r="OKI3" s="284"/>
      <c r="OKJ3" s="284"/>
      <c r="OKK3" s="284"/>
      <c r="OKL3" s="284"/>
      <c r="OKM3" s="284"/>
      <c r="OKN3" s="284"/>
      <c r="OKO3" s="284"/>
      <c r="OKP3" s="284"/>
      <c r="OKQ3" s="284"/>
      <c r="OKR3" s="284"/>
      <c r="OKS3" s="284"/>
      <c r="OKT3" s="284"/>
      <c r="OKU3" s="284"/>
      <c r="OKV3" s="284"/>
      <c r="OKW3" s="284"/>
      <c r="OKX3" s="284"/>
      <c r="OKY3" s="284"/>
      <c r="OKZ3" s="284"/>
      <c r="OLA3" s="284"/>
      <c r="OLB3" s="284"/>
      <c r="OLC3" s="284"/>
      <c r="OLD3" s="284"/>
      <c r="OLE3" s="284"/>
      <c r="OLF3" s="284"/>
      <c r="OLG3" s="284"/>
      <c r="OLH3" s="284"/>
      <c r="OLI3" s="284"/>
      <c r="OLJ3" s="284"/>
      <c r="OLK3" s="284"/>
      <c r="OLL3" s="284"/>
      <c r="OLM3" s="284"/>
      <c r="OLN3" s="284"/>
      <c r="OLO3" s="284"/>
      <c r="OLP3" s="284"/>
      <c r="OLQ3" s="284"/>
      <c r="OLR3" s="284"/>
      <c r="OLS3" s="284"/>
      <c r="OLT3" s="284"/>
      <c r="OLU3" s="284"/>
      <c r="OLV3" s="284"/>
      <c r="OLW3" s="284"/>
      <c r="OLX3" s="284"/>
      <c r="OLY3" s="284"/>
      <c r="OLZ3" s="284"/>
      <c r="OMA3" s="284"/>
      <c r="OMB3" s="284"/>
      <c r="OMC3" s="284"/>
      <c r="OMD3" s="284"/>
      <c r="OME3" s="284"/>
      <c r="OMF3" s="284"/>
      <c r="OMG3" s="284"/>
      <c r="OMH3" s="284"/>
      <c r="OMI3" s="284"/>
      <c r="OMJ3" s="284"/>
      <c r="OMK3" s="284"/>
      <c r="OML3" s="284"/>
      <c r="OMM3" s="284"/>
      <c r="OMN3" s="284"/>
      <c r="OMO3" s="284"/>
      <c r="OMP3" s="284"/>
      <c r="OMQ3" s="284"/>
      <c r="OMR3" s="284"/>
      <c r="OMS3" s="284"/>
      <c r="OMT3" s="284"/>
      <c r="OMU3" s="284"/>
      <c r="OMV3" s="284"/>
      <c r="OMW3" s="284"/>
      <c r="OMX3" s="284"/>
      <c r="OMY3" s="284"/>
      <c r="OMZ3" s="284"/>
      <c r="ONA3" s="284"/>
      <c r="ONB3" s="284"/>
      <c r="ONC3" s="284"/>
      <c r="OND3" s="284"/>
      <c r="ONE3" s="284"/>
      <c r="ONF3" s="284"/>
      <c r="ONG3" s="284"/>
      <c r="ONH3" s="284"/>
      <c r="ONI3" s="284"/>
      <c r="ONJ3" s="284"/>
      <c r="ONK3" s="284"/>
      <c r="ONL3" s="284"/>
      <c r="ONM3" s="284"/>
      <c r="ONN3" s="284"/>
      <c r="ONO3" s="284"/>
      <c r="ONP3" s="284"/>
      <c r="ONQ3" s="284"/>
      <c r="ONR3" s="284"/>
      <c r="ONS3" s="284"/>
      <c r="ONT3" s="284"/>
      <c r="ONU3" s="284"/>
      <c r="ONV3" s="284"/>
      <c r="ONW3" s="284"/>
      <c r="ONX3" s="284"/>
      <c r="ONY3" s="284"/>
      <c r="ONZ3" s="284"/>
      <c r="OOA3" s="284"/>
      <c r="OOB3" s="284"/>
      <c r="OOC3" s="284"/>
      <c r="OOD3" s="284"/>
      <c r="OOE3" s="284"/>
      <c r="OOF3" s="284"/>
      <c r="OOG3" s="284"/>
      <c r="OOH3" s="284"/>
      <c r="OOI3" s="284"/>
      <c r="OOJ3" s="284"/>
      <c r="OOK3" s="284"/>
      <c r="OOL3" s="284"/>
      <c r="OOM3" s="284"/>
      <c r="OON3" s="284"/>
      <c r="OOO3" s="284"/>
      <c r="OOP3" s="284"/>
      <c r="OOQ3" s="284"/>
      <c r="OOR3" s="284"/>
      <c r="OOS3" s="284"/>
      <c r="OOT3" s="284"/>
      <c r="OOU3" s="284"/>
      <c r="OOV3" s="284"/>
      <c r="OOW3" s="284"/>
      <c r="OOX3" s="284"/>
      <c r="OOY3" s="284"/>
      <c r="OOZ3" s="284"/>
      <c r="OPA3" s="284"/>
      <c r="OPB3" s="284"/>
      <c r="OPC3" s="284"/>
      <c r="OPD3" s="284"/>
      <c r="OPE3" s="284"/>
      <c r="OPF3" s="284"/>
      <c r="OPG3" s="284"/>
      <c r="OPH3" s="284"/>
      <c r="OPI3" s="284"/>
      <c r="OPJ3" s="284"/>
      <c r="OPK3" s="284"/>
      <c r="OPL3" s="284"/>
      <c r="OPM3" s="284"/>
      <c r="OPN3" s="284"/>
      <c r="OPO3" s="284"/>
      <c r="OPP3" s="284"/>
      <c r="OPQ3" s="284"/>
      <c r="OPR3" s="284"/>
      <c r="OPS3" s="284"/>
      <c r="OPT3" s="284"/>
      <c r="OPU3" s="284"/>
      <c r="OPV3" s="284"/>
      <c r="OPW3" s="284"/>
      <c r="OPX3" s="284"/>
      <c r="OPY3" s="284"/>
      <c r="OPZ3" s="284"/>
      <c r="OQA3" s="284"/>
      <c r="OQB3" s="284"/>
      <c r="OQC3" s="284"/>
      <c r="OQD3" s="284"/>
      <c r="OQE3" s="284"/>
      <c r="OQF3" s="284"/>
      <c r="OQG3" s="284"/>
      <c r="OQH3" s="284"/>
      <c r="OQI3" s="284"/>
      <c r="OQJ3" s="284"/>
      <c r="OQK3" s="284"/>
      <c r="OQL3" s="284"/>
      <c r="OQM3" s="284"/>
      <c r="OQN3" s="284"/>
      <c r="OQO3" s="284"/>
      <c r="OQP3" s="284"/>
      <c r="OQQ3" s="284"/>
      <c r="OQR3" s="284"/>
      <c r="OQS3" s="284"/>
      <c r="OQT3" s="284"/>
      <c r="OQU3" s="284"/>
      <c r="OQV3" s="284"/>
      <c r="OQW3" s="284"/>
      <c r="OQX3" s="284"/>
      <c r="OQY3" s="284"/>
      <c r="OQZ3" s="284"/>
      <c r="ORA3" s="284"/>
      <c r="ORB3" s="284"/>
      <c r="ORC3" s="284"/>
      <c r="ORD3" s="284"/>
      <c r="ORE3" s="284"/>
      <c r="ORF3" s="284"/>
      <c r="ORG3" s="284"/>
      <c r="ORH3" s="284"/>
      <c r="ORI3" s="284"/>
      <c r="ORJ3" s="284"/>
      <c r="ORK3" s="284"/>
      <c r="ORL3" s="284"/>
      <c r="ORM3" s="284"/>
      <c r="ORN3" s="284"/>
      <c r="ORO3" s="284"/>
      <c r="ORP3" s="284"/>
      <c r="ORQ3" s="284"/>
      <c r="ORR3" s="284"/>
      <c r="ORS3" s="284"/>
      <c r="ORT3" s="284"/>
      <c r="ORU3" s="284"/>
      <c r="ORV3" s="284"/>
      <c r="ORW3" s="284"/>
      <c r="ORX3" s="284"/>
      <c r="ORY3" s="284"/>
      <c r="ORZ3" s="284"/>
      <c r="OSA3" s="284"/>
      <c r="OSB3" s="284"/>
      <c r="OSC3" s="284"/>
      <c r="OSD3" s="284"/>
      <c r="OSE3" s="284"/>
      <c r="OSF3" s="284"/>
      <c r="OSG3" s="284"/>
      <c r="OSH3" s="284"/>
      <c r="OSI3" s="284"/>
      <c r="OSJ3" s="284"/>
      <c r="OSK3" s="284"/>
      <c r="OSL3" s="284"/>
      <c r="OSM3" s="284"/>
      <c r="OSN3" s="284"/>
      <c r="OSO3" s="284"/>
      <c r="OSP3" s="284"/>
      <c r="OSQ3" s="284"/>
      <c r="OSR3" s="284"/>
      <c r="OSS3" s="284"/>
      <c r="OST3" s="284"/>
      <c r="OSU3" s="284"/>
      <c r="OSV3" s="284"/>
      <c r="OSW3" s="284"/>
      <c r="OSX3" s="284"/>
      <c r="OSY3" s="284"/>
      <c r="OSZ3" s="284"/>
      <c r="OTA3" s="284"/>
      <c r="OTB3" s="284"/>
      <c r="OTC3" s="284"/>
      <c r="OTD3" s="284"/>
      <c r="OTE3" s="284"/>
      <c r="OTF3" s="284"/>
      <c r="OTG3" s="284"/>
      <c r="OTH3" s="284"/>
      <c r="OTI3" s="284"/>
      <c r="OTJ3" s="284"/>
      <c r="OTK3" s="284"/>
      <c r="OTL3" s="284"/>
      <c r="OTM3" s="284"/>
      <c r="OTN3" s="284"/>
      <c r="OTO3" s="284"/>
      <c r="OTP3" s="284"/>
      <c r="OTQ3" s="284"/>
      <c r="OTR3" s="284"/>
      <c r="OTS3" s="284"/>
      <c r="OTT3" s="284"/>
      <c r="OTU3" s="284"/>
      <c r="OTV3" s="284"/>
      <c r="OTW3" s="284"/>
      <c r="OTX3" s="284"/>
      <c r="OTY3" s="284"/>
      <c r="OTZ3" s="284"/>
      <c r="OUA3" s="284"/>
      <c r="OUB3" s="284"/>
      <c r="OUC3" s="284"/>
      <c r="OUD3" s="284"/>
      <c r="OUE3" s="284"/>
      <c r="OUF3" s="284"/>
      <c r="OUG3" s="284"/>
      <c r="OUH3" s="284"/>
      <c r="OUI3" s="284"/>
      <c r="OUJ3" s="284"/>
      <c r="OUK3" s="284"/>
      <c r="OUL3" s="284"/>
      <c r="OUM3" s="284"/>
      <c r="OUN3" s="284"/>
      <c r="OUO3" s="284"/>
      <c r="OUP3" s="284"/>
      <c r="OUQ3" s="284"/>
      <c r="OUR3" s="284"/>
      <c r="OUS3" s="284"/>
      <c r="OUT3" s="284"/>
      <c r="OUU3" s="284"/>
      <c r="OUV3" s="284"/>
      <c r="OUW3" s="284"/>
      <c r="OUX3" s="284"/>
      <c r="OUY3" s="284"/>
      <c r="OUZ3" s="284"/>
      <c r="OVA3" s="284"/>
      <c r="OVB3" s="284"/>
      <c r="OVC3" s="284"/>
      <c r="OVD3" s="284"/>
      <c r="OVE3" s="284"/>
      <c r="OVF3" s="284"/>
      <c r="OVG3" s="284"/>
      <c r="OVH3" s="284"/>
      <c r="OVI3" s="284"/>
      <c r="OVJ3" s="284"/>
      <c r="OVK3" s="284"/>
      <c r="OVL3" s="284"/>
      <c r="OVM3" s="284"/>
      <c r="OVN3" s="284"/>
      <c r="OVO3" s="284"/>
      <c r="OVP3" s="284"/>
      <c r="OVQ3" s="284"/>
      <c r="OVR3" s="284"/>
      <c r="OVS3" s="284"/>
      <c r="OVT3" s="284"/>
      <c r="OVU3" s="284"/>
      <c r="OVV3" s="284"/>
      <c r="OVW3" s="284"/>
      <c r="OVX3" s="284"/>
      <c r="OVY3" s="284"/>
      <c r="OVZ3" s="284"/>
      <c r="OWA3" s="284"/>
      <c r="OWB3" s="284"/>
      <c r="OWC3" s="284"/>
      <c r="OWD3" s="284"/>
      <c r="OWE3" s="284"/>
      <c r="OWF3" s="284"/>
      <c r="OWG3" s="284"/>
      <c r="OWH3" s="284"/>
      <c r="OWI3" s="284"/>
      <c r="OWJ3" s="284"/>
      <c r="OWK3" s="284"/>
      <c r="OWL3" s="284"/>
      <c r="OWM3" s="284"/>
      <c r="OWN3" s="284"/>
      <c r="OWO3" s="284"/>
      <c r="OWP3" s="284"/>
      <c r="OWQ3" s="284"/>
      <c r="OWR3" s="284"/>
      <c r="OWS3" s="284"/>
      <c r="OWT3" s="284"/>
      <c r="OWU3" s="284"/>
      <c r="OWV3" s="284"/>
      <c r="OWW3" s="284"/>
      <c r="OWX3" s="284"/>
      <c r="OWY3" s="284"/>
      <c r="OWZ3" s="284"/>
      <c r="OXA3" s="284"/>
      <c r="OXB3" s="284"/>
      <c r="OXC3" s="284"/>
      <c r="OXD3" s="284"/>
      <c r="OXE3" s="284"/>
      <c r="OXF3" s="284"/>
      <c r="OXG3" s="284"/>
      <c r="OXH3" s="284"/>
      <c r="OXI3" s="284"/>
      <c r="OXJ3" s="284"/>
      <c r="OXK3" s="284"/>
      <c r="OXL3" s="284"/>
      <c r="OXM3" s="284"/>
      <c r="OXN3" s="284"/>
      <c r="OXO3" s="284"/>
      <c r="OXP3" s="284"/>
      <c r="OXQ3" s="284"/>
      <c r="OXR3" s="284"/>
      <c r="OXS3" s="284"/>
      <c r="OXT3" s="284"/>
      <c r="OXU3" s="284"/>
      <c r="OXV3" s="284"/>
      <c r="OXW3" s="284"/>
      <c r="OXX3" s="284"/>
      <c r="OXY3" s="284"/>
      <c r="OXZ3" s="284"/>
      <c r="OYA3" s="284"/>
      <c r="OYB3" s="284"/>
      <c r="OYC3" s="284"/>
      <c r="OYD3" s="284"/>
      <c r="OYE3" s="284"/>
      <c r="OYF3" s="284"/>
      <c r="OYG3" s="284"/>
      <c r="OYH3" s="284"/>
      <c r="OYI3" s="284"/>
      <c r="OYJ3" s="284"/>
      <c r="OYK3" s="284"/>
      <c r="OYL3" s="284"/>
      <c r="OYM3" s="284"/>
      <c r="OYN3" s="284"/>
      <c r="OYO3" s="284"/>
      <c r="OYP3" s="284"/>
      <c r="OYQ3" s="284"/>
      <c r="OYR3" s="284"/>
      <c r="OYS3" s="284"/>
      <c r="OYT3" s="284"/>
      <c r="OYU3" s="284"/>
      <c r="OYV3" s="284"/>
      <c r="OYW3" s="284"/>
      <c r="OYX3" s="284"/>
      <c r="OYY3" s="284"/>
      <c r="OYZ3" s="284"/>
      <c r="OZA3" s="284"/>
      <c r="OZB3" s="284"/>
      <c r="OZC3" s="284"/>
      <c r="OZD3" s="284"/>
      <c r="OZE3" s="284"/>
      <c r="OZF3" s="284"/>
      <c r="OZG3" s="284"/>
      <c r="OZH3" s="284"/>
      <c r="OZI3" s="284"/>
      <c r="OZJ3" s="284"/>
      <c r="OZK3" s="284"/>
      <c r="OZL3" s="284"/>
      <c r="OZM3" s="284"/>
      <c r="OZN3" s="284"/>
      <c r="OZO3" s="284"/>
      <c r="OZP3" s="284"/>
      <c r="OZQ3" s="284"/>
      <c r="OZR3" s="284"/>
      <c r="OZS3" s="284"/>
      <c r="OZT3" s="284"/>
      <c r="OZU3" s="284"/>
      <c r="OZV3" s="284"/>
      <c r="OZW3" s="284"/>
      <c r="OZX3" s="284"/>
      <c r="OZY3" s="284"/>
      <c r="OZZ3" s="284"/>
      <c r="PAA3" s="284"/>
      <c r="PAB3" s="284"/>
      <c r="PAC3" s="284"/>
      <c r="PAD3" s="284"/>
      <c r="PAE3" s="284"/>
      <c r="PAF3" s="284"/>
      <c r="PAG3" s="284"/>
      <c r="PAH3" s="284"/>
      <c r="PAI3" s="284"/>
      <c r="PAJ3" s="284"/>
      <c r="PAK3" s="284"/>
      <c r="PAL3" s="284"/>
      <c r="PAM3" s="284"/>
      <c r="PAN3" s="284"/>
      <c r="PAO3" s="284"/>
      <c r="PAP3" s="284"/>
      <c r="PAQ3" s="284"/>
      <c r="PAR3" s="284"/>
      <c r="PAS3" s="284"/>
      <c r="PAT3" s="284"/>
      <c r="PAU3" s="284"/>
      <c r="PAV3" s="284"/>
      <c r="PAW3" s="284"/>
      <c r="PAX3" s="284"/>
      <c r="PAY3" s="284"/>
      <c r="PAZ3" s="284"/>
      <c r="PBA3" s="284"/>
      <c r="PBB3" s="284"/>
      <c r="PBC3" s="284"/>
      <c r="PBD3" s="284"/>
      <c r="PBE3" s="284"/>
      <c r="PBF3" s="284"/>
      <c r="PBG3" s="284"/>
      <c r="PBH3" s="284"/>
      <c r="PBI3" s="284"/>
      <c r="PBJ3" s="284"/>
      <c r="PBK3" s="284"/>
      <c r="PBL3" s="284"/>
      <c r="PBM3" s="284"/>
      <c r="PBN3" s="284"/>
      <c r="PBO3" s="284"/>
      <c r="PBP3" s="284"/>
      <c r="PBQ3" s="284"/>
      <c r="PBR3" s="284"/>
      <c r="PBS3" s="284"/>
      <c r="PBT3" s="284"/>
      <c r="PBU3" s="284"/>
      <c r="PBV3" s="284"/>
      <c r="PBW3" s="284"/>
      <c r="PBX3" s="284"/>
      <c r="PBY3" s="284"/>
      <c r="PBZ3" s="284"/>
      <c r="PCA3" s="284"/>
      <c r="PCB3" s="284"/>
      <c r="PCC3" s="284"/>
      <c r="PCD3" s="284"/>
      <c r="PCE3" s="284"/>
      <c r="PCF3" s="284"/>
      <c r="PCG3" s="284"/>
      <c r="PCH3" s="284"/>
      <c r="PCI3" s="284"/>
      <c r="PCJ3" s="284"/>
      <c r="PCK3" s="284"/>
      <c r="PCL3" s="284"/>
      <c r="PCM3" s="284"/>
      <c r="PCN3" s="284"/>
      <c r="PCO3" s="284"/>
      <c r="PCP3" s="284"/>
      <c r="PCQ3" s="284"/>
      <c r="PCR3" s="284"/>
      <c r="PCS3" s="284"/>
      <c r="PCT3" s="284"/>
      <c r="PCU3" s="284"/>
      <c r="PCV3" s="284"/>
      <c r="PCW3" s="284"/>
      <c r="PCX3" s="284"/>
      <c r="PCY3" s="284"/>
      <c r="PCZ3" s="284"/>
      <c r="PDA3" s="284"/>
      <c r="PDB3" s="284"/>
      <c r="PDC3" s="284"/>
      <c r="PDD3" s="284"/>
      <c r="PDE3" s="284"/>
      <c r="PDF3" s="284"/>
      <c r="PDG3" s="284"/>
      <c r="PDH3" s="284"/>
      <c r="PDI3" s="284"/>
      <c r="PDJ3" s="284"/>
      <c r="PDK3" s="284"/>
      <c r="PDL3" s="284"/>
      <c r="PDM3" s="284"/>
      <c r="PDN3" s="284"/>
      <c r="PDO3" s="284"/>
      <c r="PDP3" s="284"/>
      <c r="PDQ3" s="284"/>
      <c r="PDR3" s="284"/>
      <c r="PDS3" s="284"/>
      <c r="PDT3" s="284"/>
      <c r="PDU3" s="284"/>
      <c r="PDV3" s="284"/>
      <c r="PDW3" s="284"/>
      <c r="PDX3" s="284"/>
      <c r="PDY3" s="284"/>
      <c r="PDZ3" s="284"/>
      <c r="PEA3" s="284"/>
      <c r="PEB3" s="284"/>
      <c r="PEC3" s="284"/>
      <c r="PED3" s="284"/>
      <c r="PEE3" s="284"/>
      <c r="PEF3" s="284"/>
      <c r="PEG3" s="284"/>
      <c r="PEH3" s="284"/>
      <c r="PEI3" s="284"/>
      <c r="PEJ3" s="284"/>
      <c r="PEK3" s="284"/>
      <c r="PEL3" s="284"/>
      <c r="PEM3" s="284"/>
      <c r="PEN3" s="284"/>
      <c r="PEO3" s="284"/>
      <c r="PEP3" s="284"/>
      <c r="PEQ3" s="284"/>
      <c r="PER3" s="284"/>
      <c r="PES3" s="284"/>
      <c r="PET3" s="284"/>
      <c r="PEU3" s="284"/>
      <c r="PEV3" s="284"/>
      <c r="PEW3" s="284"/>
      <c r="PEX3" s="284"/>
      <c r="PEY3" s="284"/>
      <c r="PEZ3" s="284"/>
      <c r="PFA3" s="284"/>
      <c r="PFB3" s="284"/>
      <c r="PFC3" s="284"/>
      <c r="PFD3" s="284"/>
      <c r="PFE3" s="284"/>
      <c r="PFF3" s="284"/>
      <c r="PFG3" s="284"/>
      <c r="PFH3" s="284"/>
      <c r="PFI3" s="284"/>
      <c r="PFJ3" s="284"/>
      <c r="PFK3" s="284"/>
      <c r="PFL3" s="284"/>
      <c r="PFM3" s="284"/>
      <c r="PFN3" s="284"/>
      <c r="PFO3" s="284"/>
      <c r="PFP3" s="284"/>
      <c r="PFQ3" s="284"/>
      <c r="PFR3" s="284"/>
      <c r="PFS3" s="284"/>
      <c r="PFT3" s="284"/>
      <c r="PFU3" s="284"/>
      <c r="PFV3" s="284"/>
      <c r="PFW3" s="284"/>
      <c r="PFX3" s="284"/>
      <c r="PFY3" s="284"/>
      <c r="PFZ3" s="284"/>
      <c r="PGA3" s="284"/>
      <c r="PGB3" s="284"/>
      <c r="PGC3" s="284"/>
      <c r="PGD3" s="284"/>
      <c r="PGE3" s="284"/>
      <c r="PGF3" s="284"/>
      <c r="PGG3" s="284"/>
      <c r="PGH3" s="284"/>
      <c r="PGI3" s="284"/>
      <c r="PGJ3" s="284"/>
      <c r="PGK3" s="284"/>
      <c r="PGL3" s="284"/>
      <c r="PGM3" s="284"/>
      <c r="PGN3" s="284"/>
      <c r="PGO3" s="284"/>
      <c r="PGP3" s="284"/>
      <c r="PGQ3" s="284"/>
      <c r="PGR3" s="284"/>
      <c r="PGS3" s="284"/>
      <c r="PGT3" s="284"/>
      <c r="PGU3" s="284"/>
      <c r="PGV3" s="284"/>
      <c r="PGW3" s="284"/>
      <c r="PGX3" s="284"/>
      <c r="PGY3" s="284"/>
      <c r="PGZ3" s="284"/>
      <c r="PHA3" s="284"/>
      <c r="PHB3" s="284"/>
      <c r="PHC3" s="284"/>
      <c r="PHD3" s="284"/>
      <c r="PHE3" s="284"/>
      <c r="PHF3" s="284"/>
      <c r="PHG3" s="284"/>
      <c r="PHH3" s="284"/>
      <c r="PHI3" s="284"/>
      <c r="PHJ3" s="284"/>
      <c r="PHK3" s="284"/>
      <c r="PHL3" s="284"/>
      <c r="PHM3" s="284"/>
      <c r="PHN3" s="284"/>
      <c r="PHO3" s="284"/>
      <c r="PHP3" s="284"/>
      <c r="PHQ3" s="284"/>
      <c r="PHR3" s="284"/>
      <c r="PHS3" s="284"/>
      <c r="PHT3" s="284"/>
      <c r="PHU3" s="284"/>
      <c r="PHV3" s="284"/>
      <c r="PHW3" s="284"/>
      <c r="PHX3" s="284"/>
      <c r="PHY3" s="284"/>
      <c r="PHZ3" s="284"/>
      <c r="PIA3" s="284"/>
      <c r="PIB3" s="284"/>
      <c r="PIC3" s="284"/>
      <c r="PID3" s="284"/>
      <c r="PIE3" s="284"/>
      <c r="PIF3" s="284"/>
      <c r="PIG3" s="284"/>
      <c r="PIH3" s="284"/>
      <c r="PII3" s="284"/>
      <c r="PIJ3" s="284"/>
      <c r="PIK3" s="284"/>
      <c r="PIL3" s="284"/>
      <c r="PIM3" s="284"/>
      <c r="PIN3" s="284"/>
      <c r="PIO3" s="284"/>
      <c r="PIP3" s="284"/>
      <c r="PIQ3" s="284"/>
      <c r="PIR3" s="284"/>
      <c r="PIS3" s="284"/>
      <c r="PIT3" s="284"/>
      <c r="PIU3" s="284"/>
      <c r="PIV3" s="284"/>
      <c r="PIW3" s="284"/>
      <c r="PIX3" s="284"/>
      <c r="PIY3" s="284"/>
      <c r="PIZ3" s="284"/>
      <c r="PJA3" s="284"/>
      <c r="PJB3" s="284"/>
      <c r="PJC3" s="284"/>
      <c r="PJD3" s="284"/>
      <c r="PJE3" s="284"/>
      <c r="PJF3" s="284"/>
      <c r="PJG3" s="284"/>
      <c r="PJH3" s="284"/>
      <c r="PJI3" s="284"/>
      <c r="PJJ3" s="284"/>
      <c r="PJK3" s="284"/>
      <c r="PJL3" s="284"/>
      <c r="PJM3" s="284"/>
      <c r="PJN3" s="284"/>
      <c r="PJO3" s="284"/>
      <c r="PJP3" s="284"/>
      <c r="PJQ3" s="284"/>
      <c r="PJR3" s="284"/>
      <c r="PJS3" s="284"/>
      <c r="PJT3" s="284"/>
      <c r="PJU3" s="284"/>
      <c r="PJV3" s="284"/>
      <c r="PJW3" s="284"/>
      <c r="PJX3" s="284"/>
      <c r="PJY3" s="284"/>
      <c r="PJZ3" s="284"/>
      <c r="PKA3" s="284"/>
      <c r="PKB3" s="284"/>
      <c r="PKC3" s="284"/>
      <c r="PKD3" s="284"/>
      <c r="PKE3" s="284"/>
      <c r="PKF3" s="284"/>
      <c r="PKG3" s="284"/>
      <c r="PKH3" s="284"/>
      <c r="PKI3" s="284"/>
      <c r="PKJ3" s="284"/>
      <c r="PKK3" s="284"/>
      <c r="PKL3" s="284"/>
      <c r="PKM3" s="284"/>
      <c r="PKN3" s="284"/>
      <c r="PKO3" s="284"/>
      <c r="PKP3" s="284"/>
      <c r="PKQ3" s="284"/>
      <c r="PKR3" s="284"/>
      <c r="PKS3" s="284"/>
      <c r="PKT3" s="284"/>
      <c r="PKU3" s="284"/>
      <c r="PKV3" s="284"/>
      <c r="PKW3" s="284"/>
      <c r="PKX3" s="284"/>
      <c r="PKY3" s="284"/>
      <c r="PKZ3" s="284"/>
      <c r="PLA3" s="284"/>
      <c r="PLB3" s="284"/>
      <c r="PLC3" s="284"/>
      <c r="PLD3" s="284"/>
      <c r="PLE3" s="284"/>
      <c r="PLF3" s="284"/>
      <c r="PLG3" s="284"/>
      <c r="PLH3" s="284"/>
      <c r="PLI3" s="284"/>
      <c r="PLJ3" s="284"/>
      <c r="PLK3" s="284"/>
      <c r="PLL3" s="284"/>
      <c r="PLM3" s="284"/>
      <c r="PLN3" s="284"/>
      <c r="PLO3" s="284"/>
      <c r="PLP3" s="284"/>
      <c r="PLQ3" s="284"/>
      <c r="PLR3" s="284"/>
      <c r="PLS3" s="284"/>
      <c r="PLT3" s="284"/>
      <c r="PLU3" s="284"/>
      <c r="PLV3" s="284"/>
      <c r="PLW3" s="284"/>
      <c r="PLX3" s="284"/>
      <c r="PLY3" s="284"/>
      <c r="PLZ3" s="284"/>
      <c r="PMA3" s="284"/>
      <c r="PMB3" s="284"/>
      <c r="PMC3" s="284"/>
      <c r="PMD3" s="284"/>
      <c r="PME3" s="284"/>
      <c r="PMF3" s="284"/>
      <c r="PMG3" s="284"/>
      <c r="PMH3" s="284"/>
      <c r="PMI3" s="284"/>
      <c r="PMJ3" s="284"/>
      <c r="PMK3" s="284"/>
      <c r="PML3" s="284"/>
      <c r="PMM3" s="284"/>
      <c r="PMN3" s="284"/>
      <c r="PMO3" s="284"/>
      <c r="PMP3" s="284"/>
      <c r="PMQ3" s="284"/>
      <c r="PMR3" s="284"/>
      <c r="PMS3" s="284"/>
      <c r="PMT3" s="284"/>
      <c r="PMU3" s="284"/>
      <c r="PMV3" s="284"/>
      <c r="PMW3" s="284"/>
      <c r="PMX3" s="284"/>
      <c r="PMY3" s="284"/>
      <c r="PMZ3" s="284"/>
      <c r="PNA3" s="284"/>
      <c r="PNB3" s="284"/>
      <c r="PNC3" s="284"/>
      <c r="PND3" s="284"/>
      <c r="PNE3" s="284"/>
      <c r="PNF3" s="284"/>
      <c r="PNG3" s="284"/>
      <c r="PNH3" s="284"/>
      <c r="PNI3" s="284"/>
      <c r="PNJ3" s="284"/>
      <c r="PNK3" s="284"/>
      <c r="PNL3" s="284"/>
      <c r="PNM3" s="284"/>
      <c r="PNN3" s="284"/>
      <c r="PNO3" s="284"/>
      <c r="PNP3" s="284"/>
      <c r="PNQ3" s="284"/>
      <c r="PNR3" s="284"/>
      <c r="PNS3" s="284"/>
      <c r="PNT3" s="284"/>
      <c r="PNU3" s="284"/>
      <c r="PNV3" s="284"/>
      <c r="PNW3" s="284"/>
      <c r="PNX3" s="284"/>
      <c r="PNY3" s="284"/>
      <c r="PNZ3" s="284"/>
      <c r="POA3" s="284"/>
      <c r="POB3" s="284"/>
      <c r="POC3" s="284"/>
      <c r="POD3" s="284"/>
      <c r="POE3" s="284"/>
      <c r="POF3" s="284"/>
      <c r="POG3" s="284"/>
      <c r="POH3" s="284"/>
      <c r="POI3" s="284"/>
      <c r="POJ3" s="284"/>
      <c r="POK3" s="284"/>
      <c r="POL3" s="284"/>
      <c r="POM3" s="284"/>
      <c r="PON3" s="284"/>
      <c r="POO3" s="284"/>
      <c r="POP3" s="284"/>
      <c r="POQ3" s="284"/>
      <c r="POR3" s="284"/>
      <c r="POS3" s="284"/>
      <c r="POT3" s="284"/>
      <c r="POU3" s="284"/>
      <c r="POV3" s="284"/>
      <c r="POW3" s="284"/>
      <c r="POX3" s="284"/>
      <c r="POY3" s="284"/>
      <c r="POZ3" s="284"/>
      <c r="PPA3" s="284"/>
      <c r="PPB3" s="284"/>
      <c r="PPC3" s="284"/>
      <c r="PPD3" s="284"/>
      <c r="PPE3" s="284"/>
      <c r="PPF3" s="284"/>
      <c r="PPG3" s="284"/>
      <c r="PPH3" s="284"/>
      <c r="PPI3" s="284"/>
      <c r="PPJ3" s="284"/>
      <c r="PPK3" s="284"/>
      <c r="PPL3" s="284"/>
      <c r="PPM3" s="284"/>
      <c r="PPN3" s="284"/>
      <c r="PPO3" s="284"/>
      <c r="PPP3" s="284"/>
      <c r="PPQ3" s="284"/>
      <c r="PPR3" s="284"/>
      <c r="PPS3" s="284"/>
      <c r="PPT3" s="284"/>
      <c r="PPU3" s="284"/>
      <c r="PPV3" s="284"/>
      <c r="PPW3" s="284"/>
      <c r="PPX3" s="284"/>
      <c r="PPY3" s="284"/>
      <c r="PPZ3" s="284"/>
      <c r="PQA3" s="284"/>
      <c r="PQB3" s="284"/>
      <c r="PQC3" s="284"/>
      <c r="PQD3" s="284"/>
      <c r="PQE3" s="284"/>
      <c r="PQF3" s="284"/>
      <c r="PQG3" s="284"/>
      <c r="PQH3" s="284"/>
      <c r="PQI3" s="284"/>
      <c r="PQJ3" s="284"/>
      <c r="PQK3" s="284"/>
      <c r="PQL3" s="284"/>
      <c r="PQM3" s="284"/>
      <c r="PQN3" s="284"/>
      <c r="PQO3" s="284"/>
      <c r="PQP3" s="284"/>
      <c r="PQQ3" s="284"/>
      <c r="PQR3" s="284"/>
      <c r="PQS3" s="284"/>
      <c r="PQT3" s="284"/>
      <c r="PQU3" s="284"/>
      <c r="PQV3" s="284"/>
      <c r="PQW3" s="284"/>
      <c r="PQX3" s="284"/>
      <c r="PQY3" s="284"/>
      <c r="PQZ3" s="284"/>
      <c r="PRA3" s="284"/>
      <c r="PRB3" s="284"/>
      <c r="PRC3" s="284"/>
      <c r="PRD3" s="284"/>
      <c r="PRE3" s="284"/>
      <c r="PRF3" s="284"/>
      <c r="PRG3" s="284"/>
      <c r="PRH3" s="284"/>
      <c r="PRI3" s="284"/>
      <c r="PRJ3" s="284"/>
      <c r="PRK3" s="284"/>
      <c r="PRL3" s="284"/>
      <c r="PRM3" s="284"/>
      <c r="PRN3" s="284"/>
      <c r="PRO3" s="284"/>
      <c r="PRP3" s="284"/>
      <c r="PRQ3" s="284"/>
      <c r="PRR3" s="284"/>
      <c r="PRS3" s="284"/>
      <c r="PRT3" s="284"/>
      <c r="PRU3" s="284"/>
      <c r="PRV3" s="284"/>
      <c r="PRW3" s="284"/>
      <c r="PRX3" s="284"/>
      <c r="PRY3" s="284"/>
      <c r="PRZ3" s="284"/>
      <c r="PSA3" s="284"/>
      <c r="PSB3" s="284"/>
      <c r="PSC3" s="284"/>
      <c r="PSD3" s="284"/>
      <c r="PSE3" s="284"/>
      <c r="PSF3" s="284"/>
      <c r="PSG3" s="284"/>
      <c r="PSH3" s="284"/>
      <c r="PSI3" s="284"/>
      <c r="PSJ3" s="284"/>
      <c r="PSK3" s="284"/>
      <c r="PSL3" s="284"/>
      <c r="PSM3" s="284"/>
      <c r="PSN3" s="284"/>
      <c r="PSO3" s="284"/>
      <c r="PSP3" s="284"/>
      <c r="PSQ3" s="284"/>
      <c r="PSR3" s="284"/>
      <c r="PSS3" s="284"/>
      <c r="PST3" s="284"/>
      <c r="PSU3" s="284"/>
      <c r="PSV3" s="284"/>
      <c r="PSW3" s="284"/>
      <c r="PSX3" s="284"/>
      <c r="PSY3" s="284"/>
      <c r="PSZ3" s="284"/>
      <c r="PTA3" s="284"/>
      <c r="PTB3" s="284"/>
      <c r="PTC3" s="284"/>
      <c r="PTD3" s="284"/>
      <c r="PTE3" s="284"/>
      <c r="PTF3" s="284"/>
      <c r="PTG3" s="284"/>
      <c r="PTH3" s="284"/>
      <c r="PTI3" s="284"/>
      <c r="PTJ3" s="284"/>
      <c r="PTK3" s="284"/>
      <c r="PTL3" s="284"/>
      <c r="PTM3" s="284"/>
      <c r="PTN3" s="284"/>
      <c r="PTO3" s="284"/>
      <c r="PTP3" s="284"/>
      <c r="PTQ3" s="284"/>
      <c r="PTR3" s="284"/>
      <c r="PTS3" s="284"/>
      <c r="PTT3" s="284"/>
      <c r="PTU3" s="284"/>
      <c r="PTV3" s="284"/>
      <c r="PTW3" s="284"/>
      <c r="PTX3" s="284"/>
      <c r="PTY3" s="284"/>
      <c r="PTZ3" s="284"/>
      <c r="PUA3" s="284"/>
      <c r="PUB3" s="284"/>
      <c r="PUC3" s="284"/>
      <c r="PUD3" s="284"/>
      <c r="PUE3" s="284"/>
      <c r="PUF3" s="284"/>
      <c r="PUG3" s="284"/>
      <c r="PUH3" s="284"/>
      <c r="PUI3" s="284"/>
      <c r="PUJ3" s="284"/>
      <c r="PUK3" s="284"/>
      <c r="PUL3" s="284"/>
      <c r="PUM3" s="284"/>
      <c r="PUN3" s="284"/>
      <c r="PUO3" s="284"/>
      <c r="PUP3" s="284"/>
      <c r="PUQ3" s="284"/>
      <c r="PUR3" s="284"/>
      <c r="PUS3" s="284"/>
      <c r="PUT3" s="284"/>
      <c r="PUU3" s="284"/>
      <c r="PUV3" s="284"/>
      <c r="PUW3" s="284"/>
      <c r="PUX3" s="284"/>
      <c r="PUY3" s="284"/>
      <c r="PUZ3" s="284"/>
      <c r="PVA3" s="284"/>
      <c r="PVB3" s="284"/>
      <c r="PVC3" s="284"/>
      <c r="PVD3" s="284"/>
      <c r="PVE3" s="284"/>
      <c r="PVF3" s="284"/>
      <c r="PVG3" s="284"/>
      <c r="PVH3" s="284"/>
      <c r="PVI3" s="284"/>
      <c r="PVJ3" s="284"/>
      <c r="PVK3" s="284"/>
      <c r="PVL3" s="284"/>
      <c r="PVM3" s="284"/>
      <c r="PVN3" s="284"/>
      <c r="PVO3" s="284"/>
      <c r="PVP3" s="284"/>
      <c r="PVQ3" s="284"/>
      <c r="PVR3" s="284"/>
      <c r="PVS3" s="284"/>
      <c r="PVT3" s="284"/>
      <c r="PVU3" s="284"/>
      <c r="PVV3" s="284"/>
      <c r="PVW3" s="284"/>
      <c r="PVX3" s="284"/>
      <c r="PVY3" s="284"/>
      <c r="PVZ3" s="284"/>
      <c r="PWA3" s="284"/>
      <c r="PWB3" s="284"/>
      <c r="PWC3" s="284"/>
      <c r="PWD3" s="284"/>
      <c r="PWE3" s="284"/>
      <c r="PWF3" s="284"/>
      <c r="PWG3" s="284"/>
      <c r="PWH3" s="284"/>
      <c r="PWI3" s="284"/>
      <c r="PWJ3" s="284"/>
      <c r="PWK3" s="284"/>
      <c r="PWL3" s="284"/>
      <c r="PWM3" s="284"/>
      <c r="PWN3" s="284"/>
      <c r="PWO3" s="284"/>
      <c r="PWP3" s="284"/>
      <c r="PWQ3" s="284"/>
      <c r="PWR3" s="284"/>
      <c r="PWS3" s="284"/>
      <c r="PWT3" s="284"/>
      <c r="PWU3" s="284"/>
      <c r="PWV3" s="284"/>
      <c r="PWW3" s="284"/>
      <c r="PWX3" s="284"/>
      <c r="PWY3" s="284"/>
      <c r="PWZ3" s="284"/>
      <c r="PXA3" s="284"/>
      <c r="PXB3" s="284"/>
      <c r="PXC3" s="284"/>
      <c r="PXD3" s="284"/>
      <c r="PXE3" s="284"/>
      <c r="PXF3" s="284"/>
      <c r="PXG3" s="284"/>
      <c r="PXH3" s="284"/>
      <c r="PXI3" s="284"/>
      <c r="PXJ3" s="284"/>
      <c r="PXK3" s="284"/>
      <c r="PXL3" s="284"/>
      <c r="PXM3" s="284"/>
      <c r="PXN3" s="284"/>
      <c r="PXO3" s="284"/>
      <c r="PXP3" s="284"/>
      <c r="PXQ3" s="284"/>
      <c r="PXR3" s="284"/>
      <c r="PXS3" s="284"/>
      <c r="PXT3" s="284"/>
      <c r="PXU3" s="284"/>
      <c r="PXV3" s="284"/>
      <c r="PXW3" s="284"/>
      <c r="PXX3" s="284"/>
      <c r="PXY3" s="284"/>
      <c r="PXZ3" s="284"/>
      <c r="PYA3" s="284"/>
      <c r="PYB3" s="284"/>
      <c r="PYC3" s="284"/>
      <c r="PYD3" s="284"/>
      <c r="PYE3" s="284"/>
      <c r="PYF3" s="284"/>
      <c r="PYG3" s="284"/>
      <c r="PYH3" s="284"/>
      <c r="PYI3" s="284"/>
      <c r="PYJ3" s="284"/>
      <c r="PYK3" s="284"/>
      <c r="PYL3" s="284"/>
      <c r="PYM3" s="284"/>
      <c r="PYN3" s="284"/>
      <c r="PYO3" s="284"/>
      <c r="PYP3" s="284"/>
      <c r="PYQ3" s="284"/>
      <c r="PYR3" s="284"/>
      <c r="PYS3" s="284"/>
      <c r="PYT3" s="284"/>
      <c r="PYU3" s="284"/>
      <c r="PYV3" s="284"/>
      <c r="PYW3" s="284"/>
      <c r="PYX3" s="284"/>
      <c r="PYY3" s="284"/>
      <c r="PYZ3" s="284"/>
      <c r="PZA3" s="284"/>
      <c r="PZB3" s="284"/>
      <c r="PZC3" s="284"/>
      <c r="PZD3" s="284"/>
      <c r="PZE3" s="284"/>
      <c r="PZF3" s="284"/>
      <c r="PZG3" s="284"/>
      <c r="PZH3" s="284"/>
      <c r="PZI3" s="284"/>
      <c r="PZJ3" s="284"/>
      <c r="PZK3" s="284"/>
      <c r="PZL3" s="284"/>
      <c r="PZM3" s="284"/>
      <c r="PZN3" s="284"/>
      <c r="PZO3" s="284"/>
      <c r="PZP3" s="284"/>
      <c r="PZQ3" s="284"/>
      <c r="PZR3" s="284"/>
      <c r="PZS3" s="284"/>
      <c r="PZT3" s="284"/>
      <c r="PZU3" s="284"/>
      <c r="PZV3" s="284"/>
      <c r="PZW3" s="284"/>
      <c r="PZX3" s="284"/>
      <c r="PZY3" s="284"/>
      <c r="PZZ3" s="284"/>
      <c r="QAA3" s="284"/>
      <c r="QAB3" s="284"/>
      <c r="QAC3" s="284"/>
      <c r="QAD3" s="284"/>
      <c r="QAE3" s="284"/>
      <c r="QAF3" s="284"/>
      <c r="QAG3" s="284"/>
      <c r="QAH3" s="284"/>
      <c r="QAI3" s="284"/>
      <c r="QAJ3" s="284"/>
      <c r="QAK3" s="284"/>
      <c r="QAL3" s="284"/>
      <c r="QAM3" s="284"/>
      <c r="QAN3" s="284"/>
      <c r="QAO3" s="284"/>
      <c r="QAP3" s="284"/>
      <c r="QAQ3" s="284"/>
      <c r="QAR3" s="284"/>
      <c r="QAS3" s="284"/>
      <c r="QAT3" s="284"/>
      <c r="QAU3" s="284"/>
      <c r="QAV3" s="284"/>
      <c r="QAW3" s="284"/>
      <c r="QAX3" s="284"/>
      <c r="QAY3" s="284"/>
      <c r="QAZ3" s="284"/>
      <c r="QBA3" s="284"/>
      <c r="QBB3" s="284"/>
      <c r="QBC3" s="284"/>
      <c r="QBD3" s="284"/>
      <c r="QBE3" s="284"/>
      <c r="QBF3" s="284"/>
      <c r="QBG3" s="284"/>
      <c r="QBH3" s="284"/>
      <c r="QBI3" s="284"/>
      <c r="QBJ3" s="284"/>
      <c r="QBK3" s="284"/>
      <c r="QBL3" s="284"/>
      <c r="QBM3" s="284"/>
      <c r="QBN3" s="284"/>
      <c r="QBO3" s="284"/>
      <c r="QBP3" s="284"/>
      <c r="QBQ3" s="284"/>
      <c r="QBR3" s="284"/>
      <c r="QBS3" s="284"/>
      <c r="QBT3" s="284"/>
      <c r="QBU3" s="284"/>
      <c r="QBV3" s="284"/>
      <c r="QBW3" s="284"/>
      <c r="QBX3" s="284"/>
      <c r="QBY3" s="284"/>
      <c r="QBZ3" s="284"/>
      <c r="QCA3" s="284"/>
      <c r="QCB3" s="284"/>
      <c r="QCC3" s="284"/>
      <c r="QCD3" s="284"/>
      <c r="QCE3" s="284"/>
      <c r="QCF3" s="284"/>
      <c r="QCG3" s="284"/>
      <c r="QCH3" s="284"/>
      <c r="QCI3" s="284"/>
      <c r="QCJ3" s="284"/>
      <c r="QCK3" s="284"/>
      <c r="QCL3" s="284"/>
      <c r="QCM3" s="284"/>
      <c r="QCN3" s="284"/>
      <c r="QCO3" s="284"/>
      <c r="QCP3" s="284"/>
      <c r="QCQ3" s="284"/>
      <c r="QCR3" s="284"/>
      <c r="QCS3" s="284"/>
      <c r="QCT3" s="284"/>
      <c r="QCU3" s="284"/>
      <c r="QCV3" s="284"/>
      <c r="QCW3" s="284"/>
      <c r="QCX3" s="284"/>
      <c r="QCY3" s="284"/>
      <c r="QCZ3" s="284"/>
      <c r="QDA3" s="284"/>
      <c r="QDB3" s="284"/>
      <c r="QDC3" s="284"/>
      <c r="QDD3" s="284"/>
      <c r="QDE3" s="284"/>
      <c r="QDF3" s="284"/>
      <c r="QDG3" s="284"/>
      <c r="QDH3" s="284"/>
      <c r="QDI3" s="284"/>
      <c r="QDJ3" s="284"/>
      <c r="QDK3" s="284"/>
      <c r="QDL3" s="284"/>
      <c r="QDM3" s="284"/>
      <c r="QDN3" s="284"/>
      <c r="QDO3" s="284"/>
      <c r="QDP3" s="284"/>
      <c r="QDQ3" s="284"/>
      <c r="QDR3" s="284"/>
      <c r="QDS3" s="284"/>
      <c r="QDT3" s="284"/>
      <c r="QDU3" s="284"/>
      <c r="QDV3" s="284"/>
      <c r="QDW3" s="284"/>
      <c r="QDX3" s="284"/>
      <c r="QDY3" s="284"/>
      <c r="QDZ3" s="284"/>
      <c r="QEA3" s="284"/>
      <c r="QEB3" s="284"/>
      <c r="QEC3" s="284"/>
      <c r="QED3" s="284"/>
      <c r="QEE3" s="284"/>
      <c r="QEF3" s="284"/>
      <c r="QEG3" s="284"/>
      <c r="QEH3" s="284"/>
      <c r="QEI3" s="284"/>
      <c r="QEJ3" s="284"/>
      <c r="QEK3" s="284"/>
      <c r="QEL3" s="284"/>
      <c r="QEM3" s="284"/>
      <c r="QEN3" s="284"/>
      <c r="QEO3" s="284"/>
      <c r="QEP3" s="284"/>
      <c r="QEQ3" s="284"/>
      <c r="QER3" s="284"/>
      <c r="QES3" s="284"/>
      <c r="QET3" s="284"/>
      <c r="QEU3" s="284"/>
      <c r="QEV3" s="284"/>
      <c r="QEW3" s="284"/>
      <c r="QEX3" s="284"/>
      <c r="QEY3" s="284"/>
      <c r="QEZ3" s="284"/>
      <c r="QFA3" s="284"/>
      <c r="QFB3" s="284"/>
      <c r="QFC3" s="284"/>
      <c r="QFD3" s="284"/>
      <c r="QFE3" s="284"/>
      <c r="QFF3" s="284"/>
      <c r="QFG3" s="284"/>
      <c r="QFH3" s="284"/>
      <c r="QFI3" s="284"/>
      <c r="QFJ3" s="284"/>
      <c r="QFK3" s="284"/>
      <c r="QFL3" s="284"/>
      <c r="QFM3" s="284"/>
      <c r="QFN3" s="284"/>
      <c r="QFO3" s="284"/>
      <c r="QFP3" s="284"/>
      <c r="QFQ3" s="284"/>
      <c r="QFR3" s="284"/>
      <c r="QFS3" s="284"/>
      <c r="QFT3" s="284"/>
      <c r="QFU3" s="284"/>
      <c r="QFV3" s="284"/>
      <c r="QFW3" s="284"/>
      <c r="QFX3" s="284"/>
      <c r="QFY3" s="284"/>
      <c r="QFZ3" s="284"/>
      <c r="QGA3" s="284"/>
      <c r="QGB3" s="284"/>
      <c r="QGC3" s="284"/>
      <c r="QGD3" s="284"/>
      <c r="QGE3" s="284"/>
      <c r="QGF3" s="284"/>
      <c r="QGG3" s="284"/>
      <c r="QGH3" s="284"/>
      <c r="QGI3" s="284"/>
      <c r="QGJ3" s="284"/>
      <c r="QGK3" s="284"/>
      <c r="QGL3" s="284"/>
      <c r="QGM3" s="284"/>
      <c r="QGN3" s="284"/>
      <c r="QGO3" s="284"/>
      <c r="QGP3" s="284"/>
      <c r="QGQ3" s="284"/>
      <c r="QGR3" s="284"/>
      <c r="QGS3" s="284"/>
      <c r="QGT3" s="284"/>
      <c r="QGU3" s="284"/>
      <c r="QGV3" s="284"/>
      <c r="QGW3" s="284"/>
      <c r="QGX3" s="284"/>
      <c r="QGY3" s="284"/>
      <c r="QGZ3" s="284"/>
      <c r="QHA3" s="284"/>
      <c r="QHB3" s="284"/>
      <c r="QHC3" s="284"/>
      <c r="QHD3" s="284"/>
      <c r="QHE3" s="284"/>
      <c r="QHF3" s="284"/>
      <c r="QHG3" s="284"/>
      <c r="QHH3" s="284"/>
      <c r="QHI3" s="284"/>
      <c r="QHJ3" s="284"/>
      <c r="QHK3" s="284"/>
      <c r="QHL3" s="284"/>
      <c r="QHM3" s="284"/>
      <c r="QHN3" s="284"/>
      <c r="QHO3" s="284"/>
      <c r="QHP3" s="284"/>
      <c r="QHQ3" s="284"/>
      <c r="QHR3" s="284"/>
      <c r="QHS3" s="284"/>
      <c r="QHT3" s="284"/>
      <c r="QHU3" s="284"/>
      <c r="QHV3" s="284"/>
      <c r="QHW3" s="284"/>
      <c r="QHX3" s="284"/>
      <c r="QHY3" s="284"/>
      <c r="QHZ3" s="284"/>
      <c r="QIA3" s="284"/>
      <c r="QIB3" s="284"/>
      <c r="QIC3" s="284"/>
      <c r="QID3" s="284"/>
      <c r="QIE3" s="284"/>
      <c r="QIF3" s="284"/>
      <c r="QIG3" s="284"/>
      <c r="QIH3" s="284"/>
      <c r="QII3" s="284"/>
      <c r="QIJ3" s="284"/>
      <c r="QIK3" s="284"/>
      <c r="QIL3" s="284"/>
      <c r="QIM3" s="284"/>
      <c r="QIN3" s="284"/>
      <c r="QIO3" s="284"/>
      <c r="QIP3" s="284"/>
      <c r="QIQ3" s="284"/>
      <c r="QIR3" s="284"/>
      <c r="QIS3" s="284"/>
      <c r="QIT3" s="284"/>
      <c r="QIU3" s="284"/>
      <c r="QIV3" s="284"/>
      <c r="QIW3" s="284"/>
      <c r="QIX3" s="284"/>
      <c r="QIY3" s="284"/>
      <c r="QIZ3" s="284"/>
      <c r="QJA3" s="284"/>
      <c r="QJB3" s="284"/>
      <c r="QJC3" s="284"/>
      <c r="QJD3" s="284"/>
      <c r="QJE3" s="284"/>
      <c r="QJF3" s="284"/>
      <c r="QJG3" s="284"/>
      <c r="QJH3" s="284"/>
      <c r="QJI3" s="284"/>
      <c r="QJJ3" s="284"/>
      <c r="QJK3" s="284"/>
      <c r="QJL3" s="284"/>
      <c r="QJM3" s="284"/>
      <c r="QJN3" s="284"/>
      <c r="QJO3" s="284"/>
      <c r="QJP3" s="284"/>
      <c r="QJQ3" s="284"/>
      <c r="QJR3" s="284"/>
      <c r="QJS3" s="284"/>
      <c r="QJT3" s="284"/>
      <c r="QJU3" s="284"/>
      <c r="QJV3" s="284"/>
      <c r="QJW3" s="284"/>
      <c r="QJX3" s="284"/>
      <c r="QJY3" s="284"/>
      <c r="QJZ3" s="284"/>
      <c r="QKA3" s="284"/>
      <c r="QKB3" s="284"/>
      <c r="QKC3" s="284"/>
      <c r="QKD3" s="284"/>
      <c r="QKE3" s="284"/>
      <c r="QKF3" s="284"/>
      <c r="QKG3" s="284"/>
      <c r="QKH3" s="284"/>
      <c r="QKI3" s="284"/>
      <c r="QKJ3" s="284"/>
      <c r="QKK3" s="284"/>
      <c r="QKL3" s="284"/>
      <c r="QKM3" s="284"/>
      <c r="QKN3" s="284"/>
      <c r="QKO3" s="284"/>
      <c r="QKP3" s="284"/>
      <c r="QKQ3" s="284"/>
      <c r="QKR3" s="284"/>
      <c r="QKS3" s="284"/>
      <c r="QKT3" s="284"/>
      <c r="QKU3" s="284"/>
      <c r="QKV3" s="284"/>
      <c r="QKW3" s="284"/>
      <c r="QKX3" s="284"/>
      <c r="QKY3" s="284"/>
      <c r="QKZ3" s="284"/>
      <c r="QLA3" s="284"/>
      <c r="QLB3" s="284"/>
      <c r="QLC3" s="284"/>
      <c r="QLD3" s="284"/>
      <c r="QLE3" s="284"/>
      <c r="QLF3" s="284"/>
      <c r="QLG3" s="284"/>
      <c r="QLH3" s="284"/>
      <c r="QLI3" s="284"/>
      <c r="QLJ3" s="284"/>
      <c r="QLK3" s="284"/>
      <c r="QLL3" s="284"/>
      <c r="QLM3" s="284"/>
      <c r="QLN3" s="284"/>
      <c r="QLO3" s="284"/>
      <c r="QLP3" s="284"/>
      <c r="QLQ3" s="284"/>
      <c r="QLR3" s="284"/>
      <c r="QLS3" s="284"/>
      <c r="QLT3" s="284"/>
      <c r="QLU3" s="284"/>
      <c r="QLV3" s="284"/>
      <c r="QLW3" s="284"/>
      <c r="QLX3" s="284"/>
      <c r="QLY3" s="284"/>
      <c r="QLZ3" s="284"/>
      <c r="QMA3" s="284"/>
      <c r="QMB3" s="284"/>
      <c r="QMC3" s="284"/>
      <c r="QMD3" s="284"/>
      <c r="QME3" s="284"/>
      <c r="QMF3" s="284"/>
      <c r="QMG3" s="284"/>
      <c r="QMH3" s="284"/>
      <c r="QMI3" s="284"/>
      <c r="QMJ3" s="284"/>
      <c r="QMK3" s="284"/>
      <c r="QML3" s="284"/>
      <c r="QMM3" s="284"/>
      <c r="QMN3" s="284"/>
      <c r="QMO3" s="284"/>
      <c r="QMP3" s="284"/>
      <c r="QMQ3" s="284"/>
      <c r="QMR3" s="284"/>
      <c r="QMS3" s="284"/>
      <c r="QMT3" s="284"/>
      <c r="QMU3" s="284"/>
      <c r="QMV3" s="284"/>
      <c r="QMW3" s="284"/>
      <c r="QMX3" s="284"/>
      <c r="QMY3" s="284"/>
      <c r="QMZ3" s="284"/>
      <c r="QNA3" s="284"/>
      <c r="QNB3" s="284"/>
      <c r="QNC3" s="284"/>
      <c r="QND3" s="284"/>
      <c r="QNE3" s="284"/>
      <c r="QNF3" s="284"/>
      <c r="QNG3" s="284"/>
      <c r="QNH3" s="284"/>
      <c r="QNI3" s="284"/>
      <c r="QNJ3" s="284"/>
      <c r="QNK3" s="284"/>
      <c r="QNL3" s="284"/>
      <c r="QNM3" s="284"/>
      <c r="QNN3" s="284"/>
      <c r="QNO3" s="284"/>
      <c r="QNP3" s="284"/>
      <c r="QNQ3" s="284"/>
      <c r="QNR3" s="284"/>
      <c r="QNS3" s="284"/>
      <c r="QNT3" s="284"/>
      <c r="QNU3" s="284"/>
      <c r="QNV3" s="284"/>
      <c r="QNW3" s="284"/>
      <c r="QNX3" s="284"/>
      <c r="QNY3" s="284"/>
      <c r="QNZ3" s="284"/>
      <c r="QOA3" s="284"/>
      <c r="QOB3" s="284"/>
      <c r="QOC3" s="284"/>
      <c r="QOD3" s="284"/>
      <c r="QOE3" s="284"/>
      <c r="QOF3" s="284"/>
      <c r="QOG3" s="284"/>
      <c r="QOH3" s="284"/>
      <c r="QOI3" s="284"/>
      <c r="QOJ3" s="284"/>
      <c r="QOK3" s="284"/>
      <c r="QOL3" s="284"/>
      <c r="QOM3" s="284"/>
      <c r="QON3" s="284"/>
      <c r="QOO3" s="284"/>
      <c r="QOP3" s="284"/>
      <c r="QOQ3" s="284"/>
      <c r="QOR3" s="284"/>
      <c r="QOS3" s="284"/>
      <c r="QOT3" s="284"/>
      <c r="QOU3" s="284"/>
      <c r="QOV3" s="284"/>
      <c r="QOW3" s="284"/>
      <c r="QOX3" s="284"/>
      <c r="QOY3" s="284"/>
      <c r="QOZ3" s="284"/>
      <c r="QPA3" s="284"/>
      <c r="QPB3" s="284"/>
      <c r="QPC3" s="284"/>
      <c r="QPD3" s="284"/>
      <c r="QPE3" s="284"/>
      <c r="QPF3" s="284"/>
      <c r="QPG3" s="284"/>
      <c r="QPH3" s="284"/>
      <c r="QPI3" s="284"/>
      <c r="QPJ3" s="284"/>
      <c r="QPK3" s="284"/>
      <c r="QPL3" s="284"/>
      <c r="QPM3" s="284"/>
      <c r="QPN3" s="284"/>
      <c r="QPO3" s="284"/>
      <c r="QPP3" s="284"/>
      <c r="QPQ3" s="284"/>
      <c r="QPR3" s="284"/>
      <c r="QPS3" s="284"/>
      <c r="QPT3" s="284"/>
      <c r="QPU3" s="284"/>
      <c r="QPV3" s="284"/>
      <c r="QPW3" s="284"/>
      <c r="QPX3" s="284"/>
      <c r="QPY3" s="284"/>
      <c r="QPZ3" s="284"/>
      <c r="QQA3" s="284"/>
      <c r="QQB3" s="284"/>
      <c r="QQC3" s="284"/>
      <c r="QQD3" s="284"/>
      <c r="QQE3" s="284"/>
      <c r="QQF3" s="284"/>
      <c r="QQG3" s="284"/>
      <c r="QQH3" s="284"/>
      <c r="QQI3" s="284"/>
      <c r="QQJ3" s="284"/>
      <c r="QQK3" s="284"/>
      <c r="QQL3" s="284"/>
      <c r="QQM3" s="284"/>
      <c r="QQN3" s="284"/>
      <c r="QQO3" s="284"/>
      <c r="QQP3" s="284"/>
      <c r="QQQ3" s="284"/>
      <c r="QQR3" s="284"/>
      <c r="QQS3" s="284"/>
      <c r="QQT3" s="284"/>
      <c r="QQU3" s="284"/>
      <c r="QQV3" s="284"/>
      <c r="QQW3" s="284"/>
      <c r="QQX3" s="284"/>
      <c r="QQY3" s="284"/>
      <c r="QQZ3" s="284"/>
      <c r="QRA3" s="284"/>
      <c r="QRB3" s="284"/>
      <c r="QRC3" s="284"/>
      <c r="QRD3" s="284"/>
      <c r="QRE3" s="284"/>
      <c r="QRF3" s="284"/>
      <c r="QRG3" s="284"/>
      <c r="QRH3" s="284"/>
      <c r="QRI3" s="284"/>
      <c r="QRJ3" s="284"/>
      <c r="QRK3" s="284"/>
      <c r="QRL3" s="284"/>
      <c r="QRM3" s="284"/>
      <c r="QRN3" s="284"/>
      <c r="QRO3" s="284"/>
      <c r="QRP3" s="284"/>
      <c r="QRQ3" s="284"/>
      <c r="QRR3" s="284"/>
      <c r="QRS3" s="284"/>
      <c r="QRT3" s="284"/>
      <c r="QRU3" s="284"/>
      <c r="QRV3" s="284"/>
      <c r="QRW3" s="284"/>
      <c r="QRX3" s="284"/>
      <c r="QRY3" s="284"/>
      <c r="QRZ3" s="284"/>
      <c r="QSA3" s="284"/>
      <c r="QSB3" s="284"/>
      <c r="QSC3" s="284"/>
      <c r="QSD3" s="284"/>
      <c r="QSE3" s="284"/>
      <c r="QSF3" s="284"/>
      <c r="QSG3" s="284"/>
      <c r="QSH3" s="284"/>
      <c r="QSI3" s="284"/>
      <c r="QSJ3" s="284"/>
      <c r="QSK3" s="284"/>
      <c r="QSL3" s="284"/>
      <c r="QSM3" s="284"/>
      <c r="QSN3" s="284"/>
      <c r="QSO3" s="284"/>
      <c r="QSP3" s="284"/>
      <c r="QSQ3" s="284"/>
      <c r="QSR3" s="284"/>
      <c r="QSS3" s="284"/>
      <c r="QST3" s="284"/>
      <c r="QSU3" s="284"/>
      <c r="QSV3" s="284"/>
      <c r="QSW3" s="284"/>
      <c r="QSX3" s="284"/>
      <c r="QSY3" s="284"/>
      <c r="QSZ3" s="284"/>
      <c r="QTA3" s="284"/>
      <c r="QTB3" s="284"/>
      <c r="QTC3" s="284"/>
      <c r="QTD3" s="284"/>
      <c r="QTE3" s="284"/>
      <c r="QTF3" s="284"/>
      <c r="QTG3" s="284"/>
      <c r="QTH3" s="284"/>
      <c r="QTI3" s="284"/>
      <c r="QTJ3" s="284"/>
      <c r="QTK3" s="284"/>
      <c r="QTL3" s="284"/>
      <c r="QTM3" s="284"/>
      <c r="QTN3" s="284"/>
      <c r="QTO3" s="284"/>
      <c r="QTP3" s="284"/>
      <c r="QTQ3" s="284"/>
      <c r="QTR3" s="284"/>
      <c r="QTS3" s="284"/>
      <c r="QTT3" s="284"/>
      <c r="QTU3" s="284"/>
      <c r="QTV3" s="284"/>
      <c r="QTW3" s="284"/>
      <c r="QTX3" s="284"/>
      <c r="QTY3" s="284"/>
      <c r="QTZ3" s="284"/>
      <c r="QUA3" s="284"/>
      <c r="QUB3" s="284"/>
      <c r="QUC3" s="284"/>
      <c r="QUD3" s="284"/>
      <c r="QUE3" s="284"/>
      <c r="QUF3" s="284"/>
      <c r="QUG3" s="284"/>
      <c r="QUH3" s="284"/>
      <c r="QUI3" s="284"/>
      <c r="QUJ3" s="284"/>
      <c r="QUK3" s="284"/>
      <c r="QUL3" s="284"/>
      <c r="QUM3" s="284"/>
      <c r="QUN3" s="284"/>
      <c r="QUO3" s="284"/>
      <c r="QUP3" s="284"/>
      <c r="QUQ3" s="284"/>
      <c r="QUR3" s="284"/>
      <c r="QUS3" s="284"/>
      <c r="QUT3" s="284"/>
      <c r="QUU3" s="284"/>
      <c r="QUV3" s="284"/>
      <c r="QUW3" s="284"/>
      <c r="QUX3" s="284"/>
      <c r="QUY3" s="284"/>
      <c r="QUZ3" s="284"/>
      <c r="QVA3" s="284"/>
      <c r="QVB3" s="284"/>
      <c r="QVC3" s="284"/>
      <c r="QVD3" s="284"/>
      <c r="QVE3" s="284"/>
      <c r="QVF3" s="284"/>
      <c r="QVG3" s="284"/>
      <c r="QVH3" s="284"/>
      <c r="QVI3" s="284"/>
      <c r="QVJ3" s="284"/>
      <c r="QVK3" s="284"/>
      <c r="QVL3" s="284"/>
      <c r="QVM3" s="284"/>
      <c r="QVN3" s="284"/>
      <c r="QVO3" s="284"/>
      <c r="QVP3" s="284"/>
      <c r="QVQ3" s="284"/>
      <c r="QVR3" s="284"/>
      <c r="QVS3" s="284"/>
      <c r="QVT3" s="284"/>
      <c r="QVU3" s="284"/>
      <c r="QVV3" s="284"/>
      <c r="QVW3" s="284"/>
      <c r="QVX3" s="284"/>
      <c r="QVY3" s="284"/>
      <c r="QVZ3" s="284"/>
      <c r="QWA3" s="284"/>
      <c r="QWB3" s="284"/>
      <c r="QWC3" s="284"/>
      <c r="QWD3" s="284"/>
      <c r="QWE3" s="284"/>
      <c r="QWF3" s="284"/>
      <c r="QWG3" s="284"/>
      <c r="QWH3" s="284"/>
      <c r="QWI3" s="284"/>
      <c r="QWJ3" s="284"/>
      <c r="QWK3" s="284"/>
      <c r="QWL3" s="284"/>
      <c r="QWM3" s="284"/>
      <c r="QWN3" s="284"/>
      <c r="QWO3" s="284"/>
      <c r="QWP3" s="284"/>
      <c r="QWQ3" s="284"/>
      <c r="QWR3" s="284"/>
      <c r="QWS3" s="284"/>
      <c r="QWT3" s="284"/>
      <c r="QWU3" s="284"/>
      <c r="QWV3" s="284"/>
      <c r="QWW3" s="284"/>
      <c r="QWX3" s="284"/>
      <c r="QWY3" s="284"/>
      <c r="QWZ3" s="284"/>
      <c r="QXA3" s="284"/>
      <c r="QXB3" s="284"/>
      <c r="QXC3" s="284"/>
      <c r="QXD3" s="284"/>
      <c r="QXE3" s="284"/>
      <c r="QXF3" s="284"/>
      <c r="QXG3" s="284"/>
      <c r="QXH3" s="284"/>
      <c r="QXI3" s="284"/>
      <c r="QXJ3" s="284"/>
      <c r="QXK3" s="284"/>
      <c r="QXL3" s="284"/>
      <c r="QXM3" s="284"/>
      <c r="QXN3" s="284"/>
      <c r="QXO3" s="284"/>
      <c r="QXP3" s="284"/>
      <c r="QXQ3" s="284"/>
      <c r="QXR3" s="284"/>
      <c r="QXS3" s="284"/>
      <c r="QXT3" s="284"/>
      <c r="QXU3" s="284"/>
      <c r="QXV3" s="284"/>
      <c r="QXW3" s="284"/>
      <c r="QXX3" s="284"/>
      <c r="QXY3" s="284"/>
      <c r="QXZ3" s="284"/>
      <c r="QYA3" s="284"/>
      <c r="QYB3" s="284"/>
      <c r="QYC3" s="284"/>
      <c r="QYD3" s="284"/>
      <c r="QYE3" s="284"/>
      <c r="QYF3" s="284"/>
      <c r="QYG3" s="284"/>
      <c r="QYH3" s="284"/>
      <c r="QYI3" s="284"/>
      <c r="QYJ3" s="284"/>
      <c r="QYK3" s="284"/>
      <c r="QYL3" s="284"/>
      <c r="QYM3" s="284"/>
      <c r="QYN3" s="284"/>
      <c r="QYO3" s="284"/>
      <c r="QYP3" s="284"/>
      <c r="QYQ3" s="284"/>
      <c r="QYR3" s="284"/>
      <c r="QYS3" s="284"/>
      <c r="QYT3" s="284"/>
      <c r="QYU3" s="284"/>
      <c r="QYV3" s="284"/>
      <c r="QYW3" s="284"/>
      <c r="QYX3" s="284"/>
      <c r="QYY3" s="284"/>
      <c r="QYZ3" s="284"/>
      <c r="QZA3" s="284"/>
      <c r="QZB3" s="284"/>
      <c r="QZC3" s="284"/>
      <c r="QZD3" s="284"/>
      <c r="QZE3" s="284"/>
      <c r="QZF3" s="284"/>
      <c r="QZG3" s="284"/>
      <c r="QZH3" s="284"/>
      <c r="QZI3" s="284"/>
      <c r="QZJ3" s="284"/>
      <c r="QZK3" s="284"/>
      <c r="QZL3" s="284"/>
      <c r="QZM3" s="284"/>
      <c r="QZN3" s="284"/>
      <c r="QZO3" s="284"/>
      <c r="QZP3" s="284"/>
      <c r="QZQ3" s="284"/>
      <c r="QZR3" s="284"/>
      <c r="QZS3" s="284"/>
      <c r="QZT3" s="284"/>
      <c r="QZU3" s="284"/>
      <c r="QZV3" s="284"/>
      <c r="QZW3" s="284"/>
      <c r="QZX3" s="284"/>
      <c r="QZY3" s="284"/>
      <c r="QZZ3" s="284"/>
      <c r="RAA3" s="284"/>
      <c r="RAB3" s="284"/>
      <c r="RAC3" s="284"/>
      <c r="RAD3" s="284"/>
      <c r="RAE3" s="284"/>
      <c r="RAF3" s="284"/>
      <c r="RAG3" s="284"/>
      <c r="RAH3" s="284"/>
      <c r="RAI3" s="284"/>
      <c r="RAJ3" s="284"/>
      <c r="RAK3" s="284"/>
      <c r="RAL3" s="284"/>
      <c r="RAM3" s="284"/>
      <c r="RAN3" s="284"/>
      <c r="RAO3" s="284"/>
      <c r="RAP3" s="284"/>
      <c r="RAQ3" s="284"/>
      <c r="RAR3" s="284"/>
      <c r="RAS3" s="284"/>
      <c r="RAT3" s="284"/>
      <c r="RAU3" s="284"/>
      <c r="RAV3" s="284"/>
      <c r="RAW3" s="284"/>
      <c r="RAX3" s="284"/>
      <c r="RAY3" s="284"/>
      <c r="RAZ3" s="284"/>
      <c r="RBA3" s="284"/>
      <c r="RBB3" s="284"/>
      <c r="RBC3" s="284"/>
      <c r="RBD3" s="284"/>
      <c r="RBE3" s="284"/>
      <c r="RBF3" s="284"/>
      <c r="RBG3" s="284"/>
      <c r="RBH3" s="284"/>
      <c r="RBI3" s="284"/>
      <c r="RBJ3" s="284"/>
      <c r="RBK3" s="284"/>
      <c r="RBL3" s="284"/>
      <c r="RBM3" s="284"/>
      <c r="RBN3" s="284"/>
      <c r="RBO3" s="284"/>
      <c r="RBP3" s="284"/>
      <c r="RBQ3" s="284"/>
      <c r="RBR3" s="284"/>
      <c r="RBS3" s="284"/>
      <c r="RBT3" s="284"/>
      <c r="RBU3" s="284"/>
      <c r="RBV3" s="284"/>
      <c r="RBW3" s="284"/>
      <c r="RBX3" s="284"/>
      <c r="RBY3" s="284"/>
      <c r="RBZ3" s="284"/>
      <c r="RCA3" s="284"/>
      <c r="RCB3" s="284"/>
      <c r="RCC3" s="284"/>
      <c r="RCD3" s="284"/>
      <c r="RCE3" s="284"/>
      <c r="RCF3" s="284"/>
      <c r="RCG3" s="284"/>
      <c r="RCH3" s="284"/>
      <c r="RCI3" s="284"/>
      <c r="RCJ3" s="284"/>
      <c r="RCK3" s="284"/>
      <c r="RCL3" s="284"/>
      <c r="RCM3" s="284"/>
      <c r="RCN3" s="284"/>
      <c r="RCO3" s="284"/>
      <c r="RCP3" s="284"/>
      <c r="RCQ3" s="284"/>
      <c r="RCR3" s="284"/>
      <c r="RCS3" s="284"/>
      <c r="RCT3" s="284"/>
      <c r="RCU3" s="284"/>
      <c r="RCV3" s="284"/>
      <c r="RCW3" s="284"/>
      <c r="RCX3" s="284"/>
      <c r="RCY3" s="284"/>
      <c r="RCZ3" s="284"/>
      <c r="RDA3" s="284"/>
      <c r="RDB3" s="284"/>
      <c r="RDC3" s="284"/>
      <c r="RDD3" s="284"/>
      <c r="RDE3" s="284"/>
      <c r="RDF3" s="284"/>
      <c r="RDG3" s="284"/>
      <c r="RDH3" s="284"/>
      <c r="RDI3" s="284"/>
      <c r="RDJ3" s="284"/>
      <c r="RDK3" s="284"/>
      <c r="RDL3" s="284"/>
      <c r="RDM3" s="284"/>
      <c r="RDN3" s="284"/>
      <c r="RDO3" s="284"/>
      <c r="RDP3" s="284"/>
      <c r="RDQ3" s="284"/>
      <c r="RDR3" s="284"/>
      <c r="RDS3" s="284"/>
      <c r="RDT3" s="284"/>
      <c r="RDU3" s="284"/>
      <c r="RDV3" s="284"/>
      <c r="RDW3" s="284"/>
      <c r="RDX3" s="284"/>
      <c r="RDY3" s="284"/>
      <c r="RDZ3" s="284"/>
      <c r="REA3" s="284"/>
      <c r="REB3" s="284"/>
      <c r="REC3" s="284"/>
      <c r="RED3" s="284"/>
      <c r="REE3" s="284"/>
      <c r="REF3" s="284"/>
      <c r="REG3" s="284"/>
      <c r="REH3" s="284"/>
      <c r="REI3" s="284"/>
      <c r="REJ3" s="284"/>
      <c r="REK3" s="284"/>
      <c r="REL3" s="284"/>
      <c r="REM3" s="284"/>
      <c r="REN3" s="284"/>
      <c r="REO3" s="284"/>
      <c r="REP3" s="284"/>
      <c r="REQ3" s="284"/>
      <c r="RER3" s="284"/>
      <c r="RES3" s="284"/>
      <c r="RET3" s="284"/>
      <c r="REU3" s="284"/>
      <c r="REV3" s="284"/>
      <c r="REW3" s="284"/>
      <c r="REX3" s="284"/>
      <c r="REY3" s="284"/>
      <c r="REZ3" s="284"/>
      <c r="RFA3" s="284"/>
      <c r="RFB3" s="284"/>
      <c r="RFC3" s="284"/>
      <c r="RFD3" s="284"/>
      <c r="RFE3" s="284"/>
      <c r="RFF3" s="284"/>
      <c r="RFG3" s="284"/>
      <c r="RFH3" s="284"/>
      <c r="RFI3" s="284"/>
      <c r="RFJ3" s="284"/>
      <c r="RFK3" s="284"/>
      <c r="RFL3" s="284"/>
      <c r="RFM3" s="284"/>
      <c r="RFN3" s="284"/>
      <c r="RFO3" s="284"/>
      <c r="RFP3" s="284"/>
      <c r="RFQ3" s="284"/>
      <c r="RFR3" s="284"/>
      <c r="RFS3" s="284"/>
      <c r="RFT3" s="284"/>
      <c r="RFU3" s="284"/>
      <c r="RFV3" s="284"/>
      <c r="RFW3" s="284"/>
      <c r="RFX3" s="284"/>
      <c r="RFY3" s="284"/>
      <c r="RFZ3" s="284"/>
      <c r="RGA3" s="284"/>
      <c r="RGB3" s="284"/>
      <c r="RGC3" s="284"/>
      <c r="RGD3" s="284"/>
      <c r="RGE3" s="284"/>
      <c r="RGF3" s="284"/>
      <c r="RGG3" s="284"/>
      <c r="RGH3" s="284"/>
      <c r="RGI3" s="284"/>
      <c r="RGJ3" s="284"/>
      <c r="RGK3" s="284"/>
      <c r="RGL3" s="284"/>
      <c r="RGM3" s="284"/>
      <c r="RGN3" s="284"/>
      <c r="RGO3" s="284"/>
      <c r="RGP3" s="284"/>
      <c r="RGQ3" s="284"/>
      <c r="RGR3" s="284"/>
      <c r="RGS3" s="284"/>
      <c r="RGT3" s="284"/>
      <c r="RGU3" s="284"/>
      <c r="RGV3" s="284"/>
      <c r="RGW3" s="284"/>
      <c r="RGX3" s="284"/>
      <c r="RGY3" s="284"/>
      <c r="RGZ3" s="284"/>
      <c r="RHA3" s="284"/>
      <c r="RHB3" s="284"/>
      <c r="RHC3" s="284"/>
      <c r="RHD3" s="284"/>
      <c r="RHE3" s="284"/>
      <c r="RHF3" s="284"/>
      <c r="RHG3" s="284"/>
      <c r="RHH3" s="284"/>
      <c r="RHI3" s="284"/>
      <c r="RHJ3" s="284"/>
      <c r="RHK3" s="284"/>
      <c r="RHL3" s="284"/>
      <c r="RHM3" s="284"/>
      <c r="RHN3" s="284"/>
      <c r="RHO3" s="284"/>
      <c r="RHP3" s="284"/>
      <c r="RHQ3" s="284"/>
      <c r="RHR3" s="284"/>
      <c r="RHS3" s="284"/>
      <c r="RHT3" s="284"/>
      <c r="RHU3" s="284"/>
      <c r="RHV3" s="284"/>
      <c r="RHW3" s="284"/>
      <c r="RHX3" s="284"/>
      <c r="RHY3" s="284"/>
      <c r="RHZ3" s="284"/>
      <c r="RIA3" s="284"/>
      <c r="RIB3" s="284"/>
      <c r="RIC3" s="284"/>
      <c r="RID3" s="284"/>
      <c r="RIE3" s="284"/>
      <c r="RIF3" s="284"/>
      <c r="RIG3" s="284"/>
      <c r="RIH3" s="284"/>
      <c r="RII3" s="284"/>
      <c r="RIJ3" s="284"/>
      <c r="RIK3" s="284"/>
      <c r="RIL3" s="284"/>
      <c r="RIM3" s="284"/>
      <c r="RIN3" s="284"/>
      <c r="RIO3" s="284"/>
      <c r="RIP3" s="284"/>
      <c r="RIQ3" s="284"/>
      <c r="RIR3" s="284"/>
      <c r="RIS3" s="284"/>
      <c r="RIT3" s="284"/>
      <c r="RIU3" s="284"/>
      <c r="RIV3" s="284"/>
      <c r="RIW3" s="284"/>
      <c r="RIX3" s="284"/>
      <c r="RIY3" s="284"/>
      <c r="RIZ3" s="284"/>
      <c r="RJA3" s="284"/>
      <c r="RJB3" s="284"/>
      <c r="RJC3" s="284"/>
      <c r="RJD3" s="284"/>
      <c r="RJE3" s="284"/>
      <c r="RJF3" s="284"/>
      <c r="RJG3" s="284"/>
      <c r="RJH3" s="284"/>
      <c r="RJI3" s="284"/>
      <c r="RJJ3" s="284"/>
      <c r="RJK3" s="284"/>
      <c r="RJL3" s="284"/>
      <c r="RJM3" s="284"/>
      <c r="RJN3" s="284"/>
      <c r="RJO3" s="284"/>
      <c r="RJP3" s="284"/>
      <c r="RJQ3" s="284"/>
      <c r="RJR3" s="284"/>
      <c r="RJS3" s="284"/>
      <c r="RJT3" s="284"/>
      <c r="RJU3" s="284"/>
      <c r="RJV3" s="284"/>
      <c r="RJW3" s="284"/>
      <c r="RJX3" s="284"/>
      <c r="RJY3" s="284"/>
      <c r="RJZ3" s="284"/>
      <c r="RKA3" s="284"/>
      <c r="RKB3" s="284"/>
      <c r="RKC3" s="284"/>
      <c r="RKD3" s="284"/>
      <c r="RKE3" s="284"/>
      <c r="RKF3" s="284"/>
      <c r="RKG3" s="284"/>
      <c r="RKH3" s="284"/>
      <c r="RKI3" s="284"/>
      <c r="RKJ3" s="284"/>
      <c r="RKK3" s="284"/>
      <c r="RKL3" s="284"/>
      <c r="RKM3" s="284"/>
      <c r="RKN3" s="284"/>
      <c r="RKO3" s="284"/>
      <c r="RKP3" s="284"/>
      <c r="RKQ3" s="284"/>
      <c r="RKR3" s="284"/>
      <c r="RKS3" s="284"/>
      <c r="RKT3" s="284"/>
      <c r="RKU3" s="284"/>
      <c r="RKV3" s="284"/>
      <c r="RKW3" s="284"/>
      <c r="RKX3" s="284"/>
      <c r="RKY3" s="284"/>
      <c r="RKZ3" s="284"/>
      <c r="RLA3" s="284"/>
      <c r="RLB3" s="284"/>
      <c r="RLC3" s="284"/>
      <c r="RLD3" s="284"/>
      <c r="RLE3" s="284"/>
      <c r="RLF3" s="284"/>
      <c r="RLG3" s="284"/>
      <c r="RLH3" s="284"/>
      <c r="RLI3" s="284"/>
      <c r="RLJ3" s="284"/>
      <c r="RLK3" s="284"/>
      <c r="RLL3" s="284"/>
      <c r="RLM3" s="284"/>
      <c r="RLN3" s="284"/>
      <c r="RLO3" s="284"/>
      <c r="RLP3" s="284"/>
      <c r="RLQ3" s="284"/>
      <c r="RLR3" s="284"/>
      <c r="RLS3" s="284"/>
      <c r="RLT3" s="284"/>
      <c r="RLU3" s="284"/>
      <c r="RLV3" s="284"/>
      <c r="RLW3" s="284"/>
      <c r="RLX3" s="284"/>
      <c r="RLY3" s="284"/>
      <c r="RLZ3" s="284"/>
      <c r="RMA3" s="284"/>
      <c r="RMB3" s="284"/>
      <c r="RMC3" s="284"/>
      <c r="RMD3" s="284"/>
      <c r="RME3" s="284"/>
      <c r="RMF3" s="284"/>
      <c r="RMG3" s="284"/>
      <c r="RMH3" s="284"/>
      <c r="RMI3" s="284"/>
      <c r="RMJ3" s="284"/>
      <c r="RMK3" s="284"/>
      <c r="RML3" s="284"/>
      <c r="RMM3" s="284"/>
      <c r="RMN3" s="284"/>
      <c r="RMO3" s="284"/>
      <c r="RMP3" s="284"/>
      <c r="RMQ3" s="284"/>
      <c r="RMR3" s="284"/>
      <c r="RMS3" s="284"/>
      <c r="RMT3" s="284"/>
      <c r="RMU3" s="284"/>
      <c r="RMV3" s="284"/>
      <c r="RMW3" s="284"/>
      <c r="RMX3" s="284"/>
      <c r="RMY3" s="284"/>
      <c r="RMZ3" s="284"/>
      <c r="RNA3" s="284"/>
      <c r="RNB3" s="284"/>
      <c r="RNC3" s="284"/>
      <c r="RND3" s="284"/>
      <c r="RNE3" s="284"/>
      <c r="RNF3" s="284"/>
      <c r="RNG3" s="284"/>
      <c r="RNH3" s="284"/>
      <c r="RNI3" s="284"/>
      <c r="RNJ3" s="284"/>
      <c r="RNK3" s="284"/>
      <c r="RNL3" s="284"/>
      <c r="RNM3" s="284"/>
      <c r="RNN3" s="284"/>
      <c r="RNO3" s="284"/>
      <c r="RNP3" s="284"/>
      <c r="RNQ3" s="284"/>
      <c r="RNR3" s="284"/>
      <c r="RNS3" s="284"/>
      <c r="RNT3" s="284"/>
      <c r="RNU3" s="284"/>
      <c r="RNV3" s="284"/>
      <c r="RNW3" s="284"/>
      <c r="RNX3" s="284"/>
      <c r="RNY3" s="284"/>
      <c r="RNZ3" s="284"/>
      <c r="ROA3" s="284"/>
      <c r="ROB3" s="284"/>
      <c r="ROC3" s="284"/>
      <c r="ROD3" s="284"/>
      <c r="ROE3" s="284"/>
      <c r="ROF3" s="284"/>
      <c r="ROG3" s="284"/>
      <c r="ROH3" s="284"/>
      <c r="ROI3" s="284"/>
      <c r="ROJ3" s="284"/>
      <c r="ROK3" s="284"/>
      <c r="ROL3" s="284"/>
      <c r="ROM3" s="284"/>
      <c r="RON3" s="284"/>
      <c r="ROO3" s="284"/>
      <c r="ROP3" s="284"/>
      <c r="ROQ3" s="284"/>
      <c r="ROR3" s="284"/>
      <c r="ROS3" s="284"/>
      <c r="ROT3" s="284"/>
      <c r="ROU3" s="284"/>
      <c r="ROV3" s="284"/>
      <c r="ROW3" s="284"/>
      <c r="ROX3" s="284"/>
      <c r="ROY3" s="284"/>
      <c r="ROZ3" s="284"/>
      <c r="RPA3" s="284"/>
      <c r="RPB3" s="284"/>
      <c r="RPC3" s="284"/>
      <c r="RPD3" s="284"/>
      <c r="RPE3" s="284"/>
      <c r="RPF3" s="284"/>
      <c r="RPG3" s="284"/>
      <c r="RPH3" s="284"/>
      <c r="RPI3" s="284"/>
      <c r="RPJ3" s="284"/>
      <c r="RPK3" s="284"/>
      <c r="RPL3" s="284"/>
      <c r="RPM3" s="284"/>
      <c r="RPN3" s="284"/>
      <c r="RPO3" s="284"/>
      <c r="RPP3" s="284"/>
      <c r="RPQ3" s="284"/>
      <c r="RPR3" s="284"/>
      <c r="RPS3" s="284"/>
      <c r="RPT3" s="284"/>
      <c r="RPU3" s="284"/>
      <c r="RPV3" s="284"/>
      <c r="RPW3" s="284"/>
      <c r="RPX3" s="284"/>
      <c r="RPY3" s="284"/>
      <c r="RPZ3" s="284"/>
      <c r="RQA3" s="284"/>
      <c r="RQB3" s="284"/>
      <c r="RQC3" s="284"/>
      <c r="RQD3" s="284"/>
      <c r="RQE3" s="284"/>
      <c r="RQF3" s="284"/>
      <c r="RQG3" s="284"/>
      <c r="RQH3" s="284"/>
      <c r="RQI3" s="284"/>
      <c r="RQJ3" s="284"/>
      <c r="RQK3" s="284"/>
      <c r="RQL3" s="284"/>
      <c r="RQM3" s="284"/>
      <c r="RQN3" s="284"/>
      <c r="RQO3" s="284"/>
      <c r="RQP3" s="284"/>
      <c r="RQQ3" s="284"/>
      <c r="RQR3" s="284"/>
      <c r="RQS3" s="284"/>
      <c r="RQT3" s="284"/>
      <c r="RQU3" s="284"/>
      <c r="RQV3" s="284"/>
      <c r="RQW3" s="284"/>
      <c r="RQX3" s="284"/>
      <c r="RQY3" s="284"/>
      <c r="RQZ3" s="284"/>
      <c r="RRA3" s="284"/>
      <c r="RRB3" s="284"/>
      <c r="RRC3" s="284"/>
      <c r="RRD3" s="284"/>
      <c r="RRE3" s="284"/>
      <c r="RRF3" s="284"/>
      <c r="RRG3" s="284"/>
      <c r="RRH3" s="284"/>
      <c r="RRI3" s="284"/>
      <c r="RRJ3" s="284"/>
      <c r="RRK3" s="284"/>
      <c r="RRL3" s="284"/>
      <c r="RRM3" s="284"/>
      <c r="RRN3" s="284"/>
      <c r="RRO3" s="284"/>
      <c r="RRP3" s="284"/>
      <c r="RRQ3" s="284"/>
      <c r="RRR3" s="284"/>
      <c r="RRS3" s="284"/>
      <c r="RRT3" s="284"/>
      <c r="RRU3" s="284"/>
      <c r="RRV3" s="284"/>
      <c r="RRW3" s="284"/>
      <c r="RRX3" s="284"/>
      <c r="RRY3" s="284"/>
      <c r="RRZ3" s="284"/>
      <c r="RSA3" s="284"/>
      <c r="RSB3" s="284"/>
      <c r="RSC3" s="284"/>
      <c r="RSD3" s="284"/>
      <c r="RSE3" s="284"/>
      <c r="RSF3" s="284"/>
      <c r="RSG3" s="284"/>
      <c r="RSH3" s="284"/>
      <c r="RSI3" s="284"/>
      <c r="RSJ3" s="284"/>
      <c r="RSK3" s="284"/>
      <c r="RSL3" s="284"/>
      <c r="RSM3" s="284"/>
      <c r="RSN3" s="284"/>
      <c r="RSO3" s="284"/>
      <c r="RSP3" s="284"/>
      <c r="RSQ3" s="284"/>
      <c r="RSR3" s="284"/>
      <c r="RSS3" s="284"/>
      <c r="RST3" s="284"/>
      <c r="RSU3" s="284"/>
      <c r="RSV3" s="284"/>
      <c r="RSW3" s="284"/>
      <c r="RSX3" s="284"/>
      <c r="RSY3" s="284"/>
      <c r="RSZ3" s="284"/>
      <c r="RTA3" s="284"/>
      <c r="RTB3" s="284"/>
      <c r="RTC3" s="284"/>
      <c r="RTD3" s="284"/>
      <c r="RTE3" s="284"/>
      <c r="RTF3" s="284"/>
      <c r="RTG3" s="284"/>
      <c r="RTH3" s="284"/>
      <c r="RTI3" s="284"/>
      <c r="RTJ3" s="284"/>
      <c r="RTK3" s="284"/>
      <c r="RTL3" s="284"/>
      <c r="RTM3" s="284"/>
      <c r="RTN3" s="284"/>
      <c r="RTO3" s="284"/>
      <c r="RTP3" s="284"/>
      <c r="RTQ3" s="284"/>
      <c r="RTR3" s="284"/>
      <c r="RTS3" s="284"/>
      <c r="RTT3" s="284"/>
      <c r="RTU3" s="284"/>
      <c r="RTV3" s="284"/>
      <c r="RTW3" s="284"/>
      <c r="RTX3" s="284"/>
      <c r="RTY3" s="284"/>
      <c r="RTZ3" s="284"/>
      <c r="RUA3" s="284"/>
      <c r="RUB3" s="284"/>
      <c r="RUC3" s="284"/>
      <c r="RUD3" s="284"/>
      <c r="RUE3" s="284"/>
      <c r="RUF3" s="284"/>
      <c r="RUG3" s="284"/>
      <c r="RUH3" s="284"/>
      <c r="RUI3" s="284"/>
      <c r="RUJ3" s="284"/>
      <c r="RUK3" s="284"/>
      <c r="RUL3" s="284"/>
      <c r="RUM3" s="284"/>
      <c r="RUN3" s="284"/>
      <c r="RUO3" s="284"/>
      <c r="RUP3" s="284"/>
      <c r="RUQ3" s="284"/>
      <c r="RUR3" s="284"/>
      <c r="RUS3" s="284"/>
      <c r="RUT3" s="284"/>
      <c r="RUU3" s="284"/>
      <c r="RUV3" s="284"/>
      <c r="RUW3" s="284"/>
      <c r="RUX3" s="284"/>
      <c r="RUY3" s="284"/>
      <c r="RUZ3" s="284"/>
      <c r="RVA3" s="284"/>
      <c r="RVB3" s="284"/>
      <c r="RVC3" s="284"/>
      <c r="RVD3" s="284"/>
      <c r="RVE3" s="284"/>
      <c r="RVF3" s="284"/>
      <c r="RVG3" s="284"/>
      <c r="RVH3" s="284"/>
      <c r="RVI3" s="284"/>
      <c r="RVJ3" s="284"/>
      <c r="RVK3" s="284"/>
      <c r="RVL3" s="284"/>
      <c r="RVM3" s="284"/>
      <c r="RVN3" s="284"/>
      <c r="RVO3" s="284"/>
      <c r="RVP3" s="284"/>
      <c r="RVQ3" s="284"/>
      <c r="RVR3" s="284"/>
      <c r="RVS3" s="284"/>
      <c r="RVT3" s="284"/>
      <c r="RVU3" s="284"/>
      <c r="RVV3" s="284"/>
      <c r="RVW3" s="284"/>
      <c r="RVX3" s="284"/>
      <c r="RVY3" s="284"/>
      <c r="RVZ3" s="284"/>
      <c r="RWA3" s="284"/>
      <c r="RWB3" s="284"/>
      <c r="RWC3" s="284"/>
      <c r="RWD3" s="284"/>
      <c r="RWE3" s="284"/>
      <c r="RWF3" s="284"/>
      <c r="RWG3" s="284"/>
      <c r="RWH3" s="284"/>
      <c r="RWI3" s="284"/>
      <c r="RWJ3" s="284"/>
      <c r="RWK3" s="284"/>
      <c r="RWL3" s="284"/>
      <c r="RWM3" s="284"/>
      <c r="RWN3" s="284"/>
      <c r="RWO3" s="284"/>
      <c r="RWP3" s="284"/>
      <c r="RWQ3" s="284"/>
      <c r="RWR3" s="284"/>
      <c r="RWS3" s="284"/>
      <c r="RWT3" s="284"/>
      <c r="RWU3" s="284"/>
      <c r="RWV3" s="284"/>
      <c r="RWW3" s="284"/>
      <c r="RWX3" s="284"/>
      <c r="RWY3" s="284"/>
      <c r="RWZ3" s="284"/>
      <c r="RXA3" s="284"/>
      <c r="RXB3" s="284"/>
      <c r="RXC3" s="284"/>
      <c r="RXD3" s="284"/>
      <c r="RXE3" s="284"/>
      <c r="RXF3" s="284"/>
      <c r="RXG3" s="284"/>
      <c r="RXH3" s="284"/>
      <c r="RXI3" s="284"/>
      <c r="RXJ3" s="284"/>
      <c r="RXK3" s="284"/>
      <c r="RXL3" s="284"/>
      <c r="RXM3" s="284"/>
      <c r="RXN3" s="284"/>
      <c r="RXO3" s="284"/>
      <c r="RXP3" s="284"/>
      <c r="RXQ3" s="284"/>
      <c r="RXR3" s="284"/>
      <c r="RXS3" s="284"/>
      <c r="RXT3" s="284"/>
      <c r="RXU3" s="284"/>
      <c r="RXV3" s="284"/>
      <c r="RXW3" s="284"/>
      <c r="RXX3" s="284"/>
      <c r="RXY3" s="284"/>
      <c r="RXZ3" s="284"/>
      <c r="RYA3" s="284"/>
      <c r="RYB3" s="284"/>
      <c r="RYC3" s="284"/>
      <c r="RYD3" s="284"/>
      <c r="RYE3" s="284"/>
      <c r="RYF3" s="284"/>
      <c r="RYG3" s="284"/>
      <c r="RYH3" s="284"/>
      <c r="RYI3" s="284"/>
      <c r="RYJ3" s="284"/>
      <c r="RYK3" s="284"/>
      <c r="RYL3" s="284"/>
      <c r="RYM3" s="284"/>
      <c r="RYN3" s="284"/>
      <c r="RYO3" s="284"/>
      <c r="RYP3" s="284"/>
      <c r="RYQ3" s="284"/>
      <c r="RYR3" s="284"/>
      <c r="RYS3" s="284"/>
      <c r="RYT3" s="284"/>
      <c r="RYU3" s="284"/>
      <c r="RYV3" s="284"/>
      <c r="RYW3" s="284"/>
      <c r="RYX3" s="284"/>
      <c r="RYY3" s="284"/>
      <c r="RYZ3" s="284"/>
      <c r="RZA3" s="284"/>
      <c r="RZB3" s="284"/>
      <c r="RZC3" s="284"/>
      <c r="RZD3" s="284"/>
      <c r="RZE3" s="284"/>
      <c r="RZF3" s="284"/>
      <c r="RZG3" s="284"/>
      <c r="RZH3" s="284"/>
      <c r="RZI3" s="284"/>
      <c r="RZJ3" s="284"/>
      <c r="RZK3" s="284"/>
      <c r="RZL3" s="284"/>
      <c r="RZM3" s="284"/>
      <c r="RZN3" s="284"/>
      <c r="RZO3" s="284"/>
      <c r="RZP3" s="284"/>
      <c r="RZQ3" s="284"/>
      <c r="RZR3" s="284"/>
      <c r="RZS3" s="284"/>
      <c r="RZT3" s="284"/>
      <c r="RZU3" s="284"/>
      <c r="RZV3" s="284"/>
      <c r="RZW3" s="284"/>
      <c r="RZX3" s="284"/>
      <c r="RZY3" s="284"/>
      <c r="RZZ3" s="284"/>
      <c r="SAA3" s="284"/>
      <c r="SAB3" s="284"/>
      <c r="SAC3" s="284"/>
      <c r="SAD3" s="284"/>
      <c r="SAE3" s="284"/>
      <c r="SAF3" s="284"/>
      <c r="SAG3" s="284"/>
      <c r="SAH3" s="284"/>
      <c r="SAI3" s="284"/>
      <c r="SAJ3" s="284"/>
      <c r="SAK3" s="284"/>
      <c r="SAL3" s="284"/>
      <c r="SAM3" s="284"/>
      <c r="SAN3" s="284"/>
      <c r="SAO3" s="284"/>
      <c r="SAP3" s="284"/>
      <c r="SAQ3" s="284"/>
      <c r="SAR3" s="284"/>
      <c r="SAS3" s="284"/>
      <c r="SAT3" s="284"/>
      <c r="SAU3" s="284"/>
      <c r="SAV3" s="284"/>
      <c r="SAW3" s="284"/>
      <c r="SAX3" s="284"/>
      <c r="SAY3" s="284"/>
      <c r="SAZ3" s="284"/>
      <c r="SBA3" s="284"/>
      <c r="SBB3" s="284"/>
      <c r="SBC3" s="284"/>
      <c r="SBD3" s="284"/>
      <c r="SBE3" s="284"/>
      <c r="SBF3" s="284"/>
      <c r="SBG3" s="284"/>
      <c r="SBH3" s="284"/>
      <c r="SBI3" s="284"/>
      <c r="SBJ3" s="284"/>
      <c r="SBK3" s="284"/>
      <c r="SBL3" s="284"/>
      <c r="SBM3" s="284"/>
      <c r="SBN3" s="284"/>
      <c r="SBO3" s="284"/>
      <c r="SBP3" s="284"/>
      <c r="SBQ3" s="284"/>
      <c r="SBR3" s="284"/>
      <c r="SBS3" s="284"/>
      <c r="SBT3" s="284"/>
      <c r="SBU3" s="284"/>
      <c r="SBV3" s="284"/>
      <c r="SBW3" s="284"/>
      <c r="SBX3" s="284"/>
      <c r="SBY3" s="284"/>
      <c r="SBZ3" s="284"/>
      <c r="SCA3" s="284"/>
      <c r="SCB3" s="284"/>
      <c r="SCC3" s="284"/>
      <c r="SCD3" s="284"/>
      <c r="SCE3" s="284"/>
      <c r="SCF3" s="284"/>
      <c r="SCG3" s="284"/>
      <c r="SCH3" s="284"/>
      <c r="SCI3" s="284"/>
      <c r="SCJ3" s="284"/>
      <c r="SCK3" s="284"/>
      <c r="SCL3" s="284"/>
      <c r="SCM3" s="284"/>
      <c r="SCN3" s="284"/>
      <c r="SCO3" s="284"/>
      <c r="SCP3" s="284"/>
      <c r="SCQ3" s="284"/>
      <c r="SCR3" s="284"/>
      <c r="SCS3" s="284"/>
      <c r="SCT3" s="284"/>
      <c r="SCU3" s="284"/>
      <c r="SCV3" s="284"/>
      <c r="SCW3" s="284"/>
      <c r="SCX3" s="284"/>
      <c r="SCY3" s="284"/>
      <c r="SCZ3" s="284"/>
      <c r="SDA3" s="284"/>
      <c r="SDB3" s="284"/>
      <c r="SDC3" s="284"/>
      <c r="SDD3" s="284"/>
      <c r="SDE3" s="284"/>
      <c r="SDF3" s="284"/>
      <c r="SDG3" s="284"/>
      <c r="SDH3" s="284"/>
      <c r="SDI3" s="284"/>
      <c r="SDJ3" s="284"/>
      <c r="SDK3" s="284"/>
      <c r="SDL3" s="284"/>
      <c r="SDM3" s="284"/>
      <c r="SDN3" s="284"/>
      <c r="SDO3" s="284"/>
      <c r="SDP3" s="284"/>
      <c r="SDQ3" s="284"/>
      <c r="SDR3" s="284"/>
      <c r="SDS3" s="284"/>
      <c r="SDT3" s="284"/>
      <c r="SDU3" s="284"/>
      <c r="SDV3" s="284"/>
      <c r="SDW3" s="284"/>
      <c r="SDX3" s="284"/>
      <c r="SDY3" s="284"/>
      <c r="SDZ3" s="284"/>
      <c r="SEA3" s="284"/>
      <c r="SEB3" s="284"/>
      <c r="SEC3" s="284"/>
      <c r="SED3" s="284"/>
      <c r="SEE3" s="284"/>
      <c r="SEF3" s="284"/>
      <c r="SEG3" s="284"/>
      <c r="SEH3" s="284"/>
      <c r="SEI3" s="284"/>
      <c r="SEJ3" s="284"/>
      <c r="SEK3" s="284"/>
      <c r="SEL3" s="284"/>
      <c r="SEM3" s="284"/>
      <c r="SEN3" s="284"/>
      <c r="SEO3" s="284"/>
      <c r="SEP3" s="284"/>
      <c r="SEQ3" s="284"/>
      <c r="SER3" s="284"/>
      <c r="SES3" s="284"/>
      <c r="SET3" s="284"/>
      <c r="SEU3" s="284"/>
      <c r="SEV3" s="284"/>
      <c r="SEW3" s="284"/>
      <c r="SEX3" s="284"/>
      <c r="SEY3" s="284"/>
      <c r="SEZ3" s="284"/>
      <c r="SFA3" s="284"/>
      <c r="SFB3" s="284"/>
      <c r="SFC3" s="284"/>
      <c r="SFD3" s="284"/>
      <c r="SFE3" s="284"/>
      <c r="SFF3" s="284"/>
      <c r="SFG3" s="284"/>
      <c r="SFH3" s="284"/>
      <c r="SFI3" s="284"/>
      <c r="SFJ3" s="284"/>
      <c r="SFK3" s="284"/>
      <c r="SFL3" s="284"/>
      <c r="SFM3" s="284"/>
      <c r="SFN3" s="284"/>
      <c r="SFO3" s="284"/>
      <c r="SFP3" s="284"/>
      <c r="SFQ3" s="284"/>
      <c r="SFR3" s="284"/>
      <c r="SFS3" s="284"/>
      <c r="SFT3" s="284"/>
      <c r="SFU3" s="284"/>
      <c r="SFV3" s="284"/>
      <c r="SFW3" s="284"/>
      <c r="SFX3" s="284"/>
      <c r="SFY3" s="284"/>
      <c r="SFZ3" s="284"/>
      <c r="SGA3" s="284"/>
      <c r="SGB3" s="284"/>
      <c r="SGC3" s="284"/>
      <c r="SGD3" s="284"/>
      <c r="SGE3" s="284"/>
      <c r="SGF3" s="284"/>
      <c r="SGG3" s="284"/>
      <c r="SGH3" s="284"/>
      <c r="SGI3" s="284"/>
      <c r="SGJ3" s="284"/>
      <c r="SGK3" s="284"/>
      <c r="SGL3" s="284"/>
      <c r="SGM3" s="284"/>
      <c r="SGN3" s="284"/>
      <c r="SGO3" s="284"/>
      <c r="SGP3" s="284"/>
      <c r="SGQ3" s="284"/>
      <c r="SGR3" s="284"/>
      <c r="SGS3" s="284"/>
      <c r="SGT3" s="284"/>
      <c r="SGU3" s="284"/>
      <c r="SGV3" s="284"/>
      <c r="SGW3" s="284"/>
      <c r="SGX3" s="284"/>
      <c r="SGY3" s="284"/>
      <c r="SGZ3" s="284"/>
      <c r="SHA3" s="284"/>
      <c r="SHB3" s="284"/>
      <c r="SHC3" s="284"/>
      <c r="SHD3" s="284"/>
      <c r="SHE3" s="284"/>
      <c r="SHF3" s="284"/>
      <c r="SHG3" s="284"/>
      <c r="SHH3" s="284"/>
      <c r="SHI3" s="284"/>
      <c r="SHJ3" s="284"/>
      <c r="SHK3" s="284"/>
      <c r="SHL3" s="284"/>
      <c r="SHM3" s="284"/>
      <c r="SHN3" s="284"/>
      <c r="SHO3" s="284"/>
      <c r="SHP3" s="284"/>
      <c r="SHQ3" s="284"/>
      <c r="SHR3" s="284"/>
      <c r="SHS3" s="284"/>
      <c r="SHT3" s="284"/>
      <c r="SHU3" s="284"/>
      <c r="SHV3" s="284"/>
      <c r="SHW3" s="284"/>
      <c r="SHX3" s="284"/>
      <c r="SHY3" s="284"/>
      <c r="SHZ3" s="284"/>
      <c r="SIA3" s="284"/>
      <c r="SIB3" s="284"/>
      <c r="SIC3" s="284"/>
      <c r="SID3" s="284"/>
      <c r="SIE3" s="284"/>
      <c r="SIF3" s="284"/>
      <c r="SIG3" s="284"/>
      <c r="SIH3" s="284"/>
      <c r="SII3" s="284"/>
      <c r="SIJ3" s="284"/>
      <c r="SIK3" s="284"/>
      <c r="SIL3" s="284"/>
      <c r="SIM3" s="284"/>
      <c r="SIN3" s="284"/>
      <c r="SIO3" s="284"/>
      <c r="SIP3" s="284"/>
      <c r="SIQ3" s="284"/>
      <c r="SIR3" s="284"/>
      <c r="SIS3" s="284"/>
      <c r="SIT3" s="284"/>
      <c r="SIU3" s="284"/>
      <c r="SIV3" s="284"/>
      <c r="SIW3" s="284"/>
      <c r="SIX3" s="284"/>
      <c r="SIY3" s="284"/>
      <c r="SIZ3" s="284"/>
      <c r="SJA3" s="284"/>
      <c r="SJB3" s="284"/>
      <c r="SJC3" s="284"/>
      <c r="SJD3" s="284"/>
      <c r="SJE3" s="284"/>
      <c r="SJF3" s="284"/>
      <c r="SJG3" s="284"/>
      <c r="SJH3" s="284"/>
      <c r="SJI3" s="284"/>
      <c r="SJJ3" s="284"/>
      <c r="SJK3" s="284"/>
      <c r="SJL3" s="284"/>
      <c r="SJM3" s="284"/>
      <c r="SJN3" s="284"/>
      <c r="SJO3" s="284"/>
      <c r="SJP3" s="284"/>
      <c r="SJQ3" s="284"/>
      <c r="SJR3" s="284"/>
      <c r="SJS3" s="284"/>
      <c r="SJT3" s="284"/>
      <c r="SJU3" s="284"/>
      <c r="SJV3" s="284"/>
      <c r="SJW3" s="284"/>
      <c r="SJX3" s="284"/>
      <c r="SJY3" s="284"/>
      <c r="SJZ3" s="284"/>
      <c r="SKA3" s="284"/>
      <c r="SKB3" s="284"/>
      <c r="SKC3" s="284"/>
      <c r="SKD3" s="284"/>
      <c r="SKE3" s="284"/>
      <c r="SKF3" s="284"/>
      <c r="SKG3" s="284"/>
      <c r="SKH3" s="284"/>
      <c r="SKI3" s="284"/>
      <c r="SKJ3" s="284"/>
      <c r="SKK3" s="284"/>
      <c r="SKL3" s="284"/>
      <c r="SKM3" s="284"/>
      <c r="SKN3" s="284"/>
      <c r="SKO3" s="284"/>
      <c r="SKP3" s="284"/>
      <c r="SKQ3" s="284"/>
      <c r="SKR3" s="284"/>
      <c r="SKS3" s="284"/>
      <c r="SKT3" s="284"/>
      <c r="SKU3" s="284"/>
      <c r="SKV3" s="284"/>
      <c r="SKW3" s="284"/>
      <c r="SKX3" s="284"/>
      <c r="SKY3" s="284"/>
      <c r="SKZ3" s="284"/>
      <c r="SLA3" s="284"/>
      <c r="SLB3" s="284"/>
      <c r="SLC3" s="284"/>
      <c r="SLD3" s="284"/>
      <c r="SLE3" s="284"/>
      <c r="SLF3" s="284"/>
      <c r="SLG3" s="284"/>
      <c r="SLH3" s="284"/>
      <c r="SLI3" s="284"/>
      <c r="SLJ3" s="284"/>
      <c r="SLK3" s="284"/>
      <c r="SLL3" s="284"/>
      <c r="SLM3" s="284"/>
      <c r="SLN3" s="284"/>
      <c r="SLO3" s="284"/>
      <c r="SLP3" s="284"/>
      <c r="SLQ3" s="284"/>
      <c r="SLR3" s="284"/>
      <c r="SLS3" s="284"/>
      <c r="SLT3" s="284"/>
      <c r="SLU3" s="284"/>
      <c r="SLV3" s="284"/>
      <c r="SLW3" s="284"/>
      <c r="SLX3" s="284"/>
      <c r="SLY3" s="284"/>
      <c r="SLZ3" s="284"/>
      <c r="SMA3" s="284"/>
      <c r="SMB3" s="284"/>
      <c r="SMC3" s="284"/>
      <c r="SMD3" s="284"/>
      <c r="SME3" s="284"/>
      <c r="SMF3" s="284"/>
      <c r="SMG3" s="284"/>
      <c r="SMH3" s="284"/>
      <c r="SMI3" s="284"/>
      <c r="SMJ3" s="284"/>
      <c r="SMK3" s="284"/>
      <c r="SML3" s="284"/>
      <c r="SMM3" s="284"/>
      <c r="SMN3" s="284"/>
      <c r="SMO3" s="284"/>
      <c r="SMP3" s="284"/>
      <c r="SMQ3" s="284"/>
      <c r="SMR3" s="284"/>
      <c r="SMS3" s="284"/>
      <c r="SMT3" s="284"/>
      <c r="SMU3" s="284"/>
      <c r="SMV3" s="284"/>
      <c r="SMW3" s="284"/>
      <c r="SMX3" s="284"/>
      <c r="SMY3" s="284"/>
      <c r="SMZ3" s="284"/>
      <c r="SNA3" s="284"/>
      <c r="SNB3" s="284"/>
      <c r="SNC3" s="284"/>
      <c r="SND3" s="284"/>
      <c r="SNE3" s="284"/>
      <c r="SNF3" s="284"/>
      <c r="SNG3" s="284"/>
      <c r="SNH3" s="284"/>
      <c r="SNI3" s="284"/>
      <c r="SNJ3" s="284"/>
      <c r="SNK3" s="284"/>
      <c r="SNL3" s="284"/>
      <c r="SNM3" s="284"/>
      <c r="SNN3" s="284"/>
      <c r="SNO3" s="284"/>
      <c r="SNP3" s="284"/>
      <c r="SNQ3" s="284"/>
      <c r="SNR3" s="284"/>
      <c r="SNS3" s="284"/>
      <c r="SNT3" s="284"/>
      <c r="SNU3" s="284"/>
      <c r="SNV3" s="284"/>
      <c r="SNW3" s="284"/>
      <c r="SNX3" s="284"/>
      <c r="SNY3" s="284"/>
      <c r="SNZ3" s="284"/>
      <c r="SOA3" s="284"/>
      <c r="SOB3" s="284"/>
      <c r="SOC3" s="284"/>
      <c r="SOD3" s="284"/>
      <c r="SOE3" s="284"/>
      <c r="SOF3" s="284"/>
      <c r="SOG3" s="284"/>
      <c r="SOH3" s="284"/>
      <c r="SOI3" s="284"/>
      <c r="SOJ3" s="284"/>
      <c r="SOK3" s="284"/>
      <c r="SOL3" s="284"/>
      <c r="SOM3" s="284"/>
      <c r="SON3" s="284"/>
      <c r="SOO3" s="284"/>
      <c r="SOP3" s="284"/>
      <c r="SOQ3" s="284"/>
      <c r="SOR3" s="284"/>
      <c r="SOS3" s="284"/>
      <c r="SOT3" s="284"/>
      <c r="SOU3" s="284"/>
      <c r="SOV3" s="284"/>
      <c r="SOW3" s="284"/>
      <c r="SOX3" s="284"/>
      <c r="SOY3" s="284"/>
      <c r="SOZ3" s="284"/>
      <c r="SPA3" s="284"/>
      <c r="SPB3" s="284"/>
      <c r="SPC3" s="284"/>
      <c r="SPD3" s="284"/>
      <c r="SPE3" s="284"/>
      <c r="SPF3" s="284"/>
      <c r="SPG3" s="284"/>
      <c r="SPH3" s="284"/>
      <c r="SPI3" s="284"/>
      <c r="SPJ3" s="284"/>
      <c r="SPK3" s="284"/>
      <c r="SPL3" s="284"/>
      <c r="SPM3" s="284"/>
      <c r="SPN3" s="284"/>
      <c r="SPO3" s="284"/>
      <c r="SPP3" s="284"/>
      <c r="SPQ3" s="284"/>
      <c r="SPR3" s="284"/>
      <c r="SPS3" s="284"/>
      <c r="SPT3" s="284"/>
      <c r="SPU3" s="284"/>
      <c r="SPV3" s="284"/>
      <c r="SPW3" s="284"/>
      <c r="SPX3" s="284"/>
      <c r="SPY3" s="284"/>
      <c r="SPZ3" s="284"/>
      <c r="SQA3" s="284"/>
      <c r="SQB3" s="284"/>
      <c r="SQC3" s="284"/>
      <c r="SQD3" s="284"/>
      <c r="SQE3" s="284"/>
      <c r="SQF3" s="284"/>
      <c r="SQG3" s="284"/>
      <c r="SQH3" s="284"/>
      <c r="SQI3" s="284"/>
      <c r="SQJ3" s="284"/>
      <c r="SQK3" s="284"/>
      <c r="SQL3" s="284"/>
      <c r="SQM3" s="284"/>
      <c r="SQN3" s="284"/>
      <c r="SQO3" s="284"/>
      <c r="SQP3" s="284"/>
      <c r="SQQ3" s="284"/>
      <c r="SQR3" s="284"/>
      <c r="SQS3" s="284"/>
      <c r="SQT3" s="284"/>
      <c r="SQU3" s="284"/>
      <c r="SQV3" s="284"/>
      <c r="SQW3" s="284"/>
      <c r="SQX3" s="284"/>
      <c r="SQY3" s="284"/>
      <c r="SQZ3" s="284"/>
      <c r="SRA3" s="284"/>
      <c r="SRB3" s="284"/>
      <c r="SRC3" s="284"/>
      <c r="SRD3" s="284"/>
      <c r="SRE3" s="284"/>
      <c r="SRF3" s="284"/>
      <c r="SRG3" s="284"/>
      <c r="SRH3" s="284"/>
      <c r="SRI3" s="284"/>
      <c r="SRJ3" s="284"/>
      <c r="SRK3" s="284"/>
      <c r="SRL3" s="284"/>
      <c r="SRM3" s="284"/>
      <c r="SRN3" s="284"/>
      <c r="SRO3" s="284"/>
      <c r="SRP3" s="284"/>
      <c r="SRQ3" s="284"/>
      <c r="SRR3" s="284"/>
      <c r="SRS3" s="284"/>
      <c r="SRT3" s="284"/>
      <c r="SRU3" s="284"/>
      <c r="SRV3" s="284"/>
      <c r="SRW3" s="284"/>
      <c r="SRX3" s="284"/>
      <c r="SRY3" s="284"/>
      <c r="SRZ3" s="284"/>
      <c r="SSA3" s="284"/>
      <c r="SSB3" s="284"/>
      <c r="SSC3" s="284"/>
      <c r="SSD3" s="284"/>
      <c r="SSE3" s="284"/>
      <c r="SSF3" s="284"/>
      <c r="SSG3" s="284"/>
      <c r="SSH3" s="284"/>
      <c r="SSI3" s="284"/>
      <c r="SSJ3" s="284"/>
      <c r="SSK3" s="284"/>
      <c r="SSL3" s="284"/>
      <c r="SSM3" s="284"/>
      <c r="SSN3" s="284"/>
      <c r="SSO3" s="284"/>
      <c r="SSP3" s="284"/>
      <c r="SSQ3" s="284"/>
      <c r="SSR3" s="284"/>
      <c r="SSS3" s="284"/>
      <c r="SST3" s="284"/>
      <c r="SSU3" s="284"/>
      <c r="SSV3" s="284"/>
      <c r="SSW3" s="284"/>
      <c r="SSX3" s="284"/>
      <c r="SSY3" s="284"/>
      <c r="SSZ3" s="284"/>
      <c r="STA3" s="284"/>
      <c r="STB3" s="284"/>
      <c r="STC3" s="284"/>
      <c r="STD3" s="284"/>
      <c r="STE3" s="284"/>
      <c r="STF3" s="284"/>
      <c r="STG3" s="284"/>
      <c r="STH3" s="284"/>
      <c r="STI3" s="284"/>
      <c r="STJ3" s="284"/>
      <c r="STK3" s="284"/>
      <c r="STL3" s="284"/>
      <c r="STM3" s="284"/>
      <c r="STN3" s="284"/>
      <c r="STO3" s="284"/>
      <c r="STP3" s="284"/>
      <c r="STQ3" s="284"/>
      <c r="STR3" s="284"/>
      <c r="STS3" s="284"/>
      <c r="STT3" s="284"/>
      <c r="STU3" s="284"/>
      <c r="STV3" s="284"/>
      <c r="STW3" s="284"/>
      <c r="STX3" s="284"/>
      <c r="STY3" s="284"/>
      <c r="STZ3" s="284"/>
      <c r="SUA3" s="284"/>
      <c r="SUB3" s="284"/>
      <c r="SUC3" s="284"/>
      <c r="SUD3" s="284"/>
      <c r="SUE3" s="284"/>
      <c r="SUF3" s="284"/>
      <c r="SUG3" s="284"/>
      <c r="SUH3" s="284"/>
      <c r="SUI3" s="284"/>
      <c r="SUJ3" s="284"/>
      <c r="SUK3" s="284"/>
      <c r="SUL3" s="284"/>
      <c r="SUM3" s="284"/>
      <c r="SUN3" s="284"/>
      <c r="SUO3" s="284"/>
      <c r="SUP3" s="284"/>
      <c r="SUQ3" s="284"/>
      <c r="SUR3" s="284"/>
      <c r="SUS3" s="284"/>
      <c r="SUT3" s="284"/>
      <c r="SUU3" s="284"/>
      <c r="SUV3" s="284"/>
      <c r="SUW3" s="284"/>
      <c r="SUX3" s="284"/>
      <c r="SUY3" s="284"/>
      <c r="SUZ3" s="284"/>
      <c r="SVA3" s="284"/>
      <c r="SVB3" s="284"/>
      <c r="SVC3" s="284"/>
      <c r="SVD3" s="284"/>
      <c r="SVE3" s="284"/>
      <c r="SVF3" s="284"/>
      <c r="SVG3" s="284"/>
      <c r="SVH3" s="284"/>
      <c r="SVI3" s="284"/>
      <c r="SVJ3" s="284"/>
      <c r="SVK3" s="284"/>
      <c r="SVL3" s="284"/>
      <c r="SVM3" s="284"/>
      <c r="SVN3" s="284"/>
      <c r="SVO3" s="284"/>
      <c r="SVP3" s="284"/>
      <c r="SVQ3" s="284"/>
      <c r="SVR3" s="284"/>
      <c r="SVS3" s="284"/>
      <c r="SVT3" s="284"/>
      <c r="SVU3" s="284"/>
      <c r="SVV3" s="284"/>
      <c r="SVW3" s="284"/>
      <c r="SVX3" s="284"/>
      <c r="SVY3" s="284"/>
      <c r="SVZ3" s="284"/>
      <c r="SWA3" s="284"/>
      <c r="SWB3" s="284"/>
      <c r="SWC3" s="284"/>
      <c r="SWD3" s="284"/>
      <c r="SWE3" s="284"/>
      <c r="SWF3" s="284"/>
      <c r="SWG3" s="284"/>
      <c r="SWH3" s="284"/>
      <c r="SWI3" s="284"/>
      <c r="SWJ3" s="284"/>
      <c r="SWK3" s="284"/>
      <c r="SWL3" s="284"/>
      <c r="SWM3" s="284"/>
      <c r="SWN3" s="284"/>
      <c r="SWO3" s="284"/>
      <c r="SWP3" s="284"/>
      <c r="SWQ3" s="284"/>
      <c r="SWR3" s="284"/>
      <c r="SWS3" s="284"/>
      <c r="SWT3" s="284"/>
      <c r="SWU3" s="284"/>
      <c r="SWV3" s="284"/>
      <c r="SWW3" s="284"/>
      <c r="SWX3" s="284"/>
      <c r="SWY3" s="284"/>
      <c r="SWZ3" s="284"/>
      <c r="SXA3" s="284"/>
      <c r="SXB3" s="284"/>
      <c r="SXC3" s="284"/>
      <c r="SXD3" s="284"/>
      <c r="SXE3" s="284"/>
      <c r="SXF3" s="284"/>
      <c r="SXG3" s="284"/>
      <c r="SXH3" s="284"/>
      <c r="SXI3" s="284"/>
      <c r="SXJ3" s="284"/>
      <c r="SXK3" s="284"/>
      <c r="SXL3" s="284"/>
      <c r="SXM3" s="284"/>
      <c r="SXN3" s="284"/>
      <c r="SXO3" s="284"/>
      <c r="SXP3" s="284"/>
      <c r="SXQ3" s="284"/>
      <c r="SXR3" s="284"/>
      <c r="SXS3" s="284"/>
      <c r="SXT3" s="284"/>
      <c r="SXU3" s="284"/>
      <c r="SXV3" s="284"/>
      <c r="SXW3" s="284"/>
      <c r="SXX3" s="284"/>
      <c r="SXY3" s="284"/>
      <c r="SXZ3" s="284"/>
      <c r="SYA3" s="284"/>
      <c r="SYB3" s="284"/>
      <c r="SYC3" s="284"/>
      <c r="SYD3" s="284"/>
      <c r="SYE3" s="284"/>
      <c r="SYF3" s="284"/>
      <c r="SYG3" s="284"/>
      <c r="SYH3" s="284"/>
      <c r="SYI3" s="284"/>
      <c r="SYJ3" s="284"/>
      <c r="SYK3" s="284"/>
      <c r="SYL3" s="284"/>
      <c r="SYM3" s="284"/>
      <c r="SYN3" s="284"/>
      <c r="SYO3" s="284"/>
      <c r="SYP3" s="284"/>
      <c r="SYQ3" s="284"/>
      <c r="SYR3" s="284"/>
      <c r="SYS3" s="284"/>
      <c r="SYT3" s="284"/>
      <c r="SYU3" s="284"/>
      <c r="SYV3" s="284"/>
      <c r="SYW3" s="284"/>
      <c r="SYX3" s="284"/>
      <c r="SYY3" s="284"/>
      <c r="SYZ3" s="284"/>
      <c r="SZA3" s="284"/>
      <c r="SZB3" s="284"/>
      <c r="SZC3" s="284"/>
      <c r="SZD3" s="284"/>
      <c r="SZE3" s="284"/>
      <c r="SZF3" s="284"/>
      <c r="SZG3" s="284"/>
      <c r="SZH3" s="284"/>
      <c r="SZI3" s="284"/>
      <c r="SZJ3" s="284"/>
      <c r="SZK3" s="284"/>
      <c r="SZL3" s="284"/>
      <c r="SZM3" s="284"/>
      <c r="SZN3" s="284"/>
      <c r="SZO3" s="284"/>
      <c r="SZP3" s="284"/>
      <c r="SZQ3" s="284"/>
      <c r="SZR3" s="284"/>
      <c r="SZS3" s="284"/>
      <c r="SZT3" s="284"/>
      <c r="SZU3" s="284"/>
      <c r="SZV3" s="284"/>
      <c r="SZW3" s="284"/>
      <c r="SZX3" s="284"/>
      <c r="SZY3" s="284"/>
      <c r="SZZ3" s="284"/>
      <c r="TAA3" s="284"/>
      <c r="TAB3" s="284"/>
      <c r="TAC3" s="284"/>
      <c r="TAD3" s="284"/>
      <c r="TAE3" s="284"/>
      <c r="TAF3" s="284"/>
      <c r="TAG3" s="284"/>
      <c r="TAH3" s="284"/>
      <c r="TAI3" s="284"/>
      <c r="TAJ3" s="284"/>
      <c r="TAK3" s="284"/>
      <c r="TAL3" s="284"/>
      <c r="TAM3" s="284"/>
      <c r="TAN3" s="284"/>
      <c r="TAO3" s="284"/>
      <c r="TAP3" s="284"/>
      <c r="TAQ3" s="284"/>
      <c r="TAR3" s="284"/>
      <c r="TAS3" s="284"/>
      <c r="TAT3" s="284"/>
      <c r="TAU3" s="284"/>
      <c r="TAV3" s="284"/>
      <c r="TAW3" s="284"/>
      <c r="TAX3" s="284"/>
      <c r="TAY3" s="284"/>
      <c r="TAZ3" s="284"/>
      <c r="TBA3" s="284"/>
      <c r="TBB3" s="284"/>
      <c r="TBC3" s="284"/>
      <c r="TBD3" s="284"/>
      <c r="TBE3" s="284"/>
      <c r="TBF3" s="284"/>
      <c r="TBG3" s="284"/>
      <c r="TBH3" s="284"/>
      <c r="TBI3" s="284"/>
      <c r="TBJ3" s="284"/>
      <c r="TBK3" s="284"/>
      <c r="TBL3" s="284"/>
      <c r="TBM3" s="284"/>
      <c r="TBN3" s="284"/>
      <c r="TBO3" s="284"/>
      <c r="TBP3" s="284"/>
      <c r="TBQ3" s="284"/>
      <c r="TBR3" s="284"/>
      <c r="TBS3" s="284"/>
      <c r="TBT3" s="284"/>
      <c r="TBU3" s="284"/>
      <c r="TBV3" s="284"/>
      <c r="TBW3" s="284"/>
      <c r="TBX3" s="284"/>
      <c r="TBY3" s="284"/>
      <c r="TBZ3" s="284"/>
      <c r="TCA3" s="284"/>
      <c r="TCB3" s="284"/>
      <c r="TCC3" s="284"/>
      <c r="TCD3" s="284"/>
      <c r="TCE3" s="284"/>
      <c r="TCF3" s="284"/>
      <c r="TCG3" s="284"/>
      <c r="TCH3" s="284"/>
      <c r="TCI3" s="284"/>
      <c r="TCJ3" s="284"/>
      <c r="TCK3" s="284"/>
      <c r="TCL3" s="284"/>
      <c r="TCM3" s="284"/>
      <c r="TCN3" s="284"/>
      <c r="TCO3" s="284"/>
      <c r="TCP3" s="284"/>
      <c r="TCQ3" s="284"/>
      <c r="TCR3" s="284"/>
      <c r="TCS3" s="284"/>
      <c r="TCT3" s="284"/>
      <c r="TCU3" s="284"/>
      <c r="TCV3" s="284"/>
      <c r="TCW3" s="284"/>
      <c r="TCX3" s="284"/>
      <c r="TCY3" s="284"/>
      <c r="TCZ3" s="284"/>
      <c r="TDA3" s="284"/>
      <c r="TDB3" s="284"/>
      <c r="TDC3" s="284"/>
      <c r="TDD3" s="284"/>
      <c r="TDE3" s="284"/>
      <c r="TDF3" s="284"/>
      <c r="TDG3" s="284"/>
      <c r="TDH3" s="284"/>
      <c r="TDI3" s="284"/>
      <c r="TDJ3" s="284"/>
      <c r="TDK3" s="284"/>
      <c r="TDL3" s="284"/>
      <c r="TDM3" s="284"/>
      <c r="TDN3" s="284"/>
      <c r="TDO3" s="284"/>
      <c r="TDP3" s="284"/>
      <c r="TDQ3" s="284"/>
      <c r="TDR3" s="284"/>
      <c r="TDS3" s="284"/>
      <c r="TDT3" s="284"/>
      <c r="TDU3" s="284"/>
      <c r="TDV3" s="284"/>
      <c r="TDW3" s="284"/>
      <c r="TDX3" s="284"/>
      <c r="TDY3" s="284"/>
      <c r="TDZ3" s="284"/>
      <c r="TEA3" s="284"/>
      <c r="TEB3" s="284"/>
      <c r="TEC3" s="284"/>
      <c r="TED3" s="284"/>
      <c r="TEE3" s="284"/>
      <c r="TEF3" s="284"/>
      <c r="TEG3" s="284"/>
      <c r="TEH3" s="284"/>
      <c r="TEI3" s="284"/>
      <c r="TEJ3" s="284"/>
      <c r="TEK3" s="284"/>
      <c r="TEL3" s="284"/>
      <c r="TEM3" s="284"/>
      <c r="TEN3" s="284"/>
      <c r="TEO3" s="284"/>
      <c r="TEP3" s="284"/>
      <c r="TEQ3" s="284"/>
      <c r="TER3" s="284"/>
      <c r="TES3" s="284"/>
      <c r="TET3" s="284"/>
      <c r="TEU3" s="284"/>
      <c r="TEV3" s="284"/>
      <c r="TEW3" s="284"/>
      <c r="TEX3" s="284"/>
      <c r="TEY3" s="284"/>
      <c r="TEZ3" s="284"/>
      <c r="TFA3" s="284"/>
      <c r="TFB3" s="284"/>
      <c r="TFC3" s="284"/>
      <c r="TFD3" s="284"/>
      <c r="TFE3" s="284"/>
      <c r="TFF3" s="284"/>
      <c r="TFG3" s="284"/>
      <c r="TFH3" s="284"/>
      <c r="TFI3" s="284"/>
      <c r="TFJ3" s="284"/>
      <c r="TFK3" s="284"/>
      <c r="TFL3" s="284"/>
      <c r="TFM3" s="284"/>
      <c r="TFN3" s="284"/>
      <c r="TFO3" s="284"/>
      <c r="TFP3" s="284"/>
      <c r="TFQ3" s="284"/>
      <c r="TFR3" s="284"/>
      <c r="TFS3" s="284"/>
      <c r="TFT3" s="284"/>
      <c r="TFU3" s="284"/>
      <c r="TFV3" s="284"/>
      <c r="TFW3" s="284"/>
      <c r="TFX3" s="284"/>
      <c r="TFY3" s="284"/>
      <c r="TFZ3" s="284"/>
      <c r="TGA3" s="284"/>
      <c r="TGB3" s="284"/>
      <c r="TGC3" s="284"/>
      <c r="TGD3" s="284"/>
      <c r="TGE3" s="284"/>
      <c r="TGF3" s="284"/>
      <c r="TGG3" s="284"/>
      <c r="TGH3" s="284"/>
      <c r="TGI3" s="284"/>
      <c r="TGJ3" s="284"/>
      <c r="TGK3" s="284"/>
      <c r="TGL3" s="284"/>
      <c r="TGM3" s="284"/>
      <c r="TGN3" s="284"/>
      <c r="TGO3" s="284"/>
      <c r="TGP3" s="284"/>
      <c r="TGQ3" s="284"/>
      <c r="TGR3" s="284"/>
      <c r="TGS3" s="284"/>
      <c r="TGT3" s="284"/>
      <c r="TGU3" s="284"/>
      <c r="TGV3" s="284"/>
      <c r="TGW3" s="284"/>
      <c r="TGX3" s="284"/>
      <c r="TGY3" s="284"/>
      <c r="TGZ3" s="284"/>
      <c r="THA3" s="284"/>
      <c r="THB3" s="284"/>
      <c r="THC3" s="284"/>
      <c r="THD3" s="284"/>
      <c r="THE3" s="284"/>
      <c r="THF3" s="284"/>
      <c r="THG3" s="284"/>
      <c r="THH3" s="284"/>
      <c r="THI3" s="284"/>
      <c r="THJ3" s="284"/>
      <c r="THK3" s="284"/>
      <c r="THL3" s="284"/>
      <c r="THM3" s="284"/>
      <c r="THN3" s="284"/>
      <c r="THO3" s="284"/>
      <c r="THP3" s="284"/>
      <c r="THQ3" s="284"/>
      <c r="THR3" s="284"/>
      <c r="THS3" s="284"/>
      <c r="THT3" s="284"/>
      <c r="THU3" s="284"/>
      <c r="THV3" s="284"/>
      <c r="THW3" s="284"/>
      <c r="THX3" s="284"/>
      <c r="THY3" s="284"/>
      <c r="THZ3" s="284"/>
      <c r="TIA3" s="284"/>
      <c r="TIB3" s="284"/>
      <c r="TIC3" s="284"/>
      <c r="TID3" s="284"/>
      <c r="TIE3" s="284"/>
      <c r="TIF3" s="284"/>
      <c r="TIG3" s="284"/>
      <c r="TIH3" s="284"/>
      <c r="TII3" s="284"/>
      <c r="TIJ3" s="284"/>
      <c r="TIK3" s="284"/>
      <c r="TIL3" s="284"/>
      <c r="TIM3" s="284"/>
      <c r="TIN3" s="284"/>
      <c r="TIO3" s="284"/>
      <c r="TIP3" s="284"/>
      <c r="TIQ3" s="284"/>
      <c r="TIR3" s="284"/>
      <c r="TIS3" s="284"/>
      <c r="TIT3" s="284"/>
      <c r="TIU3" s="284"/>
      <c r="TIV3" s="284"/>
      <c r="TIW3" s="284"/>
      <c r="TIX3" s="284"/>
      <c r="TIY3" s="284"/>
      <c r="TIZ3" s="284"/>
      <c r="TJA3" s="284"/>
      <c r="TJB3" s="284"/>
      <c r="TJC3" s="284"/>
      <c r="TJD3" s="284"/>
      <c r="TJE3" s="284"/>
      <c r="TJF3" s="284"/>
      <c r="TJG3" s="284"/>
      <c r="TJH3" s="284"/>
      <c r="TJI3" s="284"/>
      <c r="TJJ3" s="284"/>
      <c r="TJK3" s="284"/>
      <c r="TJL3" s="284"/>
      <c r="TJM3" s="284"/>
      <c r="TJN3" s="284"/>
      <c r="TJO3" s="284"/>
      <c r="TJP3" s="284"/>
      <c r="TJQ3" s="284"/>
      <c r="TJR3" s="284"/>
      <c r="TJS3" s="284"/>
      <c r="TJT3" s="284"/>
      <c r="TJU3" s="284"/>
      <c r="TJV3" s="284"/>
      <c r="TJW3" s="284"/>
      <c r="TJX3" s="284"/>
      <c r="TJY3" s="284"/>
      <c r="TJZ3" s="284"/>
      <c r="TKA3" s="284"/>
      <c r="TKB3" s="284"/>
      <c r="TKC3" s="284"/>
      <c r="TKD3" s="284"/>
      <c r="TKE3" s="284"/>
      <c r="TKF3" s="284"/>
      <c r="TKG3" s="284"/>
      <c r="TKH3" s="284"/>
      <c r="TKI3" s="284"/>
      <c r="TKJ3" s="284"/>
      <c r="TKK3" s="284"/>
      <c r="TKL3" s="284"/>
      <c r="TKM3" s="284"/>
      <c r="TKN3" s="284"/>
      <c r="TKO3" s="284"/>
      <c r="TKP3" s="284"/>
      <c r="TKQ3" s="284"/>
      <c r="TKR3" s="284"/>
      <c r="TKS3" s="284"/>
      <c r="TKT3" s="284"/>
      <c r="TKU3" s="284"/>
      <c r="TKV3" s="284"/>
      <c r="TKW3" s="284"/>
      <c r="TKX3" s="284"/>
      <c r="TKY3" s="284"/>
      <c r="TKZ3" s="284"/>
      <c r="TLA3" s="284"/>
      <c r="TLB3" s="284"/>
      <c r="TLC3" s="284"/>
      <c r="TLD3" s="284"/>
      <c r="TLE3" s="284"/>
      <c r="TLF3" s="284"/>
      <c r="TLG3" s="284"/>
      <c r="TLH3" s="284"/>
      <c r="TLI3" s="284"/>
      <c r="TLJ3" s="284"/>
      <c r="TLK3" s="284"/>
      <c r="TLL3" s="284"/>
      <c r="TLM3" s="284"/>
      <c r="TLN3" s="284"/>
      <c r="TLO3" s="284"/>
      <c r="TLP3" s="284"/>
      <c r="TLQ3" s="284"/>
      <c r="TLR3" s="284"/>
      <c r="TLS3" s="284"/>
      <c r="TLT3" s="284"/>
      <c r="TLU3" s="284"/>
      <c r="TLV3" s="284"/>
      <c r="TLW3" s="284"/>
      <c r="TLX3" s="284"/>
      <c r="TLY3" s="284"/>
      <c r="TLZ3" s="284"/>
      <c r="TMA3" s="284"/>
      <c r="TMB3" s="284"/>
      <c r="TMC3" s="284"/>
      <c r="TMD3" s="284"/>
      <c r="TME3" s="284"/>
      <c r="TMF3" s="284"/>
      <c r="TMG3" s="284"/>
      <c r="TMH3" s="284"/>
      <c r="TMI3" s="284"/>
      <c r="TMJ3" s="284"/>
      <c r="TMK3" s="284"/>
      <c r="TML3" s="284"/>
      <c r="TMM3" s="284"/>
      <c r="TMN3" s="284"/>
      <c r="TMO3" s="284"/>
      <c r="TMP3" s="284"/>
      <c r="TMQ3" s="284"/>
      <c r="TMR3" s="284"/>
      <c r="TMS3" s="284"/>
      <c r="TMT3" s="284"/>
      <c r="TMU3" s="284"/>
      <c r="TMV3" s="284"/>
      <c r="TMW3" s="284"/>
      <c r="TMX3" s="284"/>
      <c r="TMY3" s="284"/>
      <c r="TMZ3" s="284"/>
      <c r="TNA3" s="284"/>
      <c r="TNB3" s="284"/>
      <c r="TNC3" s="284"/>
      <c r="TND3" s="284"/>
      <c r="TNE3" s="284"/>
      <c r="TNF3" s="284"/>
      <c r="TNG3" s="284"/>
      <c r="TNH3" s="284"/>
      <c r="TNI3" s="284"/>
      <c r="TNJ3" s="284"/>
      <c r="TNK3" s="284"/>
      <c r="TNL3" s="284"/>
      <c r="TNM3" s="284"/>
      <c r="TNN3" s="284"/>
      <c r="TNO3" s="284"/>
      <c r="TNP3" s="284"/>
      <c r="TNQ3" s="284"/>
      <c r="TNR3" s="284"/>
      <c r="TNS3" s="284"/>
      <c r="TNT3" s="284"/>
      <c r="TNU3" s="284"/>
      <c r="TNV3" s="284"/>
      <c r="TNW3" s="284"/>
      <c r="TNX3" s="284"/>
      <c r="TNY3" s="284"/>
      <c r="TNZ3" s="284"/>
      <c r="TOA3" s="284"/>
      <c r="TOB3" s="284"/>
      <c r="TOC3" s="284"/>
      <c r="TOD3" s="284"/>
      <c r="TOE3" s="284"/>
      <c r="TOF3" s="284"/>
      <c r="TOG3" s="284"/>
      <c r="TOH3" s="284"/>
      <c r="TOI3" s="284"/>
      <c r="TOJ3" s="284"/>
      <c r="TOK3" s="284"/>
      <c r="TOL3" s="284"/>
      <c r="TOM3" s="284"/>
      <c r="TON3" s="284"/>
      <c r="TOO3" s="284"/>
      <c r="TOP3" s="284"/>
      <c r="TOQ3" s="284"/>
      <c r="TOR3" s="284"/>
      <c r="TOS3" s="284"/>
      <c r="TOT3" s="284"/>
      <c r="TOU3" s="284"/>
      <c r="TOV3" s="284"/>
      <c r="TOW3" s="284"/>
      <c r="TOX3" s="284"/>
      <c r="TOY3" s="284"/>
      <c r="TOZ3" s="284"/>
      <c r="TPA3" s="284"/>
      <c r="TPB3" s="284"/>
      <c r="TPC3" s="284"/>
      <c r="TPD3" s="284"/>
      <c r="TPE3" s="284"/>
      <c r="TPF3" s="284"/>
      <c r="TPG3" s="284"/>
      <c r="TPH3" s="284"/>
      <c r="TPI3" s="284"/>
      <c r="TPJ3" s="284"/>
      <c r="TPK3" s="284"/>
      <c r="TPL3" s="284"/>
      <c r="TPM3" s="284"/>
      <c r="TPN3" s="284"/>
      <c r="TPO3" s="284"/>
      <c r="TPP3" s="284"/>
      <c r="TPQ3" s="284"/>
      <c r="TPR3" s="284"/>
      <c r="TPS3" s="284"/>
      <c r="TPT3" s="284"/>
      <c r="TPU3" s="284"/>
      <c r="TPV3" s="284"/>
      <c r="TPW3" s="284"/>
      <c r="TPX3" s="284"/>
      <c r="TPY3" s="284"/>
      <c r="TPZ3" s="284"/>
      <c r="TQA3" s="284"/>
      <c r="TQB3" s="284"/>
      <c r="TQC3" s="284"/>
      <c r="TQD3" s="284"/>
      <c r="TQE3" s="284"/>
      <c r="TQF3" s="284"/>
      <c r="TQG3" s="284"/>
      <c r="TQH3" s="284"/>
      <c r="TQI3" s="284"/>
      <c r="TQJ3" s="284"/>
      <c r="TQK3" s="284"/>
      <c r="TQL3" s="284"/>
      <c r="TQM3" s="284"/>
      <c r="TQN3" s="284"/>
      <c r="TQO3" s="284"/>
      <c r="TQP3" s="284"/>
      <c r="TQQ3" s="284"/>
      <c r="TQR3" s="284"/>
      <c r="TQS3" s="284"/>
      <c r="TQT3" s="284"/>
      <c r="TQU3" s="284"/>
      <c r="TQV3" s="284"/>
      <c r="TQW3" s="284"/>
      <c r="TQX3" s="284"/>
      <c r="TQY3" s="284"/>
      <c r="TQZ3" s="284"/>
      <c r="TRA3" s="284"/>
      <c r="TRB3" s="284"/>
      <c r="TRC3" s="284"/>
      <c r="TRD3" s="284"/>
      <c r="TRE3" s="284"/>
      <c r="TRF3" s="284"/>
      <c r="TRG3" s="284"/>
      <c r="TRH3" s="284"/>
      <c r="TRI3" s="284"/>
      <c r="TRJ3" s="284"/>
      <c r="TRK3" s="284"/>
      <c r="TRL3" s="284"/>
      <c r="TRM3" s="284"/>
      <c r="TRN3" s="284"/>
      <c r="TRO3" s="284"/>
      <c r="TRP3" s="284"/>
      <c r="TRQ3" s="284"/>
      <c r="TRR3" s="284"/>
      <c r="TRS3" s="284"/>
      <c r="TRT3" s="284"/>
      <c r="TRU3" s="284"/>
      <c r="TRV3" s="284"/>
      <c r="TRW3" s="284"/>
      <c r="TRX3" s="284"/>
      <c r="TRY3" s="284"/>
      <c r="TRZ3" s="284"/>
      <c r="TSA3" s="284"/>
      <c r="TSB3" s="284"/>
      <c r="TSC3" s="284"/>
      <c r="TSD3" s="284"/>
      <c r="TSE3" s="284"/>
      <c r="TSF3" s="284"/>
      <c r="TSG3" s="284"/>
      <c r="TSH3" s="284"/>
      <c r="TSI3" s="284"/>
      <c r="TSJ3" s="284"/>
      <c r="TSK3" s="284"/>
      <c r="TSL3" s="284"/>
      <c r="TSM3" s="284"/>
      <c r="TSN3" s="284"/>
      <c r="TSO3" s="284"/>
      <c r="TSP3" s="284"/>
      <c r="TSQ3" s="284"/>
      <c r="TSR3" s="284"/>
      <c r="TSS3" s="284"/>
      <c r="TST3" s="284"/>
      <c r="TSU3" s="284"/>
      <c r="TSV3" s="284"/>
      <c r="TSW3" s="284"/>
      <c r="TSX3" s="284"/>
      <c r="TSY3" s="284"/>
      <c r="TSZ3" s="284"/>
      <c r="TTA3" s="284"/>
      <c r="TTB3" s="284"/>
      <c r="TTC3" s="284"/>
      <c r="TTD3" s="284"/>
      <c r="TTE3" s="284"/>
      <c r="TTF3" s="284"/>
      <c r="TTG3" s="284"/>
      <c r="TTH3" s="284"/>
      <c r="TTI3" s="284"/>
      <c r="TTJ3" s="284"/>
      <c r="TTK3" s="284"/>
      <c r="TTL3" s="284"/>
      <c r="TTM3" s="284"/>
      <c r="TTN3" s="284"/>
      <c r="TTO3" s="284"/>
      <c r="TTP3" s="284"/>
      <c r="TTQ3" s="284"/>
      <c r="TTR3" s="284"/>
      <c r="TTS3" s="284"/>
      <c r="TTT3" s="284"/>
      <c r="TTU3" s="284"/>
      <c r="TTV3" s="284"/>
      <c r="TTW3" s="284"/>
      <c r="TTX3" s="284"/>
      <c r="TTY3" s="284"/>
      <c r="TTZ3" s="284"/>
      <c r="TUA3" s="284"/>
      <c r="TUB3" s="284"/>
      <c r="TUC3" s="284"/>
      <c r="TUD3" s="284"/>
      <c r="TUE3" s="284"/>
      <c r="TUF3" s="284"/>
      <c r="TUG3" s="284"/>
      <c r="TUH3" s="284"/>
      <c r="TUI3" s="284"/>
      <c r="TUJ3" s="284"/>
      <c r="TUK3" s="284"/>
      <c r="TUL3" s="284"/>
      <c r="TUM3" s="284"/>
      <c r="TUN3" s="284"/>
      <c r="TUO3" s="284"/>
      <c r="TUP3" s="284"/>
      <c r="TUQ3" s="284"/>
      <c r="TUR3" s="284"/>
      <c r="TUS3" s="284"/>
      <c r="TUT3" s="284"/>
      <c r="TUU3" s="284"/>
      <c r="TUV3" s="284"/>
      <c r="TUW3" s="284"/>
      <c r="TUX3" s="284"/>
      <c r="TUY3" s="284"/>
      <c r="TUZ3" s="284"/>
      <c r="TVA3" s="284"/>
      <c r="TVB3" s="284"/>
      <c r="TVC3" s="284"/>
      <c r="TVD3" s="284"/>
      <c r="TVE3" s="284"/>
      <c r="TVF3" s="284"/>
      <c r="TVG3" s="284"/>
      <c r="TVH3" s="284"/>
      <c r="TVI3" s="284"/>
      <c r="TVJ3" s="284"/>
      <c r="TVK3" s="284"/>
      <c r="TVL3" s="284"/>
      <c r="TVM3" s="284"/>
      <c r="TVN3" s="284"/>
      <c r="TVO3" s="284"/>
      <c r="TVP3" s="284"/>
      <c r="TVQ3" s="284"/>
      <c r="TVR3" s="284"/>
      <c r="TVS3" s="284"/>
      <c r="TVT3" s="284"/>
      <c r="TVU3" s="284"/>
      <c r="TVV3" s="284"/>
      <c r="TVW3" s="284"/>
      <c r="TVX3" s="284"/>
      <c r="TVY3" s="284"/>
      <c r="TVZ3" s="284"/>
      <c r="TWA3" s="284"/>
      <c r="TWB3" s="284"/>
      <c r="TWC3" s="284"/>
      <c r="TWD3" s="284"/>
      <c r="TWE3" s="284"/>
      <c r="TWF3" s="284"/>
      <c r="TWG3" s="284"/>
      <c r="TWH3" s="284"/>
      <c r="TWI3" s="284"/>
      <c r="TWJ3" s="284"/>
      <c r="TWK3" s="284"/>
      <c r="TWL3" s="284"/>
      <c r="TWM3" s="284"/>
      <c r="TWN3" s="284"/>
      <c r="TWO3" s="284"/>
      <c r="TWP3" s="284"/>
      <c r="TWQ3" s="284"/>
      <c r="TWR3" s="284"/>
      <c r="TWS3" s="284"/>
      <c r="TWT3" s="284"/>
      <c r="TWU3" s="284"/>
      <c r="TWV3" s="284"/>
      <c r="TWW3" s="284"/>
      <c r="TWX3" s="284"/>
      <c r="TWY3" s="284"/>
      <c r="TWZ3" s="284"/>
      <c r="TXA3" s="284"/>
      <c r="TXB3" s="284"/>
      <c r="TXC3" s="284"/>
      <c r="TXD3" s="284"/>
      <c r="TXE3" s="284"/>
      <c r="TXF3" s="284"/>
      <c r="TXG3" s="284"/>
      <c r="TXH3" s="284"/>
      <c r="TXI3" s="284"/>
      <c r="TXJ3" s="284"/>
      <c r="TXK3" s="284"/>
      <c r="TXL3" s="284"/>
      <c r="TXM3" s="284"/>
      <c r="TXN3" s="284"/>
      <c r="TXO3" s="284"/>
      <c r="TXP3" s="284"/>
      <c r="TXQ3" s="284"/>
      <c r="TXR3" s="284"/>
      <c r="TXS3" s="284"/>
      <c r="TXT3" s="284"/>
      <c r="TXU3" s="284"/>
      <c r="TXV3" s="284"/>
      <c r="TXW3" s="284"/>
      <c r="TXX3" s="284"/>
      <c r="TXY3" s="284"/>
      <c r="TXZ3" s="284"/>
      <c r="TYA3" s="284"/>
      <c r="TYB3" s="284"/>
      <c r="TYC3" s="284"/>
      <c r="TYD3" s="284"/>
      <c r="TYE3" s="284"/>
      <c r="TYF3" s="284"/>
      <c r="TYG3" s="284"/>
      <c r="TYH3" s="284"/>
      <c r="TYI3" s="284"/>
      <c r="TYJ3" s="284"/>
      <c r="TYK3" s="284"/>
      <c r="TYL3" s="284"/>
      <c r="TYM3" s="284"/>
      <c r="TYN3" s="284"/>
      <c r="TYO3" s="284"/>
      <c r="TYP3" s="284"/>
      <c r="TYQ3" s="284"/>
      <c r="TYR3" s="284"/>
      <c r="TYS3" s="284"/>
      <c r="TYT3" s="284"/>
      <c r="TYU3" s="284"/>
      <c r="TYV3" s="284"/>
      <c r="TYW3" s="284"/>
      <c r="TYX3" s="284"/>
      <c r="TYY3" s="284"/>
      <c r="TYZ3" s="284"/>
      <c r="TZA3" s="284"/>
      <c r="TZB3" s="284"/>
      <c r="TZC3" s="284"/>
      <c r="TZD3" s="284"/>
      <c r="TZE3" s="284"/>
      <c r="TZF3" s="284"/>
      <c r="TZG3" s="284"/>
      <c r="TZH3" s="284"/>
      <c r="TZI3" s="284"/>
      <c r="TZJ3" s="284"/>
      <c r="TZK3" s="284"/>
      <c r="TZL3" s="284"/>
      <c r="TZM3" s="284"/>
      <c r="TZN3" s="284"/>
      <c r="TZO3" s="284"/>
      <c r="TZP3" s="284"/>
      <c r="TZQ3" s="284"/>
      <c r="TZR3" s="284"/>
      <c r="TZS3" s="284"/>
      <c r="TZT3" s="284"/>
      <c r="TZU3" s="284"/>
      <c r="TZV3" s="284"/>
      <c r="TZW3" s="284"/>
      <c r="TZX3" s="284"/>
      <c r="TZY3" s="284"/>
      <c r="TZZ3" s="284"/>
      <c r="UAA3" s="284"/>
      <c r="UAB3" s="284"/>
      <c r="UAC3" s="284"/>
      <c r="UAD3" s="284"/>
      <c r="UAE3" s="284"/>
      <c r="UAF3" s="284"/>
      <c r="UAG3" s="284"/>
      <c r="UAH3" s="284"/>
      <c r="UAI3" s="284"/>
      <c r="UAJ3" s="284"/>
      <c r="UAK3" s="284"/>
      <c r="UAL3" s="284"/>
      <c r="UAM3" s="284"/>
      <c r="UAN3" s="284"/>
      <c r="UAO3" s="284"/>
      <c r="UAP3" s="284"/>
      <c r="UAQ3" s="284"/>
      <c r="UAR3" s="284"/>
      <c r="UAS3" s="284"/>
      <c r="UAT3" s="284"/>
      <c r="UAU3" s="284"/>
      <c r="UAV3" s="284"/>
      <c r="UAW3" s="284"/>
      <c r="UAX3" s="284"/>
      <c r="UAY3" s="284"/>
      <c r="UAZ3" s="284"/>
      <c r="UBA3" s="284"/>
      <c r="UBB3" s="284"/>
      <c r="UBC3" s="284"/>
      <c r="UBD3" s="284"/>
      <c r="UBE3" s="284"/>
      <c r="UBF3" s="284"/>
      <c r="UBG3" s="284"/>
      <c r="UBH3" s="284"/>
      <c r="UBI3" s="284"/>
      <c r="UBJ3" s="284"/>
      <c r="UBK3" s="284"/>
      <c r="UBL3" s="284"/>
      <c r="UBM3" s="284"/>
      <c r="UBN3" s="284"/>
      <c r="UBO3" s="284"/>
      <c r="UBP3" s="284"/>
      <c r="UBQ3" s="284"/>
      <c r="UBR3" s="284"/>
      <c r="UBS3" s="284"/>
      <c r="UBT3" s="284"/>
      <c r="UBU3" s="284"/>
      <c r="UBV3" s="284"/>
      <c r="UBW3" s="284"/>
      <c r="UBX3" s="284"/>
      <c r="UBY3" s="284"/>
      <c r="UBZ3" s="284"/>
      <c r="UCA3" s="284"/>
      <c r="UCB3" s="284"/>
      <c r="UCC3" s="284"/>
      <c r="UCD3" s="284"/>
      <c r="UCE3" s="284"/>
      <c r="UCF3" s="284"/>
      <c r="UCG3" s="284"/>
      <c r="UCH3" s="284"/>
      <c r="UCI3" s="284"/>
      <c r="UCJ3" s="284"/>
      <c r="UCK3" s="284"/>
      <c r="UCL3" s="284"/>
      <c r="UCM3" s="284"/>
      <c r="UCN3" s="284"/>
      <c r="UCO3" s="284"/>
      <c r="UCP3" s="284"/>
      <c r="UCQ3" s="284"/>
      <c r="UCR3" s="284"/>
      <c r="UCS3" s="284"/>
      <c r="UCT3" s="284"/>
      <c r="UCU3" s="284"/>
      <c r="UCV3" s="284"/>
      <c r="UCW3" s="284"/>
      <c r="UCX3" s="284"/>
      <c r="UCY3" s="284"/>
      <c r="UCZ3" s="284"/>
      <c r="UDA3" s="284"/>
      <c r="UDB3" s="284"/>
      <c r="UDC3" s="284"/>
      <c r="UDD3" s="284"/>
      <c r="UDE3" s="284"/>
      <c r="UDF3" s="284"/>
      <c r="UDG3" s="284"/>
      <c r="UDH3" s="284"/>
      <c r="UDI3" s="284"/>
      <c r="UDJ3" s="284"/>
      <c r="UDK3" s="284"/>
      <c r="UDL3" s="284"/>
      <c r="UDM3" s="284"/>
      <c r="UDN3" s="284"/>
      <c r="UDO3" s="284"/>
      <c r="UDP3" s="284"/>
      <c r="UDQ3" s="284"/>
      <c r="UDR3" s="284"/>
      <c r="UDS3" s="284"/>
      <c r="UDT3" s="284"/>
      <c r="UDU3" s="284"/>
      <c r="UDV3" s="284"/>
      <c r="UDW3" s="284"/>
      <c r="UDX3" s="284"/>
      <c r="UDY3" s="284"/>
      <c r="UDZ3" s="284"/>
      <c r="UEA3" s="284"/>
      <c r="UEB3" s="284"/>
      <c r="UEC3" s="284"/>
      <c r="UED3" s="284"/>
      <c r="UEE3" s="284"/>
      <c r="UEF3" s="284"/>
      <c r="UEG3" s="284"/>
      <c r="UEH3" s="284"/>
      <c r="UEI3" s="284"/>
      <c r="UEJ3" s="284"/>
      <c r="UEK3" s="284"/>
      <c r="UEL3" s="284"/>
      <c r="UEM3" s="284"/>
      <c r="UEN3" s="284"/>
      <c r="UEO3" s="284"/>
      <c r="UEP3" s="284"/>
      <c r="UEQ3" s="284"/>
      <c r="UER3" s="284"/>
      <c r="UES3" s="284"/>
      <c r="UET3" s="284"/>
      <c r="UEU3" s="284"/>
      <c r="UEV3" s="284"/>
      <c r="UEW3" s="284"/>
      <c r="UEX3" s="284"/>
      <c r="UEY3" s="284"/>
      <c r="UEZ3" s="284"/>
      <c r="UFA3" s="284"/>
      <c r="UFB3" s="284"/>
      <c r="UFC3" s="284"/>
      <c r="UFD3" s="284"/>
      <c r="UFE3" s="284"/>
      <c r="UFF3" s="284"/>
      <c r="UFG3" s="284"/>
      <c r="UFH3" s="284"/>
      <c r="UFI3" s="284"/>
      <c r="UFJ3" s="284"/>
      <c r="UFK3" s="284"/>
      <c r="UFL3" s="284"/>
      <c r="UFM3" s="284"/>
      <c r="UFN3" s="284"/>
      <c r="UFO3" s="284"/>
      <c r="UFP3" s="284"/>
      <c r="UFQ3" s="284"/>
      <c r="UFR3" s="284"/>
      <c r="UFS3" s="284"/>
      <c r="UFT3" s="284"/>
      <c r="UFU3" s="284"/>
      <c r="UFV3" s="284"/>
      <c r="UFW3" s="284"/>
      <c r="UFX3" s="284"/>
      <c r="UFY3" s="284"/>
      <c r="UFZ3" s="284"/>
      <c r="UGA3" s="284"/>
      <c r="UGB3" s="284"/>
      <c r="UGC3" s="284"/>
      <c r="UGD3" s="284"/>
      <c r="UGE3" s="284"/>
      <c r="UGF3" s="284"/>
      <c r="UGG3" s="284"/>
      <c r="UGH3" s="284"/>
      <c r="UGI3" s="284"/>
      <c r="UGJ3" s="284"/>
      <c r="UGK3" s="284"/>
      <c r="UGL3" s="284"/>
      <c r="UGM3" s="284"/>
      <c r="UGN3" s="284"/>
      <c r="UGO3" s="284"/>
      <c r="UGP3" s="284"/>
      <c r="UGQ3" s="284"/>
      <c r="UGR3" s="284"/>
      <c r="UGS3" s="284"/>
      <c r="UGT3" s="284"/>
      <c r="UGU3" s="284"/>
      <c r="UGV3" s="284"/>
      <c r="UGW3" s="284"/>
      <c r="UGX3" s="284"/>
      <c r="UGY3" s="284"/>
      <c r="UGZ3" s="284"/>
      <c r="UHA3" s="284"/>
      <c r="UHB3" s="284"/>
      <c r="UHC3" s="284"/>
      <c r="UHD3" s="284"/>
      <c r="UHE3" s="284"/>
      <c r="UHF3" s="284"/>
      <c r="UHG3" s="284"/>
      <c r="UHH3" s="284"/>
      <c r="UHI3" s="284"/>
      <c r="UHJ3" s="284"/>
      <c r="UHK3" s="284"/>
      <c r="UHL3" s="284"/>
      <c r="UHM3" s="284"/>
      <c r="UHN3" s="284"/>
      <c r="UHO3" s="284"/>
      <c r="UHP3" s="284"/>
      <c r="UHQ3" s="284"/>
      <c r="UHR3" s="284"/>
      <c r="UHS3" s="284"/>
      <c r="UHT3" s="284"/>
      <c r="UHU3" s="284"/>
      <c r="UHV3" s="284"/>
      <c r="UHW3" s="284"/>
      <c r="UHX3" s="284"/>
      <c r="UHY3" s="284"/>
      <c r="UHZ3" s="284"/>
      <c r="UIA3" s="284"/>
      <c r="UIB3" s="284"/>
      <c r="UIC3" s="284"/>
      <c r="UID3" s="284"/>
      <c r="UIE3" s="284"/>
      <c r="UIF3" s="284"/>
      <c r="UIG3" s="284"/>
      <c r="UIH3" s="284"/>
      <c r="UII3" s="284"/>
      <c r="UIJ3" s="284"/>
      <c r="UIK3" s="284"/>
      <c r="UIL3" s="284"/>
      <c r="UIM3" s="284"/>
      <c r="UIN3" s="284"/>
      <c r="UIO3" s="284"/>
      <c r="UIP3" s="284"/>
      <c r="UIQ3" s="284"/>
      <c r="UIR3" s="284"/>
      <c r="UIS3" s="284"/>
      <c r="UIT3" s="284"/>
      <c r="UIU3" s="284"/>
      <c r="UIV3" s="284"/>
      <c r="UIW3" s="284"/>
      <c r="UIX3" s="284"/>
      <c r="UIY3" s="284"/>
      <c r="UIZ3" s="284"/>
      <c r="UJA3" s="284"/>
      <c r="UJB3" s="284"/>
      <c r="UJC3" s="284"/>
      <c r="UJD3" s="284"/>
      <c r="UJE3" s="284"/>
      <c r="UJF3" s="284"/>
      <c r="UJG3" s="284"/>
      <c r="UJH3" s="284"/>
      <c r="UJI3" s="284"/>
      <c r="UJJ3" s="284"/>
      <c r="UJK3" s="284"/>
      <c r="UJL3" s="284"/>
      <c r="UJM3" s="284"/>
      <c r="UJN3" s="284"/>
      <c r="UJO3" s="284"/>
      <c r="UJP3" s="284"/>
      <c r="UJQ3" s="284"/>
      <c r="UJR3" s="284"/>
      <c r="UJS3" s="284"/>
      <c r="UJT3" s="284"/>
      <c r="UJU3" s="284"/>
      <c r="UJV3" s="284"/>
      <c r="UJW3" s="284"/>
      <c r="UJX3" s="284"/>
      <c r="UJY3" s="284"/>
      <c r="UJZ3" s="284"/>
      <c r="UKA3" s="284"/>
      <c r="UKB3" s="284"/>
      <c r="UKC3" s="284"/>
      <c r="UKD3" s="284"/>
      <c r="UKE3" s="284"/>
      <c r="UKF3" s="284"/>
      <c r="UKG3" s="284"/>
      <c r="UKH3" s="284"/>
      <c r="UKI3" s="284"/>
      <c r="UKJ3" s="284"/>
      <c r="UKK3" s="284"/>
      <c r="UKL3" s="284"/>
      <c r="UKM3" s="284"/>
      <c r="UKN3" s="284"/>
      <c r="UKO3" s="284"/>
      <c r="UKP3" s="284"/>
      <c r="UKQ3" s="284"/>
      <c r="UKR3" s="284"/>
      <c r="UKS3" s="284"/>
      <c r="UKT3" s="284"/>
      <c r="UKU3" s="284"/>
      <c r="UKV3" s="284"/>
      <c r="UKW3" s="284"/>
      <c r="UKX3" s="284"/>
      <c r="UKY3" s="284"/>
      <c r="UKZ3" s="284"/>
      <c r="ULA3" s="284"/>
      <c r="ULB3" s="284"/>
      <c r="ULC3" s="284"/>
      <c r="ULD3" s="284"/>
      <c r="ULE3" s="284"/>
      <c r="ULF3" s="284"/>
      <c r="ULG3" s="284"/>
      <c r="ULH3" s="284"/>
      <c r="ULI3" s="284"/>
      <c r="ULJ3" s="284"/>
      <c r="ULK3" s="284"/>
      <c r="ULL3" s="284"/>
      <c r="ULM3" s="284"/>
      <c r="ULN3" s="284"/>
      <c r="ULO3" s="284"/>
      <c r="ULP3" s="284"/>
      <c r="ULQ3" s="284"/>
      <c r="ULR3" s="284"/>
      <c r="ULS3" s="284"/>
      <c r="ULT3" s="284"/>
      <c r="ULU3" s="284"/>
      <c r="ULV3" s="284"/>
      <c r="ULW3" s="284"/>
      <c r="ULX3" s="284"/>
      <c r="ULY3" s="284"/>
      <c r="ULZ3" s="284"/>
      <c r="UMA3" s="284"/>
      <c r="UMB3" s="284"/>
      <c r="UMC3" s="284"/>
      <c r="UMD3" s="284"/>
      <c r="UME3" s="284"/>
      <c r="UMF3" s="284"/>
      <c r="UMG3" s="284"/>
      <c r="UMH3" s="284"/>
      <c r="UMI3" s="284"/>
      <c r="UMJ3" s="284"/>
      <c r="UMK3" s="284"/>
      <c r="UML3" s="284"/>
      <c r="UMM3" s="284"/>
      <c r="UMN3" s="284"/>
      <c r="UMO3" s="284"/>
      <c r="UMP3" s="284"/>
      <c r="UMQ3" s="284"/>
      <c r="UMR3" s="284"/>
      <c r="UMS3" s="284"/>
      <c r="UMT3" s="284"/>
      <c r="UMU3" s="284"/>
      <c r="UMV3" s="284"/>
      <c r="UMW3" s="284"/>
      <c r="UMX3" s="284"/>
      <c r="UMY3" s="284"/>
      <c r="UMZ3" s="284"/>
      <c r="UNA3" s="284"/>
      <c r="UNB3" s="284"/>
      <c r="UNC3" s="284"/>
      <c r="UND3" s="284"/>
      <c r="UNE3" s="284"/>
      <c r="UNF3" s="284"/>
      <c r="UNG3" s="284"/>
      <c r="UNH3" s="284"/>
      <c r="UNI3" s="284"/>
      <c r="UNJ3" s="284"/>
      <c r="UNK3" s="284"/>
      <c r="UNL3" s="284"/>
      <c r="UNM3" s="284"/>
      <c r="UNN3" s="284"/>
      <c r="UNO3" s="284"/>
      <c r="UNP3" s="284"/>
      <c r="UNQ3" s="284"/>
      <c r="UNR3" s="284"/>
      <c r="UNS3" s="284"/>
      <c r="UNT3" s="284"/>
      <c r="UNU3" s="284"/>
      <c r="UNV3" s="284"/>
      <c r="UNW3" s="284"/>
      <c r="UNX3" s="284"/>
      <c r="UNY3" s="284"/>
      <c r="UNZ3" s="284"/>
      <c r="UOA3" s="284"/>
      <c r="UOB3" s="284"/>
      <c r="UOC3" s="284"/>
      <c r="UOD3" s="284"/>
      <c r="UOE3" s="284"/>
      <c r="UOF3" s="284"/>
      <c r="UOG3" s="284"/>
      <c r="UOH3" s="284"/>
      <c r="UOI3" s="284"/>
      <c r="UOJ3" s="284"/>
      <c r="UOK3" s="284"/>
      <c r="UOL3" s="284"/>
      <c r="UOM3" s="284"/>
      <c r="UON3" s="284"/>
      <c r="UOO3" s="284"/>
      <c r="UOP3" s="284"/>
      <c r="UOQ3" s="284"/>
      <c r="UOR3" s="284"/>
      <c r="UOS3" s="284"/>
      <c r="UOT3" s="284"/>
      <c r="UOU3" s="284"/>
      <c r="UOV3" s="284"/>
      <c r="UOW3" s="284"/>
      <c r="UOX3" s="284"/>
      <c r="UOY3" s="284"/>
      <c r="UOZ3" s="284"/>
      <c r="UPA3" s="284"/>
      <c r="UPB3" s="284"/>
      <c r="UPC3" s="284"/>
      <c r="UPD3" s="284"/>
      <c r="UPE3" s="284"/>
      <c r="UPF3" s="284"/>
      <c r="UPG3" s="284"/>
      <c r="UPH3" s="284"/>
      <c r="UPI3" s="284"/>
      <c r="UPJ3" s="284"/>
      <c r="UPK3" s="284"/>
      <c r="UPL3" s="284"/>
      <c r="UPM3" s="284"/>
      <c r="UPN3" s="284"/>
      <c r="UPO3" s="284"/>
      <c r="UPP3" s="284"/>
      <c r="UPQ3" s="284"/>
      <c r="UPR3" s="284"/>
      <c r="UPS3" s="284"/>
      <c r="UPT3" s="284"/>
      <c r="UPU3" s="284"/>
      <c r="UPV3" s="284"/>
      <c r="UPW3" s="284"/>
      <c r="UPX3" s="284"/>
      <c r="UPY3" s="284"/>
      <c r="UPZ3" s="284"/>
      <c r="UQA3" s="284"/>
      <c r="UQB3" s="284"/>
      <c r="UQC3" s="284"/>
      <c r="UQD3" s="284"/>
      <c r="UQE3" s="284"/>
      <c r="UQF3" s="284"/>
      <c r="UQG3" s="284"/>
      <c r="UQH3" s="284"/>
      <c r="UQI3" s="284"/>
      <c r="UQJ3" s="284"/>
      <c r="UQK3" s="284"/>
      <c r="UQL3" s="284"/>
      <c r="UQM3" s="284"/>
      <c r="UQN3" s="284"/>
      <c r="UQO3" s="284"/>
      <c r="UQP3" s="284"/>
      <c r="UQQ3" s="284"/>
      <c r="UQR3" s="284"/>
      <c r="UQS3" s="284"/>
      <c r="UQT3" s="284"/>
      <c r="UQU3" s="284"/>
      <c r="UQV3" s="284"/>
      <c r="UQW3" s="284"/>
      <c r="UQX3" s="284"/>
      <c r="UQY3" s="284"/>
      <c r="UQZ3" s="284"/>
      <c r="URA3" s="284"/>
      <c r="URB3" s="284"/>
      <c r="URC3" s="284"/>
      <c r="URD3" s="284"/>
      <c r="URE3" s="284"/>
      <c r="URF3" s="284"/>
      <c r="URG3" s="284"/>
      <c r="URH3" s="284"/>
      <c r="URI3" s="284"/>
      <c r="URJ3" s="284"/>
      <c r="URK3" s="284"/>
      <c r="URL3" s="284"/>
      <c r="URM3" s="284"/>
      <c r="URN3" s="284"/>
      <c r="URO3" s="284"/>
      <c r="URP3" s="284"/>
      <c r="URQ3" s="284"/>
      <c r="URR3" s="284"/>
      <c r="URS3" s="284"/>
      <c r="URT3" s="284"/>
      <c r="URU3" s="284"/>
      <c r="URV3" s="284"/>
      <c r="URW3" s="284"/>
      <c r="URX3" s="284"/>
      <c r="URY3" s="284"/>
      <c r="URZ3" s="284"/>
      <c r="USA3" s="284"/>
      <c r="USB3" s="284"/>
      <c r="USC3" s="284"/>
      <c r="USD3" s="284"/>
      <c r="USE3" s="284"/>
      <c r="USF3" s="284"/>
      <c r="USG3" s="284"/>
      <c r="USH3" s="284"/>
      <c r="USI3" s="284"/>
      <c r="USJ3" s="284"/>
      <c r="USK3" s="284"/>
      <c r="USL3" s="284"/>
      <c r="USM3" s="284"/>
      <c r="USN3" s="284"/>
      <c r="USO3" s="284"/>
      <c r="USP3" s="284"/>
      <c r="USQ3" s="284"/>
      <c r="USR3" s="284"/>
      <c r="USS3" s="284"/>
      <c r="UST3" s="284"/>
      <c r="USU3" s="284"/>
      <c r="USV3" s="284"/>
      <c r="USW3" s="284"/>
      <c r="USX3" s="284"/>
      <c r="USY3" s="284"/>
      <c r="USZ3" s="284"/>
      <c r="UTA3" s="284"/>
      <c r="UTB3" s="284"/>
      <c r="UTC3" s="284"/>
      <c r="UTD3" s="284"/>
      <c r="UTE3" s="284"/>
      <c r="UTF3" s="284"/>
      <c r="UTG3" s="284"/>
      <c r="UTH3" s="284"/>
      <c r="UTI3" s="284"/>
      <c r="UTJ3" s="284"/>
      <c r="UTK3" s="284"/>
      <c r="UTL3" s="284"/>
      <c r="UTM3" s="284"/>
      <c r="UTN3" s="284"/>
      <c r="UTO3" s="284"/>
      <c r="UTP3" s="284"/>
      <c r="UTQ3" s="284"/>
      <c r="UTR3" s="284"/>
      <c r="UTS3" s="284"/>
      <c r="UTT3" s="284"/>
      <c r="UTU3" s="284"/>
      <c r="UTV3" s="284"/>
      <c r="UTW3" s="284"/>
      <c r="UTX3" s="284"/>
      <c r="UTY3" s="284"/>
      <c r="UTZ3" s="284"/>
      <c r="UUA3" s="284"/>
      <c r="UUB3" s="284"/>
      <c r="UUC3" s="284"/>
      <c r="UUD3" s="284"/>
      <c r="UUE3" s="284"/>
      <c r="UUF3" s="284"/>
      <c r="UUG3" s="284"/>
      <c r="UUH3" s="284"/>
      <c r="UUI3" s="284"/>
      <c r="UUJ3" s="284"/>
      <c r="UUK3" s="284"/>
      <c r="UUL3" s="284"/>
      <c r="UUM3" s="284"/>
      <c r="UUN3" s="284"/>
      <c r="UUO3" s="284"/>
      <c r="UUP3" s="284"/>
      <c r="UUQ3" s="284"/>
      <c r="UUR3" s="284"/>
      <c r="UUS3" s="284"/>
      <c r="UUT3" s="284"/>
      <c r="UUU3" s="284"/>
      <c r="UUV3" s="284"/>
      <c r="UUW3" s="284"/>
      <c r="UUX3" s="284"/>
      <c r="UUY3" s="284"/>
      <c r="UUZ3" s="284"/>
      <c r="UVA3" s="284"/>
      <c r="UVB3" s="284"/>
      <c r="UVC3" s="284"/>
      <c r="UVD3" s="284"/>
      <c r="UVE3" s="284"/>
      <c r="UVF3" s="284"/>
      <c r="UVG3" s="284"/>
      <c r="UVH3" s="284"/>
      <c r="UVI3" s="284"/>
      <c r="UVJ3" s="284"/>
      <c r="UVK3" s="284"/>
      <c r="UVL3" s="284"/>
      <c r="UVM3" s="284"/>
      <c r="UVN3" s="284"/>
      <c r="UVO3" s="284"/>
      <c r="UVP3" s="284"/>
      <c r="UVQ3" s="284"/>
      <c r="UVR3" s="284"/>
      <c r="UVS3" s="284"/>
      <c r="UVT3" s="284"/>
      <c r="UVU3" s="284"/>
      <c r="UVV3" s="284"/>
      <c r="UVW3" s="284"/>
      <c r="UVX3" s="284"/>
      <c r="UVY3" s="284"/>
      <c r="UVZ3" s="284"/>
      <c r="UWA3" s="284"/>
      <c r="UWB3" s="284"/>
      <c r="UWC3" s="284"/>
      <c r="UWD3" s="284"/>
      <c r="UWE3" s="284"/>
      <c r="UWF3" s="284"/>
      <c r="UWG3" s="284"/>
      <c r="UWH3" s="284"/>
      <c r="UWI3" s="284"/>
      <c r="UWJ3" s="284"/>
      <c r="UWK3" s="284"/>
      <c r="UWL3" s="284"/>
      <c r="UWM3" s="284"/>
      <c r="UWN3" s="284"/>
      <c r="UWO3" s="284"/>
      <c r="UWP3" s="284"/>
      <c r="UWQ3" s="284"/>
      <c r="UWR3" s="284"/>
      <c r="UWS3" s="284"/>
      <c r="UWT3" s="284"/>
      <c r="UWU3" s="284"/>
      <c r="UWV3" s="284"/>
      <c r="UWW3" s="284"/>
      <c r="UWX3" s="284"/>
      <c r="UWY3" s="284"/>
      <c r="UWZ3" s="284"/>
      <c r="UXA3" s="284"/>
      <c r="UXB3" s="284"/>
      <c r="UXC3" s="284"/>
      <c r="UXD3" s="284"/>
      <c r="UXE3" s="284"/>
      <c r="UXF3" s="284"/>
      <c r="UXG3" s="284"/>
      <c r="UXH3" s="284"/>
      <c r="UXI3" s="284"/>
      <c r="UXJ3" s="284"/>
      <c r="UXK3" s="284"/>
      <c r="UXL3" s="284"/>
      <c r="UXM3" s="284"/>
      <c r="UXN3" s="284"/>
      <c r="UXO3" s="284"/>
      <c r="UXP3" s="284"/>
      <c r="UXQ3" s="284"/>
      <c r="UXR3" s="284"/>
      <c r="UXS3" s="284"/>
      <c r="UXT3" s="284"/>
      <c r="UXU3" s="284"/>
      <c r="UXV3" s="284"/>
      <c r="UXW3" s="284"/>
      <c r="UXX3" s="284"/>
      <c r="UXY3" s="284"/>
      <c r="UXZ3" s="284"/>
      <c r="UYA3" s="284"/>
      <c r="UYB3" s="284"/>
      <c r="UYC3" s="284"/>
      <c r="UYD3" s="284"/>
      <c r="UYE3" s="284"/>
      <c r="UYF3" s="284"/>
      <c r="UYG3" s="284"/>
      <c r="UYH3" s="284"/>
      <c r="UYI3" s="284"/>
      <c r="UYJ3" s="284"/>
      <c r="UYK3" s="284"/>
      <c r="UYL3" s="284"/>
      <c r="UYM3" s="284"/>
      <c r="UYN3" s="284"/>
      <c r="UYO3" s="284"/>
      <c r="UYP3" s="284"/>
      <c r="UYQ3" s="284"/>
      <c r="UYR3" s="284"/>
      <c r="UYS3" s="284"/>
      <c r="UYT3" s="284"/>
      <c r="UYU3" s="284"/>
      <c r="UYV3" s="284"/>
      <c r="UYW3" s="284"/>
      <c r="UYX3" s="284"/>
      <c r="UYY3" s="284"/>
      <c r="UYZ3" s="284"/>
      <c r="UZA3" s="284"/>
      <c r="UZB3" s="284"/>
      <c r="UZC3" s="284"/>
      <c r="UZD3" s="284"/>
      <c r="UZE3" s="284"/>
      <c r="UZF3" s="284"/>
      <c r="UZG3" s="284"/>
      <c r="UZH3" s="284"/>
      <c r="UZI3" s="284"/>
      <c r="UZJ3" s="284"/>
      <c r="UZK3" s="284"/>
      <c r="UZL3" s="284"/>
      <c r="UZM3" s="284"/>
      <c r="UZN3" s="284"/>
      <c r="UZO3" s="284"/>
      <c r="UZP3" s="284"/>
      <c r="UZQ3" s="284"/>
      <c r="UZR3" s="284"/>
      <c r="UZS3" s="284"/>
      <c r="UZT3" s="284"/>
      <c r="UZU3" s="284"/>
      <c r="UZV3" s="284"/>
      <c r="UZW3" s="284"/>
      <c r="UZX3" s="284"/>
      <c r="UZY3" s="284"/>
      <c r="UZZ3" s="284"/>
      <c r="VAA3" s="284"/>
      <c r="VAB3" s="284"/>
      <c r="VAC3" s="284"/>
      <c r="VAD3" s="284"/>
      <c r="VAE3" s="284"/>
      <c r="VAF3" s="284"/>
      <c r="VAG3" s="284"/>
      <c r="VAH3" s="284"/>
      <c r="VAI3" s="284"/>
      <c r="VAJ3" s="284"/>
      <c r="VAK3" s="284"/>
      <c r="VAL3" s="284"/>
      <c r="VAM3" s="284"/>
      <c r="VAN3" s="284"/>
      <c r="VAO3" s="284"/>
      <c r="VAP3" s="284"/>
      <c r="VAQ3" s="284"/>
      <c r="VAR3" s="284"/>
      <c r="VAS3" s="284"/>
      <c r="VAT3" s="284"/>
      <c r="VAU3" s="284"/>
      <c r="VAV3" s="284"/>
      <c r="VAW3" s="284"/>
      <c r="VAX3" s="284"/>
      <c r="VAY3" s="284"/>
      <c r="VAZ3" s="284"/>
      <c r="VBA3" s="284"/>
      <c r="VBB3" s="284"/>
      <c r="VBC3" s="284"/>
      <c r="VBD3" s="284"/>
      <c r="VBE3" s="284"/>
      <c r="VBF3" s="284"/>
      <c r="VBG3" s="284"/>
      <c r="VBH3" s="284"/>
      <c r="VBI3" s="284"/>
      <c r="VBJ3" s="284"/>
      <c r="VBK3" s="284"/>
      <c r="VBL3" s="284"/>
      <c r="VBM3" s="284"/>
      <c r="VBN3" s="284"/>
      <c r="VBO3" s="284"/>
      <c r="VBP3" s="284"/>
      <c r="VBQ3" s="284"/>
      <c r="VBR3" s="284"/>
      <c r="VBS3" s="284"/>
      <c r="VBT3" s="284"/>
      <c r="VBU3" s="284"/>
      <c r="VBV3" s="284"/>
      <c r="VBW3" s="284"/>
      <c r="VBX3" s="284"/>
      <c r="VBY3" s="284"/>
      <c r="VBZ3" s="284"/>
      <c r="VCA3" s="284"/>
      <c r="VCB3" s="284"/>
      <c r="VCC3" s="284"/>
      <c r="VCD3" s="284"/>
      <c r="VCE3" s="284"/>
      <c r="VCF3" s="284"/>
      <c r="VCG3" s="284"/>
      <c r="VCH3" s="284"/>
      <c r="VCI3" s="284"/>
      <c r="VCJ3" s="284"/>
      <c r="VCK3" s="284"/>
      <c r="VCL3" s="284"/>
      <c r="VCM3" s="284"/>
      <c r="VCN3" s="284"/>
      <c r="VCO3" s="284"/>
      <c r="VCP3" s="284"/>
      <c r="VCQ3" s="284"/>
      <c r="VCR3" s="284"/>
      <c r="VCS3" s="284"/>
      <c r="VCT3" s="284"/>
      <c r="VCU3" s="284"/>
      <c r="VCV3" s="284"/>
      <c r="VCW3" s="284"/>
      <c r="VCX3" s="284"/>
      <c r="VCY3" s="284"/>
      <c r="VCZ3" s="284"/>
      <c r="VDA3" s="284"/>
      <c r="VDB3" s="284"/>
      <c r="VDC3" s="284"/>
      <c r="VDD3" s="284"/>
      <c r="VDE3" s="284"/>
      <c r="VDF3" s="284"/>
      <c r="VDG3" s="284"/>
      <c r="VDH3" s="284"/>
      <c r="VDI3" s="284"/>
      <c r="VDJ3" s="284"/>
      <c r="VDK3" s="284"/>
      <c r="VDL3" s="284"/>
      <c r="VDM3" s="284"/>
      <c r="VDN3" s="284"/>
      <c r="VDO3" s="284"/>
      <c r="VDP3" s="284"/>
      <c r="VDQ3" s="284"/>
      <c r="VDR3" s="284"/>
      <c r="VDS3" s="284"/>
      <c r="VDT3" s="284"/>
      <c r="VDU3" s="284"/>
      <c r="VDV3" s="284"/>
      <c r="VDW3" s="284"/>
      <c r="VDX3" s="284"/>
      <c r="VDY3" s="284"/>
      <c r="VDZ3" s="284"/>
      <c r="VEA3" s="284"/>
      <c r="VEB3" s="284"/>
      <c r="VEC3" s="284"/>
      <c r="VED3" s="284"/>
      <c r="VEE3" s="284"/>
      <c r="VEF3" s="284"/>
      <c r="VEG3" s="284"/>
      <c r="VEH3" s="284"/>
      <c r="VEI3" s="284"/>
      <c r="VEJ3" s="284"/>
      <c r="VEK3" s="284"/>
      <c r="VEL3" s="284"/>
      <c r="VEM3" s="284"/>
      <c r="VEN3" s="284"/>
      <c r="VEO3" s="284"/>
      <c r="VEP3" s="284"/>
      <c r="VEQ3" s="284"/>
      <c r="VER3" s="284"/>
      <c r="VES3" s="284"/>
      <c r="VET3" s="284"/>
      <c r="VEU3" s="284"/>
      <c r="VEV3" s="284"/>
      <c r="VEW3" s="284"/>
      <c r="VEX3" s="284"/>
      <c r="VEY3" s="284"/>
      <c r="VEZ3" s="284"/>
      <c r="VFA3" s="284"/>
      <c r="VFB3" s="284"/>
      <c r="VFC3" s="284"/>
      <c r="VFD3" s="284"/>
      <c r="VFE3" s="284"/>
      <c r="VFF3" s="284"/>
      <c r="VFG3" s="284"/>
      <c r="VFH3" s="284"/>
      <c r="VFI3" s="284"/>
      <c r="VFJ3" s="284"/>
      <c r="VFK3" s="284"/>
      <c r="VFL3" s="284"/>
      <c r="VFM3" s="284"/>
      <c r="VFN3" s="284"/>
      <c r="VFO3" s="284"/>
      <c r="VFP3" s="284"/>
      <c r="VFQ3" s="284"/>
      <c r="VFR3" s="284"/>
      <c r="VFS3" s="284"/>
      <c r="VFT3" s="284"/>
      <c r="VFU3" s="284"/>
      <c r="VFV3" s="284"/>
      <c r="VFW3" s="284"/>
      <c r="VFX3" s="284"/>
      <c r="VFY3" s="284"/>
      <c r="VFZ3" s="284"/>
      <c r="VGA3" s="284"/>
      <c r="VGB3" s="284"/>
      <c r="VGC3" s="284"/>
      <c r="VGD3" s="284"/>
      <c r="VGE3" s="284"/>
      <c r="VGF3" s="284"/>
      <c r="VGG3" s="284"/>
      <c r="VGH3" s="284"/>
      <c r="VGI3" s="284"/>
      <c r="VGJ3" s="284"/>
      <c r="VGK3" s="284"/>
      <c r="VGL3" s="284"/>
      <c r="VGM3" s="284"/>
      <c r="VGN3" s="284"/>
      <c r="VGO3" s="284"/>
      <c r="VGP3" s="284"/>
      <c r="VGQ3" s="284"/>
      <c r="VGR3" s="284"/>
      <c r="VGS3" s="284"/>
      <c r="VGT3" s="284"/>
      <c r="VGU3" s="284"/>
      <c r="VGV3" s="284"/>
      <c r="VGW3" s="284"/>
      <c r="VGX3" s="284"/>
      <c r="VGY3" s="284"/>
      <c r="VGZ3" s="284"/>
      <c r="VHA3" s="284"/>
      <c r="VHB3" s="284"/>
      <c r="VHC3" s="284"/>
      <c r="VHD3" s="284"/>
      <c r="VHE3" s="284"/>
      <c r="VHF3" s="284"/>
      <c r="VHG3" s="284"/>
      <c r="VHH3" s="284"/>
      <c r="VHI3" s="284"/>
      <c r="VHJ3" s="284"/>
      <c r="VHK3" s="284"/>
      <c r="VHL3" s="284"/>
      <c r="VHM3" s="284"/>
      <c r="VHN3" s="284"/>
      <c r="VHO3" s="284"/>
      <c r="VHP3" s="284"/>
      <c r="VHQ3" s="284"/>
      <c r="VHR3" s="284"/>
      <c r="VHS3" s="284"/>
      <c r="VHT3" s="284"/>
      <c r="VHU3" s="284"/>
      <c r="VHV3" s="284"/>
      <c r="VHW3" s="284"/>
      <c r="VHX3" s="284"/>
      <c r="VHY3" s="284"/>
      <c r="VHZ3" s="284"/>
      <c r="VIA3" s="284"/>
      <c r="VIB3" s="284"/>
      <c r="VIC3" s="284"/>
      <c r="VID3" s="284"/>
      <c r="VIE3" s="284"/>
      <c r="VIF3" s="284"/>
      <c r="VIG3" s="284"/>
      <c r="VIH3" s="284"/>
      <c r="VII3" s="284"/>
      <c r="VIJ3" s="284"/>
      <c r="VIK3" s="284"/>
      <c r="VIL3" s="284"/>
      <c r="VIM3" s="284"/>
      <c r="VIN3" s="284"/>
      <c r="VIO3" s="284"/>
      <c r="VIP3" s="284"/>
      <c r="VIQ3" s="284"/>
      <c r="VIR3" s="284"/>
      <c r="VIS3" s="284"/>
      <c r="VIT3" s="284"/>
      <c r="VIU3" s="284"/>
      <c r="VIV3" s="284"/>
      <c r="VIW3" s="284"/>
      <c r="VIX3" s="284"/>
      <c r="VIY3" s="284"/>
      <c r="VIZ3" s="284"/>
      <c r="VJA3" s="284"/>
      <c r="VJB3" s="284"/>
      <c r="VJC3" s="284"/>
      <c r="VJD3" s="284"/>
      <c r="VJE3" s="284"/>
      <c r="VJF3" s="284"/>
      <c r="VJG3" s="284"/>
      <c r="VJH3" s="284"/>
      <c r="VJI3" s="284"/>
      <c r="VJJ3" s="284"/>
      <c r="VJK3" s="284"/>
      <c r="VJL3" s="284"/>
      <c r="VJM3" s="284"/>
      <c r="VJN3" s="284"/>
      <c r="VJO3" s="284"/>
      <c r="VJP3" s="284"/>
      <c r="VJQ3" s="284"/>
      <c r="VJR3" s="284"/>
      <c r="VJS3" s="284"/>
      <c r="VJT3" s="284"/>
      <c r="VJU3" s="284"/>
      <c r="VJV3" s="284"/>
      <c r="VJW3" s="284"/>
      <c r="VJX3" s="284"/>
      <c r="VJY3" s="284"/>
      <c r="VJZ3" s="284"/>
      <c r="VKA3" s="284"/>
      <c r="VKB3" s="284"/>
      <c r="VKC3" s="284"/>
      <c r="VKD3" s="284"/>
      <c r="VKE3" s="284"/>
      <c r="VKF3" s="284"/>
      <c r="VKG3" s="284"/>
      <c r="VKH3" s="284"/>
      <c r="VKI3" s="284"/>
      <c r="VKJ3" s="284"/>
      <c r="VKK3" s="284"/>
      <c r="VKL3" s="284"/>
      <c r="VKM3" s="284"/>
      <c r="VKN3" s="284"/>
      <c r="VKO3" s="284"/>
      <c r="VKP3" s="284"/>
      <c r="VKQ3" s="284"/>
      <c r="VKR3" s="284"/>
      <c r="VKS3" s="284"/>
      <c r="VKT3" s="284"/>
      <c r="VKU3" s="284"/>
      <c r="VKV3" s="284"/>
      <c r="VKW3" s="284"/>
      <c r="VKX3" s="284"/>
      <c r="VKY3" s="284"/>
      <c r="VKZ3" s="284"/>
      <c r="VLA3" s="284"/>
      <c r="VLB3" s="284"/>
      <c r="VLC3" s="284"/>
      <c r="VLD3" s="284"/>
      <c r="VLE3" s="284"/>
      <c r="VLF3" s="284"/>
      <c r="VLG3" s="284"/>
      <c r="VLH3" s="284"/>
      <c r="VLI3" s="284"/>
      <c r="VLJ3" s="284"/>
      <c r="VLK3" s="284"/>
      <c r="VLL3" s="284"/>
      <c r="VLM3" s="284"/>
      <c r="VLN3" s="284"/>
      <c r="VLO3" s="284"/>
      <c r="VLP3" s="284"/>
      <c r="VLQ3" s="284"/>
      <c r="VLR3" s="284"/>
      <c r="VLS3" s="284"/>
      <c r="VLT3" s="284"/>
      <c r="VLU3" s="284"/>
      <c r="VLV3" s="284"/>
      <c r="VLW3" s="284"/>
      <c r="VLX3" s="284"/>
      <c r="VLY3" s="284"/>
      <c r="VLZ3" s="284"/>
      <c r="VMA3" s="284"/>
      <c r="VMB3" s="284"/>
      <c r="VMC3" s="284"/>
      <c r="VMD3" s="284"/>
      <c r="VME3" s="284"/>
      <c r="VMF3" s="284"/>
      <c r="VMG3" s="284"/>
      <c r="VMH3" s="284"/>
      <c r="VMI3" s="284"/>
      <c r="VMJ3" s="284"/>
      <c r="VMK3" s="284"/>
      <c r="VML3" s="284"/>
      <c r="VMM3" s="284"/>
      <c r="VMN3" s="284"/>
      <c r="VMO3" s="284"/>
      <c r="VMP3" s="284"/>
      <c r="VMQ3" s="284"/>
      <c r="VMR3" s="284"/>
      <c r="VMS3" s="284"/>
      <c r="VMT3" s="284"/>
      <c r="VMU3" s="284"/>
      <c r="VMV3" s="284"/>
      <c r="VMW3" s="284"/>
      <c r="VMX3" s="284"/>
      <c r="VMY3" s="284"/>
      <c r="VMZ3" s="284"/>
      <c r="VNA3" s="284"/>
      <c r="VNB3" s="284"/>
      <c r="VNC3" s="284"/>
      <c r="VND3" s="284"/>
      <c r="VNE3" s="284"/>
      <c r="VNF3" s="284"/>
      <c r="VNG3" s="284"/>
      <c r="VNH3" s="284"/>
      <c r="VNI3" s="284"/>
      <c r="VNJ3" s="284"/>
      <c r="VNK3" s="284"/>
      <c r="VNL3" s="284"/>
      <c r="VNM3" s="284"/>
      <c r="VNN3" s="284"/>
      <c r="VNO3" s="284"/>
      <c r="VNP3" s="284"/>
      <c r="VNQ3" s="284"/>
      <c r="VNR3" s="284"/>
      <c r="VNS3" s="284"/>
      <c r="VNT3" s="284"/>
      <c r="VNU3" s="284"/>
      <c r="VNV3" s="284"/>
      <c r="VNW3" s="284"/>
      <c r="VNX3" s="284"/>
      <c r="VNY3" s="284"/>
      <c r="VNZ3" s="284"/>
      <c r="VOA3" s="284"/>
      <c r="VOB3" s="284"/>
      <c r="VOC3" s="284"/>
      <c r="VOD3" s="284"/>
      <c r="VOE3" s="284"/>
      <c r="VOF3" s="284"/>
      <c r="VOG3" s="284"/>
      <c r="VOH3" s="284"/>
      <c r="VOI3" s="284"/>
      <c r="VOJ3" s="284"/>
      <c r="VOK3" s="284"/>
      <c r="VOL3" s="284"/>
      <c r="VOM3" s="284"/>
      <c r="VON3" s="284"/>
      <c r="VOO3" s="284"/>
      <c r="VOP3" s="284"/>
      <c r="VOQ3" s="284"/>
      <c r="VOR3" s="284"/>
      <c r="VOS3" s="284"/>
      <c r="VOT3" s="284"/>
      <c r="VOU3" s="284"/>
      <c r="VOV3" s="284"/>
      <c r="VOW3" s="284"/>
      <c r="VOX3" s="284"/>
      <c r="VOY3" s="284"/>
      <c r="VOZ3" s="284"/>
      <c r="VPA3" s="284"/>
      <c r="VPB3" s="284"/>
      <c r="VPC3" s="284"/>
      <c r="VPD3" s="284"/>
      <c r="VPE3" s="284"/>
      <c r="VPF3" s="284"/>
      <c r="VPG3" s="284"/>
      <c r="VPH3" s="284"/>
      <c r="VPI3" s="284"/>
      <c r="VPJ3" s="284"/>
      <c r="VPK3" s="284"/>
      <c r="VPL3" s="284"/>
      <c r="VPM3" s="284"/>
      <c r="VPN3" s="284"/>
      <c r="VPO3" s="284"/>
      <c r="VPP3" s="284"/>
      <c r="VPQ3" s="284"/>
      <c r="VPR3" s="284"/>
      <c r="VPS3" s="284"/>
      <c r="VPT3" s="284"/>
      <c r="VPU3" s="284"/>
      <c r="VPV3" s="284"/>
      <c r="VPW3" s="284"/>
      <c r="VPX3" s="284"/>
      <c r="VPY3" s="284"/>
      <c r="VPZ3" s="284"/>
      <c r="VQA3" s="284"/>
      <c r="VQB3" s="284"/>
      <c r="VQC3" s="284"/>
      <c r="VQD3" s="284"/>
      <c r="VQE3" s="284"/>
      <c r="VQF3" s="284"/>
      <c r="VQG3" s="284"/>
      <c r="VQH3" s="284"/>
      <c r="VQI3" s="284"/>
      <c r="VQJ3" s="284"/>
      <c r="VQK3" s="284"/>
      <c r="VQL3" s="284"/>
      <c r="VQM3" s="284"/>
      <c r="VQN3" s="284"/>
      <c r="VQO3" s="284"/>
      <c r="VQP3" s="284"/>
      <c r="VQQ3" s="284"/>
      <c r="VQR3" s="284"/>
      <c r="VQS3" s="284"/>
      <c r="VQT3" s="284"/>
      <c r="VQU3" s="284"/>
      <c r="VQV3" s="284"/>
      <c r="VQW3" s="284"/>
      <c r="VQX3" s="284"/>
      <c r="VQY3" s="284"/>
      <c r="VQZ3" s="284"/>
      <c r="VRA3" s="284"/>
      <c r="VRB3" s="284"/>
      <c r="VRC3" s="284"/>
      <c r="VRD3" s="284"/>
      <c r="VRE3" s="284"/>
      <c r="VRF3" s="284"/>
      <c r="VRG3" s="284"/>
      <c r="VRH3" s="284"/>
      <c r="VRI3" s="284"/>
      <c r="VRJ3" s="284"/>
      <c r="VRK3" s="284"/>
      <c r="VRL3" s="284"/>
      <c r="VRM3" s="284"/>
      <c r="VRN3" s="284"/>
      <c r="VRO3" s="284"/>
      <c r="VRP3" s="284"/>
      <c r="VRQ3" s="284"/>
      <c r="VRR3" s="284"/>
      <c r="VRS3" s="284"/>
      <c r="VRT3" s="284"/>
      <c r="VRU3" s="284"/>
      <c r="VRV3" s="284"/>
      <c r="VRW3" s="284"/>
      <c r="VRX3" s="284"/>
      <c r="VRY3" s="284"/>
      <c r="VRZ3" s="284"/>
      <c r="VSA3" s="284"/>
      <c r="VSB3" s="284"/>
      <c r="VSC3" s="284"/>
      <c r="VSD3" s="284"/>
      <c r="VSE3" s="284"/>
      <c r="VSF3" s="284"/>
      <c r="VSG3" s="284"/>
      <c r="VSH3" s="284"/>
      <c r="VSI3" s="284"/>
      <c r="VSJ3" s="284"/>
      <c r="VSK3" s="284"/>
      <c r="VSL3" s="284"/>
      <c r="VSM3" s="284"/>
      <c r="VSN3" s="284"/>
      <c r="VSO3" s="284"/>
      <c r="VSP3" s="284"/>
      <c r="VSQ3" s="284"/>
      <c r="VSR3" s="284"/>
      <c r="VSS3" s="284"/>
      <c r="VST3" s="284"/>
      <c r="VSU3" s="284"/>
      <c r="VSV3" s="284"/>
      <c r="VSW3" s="284"/>
      <c r="VSX3" s="284"/>
      <c r="VSY3" s="284"/>
      <c r="VSZ3" s="284"/>
      <c r="VTA3" s="284"/>
      <c r="VTB3" s="284"/>
      <c r="VTC3" s="284"/>
      <c r="VTD3" s="284"/>
      <c r="VTE3" s="284"/>
      <c r="VTF3" s="284"/>
      <c r="VTG3" s="284"/>
      <c r="VTH3" s="284"/>
      <c r="VTI3" s="284"/>
      <c r="VTJ3" s="284"/>
      <c r="VTK3" s="284"/>
      <c r="VTL3" s="284"/>
      <c r="VTM3" s="284"/>
      <c r="VTN3" s="284"/>
      <c r="VTO3" s="284"/>
      <c r="VTP3" s="284"/>
      <c r="VTQ3" s="284"/>
      <c r="VTR3" s="284"/>
      <c r="VTS3" s="284"/>
      <c r="VTT3" s="284"/>
      <c r="VTU3" s="284"/>
      <c r="VTV3" s="284"/>
      <c r="VTW3" s="284"/>
      <c r="VTX3" s="284"/>
      <c r="VTY3" s="284"/>
      <c r="VTZ3" s="284"/>
      <c r="VUA3" s="284"/>
      <c r="VUB3" s="284"/>
      <c r="VUC3" s="284"/>
      <c r="VUD3" s="284"/>
      <c r="VUE3" s="284"/>
      <c r="VUF3" s="284"/>
      <c r="VUG3" s="284"/>
      <c r="VUH3" s="284"/>
      <c r="VUI3" s="284"/>
      <c r="VUJ3" s="284"/>
      <c r="VUK3" s="284"/>
      <c r="VUL3" s="284"/>
      <c r="VUM3" s="284"/>
      <c r="VUN3" s="284"/>
      <c r="VUO3" s="284"/>
      <c r="VUP3" s="284"/>
      <c r="VUQ3" s="284"/>
      <c r="VUR3" s="284"/>
      <c r="VUS3" s="284"/>
      <c r="VUT3" s="284"/>
      <c r="VUU3" s="284"/>
      <c r="VUV3" s="284"/>
      <c r="VUW3" s="284"/>
      <c r="VUX3" s="284"/>
      <c r="VUY3" s="284"/>
      <c r="VUZ3" s="284"/>
      <c r="VVA3" s="284"/>
      <c r="VVB3" s="284"/>
      <c r="VVC3" s="284"/>
      <c r="VVD3" s="284"/>
      <c r="VVE3" s="284"/>
      <c r="VVF3" s="284"/>
      <c r="VVG3" s="284"/>
      <c r="VVH3" s="284"/>
      <c r="VVI3" s="284"/>
      <c r="VVJ3" s="284"/>
      <c r="VVK3" s="284"/>
      <c r="VVL3" s="284"/>
      <c r="VVM3" s="284"/>
      <c r="VVN3" s="284"/>
      <c r="VVO3" s="284"/>
      <c r="VVP3" s="284"/>
      <c r="VVQ3" s="284"/>
      <c r="VVR3" s="284"/>
      <c r="VVS3" s="284"/>
      <c r="VVT3" s="284"/>
      <c r="VVU3" s="284"/>
      <c r="VVV3" s="284"/>
      <c r="VVW3" s="284"/>
      <c r="VVX3" s="284"/>
      <c r="VVY3" s="284"/>
      <c r="VVZ3" s="284"/>
      <c r="VWA3" s="284"/>
      <c r="VWB3" s="284"/>
      <c r="VWC3" s="284"/>
      <c r="VWD3" s="284"/>
      <c r="VWE3" s="284"/>
      <c r="VWF3" s="284"/>
      <c r="VWG3" s="284"/>
      <c r="VWH3" s="284"/>
      <c r="VWI3" s="284"/>
      <c r="VWJ3" s="284"/>
      <c r="VWK3" s="284"/>
      <c r="VWL3" s="284"/>
      <c r="VWM3" s="284"/>
      <c r="VWN3" s="284"/>
      <c r="VWO3" s="284"/>
      <c r="VWP3" s="284"/>
      <c r="VWQ3" s="284"/>
      <c r="VWR3" s="284"/>
      <c r="VWS3" s="284"/>
      <c r="VWT3" s="284"/>
      <c r="VWU3" s="284"/>
      <c r="VWV3" s="284"/>
      <c r="VWW3" s="284"/>
      <c r="VWX3" s="284"/>
      <c r="VWY3" s="284"/>
      <c r="VWZ3" s="284"/>
      <c r="VXA3" s="284"/>
      <c r="VXB3" s="284"/>
      <c r="VXC3" s="284"/>
      <c r="VXD3" s="284"/>
      <c r="VXE3" s="284"/>
      <c r="VXF3" s="284"/>
      <c r="VXG3" s="284"/>
      <c r="VXH3" s="284"/>
      <c r="VXI3" s="284"/>
      <c r="VXJ3" s="284"/>
      <c r="VXK3" s="284"/>
      <c r="VXL3" s="284"/>
      <c r="VXM3" s="284"/>
      <c r="VXN3" s="284"/>
      <c r="VXO3" s="284"/>
      <c r="VXP3" s="284"/>
      <c r="VXQ3" s="284"/>
      <c r="VXR3" s="284"/>
      <c r="VXS3" s="284"/>
      <c r="VXT3" s="284"/>
      <c r="VXU3" s="284"/>
      <c r="VXV3" s="284"/>
      <c r="VXW3" s="284"/>
      <c r="VXX3" s="284"/>
      <c r="VXY3" s="284"/>
      <c r="VXZ3" s="284"/>
      <c r="VYA3" s="284"/>
      <c r="VYB3" s="284"/>
      <c r="VYC3" s="284"/>
      <c r="VYD3" s="284"/>
      <c r="VYE3" s="284"/>
      <c r="VYF3" s="284"/>
      <c r="VYG3" s="284"/>
      <c r="VYH3" s="284"/>
      <c r="VYI3" s="284"/>
      <c r="VYJ3" s="284"/>
      <c r="VYK3" s="284"/>
      <c r="VYL3" s="284"/>
      <c r="VYM3" s="284"/>
      <c r="VYN3" s="284"/>
      <c r="VYO3" s="284"/>
      <c r="VYP3" s="284"/>
      <c r="VYQ3" s="284"/>
      <c r="VYR3" s="284"/>
      <c r="VYS3" s="284"/>
      <c r="VYT3" s="284"/>
      <c r="VYU3" s="284"/>
      <c r="VYV3" s="284"/>
      <c r="VYW3" s="284"/>
      <c r="VYX3" s="284"/>
      <c r="VYY3" s="284"/>
      <c r="VYZ3" s="284"/>
      <c r="VZA3" s="284"/>
      <c r="VZB3" s="284"/>
      <c r="VZC3" s="284"/>
      <c r="VZD3" s="284"/>
      <c r="VZE3" s="284"/>
      <c r="VZF3" s="284"/>
      <c r="VZG3" s="284"/>
      <c r="VZH3" s="284"/>
      <c r="VZI3" s="284"/>
      <c r="VZJ3" s="284"/>
      <c r="VZK3" s="284"/>
      <c r="VZL3" s="284"/>
      <c r="VZM3" s="284"/>
      <c r="VZN3" s="284"/>
      <c r="VZO3" s="284"/>
      <c r="VZP3" s="284"/>
      <c r="VZQ3" s="284"/>
      <c r="VZR3" s="284"/>
      <c r="VZS3" s="284"/>
      <c r="VZT3" s="284"/>
      <c r="VZU3" s="284"/>
      <c r="VZV3" s="284"/>
      <c r="VZW3" s="284"/>
      <c r="VZX3" s="284"/>
      <c r="VZY3" s="284"/>
      <c r="VZZ3" s="284"/>
      <c r="WAA3" s="284"/>
      <c r="WAB3" s="284"/>
      <c r="WAC3" s="284"/>
      <c r="WAD3" s="284"/>
      <c r="WAE3" s="284"/>
      <c r="WAF3" s="284"/>
      <c r="WAG3" s="284"/>
      <c r="WAH3" s="284"/>
      <c r="WAI3" s="284"/>
      <c r="WAJ3" s="284"/>
      <c r="WAK3" s="284"/>
      <c r="WAL3" s="284"/>
      <c r="WAM3" s="284"/>
      <c r="WAN3" s="284"/>
      <c r="WAO3" s="284"/>
      <c r="WAP3" s="284"/>
      <c r="WAQ3" s="284"/>
      <c r="WAR3" s="284"/>
      <c r="WAS3" s="284"/>
      <c r="WAT3" s="284"/>
      <c r="WAU3" s="284"/>
      <c r="WAV3" s="284"/>
      <c r="WAW3" s="284"/>
      <c r="WAX3" s="284"/>
      <c r="WAY3" s="284"/>
      <c r="WAZ3" s="284"/>
      <c r="WBA3" s="284"/>
      <c r="WBB3" s="284"/>
      <c r="WBC3" s="284"/>
      <c r="WBD3" s="284"/>
      <c r="WBE3" s="284"/>
      <c r="WBF3" s="284"/>
      <c r="WBG3" s="284"/>
      <c r="WBH3" s="284"/>
      <c r="WBI3" s="284"/>
      <c r="WBJ3" s="284"/>
      <c r="WBK3" s="284"/>
      <c r="WBL3" s="284"/>
      <c r="WBM3" s="284"/>
      <c r="WBN3" s="284"/>
      <c r="WBO3" s="284"/>
      <c r="WBP3" s="284"/>
      <c r="WBQ3" s="284"/>
      <c r="WBR3" s="284"/>
      <c r="WBS3" s="284"/>
      <c r="WBT3" s="284"/>
      <c r="WBU3" s="284"/>
      <c r="WBV3" s="284"/>
      <c r="WBW3" s="284"/>
      <c r="WBX3" s="284"/>
      <c r="WBY3" s="284"/>
      <c r="WBZ3" s="284"/>
      <c r="WCA3" s="284"/>
      <c r="WCB3" s="284"/>
      <c r="WCC3" s="284"/>
      <c r="WCD3" s="284"/>
      <c r="WCE3" s="284"/>
      <c r="WCF3" s="284"/>
      <c r="WCG3" s="284"/>
      <c r="WCH3" s="284"/>
      <c r="WCI3" s="284"/>
      <c r="WCJ3" s="284"/>
      <c r="WCK3" s="284"/>
      <c r="WCL3" s="284"/>
      <c r="WCM3" s="284"/>
      <c r="WCN3" s="284"/>
      <c r="WCO3" s="284"/>
      <c r="WCP3" s="284"/>
      <c r="WCQ3" s="284"/>
      <c r="WCR3" s="284"/>
      <c r="WCS3" s="284"/>
      <c r="WCT3" s="284"/>
      <c r="WCU3" s="284"/>
      <c r="WCV3" s="284"/>
      <c r="WCW3" s="284"/>
      <c r="WCX3" s="284"/>
      <c r="WCY3" s="284"/>
      <c r="WCZ3" s="284"/>
      <c r="WDA3" s="284"/>
      <c r="WDB3" s="284"/>
      <c r="WDC3" s="284"/>
      <c r="WDD3" s="284"/>
      <c r="WDE3" s="284"/>
      <c r="WDF3" s="284"/>
      <c r="WDG3" s="284"/>
      <c r="WDH3" s="284"/>
      <c r="WDI3" s="284"/>
      <c r="WDJ3" s="284"/>
      <c r="WDK3" s="284"/>
      <c r="WDL3" s="284"/>
      <c r="WDM3" s="284"/>
      <c r="WDN3" s="284"/>
      <c r="WDO3" s="284"/>
      <c r="WDP3" s="284"/>
      <c r="WDQ3" s="284"/>
      <c r="WDR3" s="284"/>
      <c r="WDS3" s="284"/>
      <c r="WDT3" s="284"/>
      <c r="WDU3" s="284"/>
      <c r="WDV3" s="284"/>
      <c r="WDW3" s="284"/>
      <c r="WDX3" s="284"/>
      <c r="WDY3" s="284"/>
      <c r="WDZ3" s="284"/>
      <c r="WEA3" s="284"/>
      <c r="WEB3" s="284"/>
      <c r="WEC3" s="284"/>
      <c r="WED3" s="284"/>
      <c r="WEE3" s="284"/>
      <c r="WEF3" s="284"/>
      <c r="WEG3" s="284"/>
      <c r="WEH3" s="284"/>
      <c r="WEI3" s="284"/>
      <c r="WEJ3" s="284"/>
      <c r="WEK3" s="284"/>
      <c r="WEL3" s="284"/>
      <c r="WEM3" s="284"/>
      <c r="WEN3" s="284"/>
      <c r="WEO3" s="284"/>
      <c r="WEP3" s="284"/>
      <c r="WEQ3" s="284"/>
      <c r="WER3" s="284"/>
      <c r="WES3" s="284"/>
      <c r="WET3" s="284"/>
      <c r="WEU3" s="284"/>
      <c r="WEV3" s="284"/>
      <c r="WEW3" s="284"/>
      <c r="WEX3" s="284"/>
      <c r="WEY3" s="284"/>
      <c r="WEZ3" s="284"/>
      <c r="WFA3" s="284"/>
      <c r="WFB3" s="284"/>
      <c r="WFC3" s="284"/>
      <c r="WFD3" s="284"/>
      <c r="WFE3" s="284"/>
      <c r="WFF3" s="284"/>
      <c r="WFG3" s="284"/>
      <c r="WFH3" s="284"/>
      <c r="WFI3" s="284"/>
      <c r="WFJ3" s="284"/>
      <c r="WFK3" s="284"/>
      <c r="WFL3" s="284"/>
      <c r="WFM3" s="284"/>
      <c r="WFN3" s="284"/>
      <c r="WFO3" s="284"/>
      <c r="WFP3" s="284"/>
      <c r="WFQ3" s="284"/>
      <c r="WFR3" s="284"/>
      <c r="WFS3" s="284"/>
      <c r="WFT3" s="284"/>
      <c r="WFU3" s="284"/>
      <c r="WFV3" s="284"/>
      <c r="WFW3" s="284"/>
      <c r="WFX3" s="284"/>
      <c r="WFY3" s="284"/>
      <c r="WFZ3" s="284"/>
      <c r="WGA3" s="284"/>
      <c r="WGB3" s="284"/>
      <c r="WGC3" s="284"/>
      <c r="WGD3" s="284"/>
      <c r="WGE3" s="284"/>
      <c r="WGF3" s="284"/>
      <c r="WGG3" s="284"/>
      <c r="WGH3" s="284"/>
      <c r="WGI3" s="284"/>
      <c r="WGJ3" s="284"/>
      <c r="WGK3" s="284"/>
      <c r="WGL3" s="284"/>
      <c r="WGM3" s="284"/>
      <c r="WGN3" s="284"/>
      <c r="WGO3" s="284"/>
      <c r="WGP3" s="284"/>
      <c r="WGQ3" s="284"/>
      <c r="WGR3" s="284"/>
      <c r="WGS3" s="284"/>
      <c r="WGT3" s="284"/>
      <c r="WGU3" s="284"/>
      <c r="WGV3" s="284"/>
      <c r="WGW3" s="284"/>
      <c r="WGX3" s="284"/>
      <c r="WGY3" s="284"/>
      <c r="WGZ3" s="284"/>
      <c r="WHA3" s="284"/>
      <c r="WHB3" s="284"/>
      <c r="WHC3" s="284"/>
      <c r="WHD3" s="284"/>
      <c r="WHE3" s="284"/>
      <c r="WHF3" s="284"/>
      <c r="WHG3" s="284"/>
      <c r="WHH3" s="284"/>
      <c r="WHI3" s="284"/>
      <c r="WHJ3" s="284"/>
      <c r="WHK3" s="284"/>
      <c r="WHL3" s="284"/>
      <c r="WHM3" s="284"/>
      <c r="WHN3" s="284"/>
      <c r="WHO3" s="284"/>
      <c r="WHP3" s="284"/>
      <c r="WHQ3" s="284"/>
      <c r="WHR3" s="284"/>
      <c r="WHS3" s="284"/>
      <c r="WHT3" s="284"/>
      <c r="WHU3" s="284"/>
      <c r="WHV3" s="284"/>
      <c r="WHW3" s="284"/>
      <c r="WHX3" s="284"/>
      <c r="WHY3" s="284"/>
      <c r="WHZ3" s="284"/>
      <c r="WIA3" s="284"/>
      <c r="WIB3" s="284"/>
      <c r="WIC3" s="284"/>
      <c r="WID3" s="284"/>
      <c r="WIE3" s="284"/>
      <c r="WIF3" s="284"/>
      <c r="WIG3" s="284"/>
      <c r="WIH3" s="284"/>
      <c r="WII3" s="284"/>
      <c r="WIJ3" s="284"/>
      <c r="WIK3" s="284"/>
      <c r="WIL3" s="284"/>
      <c r="WIM3" s="284"/>
      <c r="WIN3" s="284"/>
      <c r="WIO3" s="284"/>
      <c r="WIP3" s="284"/>
      <c r="WIQ3" s="284"/>
      <c r="WIR3" s="284"/>
      <c r="WIS3" s="284"/>
      <c r="WIT3" s="284"/>
      <c r="WIU3" s="284"/>
      <c r="WIV3" s="284"/>
      <c r="WIW3" s="284"/>
      <c r="WIX3" s="284"/>
      <c r="WIY3" s="284"/>
      <c r="WIZ3" s="284"/>
      <c r="WJA3" s="284"/>
      <c r="WJB3" s="284"/>
      <c r="WJC3" s="284"/>
      <c r="WJD3" s="284"/>
      <c r="WJE3" s="284"/>
      <c r="WJF3" s="284"/>
      <c r="WJG3" s="284"/>
      <c r="WJH3" s="284"/>
      <c r="WJI3" s="284"/>
      <c r="WJJ3" s="284"/>
      <c r="WJK3" s="284"/>
      <c r="WJL3" s="284"/>
      <c r="WJM3" s="284"/>
      <c r="WJN3" s="284"/>
      <c r="WJO3" s="284"/>
      <c r="WJP3" s="284"/>
      <c r="WJQ3" s="284"/>
      <c r="WJR3" s="284"/>
      <c r="WJS3" s="284"/>
      <c r="WJT3" s="284"/>
      <c r="WJU3" s="284"/>
      <c r="WJV3" s="284"/>
      <c r="WJW3" s="284"/>
      <c r="WJX3" s="284"/>
      <c r="WJY3" s="284"/>
      <c r="WJZ3" s="284"/>
      <c r="WKA3" s="284"/>
      <c r="WKB3" s="284"/>
      <c r="WKC3" s="284"/>
      <c r="WKD3" s="284"/>
      <c r="WKE3" s="284"/>
      <c r="WKF3" s="284"/>
      <c r="WKG3" s="284"/>
      <c r="WKH3" s="284"/>
      <c r="WKI3" s="284"/>
      <c r="WKJ3" s="284"/>
      <c r="WKK3" s="284"/>
      <c r="WKL3" s="284"/>
      <c r="WKM3" s="284"/>
      <c r="WKN3" s="284"/>
      <c r="WKO3" s="284"/>
      <c r="WKP3" s="284"/>
      <c r="WKQ3" s="284"/>
      <c r="WKR3" s="284"/>
      <c r="WKS3" s="284"/>
      <c r="WKT3" s="284"/>
      <c r="WKU3" s="284"/>
      <c r="WKV3" s="284"/>
      <c r="WKW3" s="284"/>
      <c r="WKX3" s="284"/>
      <c r="WKY3" s="284"/>
      <c r="WKZ3" s="284"/>
      <c r="WLA3" s="284"/>
      <c r="WLB3" s="284"/>
      <c r="WLC3" s="284"/>
      <c r="WLD3" s="284"/>
      <c r="WLE3" s="284"/>
      <c r="WLF3" s="284"/>
      <c r="WLG3" s="284"/>
      <c r="WLH3" s="284"/>
      <c r="WLI3" s="284"/>
      <c r="WLJ3" s="284"/>
      <c r="WLK3" s="284"/>
      <c r="WLL3" s="284"/>
      <c r="WLM3" s="284"/>
      <c r="WLN3" s="284"/>
      <c r="WLO3" s="284"/>
      <c r="WLP3" s="284"/>
      <c r="WLQ3" s="284"/>
      <c r="WLR3" s="284"/>
      <c r="WLS3" s="284"/>
      <c r="WLT3" s="284"/>
      <c r="WLU3" s="284"/>
      <c r="WLV3" s="284"/>
      <c r="WLW3" s="284"/>
      <c r="WLX3" s="284"/>
      <c r="WLY3" s="284"/>
      <c r="WLZ3" s="284"/>
      <c r="WMA3" s="284"/>
      <c r="WMB3" s="284"/>
      <c r="WMC3" s="284"/>
      <c r="WMD3" s="284"/>
      <c r="WME3" s="284"/>
      <c r="WMF3" s="284"/>
      <c r="WMG3" s="284"/>
      <c r="WMH3" s="284"/>
      <c r="WMI3" s="284"/>
      <c r="WMJ3" s="284"/>
      <c r="WMK3" s="284"/>
      <c r="WML3" s="284"/>
      <c r="WMM3" s="284"/>
      <c r="WMN3" s="284"/>
      <c r="WMO3" s="284"/>
      <c r="WMP3" s="284"/>
      <c r="WMQ3" s="284"/>
      <c r="WMR3" s="284"/>
      <c r="WMS3" s="284"/>
      <c r="WMT3" s="284"/>
      <c r="WMU3" s="284"/>
      <c r="WMV3" s="284"/>
      <c r="WMW3" s="284"/>
      <c r="WMX3" s="284"/>
      <c r="WMY3" s="284"/>
      <c r="WMZ3" s="284"/>
      <c r="WNA3" s="284"/>
      <c r="WNB3" s="284"/>
      <c r="WNC3" s="284"/>
      <c r="WND3" s="284"/>
      <c r="WNE3" s="284"/>
      <c r="WNF3" s="284"/>
      <c r="WNG3" s="284"/>
      <c r="WNH3" s="284"/>
      <c r="WNI3" s="284"/>
      <c r="WNJ3" s="284"/>
      <c r="WNK3" s="284"/>
      <c r="WNL3" s="284"/>
      <c r="WNM3" s="284"/>
      <c r="WNN3" s="284"/>
      <c r="WNO3" s="284"/>
      <c r="WNP3" s="284"/>
      <c r="WNQ3" s="284"/>
      <c r="WNR3" s="284"/>
      <c r="WNS3" s="284"/>
      <c r="WNT3" s="284"/>
      <c r="WNU3" s="284"/>
      <c r="WNV3" s="284"/>
      <c r="WNW3" s="284"/>
      <c r="WNX3" s="284"/>
      <c r="WNY3" s="284"/>
      <c r="WNZ3" s="284"/>
      <c r="WOA3" s="284"/>
      <c r="WOB3" s="284"/>
      <c r="WOC3" s="284"/>
      <c r="WOD3" s="284"/>
      <c r="WOE3" s="284"/>
      <c r="WOF3" s="284"/>
      <c r="WOG3" s="284"/>
      <c r="WOH3" s="284"/>
      <c r="WOI3" s="284"/>
      <c r="WOJ3" s="284"/>
      <c r="WOK3" s="284"/>
      <c r="WOL3" s="284"/>
      <c r="WOM3" s="284"/>
      <c r="WON3" s="284"/>
      <c r="WOO3" s="284"/>
      <c r="WOP3" s="284"/>
      <c r="WOQ3" s="284"/>
      <c r="WOR3" s="284"/>
      <c r="WOS3" s="284"/>
      <c r="WOT3" s="284"/>
      <c r="WOU3" s="284"/>
      <c r="WOV3" s="284"/>
      <c r="WOW3" s="284"/>
      <c r="WOX3" s="284"/>
      <c r="WOY3" s="284"/>
      <c r="WOZ3" s="284"/>
      <c r="WPA3" s="284"/>
      <c r="WPB3" s="284"/>
      <c r="WPC3" s="284"/>
      <c r="WPD3" s="284"/>
      <c r="WPE3" s="284"/>
      <c r="WPF3" s="284"/>
      <c r="WPG3" s="284"/>
      <c r="WPH3" s="284"/>
      <c r="WPI3" s="284"/>
      <c r="WPJ3" s="284"/>
      <c r="WPK3" s="284"/>
      <c r="WPL3" s="284"/>
      <c r="WPM3" s="284"/>
      <c r="WPN3" s="284"/>
      <c r="WPO3" s="284"/>
      <c r="WPP3" s="284"/>
      <c r="WPQ3" s="284"/>
      <c r="WPR3" s="284"/>
      <c r="WPS3" s="284"/>
      <c r="WPT3" s="284"/>
      <c r="WPU3" s="284"/>
      <c r="WPV3" s="284"/>
      <c r="WPW3" s="284"/>
      <c r="WPX3" s="284"/>
      <c r="WPY3" s="284"/>
      <c r="WPZ3" s="284"/>
      <c r="WQA3" s="284"/>
      <c r="WQB3" s="284"/>
      <c r="WQC3" s="284"/>
      <c r="WQD3" s="284"/>
      <c r="WQE3" s="284"/>
      <c r="WQF3" s="284"/>
      <c r="WQG3" s="284"/>
      <c r="WQH3" s="284"/>
      <c r="WQI3" s="284"/>
      <c r="WQJ3" s="284"/>
      <c r="WQK3" s="284"/>
      <c r="WQL3" s="284"/>
      <c r="WQM3" s="284"/>
      <c r="WQN3" s="284"/>
      <c r="WQO3" s="284"/>
      <c r="WQP3" s="284"/>
      <c r="WQQ3" s="284"/>
      <c r="WQR3" s="284"/>
      <c r="WQS3" s="284"/>
      <c r="WQT3" s="284"/>
      <c r="WQU3" s="284"/>
      <c r="WQV3" s="284"/>
      <c r="WQW3" s="284"/>
      <c r="WQX3" s="284"/>
      <c r="WQY3" s="284"/>
      <c r="WQZ3" s="284"/>
      <c r="WRA3" s="284"/>
      <c r="WRB3" s="284"/>
      <c r="WRC3" s="284"/>
      <c r="WRD3" s="284"/>
      <c r="WRE3" s="284"/>
      <c r="WRF3" s="284"/>
      <c r="WRG3" s="284"/>
      <c r="WRH3" s="284"/>
      <c r="WRI3" s="284"/>
      <c r="WRJ3" s="284"/>
      <c r="WRK3" s="284"/>
      <c r="WRL3" s="284"/>
      <c r="WRM3" s="284"/>
      <c r="WRN3" s="284"/>
      <c r="WRO3" s="284"/>
      <c r="WRP3" s="284"/>
      <c r="WRQ3" s="284"/>
      <c r="WRR3" s="284"/>
      <c r="WRS3" s="284"/>
      <c r="WRT3" s="284"/>
      <c r="WRU3" s="284"/>
      <c r="WRV3" s="284"/>
      <c r="WRW3" s="284"/>
      <c r="WRX3" s="284"/>
      <c r="WRY3" s="284"/>
      <c r="WRZ3" s="284"/>
      <c r="WSA3" s="284"/>
      <c r="WSB3" s="284"/>
      <c r="WSC3" s="284"/>
      <c r="WSD3" s="284"/>
      <c r="WSE3" s="284"/>
      <c r="WSF3" s="284"/>
      <c r="WSG3" s="284"/>
      <c r="WSH3" s="284"/>
      <c r="WSI3" s="284"/>
      <c r="WSJ3" s="284"/>
      <c r="WSK3" s="284"/>
      <c r="WSL3" s="284"/>
      <c r="WSM3" s="284"/>
      <c r="WSN3" s="284"/>
      <c r="WSO3" s="284"/>
      <c r="WSP3" s="284"/>
      <c r="WSQ3" s="284"/>
      <c r="WSR3" s="284"/>
      <c r="WSS3" s="284"/>
      <c r="WST3" s="284"/>
      <c r="WSU3" s="284"/>
      <c r="WSV3" s="284"/>
      <c r="WSW3" s="284"/>
      <c r="WSX3" s="284"/>
      <c r="WSY3" s="284"/>
      <c r="WSZ3" s="284"/>
      <c r="WTA3" s="284"/>
      <c r="WTB3" s="284"/>
      <c r="WTC3" s="284"/>
      <c r="WTD3" s="284"/>
      <c r="WTE3" s="284"/>
      <c r="WTF3" s="284"/>
      <c r="WTG3" s="284"/>
      <c r="WTH3" s="284"/>
      <c r="WTI3" s="284"/>
      <c r="WTJ3" s="284"/>
      <c r="WTK3" s="284"/>
      <c r="WTL3" s="284"/>
      <c r="WTM3" s="284"/>
      <c r="WTN3" s="284"/>
      <c r="WTO3" s="284"/>
      <c r="WTP3" s="284"/>
      <c r="WTQ3" s="284"/>
      <c r="WTR3" s="284"/>
      <c r="WTS3" s="284"/>
      <c r="WTT3" s="284"/>
      <c r="WTU3" s="284"/>
      <c r="WTV3" s="284"/>
      <c r="WTW3" s="284"/>
      <c r="WTX3" s="284"/>
      <c r="WTY3" s="284"/>
      <c r="WTZ3" s="284"/>
      <c r="WUA3" s="284"/>
      <c r="WUB3" s="284"/>
      <c r="WUC3" s="284"/>
      <c r="WUD3" s="284"/>
      <c r="WUE3" s="284"/>
      <c r="WUF3" s="284"/>
      <c r="WUG3" s="284"/>
      <c r="WUH3" s="284"/>
      <c r="WUI3" s="284"/>
      <c r="WUJ3" s="284"/>
      <c r="WUK3" s="284"/>
      <c r="WUL3" s="284"/>
      <c r="WUM3" s="284"/>
      <c r="WUN3" s="284"/>
      <c r="WUO3" s="284"/>
      <c r="WUP3" s="284"/>
      <c r="WUQ3" s="284"/>
      <c r="WUR3" s="284"/>
      <c r="WUS3" s="284"/>
      <c r="WUT3" s="284"/>
      <c r="WUU3" s="284"/>
      <c r="WUV3" s="284"/>
      <c r="WUW3" s="284"/>
      <c r="WUX3" s="284"/>
      <c r="WUY3" s="284"/>
      <c r="WUZ3" s="284"/>
      <c r="WVA3" s="284"/>
      <c r="WVB3" s="284"/>
      <c r="WVC3" s="284"/>
      <c r="WVD3" s="284"/>
      <c r="WVE3" s="284"/>
      <c r="WVF3" s="284"/>
      <c r="WVG3" s="284"/>
      <c r="WVH3" s="284"/>
      <c r="WVI3" s="284"/>
      <c r="WVJ3" s="284"/>
      <c r="WVK3" s="284"/>
      <c r="WVL3" s="284"/>
      <c r="WVM3" s="284"/>
      <c r="WVN3" s="284"/>
      <c r="WVO3" s="284"/>
      <c r="WVP3" s="284"/>
      <c r="WVQ3" s="284"/>
      <c r="WVR3" s="284"/>
      <c r="WVS3" s="284"/>
      <c r="WVT3" s="284"/>
      <c r="WVU3" s="284"/>
      <c r="WVV3" s="284"/>
      <c r="WVW3" s="284"/>
      <c r="WVX3" s="284"/>
      <c r="WVY3" s="284"/>
      <c r="WVZ3" s="284"/>
      <c r="WWA3" s="284"/>
      <c r="WWB3" s="284"/>
      <c r="WWC3" s="284"/>
      <c r="WWD3" s="284"/>
      <c r="WWE3" s="284"/>
      <c r="WWF3" s="284"/>
      <c r="WWG3" s="284"/>
      <c r="WWH3" s="284"/>
      <c r="WWI3" s="284"/>
      <c r="WWJ3" s="284"/>
      <c r="WWK3" s="284"/>
      <c r="WWL3" s="284"/>
      <c r="WWM3" s="284"/>
      <c r="WWN3" s="284"/>
      <c r="WWO3" s="284"/>
      <c r="WWP3" s="284"/>
      <c r="WWQ3" s="284"/>
      <c r="WWR3" s="284"/>
      <c r="WWS3" s="284"/>
      <c r="WWT3" s="284"/>
      <c r="WWU3" s="284"/>
      <c r="WWV3" s="284"/>
      <c r="WWW3" s="284"/>
      <c r="WWX3" s="284"/>
      <c r="WWY3" s="284"/>
      <c r="WWZ3" s="284"/>
      <c r="WXA3" s="284"/>
      <c r="WXB3" s="284"/>
      <c r="WXC3" s="284"/>
      <c r="WXD3" s="284"/>
      <c r="WXE3" s="284"/>
      <c r="WXF3" s="284"/>
      <c r="WXG3" s="284"/>
      <c r="WXH3" s="284"/>
      <c r="WXI3" s="284"/>
      <c r="WXJ3" s="284"/>
      <c r="WXK3" s="284"/>
      <c r="WXL3" s="284"/>
      <c r="WXM3" s="284"/>
      <c r="WXN3" s="284"/>
      <c r="WXO3" s="284"/>
      <c r="WXP3" s="284"/>
      <c r="WXQ3" s="284"/>
      <c r="WXR3" s="284"/>
      <c r="WXS3" s="284"/>
      <c r="WXT3" s="284"/>
      <c r="WXU3" s="284"/>
      <c r="WXV3" s="284"/>
      <c r="WXW3" s="284"/>
      <c r="WXX3" s="284"/>
      <c r="WXY3" s="284"/>
      <c r="WXZ3" s="284"/>
      <c r="WYA3" s="284"/>
      <c r="WYB3" s="284"/>
      <c r="WYC3" s="284"/>
      <c r="WYD3" s="284"/>
      <c r="WYE3" s="284"/>
      <c r="WYF3" s="284"/>
      <c r="WYG3" s="284"/>
      <c r="WYH3" s="284"/>
      <c r="WYI3" s="284"/>
      <c r="WYJ3" s="284"/>
      <c r="WYK3" s="284"/>
      <c r="WYL3" s="284"/>
      <c r="WYM3" s="284"/>
      <c r="WYN3" s="284"/>
      <c r="WYO3" s="284"/>
      <c r="WYP3" s="284"/>
      <c r="WYQ3" s="284"/>
      <c r="WYR3" s="284"/>
      <c r="WYS3" s="284"/>
      <c r="WYT3" s="284"/>
      <c r="WYU3" s="284"/>
      <c r="WYV3" s="284"/>
      <c r="WYW3" s="284"/>
      <c r="WYX3" s="284"/>
      <c r="WYY3" s="284"/>
      <c r="WYZ3" s="284"/>
      <c r="WZA3" s="284"/>
      <c r="WZB3" s="284"/>
      <c r="WZC3" s="284"/>
      <c r="WZD3" s="284"/>
      <c r="WZE3" s="284"/>
      <c r="WZF3" s="284"/>
      <c r="WZG3" s="284"/>
      <c r="WZH3" s="284"/>
      <c r="WZI3" s="284"/>
      <c r="WZJ3" s="284"/>
      <c r="WZK3" s="284"/>
      <c r="WZL3" s="284"/>
      <c r="WZM3" s="284"/>
      <c r="WZN3" s="284"/>
      <c r="WZO3" s="284"/>
      <c r="WZP3" s="284"/>
      <c r="WZQ3" s="284"/>
      <c r="WZR3" s="284"/>
      <c r="WZS3" s="284"/>
      <c r="WZT3" s="284"/>
      <c r="WZU3" s="284"/>
      <c r="WZV3" s="284"/>
      <c r="WZW3" s="284"/>
      <c r="WZX3" s="284"/>
      <c r="WZY3" s="284"/>
      <c r="WZZ3" s="284"/>
      <c r="XAA3" s="284"/>
      <c r="XAB3" s="284"/>
      <c r="XAC3" s="284"/>
      <c r="XAD3" s="284"/>
      <c r="XAE3" s="284"/>
      <c r="XAF3" s="284"/>
      <c r="XAG3" s="284"/>
      <c r="XAH3" s="284"/>
      <c r="XAI3" s="284"/>
      <c r="XAJ3" s="284"/>
      <c r="XAK3" s="284"/>
      <c r="XAL3" s="284"/>
      <c r="XAM3" s="284"/>
      <c r="XAN3" s="284"/>
      <c r="XAO3" s="284"/>
      <c r="XAP3" s="284"/>
      <c r="XAQ3" s="284"/>
      <c r="XAR3" s="284"/>
      <c r="XAS3" s="284"/>
      <c r="XAT3" s="284"/>
      <c r="XAU3" s="284"/>
      <c r="XAV3" s="284"/>
      <c r="XAW3" s="284"/>
      <c r="XAX3" s="284"/>
      <c r="XAY3" s="284"/>
      <c r="XAZ3" s="284"/>
      <c r="XBA3" s="284"/>
      <c r="XBB3" s="284"/>
      <c r="XBC3" s="284"/>
      <c r="XBD3" s="284"/>
      <c r="XBE3" s="284"/>
      <c r="XBF3" s="284"/>
      <c r="XBG3" s="284"/>
      <c r="XBH3" s="284"/>
      <c r="XBI3" s="284"/>
      <c r="XBJ3" s="284"/>
      <c r="XBK3" s="284"/>
      <c r="XBL3" s="284"/>
      <c r="XBM3" s="284"/>
      <c r="XBN3" s="284"/>
      <c r="XBO3" s="284"/>
      <c r="XBP3" s="284"/>
      <c r="XBQ3" s="284"/>
      <c r="XBR3" s="284"/>
      <c r="XBS3" s="284"/>
      <c r="XBT3" s="284"/>
      <c r="XBU3" s="284"/>
      <c r="XBV3" s="284"/>
      <c r="XBW3" s="284"/>
      <c r="XBX3" s="284"/>
      <c r="XBY3" s="284"/>
      <c r="XBZ3" s="284"/>
      <c r="XCA3" s="284"/>
      <c r="XCB3" s="284"/>
      <c r="XCC3" s="284"/>
      <c r="XCD3" s="284"/>
      <c r="XCE3" s="284"/>
      <c r="XCF3" s="284"/>
      <c r="XCG3" s="284"/>
      <c r="XCH3" s="284"/>
      <c r="XCI3" s="284"/>
      <c r="XCJ3" s="284"/>
      <c r="XCK3" s="284"/>
      <c r="XCL3" s="284"/>
      <c r="XCM3" s="284"/>
      <c r="XCN3" s="284"/>
      <c r="XCO3" s="284"/>
      <c r="XCP3" s="284"/>
      <c r="XCQ3" s="284"/>
      <c r="XCR3" s="284"/>
      <c r="XCS3" s="284"/>
      <c r="XCT3" s="284"/>
      <c r="XCU3" s="284"/>
      <c r="XCV3" s="284"/>
      <c r="XCW3" s="284"/>
      <c r="XCX3" s="284"/>
      <c r="XCY3" s="284"/>
      <c r="XCZ3" s="284"/>
      <c r="XDA3" s="284"/>
      <c r="XDB3" s="284"/>
      <c r="XDC3" s="284"/>
      <c r="XDD3" s="284"/>
      <c r="XDE3" s="284"/>
      <c r="XDF3" s="284"/>
      <c r="XDG3" s="284"/>
      <c r="XDH3" s="284"/>
      <c r="XDI3" s="284"/>
      <c r="XDJ3" s="284"/>
      <c r="XDK3" s="284"/>
      <c r="XDL3" s="284"/>
      <c r="XDM3" s="284"/>
      <c r="XDN3" s="284"/>
      <c r="XDO3" s="284"/>
      <c r="XDP3" s="284"/>
      <c r="XDQ3" s="284"/>
      <c r="XDR3" s="284"/>
      <c r="XDS3" s="284"/>
      <c r="XDT3" s="284"/>
      <c r="XDU3" s="284"/>
      <c r="XDV3" s="284"/>
      <c r="XDW3" s="284"/>
      <c r="XDX3" s="284"/>
      <c r="XDY3" s="284"/>
      <c r="XDZ3" s="284"/>
      <c r="XEA3" s="284"/>
      <c r="XEB3" s="284"/>
      <c r="XEC3" s="284"/>
      <c r="XED3" s="284"/>
      <c r="XEE3" s="284"/>
      <c r="XEF3" s="284"/>
      <c r="XEG3" s="284"/>
      <c r="XEH3" s="284"/>
      <c r="XEI3" s="284"/>
      <c r="XEJ3" s="284"/>
      <c r="XEK3" s="284"/>
      <c r="XEL3" s="284"/>
      <c r="XEM3" s="284"/>
      <c r="XEN3" s="284"/>
      <c r="XEO3" s="284"/>
      <c r="XEP3" s="284"/>
      <c r="XEQ3" s="284"/>
      <c r="XER3" s="284"/>
      <c r="XES3" s="284"/>
      <c r="XET3" s="284"/>
      <c r="XEU3" s="284"/>
      <c r="XEV3" s="284"/>
      <c r="XEW3" s="284"/>
      <c r="XEX3" s="284"/>
      <c r="XEY3" s="284"/>
      <c r="XEZ3" s="284"/>
      <c r="XFA3" s="284"/>
      <c r="XFB3" s="284"/>
      <c r="XFC3" s="284"/>
    </row>
    <row r="4" s="284" customFormat="1" ht="24" customHeight="1" spans="1:16383">
      <c r="A4" s="1"/>
      <c r="B4" s="298">
        <v>1</v>
      </c>
      <c r="C4" s="299" t="s">
        <v>28</v>
      </c>
      <c r="D4" s="299">
        <f>COUNTIF(合同执行情况明细汇总!N:N,"EPC合同")</f>
        <v>7</v>
      </c>
      <c r="E4" s="300">
        <f>SUMIF(合同执行情况明细汇总!N:N,C4,合同执行情况明细汇总!Q:Q)</f>
        <v>798380000</v>
      </c>
      <c r="F4" s="300">
        <f>SUMIF(合同执行情况明细汇总!N:N,C4,合同执行情况明细汇总!D:D)</f>
        <v>102469109.933</v>
      </c>
      <c r="G4" s="300">
        <f>SUMIF(合同执行情况明细汇总!N:N,C4,合同执行情况明细汇总!E:E)</f>
        <v>1441800</v>
      </c>
      <c r="H4" s="300">
        <f>SUMIF(合同执行情况明细汇总!N:N,C4,合同执行情况明细汇总!F:F)</f>
        <v>131680</v>
      </c>
      <c r="I4" s="300">
        <f>SUMIF(合同执行情况明细汇总!N:N,C4,合同执行情况明细汇总!G:G)</f>
        <v>206385.75</v>
      </c>
      <c r="J4" s="300">
        <f>SUMIF(合同执行情况明细汇总!N:N,C4,合同执行情况明细汇总!H:H)</f>
        <v>2500</v>
      </c>
      <c r="K4" s="300">
        <f>SUMIF(合同执行情况明细汇总!N:N,C4,合同执行情况明细汇总!I:I)</f>
        <v>32349874</v>
      </c>
      <c r="L4" s="300">
        <f>E4-F4-G4-H4-I4-J4</f>
        <v>694128524.317</v>
      </c>
      <c r="M4" s="326">
        <f>(E4-L4)/E4*100%</f>
        <v>0.130578766606127</v>
      </c>
      <c r="N4" s="327">
        <f>COUNTIFS(合同执行情况明细汇总!N:N,"EPC合同",合同执行情况明细汇总!C:C,"已付清")</f>
        <v>0</v>
      </c>
      <c r="O4" s="328">
        <f>D4-N4</f>
        <v>7</v>
      </c>
      <c r="P4" s="283" t="str">
        <f>IF(E4-EPC合同!Q5=0,"数据正确","数据错误")</f>
        <v>数据正确</v>
      </c>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row>
    <row r="5" s="284" customFormat="1" ht="24" customHeight="1" spans="1:16383">
      <c r="A5" s="1"/>
      <c r="B5" s="301">
        <v>2</v>
      </c>
      <c r="C5" s="302" t="s">
        <v>29</v>
      </c>
      <c r="D5" s="302">
        <f>COUNTIF(合同执行情况明细汇总!N:N,"设备合同")</f>
        <v>119</v>
      </c>
      <c r="E5" s="303">
        <f>SUMIF(合同执行情况明细汇总!N:N,C5,合同执行情况明细汇总!Q:Q)</f>
        <v>599416094.499</v>
      </c>
      <c r="F5" s="303">
        <f>SUMIF(合同执行情况明细汇总!N:N,C5,合同执行情况明细汇总!D:D)</f>
        <v>135599510.421</v>
      </c>
      <c r="G5" s="303">
        <f>SUMIF(合同执行情况明细汇总!N:N,C5,合同执行情况明细汇总!E:E)</f>
        <v>0</v>
      </c>
      <c r="H5" s="303">
        <f>SUMIF(合同执行情况明细汇总!N:N,C5,合同执行情况明细汇总!F:F)</f>
        <v>0</v>
      </c>
      <c r="I5" s="303">
        <f>SUMIF(合同执行情况明细汇总!N:N,C5,合同执行情况明细汇总!G:G)</f>
        <v>123580</v>
      </c>
      <c r="J5" s="303">
        <f>SUMIF(合同执行情况明细汇总!N:N,C5,合同执行情况明细汇总!H:H)</f>
        <v>0</v>
      </c>
      <c r="K5" s="303">
        <f>SUMIF(合同执行情况明细汇总!N:N,C5,合同执行情况明细汇总!I:I)</f>
        <v>8479588.7384</v>
      </c>
      <c r="L5" s="303">
        <f t="shared" ref="L5:L10" si="0">E5-F5-G5-H5-I5-J5</f>
        <v>463693004.078</v>
      </c>
      <c r="M5" s="329">
        <f t="shared" ref="M5:M11" si="1">(E5-L5)/E5*100%</f>
        <v>0.226425502529156</v>
      </c>
      <c r="N5" s="330">
        <f>COUNTIFS(合同执行情况明细汇总!N:N,"设备合同",合同执行情况明细汇总!C:C,"已付清")</f>
        <v>2</v>
      </c>
      <c r="O5" s="331">
        <f t="shared" ref="O5:O10" si="2">D5-N5</f>
        <v>117</v>
      </c>
      <c r="P5" s="283" t="str">
        <f>IF(E5-设备合同!Q5=0,"数据正确","数据错误")</f>
        <v>数据正确</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row>
    <row r="6" s="284" customFormat="1" ht="24" customHeight="1" spans="1:16383">
      <c r="A6" s="1"/>
      <c r="B6" s="301">
        <v>3</v>
      </c>
      <c r="C6" s="302" t="s">
        <v>30</v>
      </c>
      <c r="D6" s="302">
        <f>COUNTIF(合同执行情况明细汇总!N:N,"工程合同")</f>
        <v>27</v>
      </c>
      <c r="E6" s="303">
        <f>SUMIF(合同执行情况明细汇总!N:N,C6,合同执行情况明细汇总!Q:Q)</f>
        <v>788506438.072</v>
      </c>
      <c r="F6" s="303">
        <f>SUMIF(合同执行情况明细汇总!N:N,C6,合同执行情况明细汇总!D:D)</f>
        <v>443436965.784</v>
      </c>
      <c r="G6" s="303">
        <f>SUMIF(合同执行情况明细汇总!N:N,C6,合同执行情况明细汇总!E:E)</f>
        <v>896000</v>
      </c>
      <c r="H6" s="303">
        <f>SUMIF(合同执行情况明细汇总!N:N,C6,合同执行情况明细汇总!F:F)</f>
        <v>374301</v>
      </c>
      <c r="I6" s="303">
        <f>SUMIF(合同执行情况明细汇总!N:N,C6,合同执行情况明细汇总!G:G)</f>
        <v>285695.039999999</v>
      </c>
      <c r="J6" s="303">
        <f>SUMIF(合同执行情况明细汇总!N:N,C6,合同执行情况明细汇总!H:H)</f>
        <v>32918.7999999998</v>
      </c>
      <c r="K6" s="303">
        <f>SUMIF(合同执行情况明细汇总!N:N,C6,合同执行情况明细汇总!I:I)</f>
        <v>14366576</v>
      </c>
      <c r="L6" s="303">
        <f t="shared" si="0"/>
        <v>343480557.448</v>
      </c>
      <c r="M6" s="329">
        <f t="shared" si="1"/>
        <v>0.564390928388798</v>
      </c>
      <c r="N6" s="330">
        <f>COUNTIFS(合同执行情况明细汇总!N:N,"工程合同",合同执行情况明细汇总!C:C,"已付清")</f>
        <v>7</v>
      </c>
      <c r="O6" s="331">
        <f t="shared" si="2"/>
        <v>20</v>
      </c>
      <c r="P6" s="283" t="str">
        <f>IF(E6-工程合同!Q5=0,"数据正确","数据错误")</f>
        <v>数据正确</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row>
    <row r="7" s="284" customFormat="1" ht="24" customHeight="1" spans="1:16383">
      <c r="A7" s="1"/>
      <c r="B7" s="301">
        <v>4</v>
      </c>
      <c r="C7" s="302" t="s">
        <v>31</v>
      </c>
      <c r="D7" s="302">
        <f>COUNTIF(合同执行情况明细汇总!N:N,"材料合同")</f>
        <v>76</v>
      </c>
      <c r="E7" s="303">
        <f>SUMIF(合同执行情况明细汇总!N:N,C7,合同执行情况明细汇总!Q:Q)</f>
        <v>154157310.85</v>
      </c>
      <c r="F7" s="303">
        <f>SUMIF(合同执行情况明细汇总!N:N,C7,合同执行情况明细汇总!D:D)</f>
        <v>91098353.824</v>
      </c>
      <c r="G7" s="303">
        <f>SUMIF(合同执行情况明细汇总!N:N,C7,合同执行情况明细汇总!E:E)</f>
        <v>0</v>
      </c>
      <c r="H7" s="303">
        <f>SUMIF(合同执行情况明细汇总!N:N,C7,合同执行情况明细汇总!F:F)</f>
        <v>0</v>
      </c>
      <c r="I7" s="303">
        <f>SUMIF(合同执行情况明细汇总!N:N,C7,合同执行情况明细汇总!G:G)</f>
        <v>2675.25</v>
      </c>
      <c r="J7" s="303">
        <f>SUMIF(合同执行情况明细汇总!N:N,C7,合同执行情况明细汇总!H:H)</f>
        <v>0</v>
      </c>
      <c r="K7" s="303">
        <f>SUMIF(合同执行情况明细汇总!N:N,C7,合同执行情况明细汇总!I:I)</f>
        <v>8872716.9065</v>
      </c>
      <c r="L7" s="303">
        <f t="shared" si="0"/>
        <v>63056281.776</v>
      </c>
      <c r="M7" s="329">
        <f t="shared" si="1"/>
        <v>0.590961457304118</v>
      </c>
      <c r="N7" s="330">
        <f>COUNTIFS(合同执行情况明细汇总!N:N,"材料合同",合同执行情况明细汇总!C:C,"已付清")</f>
        <v>28</v>
      </c>
      <c r="O7" s="331">
        <f t="shared" si="2"/>
        <v>48</v>
      </c>
      <c r="P7" s="283" t="str">
        <f>IF(E7-材料合同!Q5=0,"数据正确","数据错误")</f>
        <v>数据错误</v>
      </c>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row>
    <row r="8" s="284" customFormat="1" ht="24" customHeight="1" spans="1:16383">
      <c r="A8" s="1"/>
      <c r="B8" s="301">
        <v>5</v>
      </c>
      <c r="C8" s="302" t="s">
        <v>32</v>
      </c>
      <c r="D8" s="302">
        <f>COUNTIF(合同执行情况明细汇总!N:N,"服务合同")</f>
        <v>46</v>
      </c>
      <c r="E8" s="303">
        <f>SUMIF(合同执行情况明细汇总!N:N,C8,合同执行情况明细汇总!Q:Q)</f>
        <v>194467893.804</v>
      </c>
      <c r="F8" s="303">
        <f>SUMIF(合同执行情况明细汇总!N:N,C8,合同执行情况明细汇总!D:D)</f>
        <v>89035715.134</v>
      </c>
      <c r="G8" s="303">
        <f>SUMIF(合同执行情况明细汇总!N:N,C8,合同执行情况明细汇总!E:E)</f>
        <v>14628</v>
      </c>
      <c r="H8" s="303">
        <f>SUMIF(合同执行情况明细汇总!N:N,C8,合同执行情况明细汇总!F:F)</f>
        <v>0</v>
      </c>
      <c r="I8" s="303">
        <f>SUMIF(合同执行情况明细汇总!N:N,C8,合同执行情况明细汇总!G:G)</f>
        <v>7415.34</v>
      </c>
      <c r="J8" s="303">
        <f>SUMIF(合同执行情况明细汇总!N:N,C8,合同执行情况明细汇总!H:H)</f>
        <v>7000</v>
      </c>
      <c r="K8" s="303">
        <f>SUMIF(合同执行情况明细汇总!N:N,C8,合同执行情况明细汇总!I:I)</f>
        <v>520968</v>
      </c>
      <c r="L8" s="303">
        <f t="shared" si="0"/>
        <v>105403135.33</v>
      </c>
      <c r="M8" s="329">
        <f t="shared" si="1"/>
        <v>0.457992096956459</v>
      </c>
      <c r="N8" s="330">
        <f>COUNTIFS(合同执行情况明细汇总!N:N,"服务合同",合同执行情况明细汇总!C:C,"已付清")</f>
        <v>17</v>
      </c>
      <c r="O8" s="331">
        <f t="shared" si="2"/>
        <v>29</v>
      </c>
      <c r="P8" s="283" t="str">
        <f>IF(E8-服务合同!Q5=0,"数据正确","数据错误")</f>
        <v>数据正确</v>
      </c>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row>
    <row r="9" s="284" customFormat="1" ht="24" customHeight="1" spans="1:16383">
      <c r="A9" s="1"/>
      <c r="B9" s="301">
        <v>6</v>
      </c>
      <c r="C9" s="302" t="s">
        <v>33</v>
      </c>
      <c r="D9" s="302">
        <f>COUNTIF(合同执行情况明细汇总!N:N,"行政合同")</f>
        <v>44</v>
      </c>
      <c r="E9" s="303">
        <f>SUMIF(合同执行情况明细汇总!N:N,C9,合同执行情况明细汇总!Q:Q)</f>
        <v>5442835.214</v>
      </c>
      <c r="F9" s="303">
        <f>SUMIF(合同执行情况明细汇总!N:N,C9,合同执行情况明细汇总!D:D)</f>
        <v>2763298.804</v>
      </c>
      <c r="G9" s="303">
        <f>SUMIF(合同执行情况明细汇总!N:N,C9,合同执行情况明细汇总!E:E)</f>
        <v>0</v>
      </c>
      <c r="H9" s="303">
        <f>SUMIF(合同执行情况明细汇总!N:N,C9,合同执行情况明细汇总!F:F)</f>
        <v>0</v>
      </c>
      <c r="I9" s="303">
        <f>SUMIF(合同执行情况明细汇总!N:N,C9,合同执行情况明细汇总!G:G)</f>
        <v>8674.2</v>
      </c>
      <c r="J9" s="303">
        <f>SUMIF(合同执行情况明细汇总!N:N,C9,合同执行情况明细汇总!H:H)</f>
        <v>0</v>
      </c>
      <c r="K9" s="303">
        <f>SUMIF(合同执行情况明细汇总!N:N,C9,合同执行情况明细汇总!I:I)</f>
        <v>0</v>
      </c>
      <c r="L9" s="303">
        <f t="shared" si="0"/>
        <v>2670862.21</v>
      </c>
      <c r="M9" s="329">
        <f t="shared" si="1"/>
        <v>0.509288430571986</v>
      </c>
      <c r="N9" s="330">
        <f>COUNTIFS(合同执行情况明细汇总!N:N,"行政合同",合同执行情况明细汇总!C:C,"已付清")</f>
        <v>18</v>
      </c>
      <c r="O9" s="331">
        <f t="shared" si="2"/>
        <v>26</v>
      </c>
      <c r="P9" s="283" t="str">
        <f>IF(E9-行政合同!Q5=0,"数据正确","数据错误")</f>
        <v>数据正确</v>
      </c>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row>
    <row r="10" s="284" customFormat="1" ht="24" customHeight="1" spans="1:16383">
      <c r="A10" s="1"/>
      <c r="B10" s="304">
        <v>7</v>
      </c>
      <c r="C10" s="305" t="s">
        <v>34</v>
      </c>
      <c r="D10" s="305">
        <f>COUNTIF(合同执行情况明细汇总!N:N,"其他合同")</f>
        <v>10</v>
      </c>
      <c r="E10" s="306">
        <f>SUMIF(合同执行情况明细汇总!N:N,C10,合同执行情况明细汇总!Q:Q)</f>
        <v>257528893.807</v>
      </c>
      <c r="F10" s="306">
        <f>SUMIF(合同执行情况明细汇总!N:N,C10,合同执行情况明细汇总!D:D)</f>
        <v>257528893.807</v>
      </c>
      <c r="G10" s="306">
        <f>SUMIF(合同执行情况明细汇总!N:N,C10,合同执行情况明细汇总!E:E)</f>
        <v>0</v>
      </c>
      <c r="H10" s="306">
        <f>SUMIF(合同执行情况明细汇总!N:N,C10,合同执行情况明细汇总!F:F)</f>
        <v>0</v>
      </c>
      <c r="I10" s="306">
        <f>SUMIF(合同执行情况明细汇总!N:N,C10,合同执行情况明细汇总!G:G)</f>
        <v>0</v>
      </c>
      <c r="J10" s="306">
        <f>SUMIF(合同执行情况明细汇总!N:N,C10,合同执行情况明细汇总!H:H)</f>
        <v>0</v>
      </c>
      <c r="K10" s="306">
        <f>SUMIF(合同执行情况明细汇总!N:N,C10,合同执行情况明细汇总!I:I)</f>
        <v>0</v>
      </c>
      <c r="L10" s="306">
        <f t="shared" si="0"/>
        <v>0</v>
      </c>
      <c r="M10" s="332">
        <f t="shared" si="1"/>
        <v>1</v>
      </c>
      <c r="N10" s="333">
        <f>COUNTIFS(合同执行情况明细汇总!N:N,"其他合同",合同执行情况明细汇总!C:C,"已付清")</f>
        <v>10</v>
      </c>
      <c r="O10" s="334">
        <f t="shared" si="2"/>
        <v>0</v>
      </c>
      <c r="P10" s="283" t="str">
        <f>IF(E10-其他合同!Q5=0,"数据正确","数据错误")</f>
        <v>数据正确</v>
      </c>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row>
    <row r="11" s="285" customFormat="1" ht="24" customHeight="1" spans="1:16383">
      <c r="A11" s="283"/>
      <c r="B11" s="307" t="s">
        <v>35</v>
      </c>
      <c r="C11" s="308"/>
      <c r="D11" s="308">
        <f>SUM(D4:D10)</f>
        <v>329</v>
      </c>
      <c r="E11" s="309">
        <f>SUM(E4:E10)</f>
        <v>2797899466.246</v>
      </c>
      <c r="F11" s="309">
        <f>SUM(F4:F10)</f>
        <v>1121931847.707</v>
      </c>
      <c r="G11" s="309">
        <f t="shared" ref="G11:O11" si="3">SUM(G4:G10)</f>
        <v>2352428</v>
      </c>
      <c r="H11" s="309">
        <f t="shared" si="3"/>
        <v>505981</v>
      </c>
      <c r="I11" s="309">
        <f t="shared" si="3"/>
        <v>634425.579999999</v>
      </c>
      <c r="J11" s="309">
        <f t="shared" si="3"/>
        <v>42418.7999999998</v>
      </c>
      <c r="K11" s="309">
        <f t="shared" si="3"/>
        <v>64589723.6449</v>
      </c>
      <c r="L11" s="309">
        <f t="shared" si="3"/>
        <v>1672432365.159</v>
      </c>
      <c r="M11" s="335">
        <f t="shared" si="1"/>
        <v>0.402254303510434</v>
      </c>
      <c r="N11" s="336">
        <f t="shared" si="3"/>
        <v>82</v>
      </c>
      <c r="O11" s="337">
        <f t="shared" si="3"/>
        <v>247</v>
      </c>
      <c r="P11" s="283"/>
      <c r="Q11" s="283"/>
      <c r="R11" s="283"/>
      <c r="S11" s="283"/>
      <c r="T11" s="283"/>
      <c r="U11" s="283"/>
      <c r="V11" s="283"/>
      <c r="W11" s="283"/>
      <c r="X11" s="283"/>
      <c r="Y11" s="283"/>
      <c r="Z11" s="283"/>
      <c r="AA11" s="283"/>
      <c r="AB11" s="283"/>
      <c r="AC11" s="283"/>
      <c r="AD11" s="283"/>
      <c r="AE11" s="283"/>
      <c r="AF11" s="283"/>
      <c r="AG11" s="283"/>
      <c r="AH11" s="283"/>
      <c r="AI11" s="283"/>
      <c r="AJ11" s="283"/>
      <c r="AK11" s="283"/>
      <c r="AL11" s="283"/>
      <c r="AM11" s="283"/>
      <c r="AN11" s="283"/>
      <c r="AO11" s="283"/>
      <c r="AP11" s="283"/>
      <c r="AQ11" s="283"/>
      <c r="AR11" s="283"/>
      <c r="AS11" s="283"/>
      <c r="AT11" s="283"/>
      <c r="AU11" s="283"/>
      <c r="AV11" s="283"/>
      <c r="AW11" s="283"/>
      <c r="AX11" s="283"/>
      <c r="AY11" s="283"/>
      <c r="AZ11" s="283"/>
      <c r="BA11" s="283"/>
      <c r="BB11" s="283"/>
      <c r="BC11" s="283"/>
      <c r="BD11" s="283"/>
      <c r="BE11" s="283"/>
      <c r="BF11" s="283"/>
      <c r="BG11" s="283"/>
      <c r="BH11" s="283"/>
      <c r="BI11" s="283"/>
      <c r="BJ11" s="283"/>
      <c r="BK11" s="283"/>
      <c r="BL11" s="283"/>
      <c r="BM11" s="283"/>
      <c r="BN11" s="283"/>
      <c r="BO11" s="283"/>
      <c r="BP11" s="283"/>
      <c r="BQ11" s="283"/>
      <c r="BR11" s="283"/>
      <c r="BS11" s="283"/>
      <c r="BT11" s="283"/>
      <c r="BU11" s="283"/>
      <c r="BV11" s="283"/>
      <c r="BW11" s="283"/>
      <c r="BX11" s="283"/>
      <c r="BY11" s="283"/>
      <c r="BZ11" s="283"/>
      <c r="CA11" s="283"/>
      <c r="CB11" s="283"/>
      <c r="CC11" s="283"/>
      <c r="CD11" s="283"/>
      <c r="CE11" s="283"/>
      <c r="CF11" s="283"/>
      <c r="CG11" s="283"/>
      <c r="CH11" s="283"/>
      <c r="CI11" s="283"/>
      <c r="CJ11" s="283"/>
      <c r="CK11" s="283"/>
      <c r="CL11" s="283"/>
      <c r="CM11" s="283"/>
      <c r="CN11" s="283"/>
      <c r="CO11" s="283"/>
      <c r="CP11" s="283"/>
      <c r="CQ11" s="283"/>
      <c r="CR11" s="283"/>
      <c r="CS11" s="283"/>
      <c r="CT11" s="283"/>
      <c r="CU11" s="283"/>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83"/>
      <c r="SK11" s="283"/>
      <c r="SL11" s="283"/>
      <c r="SM11" s="283"/>
      <c r="SN11" s="283"/>
      <c r="SO11" s="283"/>
      <c r="SP11" s="283"/>
      <c r="SQ11" s="283"/>
      <c r="SR11" s="283"/>
      <c r="SS11" s="283"/>
      <c r="ST11" s="283"/>
      <c r="SU11" s="283"/>
      <c r="SV11" s="283"/>
      <c r="SW11" s="283"/>
      <c r="SX11" s="283"/>
      <c r="SY11" s="283"/>
      <c r="SZ11" s="283"/>
      <c r="TA11" s="283"/>
      <c r="TB11" s="283"/>
      <c r="TC11" s="283"/>
      <c r="TD11" s="283"/>
      <c r="TE11" s="283"/>
      <c r="TF11" s="283"/>
      <c r="TG11" s="283"/>
      <c r="TH11" s="283"/>
      <c r="TI11" s="283"/>
      <c r="TJ11" s="283"/>
      <c r="TK11" s="283"/>
      <c r="TL11" s="283"/>
      <c r="TM11" s="283"/>
      <c r="TN11" s="283"/>
      <c r="TO11" s="283"/>
      <c r="TP11" s="283"/>
      <c r="TQ11" s="283"/>
      <c r="TR11" s="283"/>
      <c r="TS11" s="283"/>
      <c r="TT11" s="283"/>
      <c r="TU11" s="283"/>
      <c r="TV11" s="283"/>
      <c r="TW11" s="283"/>
      <c r="TX11" s="283"/>
      <c r="TY11" s="283"/>
      <c r="TZ11" s="283"/>
      <c r="UA11" s="283"/>
      <c r="UB11" s="283"/>
      <c r="UC11" s="283"/>
      <c r="UD11" s="283"/>
      <c r="UE11" s="283"/>
      <c r="UF11" s="283"/>
      <c r="UG11" s="283"/>
      <c r="UH11" s="283"/>
      <c r="UI11" s="283"/>
      <c r="UJ11" s="283"/>
      <c r="UK11" s="283"/>
      <c r="UL11" s="283"/>
      <c r="UM11" s="283"/>
      <c r="UN11" s="283"/>
      <c r="UO11" s="283"/>
      <c r="UP11" s="283"/>
      <c r="UQ11" s="283"/>
      <c r="UR11" s="283"/>
      <c r="US11" s="283"/>
      <c r="UT11" s="283"/>
      <c r="UU11" s="283"/>
      <c r="UV11" s="283"/>
      <c r="UW11" s="283"/>
      <c r="UX11" s="283"/>
      <c r="UY11" s="283"/>
      <c r="UZ11" s="283"/>
      <c r="VA11" s="283"/>
      <c r="VB11" s="283"/>
      <c r="VC11" s="283"/>
      <c r="VD11" s="283"/>
      <c r="VE11" s="283"/>
      <c r="VF11" s="283"/>
      <c r="VG11" s="283"/>
      <c r="VH11" s="283"/>
      <c r="VI11" s="283"/>
      <c r="VJ11" s="283"/>
      <c r="VK11" s="283"/>
      <c r="VL11" s="283"/>
      <c r="VM11" s="283"/>
      <c r="VN11" s="283"/>
      <c r="VO11" s="283"/>
      <c r="VP11" s="283"/>
      <c r="VQ11" s="283"/>
      <c r="VR11" s="283"/>
      <c r="VS11" s="283"/>
      <c r="VT11" s="283"/>
      <c r="VU11" s="283"/>
      <c r="VV11" s="283"/>
      <c r="VW11" s="283"/>
      <c r="VX11" s="283"/>
      <c r="VY11" s="283"/>
      <c r="VZ11" s="283"/>
      <c r="WA11" s="283"/>
      <c r="WB11" s="283"/>
      <c r="WC11" s="283"/>
      <c r="WD11" s="283"/>
      <c r="WE11" s="283"/>
      <c r="WF11" s="283"/>
      <c r="WG11" s="283"/>
      <c r="WH11" s="283"/>
      <c r="WI11" s="283"/>
      <c r="WJ11" s="283"/>
      <c r="WK11" s="283"/>
      <c r="WL11" s="283"/>
      <c r="WM11" s="283"/>
      <c r="WN11" s="283"/>
      <c r="WO11" s="283"/>
      <c r="WP11" s="283"/>
      <c r="WQ11" s="283"/>
      <c r="WR11" s="283"/>
      <c r="WS11" s="283"/>
      <c r="WT11" s="283"/>
      <c r="WU11" s="283"/>
      <c r="WV11" s="283"/>
      <c r="WW11" s="283"/>
      <c r="WX11" s="283"/>
      <c r="WY11" s="283"/>
      <c r="WZ11" s="283"/>
      <c r="XA11" s="283"/>
      <c r="XB11" s="283"/>
      <c r="XC11" s="283"/>
      <c r="XD11" s="283"/>
      <c r="XE11" s="283"/>
      <c r="XF11" s="283"/>
      <c r="XG11" s="283"/>
      <c r="XH11" s="283"/>
      <c r="XI11" s="283"/>
      <c r="XJ11" s="283"/>
      <c r="XK11" s="283"/>
      <c r="XL11" s="283"/>
      <c r="XM11" s="283"/>
      <c r="XN11" s="283"/>
      <c r="XO11" s="283"/>
      <c r="XP11" s="283"/>
      <c r="XQ11" s="283"/>
      <c r="XR11" s="283"/>
      <c r="XS11" s="283"/>
      <c r="XT11" s="283"/>
      <c r="XU11" s="283"/>
      <c r="XV11" s="283"/>
      <c r="XW11" s="283"/>
      <c r="XX11" s="283"/>
      <c r="XY11" s="283"/>
      <c r="XZ11" s="283"/>
      <c r="YA11" s="283"/>
      <c r="YB11" s="283"/>
      <c r="YC11" s="283"/>
      <c r="YD11" s="283"/>
      <c r="YE11" s="283"/>
      <c r="YF11" s="283"/>
      <c r="YG11" s="283"/>
      <c r="YH11" s="283"/>
      <c r="YI11" s="283"/>
      <c r="YJ11" s="283"/>
      <c r="YK11" s="283"/>
      <c r="YL11" s="283"/>
      <c r="YM11" s="283"/>
      <c r="YN11" s="283"/>
      <c r="YO11" s="283"/>
      <c r="YP11" s="283"/>
      <c r="YQ11" s="283"/>
      <c r="YR11" s="283"/>
      <c r="YS11" s="283"/>
      <c r="YT11" s="283"/>
      <c r="YU11" s="283"/>
      <c r="YV11" s="283"/>
      <c r="YW11" s="283"/>
      <c r="YX11" s="283"/>
      <c r="YY11" s="283"/>
      <c r="YZ11" s="283"/>
      <c r="ZA11" s="283"/>
      <c r="ZB11" s="283"/>
      <c r="ZC11" s="283"/>
      <c r="ZD11" s="283"/>
      <c r="ZE11" s="283"/>
      <c r="ZF11" s="283"/>
      <c r="ZG11" s="283"/>
      <c r="ZH11" s="283"/>
      <c r="ZI11" s="283"/>
      <c r="ZJ11" s="283"/>
      <c r="ZK11" s="283"/>
      <c r="ZL11" s="283"/>
      <c r="ZM11" s="283"/>
      <c r="ZN11" s="283"/>
      <c r="ZO11" s="283"/>
      <c r="ZP11" s="283"/>
      <c r="ZQ11" s="283"/>
      <c r="ZR11" s="283"/>
      <c r="ZS11" s="283"/>
      <c r="ZT11" s="283"/>
      <c r="ZU11" s="283"/>
      <c r="ZV11" s="283"/>
      <c r="ZW11" s="283"/>
      <c r="ZX11" s="283"/>
      <c r="ZY11" s="283"/>
      <c r="ZZ11" s="283"/>
      <c r="AAA11" s="283"/>
      <c r="AAB11" s="283"/>
      <c r="AAC11" s="283"/>
      <c r="AAD11" s="283"/>
      <c r="AAE11" s="283"/>
      <c r="AAF11" s="283"/>
      <c r="AAG11" s="283"/>
      <c r="AAH11" s="283"/>
      <c r="AAI11" s="283"/>
      <c r="AAJ11" s="283"/>
      <c r="AAK11" s="283"/>
      <c r="AAL11" s="283"/>
      <c r="AAM11" s="283"/>
      <c r="AAN11" s="283"/>
      <c r="AAO11" s="283"/>
      <c r="AAP11" s="283"/>
      <c r="AAQ11" s="283"/>
      <c r="AAR11" s="283"/>
      <c r="AAS11" s="283"/>
      <c r="AAT11" s="283"/>
      <c r="AAU11" s="283"/>
      <c r="AAV11" s="283"/>
      <c r="AAW11" s="283"/>
      <c r="AAX11" s="283"/>
      <c r="AAY11" s="283"/>
      <c r="AAZ11" s="283"/>
      <c r="ABA11" s="283"/>
      <c r="ABB11" s="283"/>
      <c r="ABC11" s="283"/>
      <c r="ABD11" s="283"/>
      <c r="ABE11" s="283"/>
      <c r="ABF11" s="283"/>
      <c r="ABG11" s="283"/>
      <c r="ABH11" s="283"/>
      <c r="ABI11" s="283"/>
      <c r="ABJ11" s="283"/>
      <c r="ABK11" s="283"/>
      <c r="ABL11" s="283"/>
      <c r="ABM11" s="283"/>
      <c r="ABN11" s="283"/>
      <c r="ABO11" s="283"/>
      <c r="ABP11" s="283"/>
      <c r="ABQ11" s="283"/>
      <c r="ABR11" s="283"/>
      <c r="ABS11" s="283"/>
      <c r="ABT11" s="283"/>
      <c r="ABU11" s="283"/>
      <c r="ABV11" s="283"/>
      <c r="ABW11" s="283"/>
      <c r="ABX11" s="283"/>
      <c r="ABY11" s="283"/>
      <c r="ABZ11" s="283"/>
      <c r="ACA11" s="283"/>
      <c r="ACB11" s="283"/>
      <c r="ACC11" s="283"/>
      <c r="ACD11" s="283"/>
      <c r="ACE11" s="283"/>
      <c r="ACF11" s="283"/>
      <c r="ACG11" s="283"/>
      <c r="ACH11" s="283"/>
      <c r="ACI11" s="283"/>
      <c r="ACJ11" s="283"/>
      <c r="ACK11" s="283"/>
      <c r="ACL11" s="283"/>
      <c r="ACM11" s="283"/>
      <c r="ACN11" s="283"/>
      <c r="ACO11" s="283"/>
      <c r="ACP11" s="283"/>
      <c r="ACQ11" s="283"/>
      <c r="ACR11" s="283"/>
      <c r="ACS11" s="283"/>
      <c r="ACT11" s="283"/>
      <c r="ACU11" s="283"/>
      <c r="ACV11" s="283"/>
      <c r="ACW11" s="283"/>
      <c r="ACX11" s="283"/>
      <c r="ACY11" s="283"/>
      <c r="ACZ11" s="283"/>
      <c r="ADA11" s="283"/>
      <c r="ADB11" s="283"/>
      <c r="ADC11" s="283"/>
      <c r="ADD11" s="283"/>
      <c r="ADE11" s="283"/>
      <c r="ADF11" s="283"/>
      <c r="ADG11" s="283"/>
      <c r="ADH11" s="283"/>
      <c r="ADI11" s="283"/>
      <c r="ADJ11" s="283"/>
      <c r="ADK11" s="283"/>
      <c r="ADL11" s="283"/>
      <c r="ADM11" s="283"/>
      <c r="ADN11" s="283"/>
      <c r="ADO11" s="283"/>
      <c r="ADP11" s="283"/>
      <c r="ADQ11" s="283"/>
      <c r="ADR11" s="283"/>
      <c r="ADS11" s="283"/>
      <c r="ADT11" s="283"/>
      <c r="ADU11" s="283"/>
      <c r="ADV11" s="283"/>
      <c r="ADW11" s="283"/>
      <c r="ADX11" s="283"/>
      <c r="ADY11" s="283"/>
      <c r="ADZ11" s="283"/>
      <c r="AEA11" s="283"/>
      <c r="AEB11" s="283"/>
      <c r="AEC11" s="283"/>
      <c r="AED11" s="283"/>
      <c r="AEE11" s="283"/>
      <c r="AEF11" s="283"/>
      <c r="AEG11" s="283"/>
      <c r="AEH11" s="283"/>
      <c r="AEI11" s="283"/>
      <c r="AEJ11" s="283"/>
      <c r="AEK11" s="283"/>
      <c r="AEL11" s="283"/>
      <c r="AEM11" s="283"/>
      <c r="AEN11" s="283"/>
      <c r="AEO11" s="283"/>
      <c r="AEP11" s="283"/>
      <c r="AEQ11" s="283"/>
      <c r="AER11" s="283"/>
      <c r="AES11" s="283"/>
      <c r="AET11" s="283"/>
      <c r="AEU11" s="283"/>
      <c r="AEV11" s="283"/>
      <c r="AEW11" s="283"/>
      <c r="AEX11" s="283"/>
      <c r="AEY11" s="283"/>
      <c r="AEZ11" s="283"/>
      <c r="AFA11" s="283"/>
      <c r="AFB11" s="283"/>
      <c r="AFC11" s="283"/>
      <c r="AFD11" s="283"/>
      <c r="AFE11" s="283"/>
      <c r="AFF11" s="283"/>
      <c r="AFG11" s="283"/>
      <c r="AFH11" s="283"/>
      <c r="AFI11" s="283"/>
      <c r="AFJ11" s="283"/>
      <c r="AFK11" s="283"/>
      <c r="AFL11" s="283"/>
      <c r="AFM11" s="283"/>
      <c r="AFN11" s="283"/>
      <c r="AFO11" s="283"/>
      <c r="AFP11" s="283"/>
      <c r="AFQ11" s="283"/>
      <c r="AFR11" s="283"/>
      <c r="AFS11" s="283"/>
      <c r="AFT11" s="283"/>
      <c r="AFU11" s="283"/>
      <c r="AFV11" s="283"/>
      <c r="AFW11" s="283"/>
      <c r="AFX11" s="283"/>
      <c r="AFY11" s="283"/>
      <c r="AFZ11" s="283"/>
      <c r="AGA11" s="283"/>
      <c r="AGB11" s="283"/>
      <c r="AGC11" s="283"/>
      <c r="AGD11" s="283"/>
      <c r="AGE11" s="283"/>
      <c r="AGF11" s="283"/>
      <c r="AGG11" s="283"/>
      <c r="AGH11" s="283"/>
      <c r="AGI11" s="283"/>
      <c r="AGJ11" s="283"/>
      <c r="AGK11" s="283"/>
      <c r="AGL11" s="283"/>
      <c r="AGM11" s="283"/>
      <c r="AGN11" s="283"/>
      <c r="AGO11" s="283"/>
      <c r="AGP11" s="283"/>
      <c r="AGQ11" s="283"/>
      <c r="AGR11" s="283"/>
      <c r="AGS11" s="283"/>
      <c r="AGT11" s="283"/>
      <c r="AGU11" s="283"/>
      <c r="AGV11" s="283"/>
      <c r="AGW11" s="283"/>
      <c r="AGX11" s="283"/>
      <c r="AGY11" s="283"/>
      <c r="AGZ11" s="283"/>
      <c r="AHA11" s="283"/>
      <c r="AHB11" s="283"/>
      <c r="AHC11" s="283"/>
      <c r="AHD11" s="283"/>
      <c r="AHE11" s="283"/>
      <c r="AHF11" s="283"/>
      <c r="AHG11" s="283"/>
      <c r="AHH11" s="283"/>
      <c r="AHI11" s="283"/>
      <c r="AHJ11" s="283"/>
      <c r="AHK11" s="283"/>
      <c r="AHL11" s="283"/>
      <c r="AHM11" s="283"/>
      <c r="AHN11" s="283"/>
      <c r="AHO11" s="283"/>
      <c r="AHP11" s="283"/>
      <c r="AHQ11" s="283"/>
      <c r="AHR11" s="283"/>
      <c r="AHS11" s="283"/>
      <c r="AHT11" s="283"/>
      <c r="AHU11" s="283"/>
      <c r="AHV11" s="283"/>
      <c r="AHW11" s="283"/>
      <c r="AHX11" s="283"/>
      <c r="AHY11" s="283"/>
      <c r="AHZ11" s="283"/>
      <c r="AIA11" s="283"/>
      <c r="AIB11" s="283"/>
      <c r="AIC11" s="283"/>
      <c r="AID11" s="283"/>
      <c r="AIE11" s="283"/>
      <c r="AIF11" s="283"/>
      <c r="AIG11" s="283"/>
      <c r="AIH11" s="283"/>
      <c r="AII11" s="283"/>
      <c r="AIJ11" s="283"/>
      <c r="AIK11" s="283"/>
      <c r="AIL11" s="283"/>
      <c r="AIM11" s="283"/>
      <c r="AIN11" s="283"/>
      <c r="AIO11" s="283"/>
      <c r="AIP11" s="283"/>
      <c r="AIQ11" s="283"/>
      <c r="AIR11" s="283"/>
      <c r="AIS11" s="283"/>
      <c r="AIT11" s="283"/>
      <c r="AIU11" s="283"/>
      <c r="AIV11" s="283"/>
      <c r="AIW11" s="283"/>
      <c r="AIX11" s="283"/>
      <c r="AIY11" s="283"/>
      <c r="AIZ11" s="283"/>
      <c r="AJA11" s="283"/>
      <c r="AJB11" s="283"/>
      <c r="AJC11" s="283"/>
      <c r="AJD11" s="283"/>
      <c r="AJE11" s="283"/>
      <c r="AJF11" s="283"/>
      <c r="AJG11" s="283"/>
      <c r="AJH11" s="283"/>
      <c r="AJI11" s="283"/>
      <c r="AJJ11" s="283"/>
      <c r="AJK11" s="283"/>
      <c r="AJL11" s="283"/>
      <c r="AJM11" s="283"/>
      <c r="AJN11" s="283"/>
      <c r="AJO11" s="283"/>
      <c r="AJP11" s="283"/>
      <c r="AJQ11" s="283"/>
      <c r="AJR11" s="283"/>
      <c r="AJS11" s="283"/>
      <c r="AJT11" s="283"/>
      <c r="AJU11" s="283"/>
      <c r="AJV11" s="283"/>
      <c r="AJW11" s="283"/>
      <c r="AJX11" s="283"/>
      <c r="AJY11" s="283"/>
      <c r="AJZ11" s="283"/>
      <c r="AKA11" s="283"/>
      <c r="AKB11" s="283"/>
      <c r="AKC11" s="283"/>
      <c r="AKD11" s="283"/>
      <c r="AKE11" s="283"/>
      <c r="AKF11" s="283"/>
      <c r="AKG11" s="283"/>
      <c r="AKH11" s="283"/>
      <c r="AKI11" s="283"/>
      <c r="AKJ11" s="283"/>
      <c r="AKK11" s="283"/>
      <c r="AKL11" s="283"/>
      <c r="AKM11" s="283"/>
      <c r="AKN11" s="283"/>
      <c r="AKO11" s="283"/>
      <c r="AKP11" s="283"/>
      <c r="AKQ11" s="283"/>
      <c r="AKR11" s="283"/>
      <c r="AKS11" s="283"/>
      <c r="AKT11" s="283"/>
      <c r="AKU11" s="283"/>
      <c r="AKV11" s="283"/>
      <c r="AKW11" s="283"/>
      <c r="AKX11" s="283"/>
      <c r="AKY11" s="283"/>
      <c r="AKZ11" s="283"/>
      <c r="ALA11" s="283"/>
      <c r="ALB11" s="283"/>
      <c r="ALC11" s="283"/>
      <c r="ALD11" s="283"/>
      <c r="ALE11" s="283"/>
      <c r="ALF11" s="283"/>
      <c r="ALG11" s="283"/>
      <c r="ALH11" s="283"/>
      <c r="ALI11" s="283"/>
      <c r="ALJ11" s="283"/>
      <c r="ALK11" s="283"/>
      <c r="ALL11" s="283"/>
      <c r="ALM11" s="283"/>
      <c r="ALN11" s="283"/>
      <c r="ALO11" s="283"/>
      <c r="ALP11" s="283"/>
      <c r="ALQ11" s="283"/>
      <c r="ALR11" s="283"/>
      <c r="ALS11" s="283"/>
      <c r="ALT11" s="283"/>
      <c r="ALU11" s="283"/>
      <c r="ALV11" s="283"/>
      <c r="ALW11" s="283"/>
      <c r="ALX11" s="283"/>
      <c r="ALY11" s="283"/>
      <c r="ALZ11" s="283"/>
      <c r="AMA11" s="283"/>
      <c r="AMB11" s="283"/>
      <c r="AMC11" s="283"/>
      <c r="AMD11" s="283"/>
      <c r="AME11" s="283"/>
      <c r="AMF11" s="283"/>
      <c r="AMG11" s="283"/>
      <c r="AMH11" s="283"/>
      <c r="AMI11" s="283"/>
      <c r="AMJ11" s="283"/>
      <c r="AMK11" s="283"/>
      <c r="AML11" s="283"/>
      <c r="AMM11" s="283"/>
      <c r="AMN11" s="283"/>
      <c r="AMO11" s="283"/>
      <c r="AMP11" s="283"/>
      <c r="AMQ11" s="283"/>
      <c r="AMR11" s="283"/>
      <c r="AMS11" s="283"/>
      <c r="AMT11" s="283"/>
      <c r="AMU11" s="283"/>
      <c r="AMV11" s="283"/>
      <c r="AMW11" s="283"/>
      <c r="AMX11" s="283"/>
      <c r="AMY11" s="283"/>
      <c r="AMZ11" s="283"/>
      <c r="ANA11" s="283"/>
      <c r="ANB11" s="283"/>
      <c r="ANC11" s="283"/>
      <c r="AND11" s="283"/>
      <c r="ANE11" s="283"/>
      <c r="ANF11" s="283"/>
      <c r="ANG11" s="283"/>
      <c r="ANH11" s="283"/>
      <c r="ANI11" s="283"/>
      <c r="ANJ11" s="283"/>
      <c r="ANK11" s="283"/>
      <c r="ANL11" s="283"/>
      <c r="ANM11" s="283"/>
      <c r="ANN11" s="283"/>
      <c r="ANO11" s="283"/>
      <c r="ANP11" s="283"/>
      <c r="ANQ11" s="283"/>
      <c r="ANR11" s="283"/>
      <c r="ANS11" s="283"/>
      <c r="ANT11" s="283"/>
      <c r="ANU11" s="283"/>
      <c r="ANV11" s="283"/>
      <c r="ANW11" s="283"/>
      <c r="ANX11" s="283"/>
      <c r="ANY11" s="283"/>
      <c r="ANZ11" s="283"/>
      <c r="AOA11" s="283"/>
      <c r="AOB11" s="283"/>
      <c r="AOC11" s="283"/>
      <c r="AOD11" s="283"/>
      <c r="AOE11" s="283"/>
      <c r="AOF11" s="283"/>
      <c r="AOG11" s="283"/>
      <c r="AOH11" s="283"/>
      <c r="AOI11" s="283"/>
      <c r="AOJ11" s="283"/>
      <c r="AOK11" s="283"/>
      <c r="AOL11" s="283"/>
      <c r="AOM11" s="283"/>
      <c r="AON11" s="283"/>
      <c r="AOO11" s="283"/>
      <c r="AOP11" s="283"/>
      <c r="AOQ11" s="283"/>
      <c r="AOR11" s="283"/>
      <c r="AOS11" s="283"/>
      <c r="AOT11" s="283"/>
      <c r="AOU11" s="283"/>
      <c r="AOV11" s="283"/>
      <c r="AOW11" s="283"/>
      <c r="AOX11" s="283"/>
      <c r="AOY11" s="283"/>
      <c r="AOZ11" s="283"/>
      <c r="APA11" s="283"/>
      <c r="APB11" s="283"/>
      <c r="APC11" s="283"/>
      <c r="APD11" s="283"/>
      <c r="APE11" s="283"/>
      <c r="APF11" s="283"/>
      <c r="APG11" s="283"/>
      <c r="APH11" s="283"/>
      <c r="API11" s="283"/>
      <c r="APJ11" s="283"/>
      <c r="APK11" s="283"/>
      <c r="APL11" s="283"/>
      <c r="APM11" s="283"/>
      <c r="APN11" s="283"/>
      <c r="APO11" s="283"/>
      <c r="APP11" s="283"/>
      <c r="APQ11" s="283"/>
      <c r="APR11" s="283"/>
      <c r="APS11" s="283"/>
      <c r="APT11" s="283"/>
      <c r="APU11" s="283"/>
      <c r="APV11" s="283"/>
      <c r="APW11" s="283"/>
      <c r="APX11" s="283"/>
      <c r="APY11" s="283"/>
      <c r="APZ11" s="283"/>
      <c r="AQA11" s="283"/>
      <c r="AQB11" s="283"/>
      <c r="AQC11" s="283"/>
      <c r="AQD11" s="283"/>
      <c r="AQE11" s="283"/>
      <c r="AQF11" s="283"/>
      <c r="AQG11" s="283"/>
      <c r="AQH11" s="283"/>
      <c r="AQI11" s="283"/>
      <c r="AQJ11" s="283"/>
      <c r="AQK11" s="283"/>
      <c r="AQL11" s="283"/>
      <c r="AQM11" s="283"/>
      <c r="AQN11" s="283"/>
      <c r="AQO11" s="283"/>
      <c r="AQP11" s="283"/>
      <c r="AQQ11" s="283"/>
      <c r="AQR11" s="283"/>
      <c r="AQS11" s="283"/>
      <c r="AQT11" s="283"/>
      <c r="AQU11" s="283"/>
      <c r="AQV11" s="283"/>
      <c r="AQW11" s="283"/>
      <c r="AQX11" s="283"/>
      <c r="AQY11" s="283"/>
      <c r="AQZ11" s="283"/>
      <c r="ARA11" s="283"/>
      <c r="ARB11" s="283"/>
      <c r="ARC11" s="283"/>
      <c r="ARD11" s="283"/>
      <c r="ARE11" s="283"/>
      <c r="ARF11" s="283"/>
      <c r="ARG11" s="283"/>
      <c r="ARH11" s="283"/>
      <c r="ARI11" s="283"/>
      <c r="ARJ11" s="283"/>
      <c r="ARK11" s="283"/>
      <c r="ARL11" s="283"/>
      <c r="ARM11" s="283"/>
      <c r="ARN11" s="283"/>
      <c r="ARO11" s="283"/>
      <c r="ARP11" s="283"/>
      <c r="ARQ11" s="283"/>
      <c r="ARR11" s="283"/>
      <c r="ARS11" s="283"/>
      <c r="ART11" s="283"/>
      <c r="ARU11" s="283"/>
      <c r="ARV11" s="283"/>
      <c r="ARW11" s="283"/>
      <c r="ARX11" s="283"/>
      <c r="ARY11" s="283"/>
      <c r="ARZ11" s="283"/>
      <c r="ASA11" s="283"/>
      <c r="ASB11" s="283"/>
      <c r="ASC11" s="283"/>
      <c r="ASD11" s="283"/>
      <c r="ASE11" s="283"/>
      <c r="ASF11" s="283"/>
      <c r="ASG11" s="283"/>
      <c r="ASH11" s="283"/>
      <c r="ASI11" s="283"/>
      <c r="ASJ11" s="283"/>
      <c r="ASK11" s="283"/>
      <c r="ASL11" s="283"/>
      <c r="ASM11" s="283"/>
      <c r="ASN11" s="283"/>
      <c r="ASO11" s="283"/>
      <c r="ASP11" s="283"/>
      <c r="ASQ11" s="283"/>
      <c r="ASR11" s="283"/>
      <c r="ASS11" s="283"/>
      <c r="AST11" s="283"/>
      <c r="ASU11" s="283"/>
      <c r="ASV11" s="283"/>
      <c r="ASW11" s="283"/>
      <c r="ASX11" s="283"/>
      <c r="ASY11" s="283"/>
      <c r="ASZ11" s="283"/>
      <c r="ATA11" s="283"/>
      <c r="ATB11" s="283"/>
      <c r="ATC11" s="283"/>
      <c r="ATD11" s="283"/>
      <c r="ATE11" s="283"/>
      <c r="ATF11" s="283"/>
      <c r="ATG11" s="283"/>
      <c r="ATH11" s="283"/>
      <c r="ATI11" s="283"/>
      <c r="ATJ11" s="283"/>
      <c r="ATK11" s="283"/>
      <c r="ATL11" s="283"/>
      <c r="ATM11" s="283"/>
      <c r="ATN11" s="283"/>
      <c r="ATO11" s="283"/>
      <c r="ATP11" s="283"/>
      <c r="ATQ11" s="283"/>
      <c r="ATR11" s="283"/>
      <c r="ATS11" s="283"/>
      <c r="ATT11" s="283"/>
      <c r="ATU11" s="283"/>
      <c r="ATV11" s="283"/>
      <c r="ATW11" s="283"/>
      <c r="ATX11" s="283"/>
      <c r="ATY11" s="283"/>
      <c r="ATZ11" s="283"/>
      <c r="AUA11" s="283"/>
      <c r="AUB11" s="283"/>
      <c r="AUC11" s="283"/>
      <c r="AUD11" s="283"/>
      <c r="AUE11" s="283"/>
      <c r="AUF11" s="283"/>
      <c r="AUG11" s="283"/>
      <c r="AUH11" s="283"/>
      <c r="AUI11" s="283"/>
      <c r="AUJ11" s="283"/>
      <c r="AUK11" s="283"/>
      <c r="AUL11" s="283"/>
      <c r="AUM11" s="283"/>
      <c r="AUN11" s="283"/>
      <c r="AUO11" s="283"/>
      <c r="AUP11" s="283"/>
      <c r="AUQ11" s="283"/>
      <c r="AUR11" s="283"/>
      <c r="AUS11" s="283"/>
      <c r="AUT11" s="283"/>
      <c r="AUU11" s="283"/>
      <c r="AUV11" s="283"/>
      <c r="AUW11" s="283"/>
      <c r="AUX11" s="283"/>
      <c r="AUY11" s="283"/>
      <c r="AUZ11" s="283"/>
      <c r="AVA11" s="283"/>
      <c r="AVB11" s="283"/>
      <c r="AVC11" s="283"/>
      <c r="AVD11" s="283"/>
      <c r="AVE11" s="283"/>
      <c r="AVF11" s="283"/>
      <c r="AVG11" s="283"/>
      <c r="AVH11" s="283"/>
      <c r="AVI11" s="283"/>
      <c r="AVJ11" s="283"/>
      <c r="AVK11" s="283"/>
      <c r="AVL11" s="283"/>
      <c r="AVM11" s="283"/>
      <c r="AVN11" s="283"/>
      <c r="AVO11" s="283"/>
      <c r="AVP11" s="283"/>
      <c r="AVQ11" s="283"/>
      <c r="AVR11" s="283"/>
      <c r="AVS11" s="283"/>
      <c r="AVT11" s="283"/>
      <c r="AVU11" s="283"/>
      <c r="AVV11" s="283"/>
      <c r="AVW11" s="283"/>
      <c r="AVX11" s="283"/>
      <c r="AVY11" s="283"/>
      <c r="AVZ11" s="283"/>
      <c r="AWA11" s="283"/>
      <c r="AWB11" s="283"/>
      <c r="AWC11" s="283"/>
      <c r="AWD11" s="283"/>
      <c r="AWE11" s="283"/>
      <c r="AWF11" s="283"/>
      <c r="AWG11" s="283"/>
      <c r="AWH11" s="283"/>
      <c r="AWI11" s="283"/>
      <c r="AWJ11" s="283"/>
      <c r="AWK11" s="283"/>
      <c r="AWL11" s="283"/>
      <c r="AWM11" s="283"/>
      <c r="AWN11" s="283"/>
      <c r="AWO11" s="283"/>
      <c r="AWP11" s="283"/>
      <c r="AWQ11" s="283"/>
      <c r="AWR11" s="283"/>
      <c r="AWS11" s="283"/>
      <c r="AWT11" s="283"/>
      <c r="AWU11" s="283"/>
      <c r="AWV11" s="283"/>
      <c r="AWW11" s="283"/>
      <c r="AWX11" s="283"/>
      <c r="AWY11" s="283"/>
      <c r="AWZ11" s="283"/>
      <c r="AXA11" s="283"/>
      <c r="AXB11" s="283"/>
      <c r="AXC11" s="283"/>
      <c r="AXD11" s="283"/>
      <c r="AXE11" s="283"/>
      <c r="AXF11" s="283"/>
      <c r="AXG11" s="283"/>
      <c r="AXH11" s="283"/>
      <c r="AXI11" s="283"/>
      <c r="AXJ11" s="283"/>
      <c r="AXK11" s="283"/>
      <c r="AXL11" s="283"/>
      <c r="AXM11" s="283"/>
      <c r="AXN11" s="283"/>
      <c r="AXO11" s="283"/>
      <c r="AXP11" s="283"/>
      <c r="AXQ11" s="283"/>
      <c r="AXR11" s="283"/>
      <c r="AXS11" s="283"/>
      <c r="AXT11" s="283"/>
      <c r="AXU11" s="283"/>
      <c r="AXV11" s="283"/>
      <c r="AXW11" s="283"/>
      <c r="AXX11" s="283"/>
      <c r="AXY11" s="283"/>
      <c r="AXZ11" s="283"/>
      <c r="AYA11" s="283"/>
      <c r="AYB11" s="283"/>
      <c r="AYC11" s="283"/>
      <c r="AYD11" s="283"/>
      <c r="AYE11" s="283"/>
      <c r="AYF11" s="283"/>
      <c r="AYG11" s="283"/>
      <c r="AYH11" s="283"/>
      <c r="AYI11" s="283"/>
      <c r="AYJ11" s="283"/>
      <c r="AYK11" s="283"/>
      <c r="AYL11" s="283"/>
      <c r="AYM11" s="283"/>
      <c r="AYN11" s="283"/>
      <c r="AYO11" s="283"/>
      <c r="AYP11" s="283"/>
      <c r="AYQ11" s="283"/>
      <c r="AYR11" s="283"/>
      <c r="AYS11" s="283"/>
      <c r="AYT11" s="283"/>
      <c r="AYU11" s="283"/>
      <c r="AYV11" s="283"/>
      <c r="AYW11" s="283"/>
      <c r="AYX11" s="283"/>
      <c r="AYY11" s="283"/>
      <c r="AYZ11" s="283"/>
      <c r="AZA11" s="283"/>
      <c r="AZB11" s="283"/>
      <c r="AZC11" s="283"/>
      <c r="AZD11" s="283"/>
      <c r="AZE11" s="283"/>
      <c r="AZF11" s="283"/>
      <c r="AZG11" s="283"/>
      <c r="AZH11" s="283"/>
      <c r="AZI11" s="283"/>
      <c r="AZJ11" s="283"/>
      <c r="AZK11" s="283"/>
      <c r="AZL11" s="283"/>
      <c r="AZM11" s="283"/>
      <c r="AZN11" s="283"/>
      <c r="AZO11" s="283"/>
      <c r="AZP11" s="283"/>
      <c r="AZQ11" s="283"/>
      <c r="AZR11" s="283"/>
      <c r="AZS11" s="283"/>
      <c r="AZT11" s="283"/>
      <c r="AZU11" s="283"/>
      <c r="AZV11" s="283"/>
      <c r="AZW11" s="283"/>
      <c r="AZX11" s="283"/>
      <c r="AZY11" s="283"/>
      <c r="AZZ11" s="283"/>
      <c r="BAA11" s="283"/>
      <c r="BAB11" s="283"/>
      <c r="BAC11" s="283"/>
      <c r="BAD11" s="283"/>
      <c r="BAE11" s="283"/>
      <c r="BAF11" s="283"/>
      <c r="BAG11" s="283"/>
      <c r="BAH11" s="283"/>
      <c r="BAI11" s="283"/>
      <c r="BAJ11" s="283"/>
      <c r="BAK11" s="283"/>
      <c r="BAL11" s="283"/>
      <c r="BAM11" s="283"/>
      <c r="BAN11" s="283"/>
      <c r="BAO11" s="283"/>
      <c r="BAP11" s="283"/>
      <c r="BAQ11" s="283"/>
      <c r="BAR11" s="283"/>
      <c r="BAS11" s="283"/>
      <c r="BAT11" s="283"/>
      <c r="BAU11" s="283"/>
      <c r="BAV11" s="283"/>
      <c r="BAW11" s="283"/>
      <c r="BAX11" s="283"/>
      <c r="BAY11" s="283"/>
      <c r="BAZ11" s="283"/>
      <c r="BBA11" s="283"/>
      <c r="BBB11" s="283"/>
      <c r="BBC11" s="283"/>
      <c r="BBD11" s="283"/>
      <c r="BBE11" s="283"/>
      <c r="BBF11" s="283"/>
      <c r="BBG11" s="283"/>
      <c r="BBH11" s="283"/>
      <c r="BBI11" s="283"/>
      <c r="BBJ11" s="283"/>
      <c r="BBK11" s="283"/>
      <c r="BBL11" s="283"/>
      <c r="BBM11" s="283"/>
      <c r="BBN11" s="283"/>
      <c r="BBO11" s="283"/>
      <c r="BBP11" s="283"/>
      <c r="BBQ11" s="283"/>
      <c r="BBR11" s="283"/>
      <c r="BBS11" s="283"/>
      <c r="BBT11" s="283"/>
      <c r="BBU11" s="283"/>
      <c r="BBV11" s="283"/>
      <c r="BBW11" s="283"/>
      <c r="BBX11" s="283"/>
      <c r="BBY11" s="283"/>
      <c r="BBZ11" s="283"/>
      <c r="BCA11" s="283"/>
      <c r="BCB11" s="283"/>
      <c r="BCC11" s="283"/>
      <c r="BCD11" s="283"/>
      <c r="BCE11" s="283"/>
      <c r="BCF11" s="283"/>
      <c r="BCG11" s="283"/>
      <c r="BCH11" s="283"/>
      <c r="BCI11" s="283"/>
      <c r="BCJ11" s="283"/>
      <c r="BCK11" s="283"/>
      <c r="BCL11" s="283"/>
      <c r="BCM11" s="283"/>
      <c r="BCN11" s="283"/>
      <c r="BCO11" s="283"/>
      <c r="BCP11" s="283"/>
      <c r="BCQ11" s="283"/>
      <c r="BCR11" s="283"/>
      <c r="BCS11" s="283"/>
      <c r="BCT11" s="283"/>
      <c r="BCU11" s="283"/>
      <c r="BCV11" s="283"/>
      <c r="BCW11" s="283"/>
      <c r="BCX11" s="283"/>
      <c r="BCY11" s="283"/>
      <c r="BCZ11" s="283"/>
      <c r="BDA11" s="283"/>
      <c r="BDB11" s="283"/>
      <c r="BDC11" s="283"/>
      <c r="BDD11" s="283"/>
      <c r="BDE11" s="283"/>
      <c r="BDF11" s="283"/>
      <c r="BDG11" s="283"/>
      <c r="BDH11" s="283"/>
      <c r="BDI11" s="283"/>
      <c r="BDJ11" s="283"/>
      <c r="BDK11" s="283"/>
      <c r="BDL11" s="283"/>
      <c r="BDM11" s="283"/>
      <c r="BDN11" s="283"/>
      <c r="BDO11" s="283"/>
      <c r="BDP11" s="283"/>
      <c r="BDQ11" s="283"/>
      <c r="BDR11" s="283"/>
      <c r="BDS11" s="283"/>
      <c r="BDT11" s="283"/>
      <c r="BDU11" s="283"/>
      <c r="BDV11" s="283"/>
      <c r="BDW11" s="283"/>
      <c r="BDX11" s="283"/>
      <c r="BDY11" s="283"/>
      <c r="BDZ11" s="283"/>
      <c r="BEA11" s="283"/>
      <c r="BEB11" s="283"/>
      <c r="BEC11" s="283"/>
      <c r="BED11" s="283"/>
      <c r="BEE11" s="283"/>
      <c r="BEF11" s="283"/>
      <c r="BEG11" s="283"/>
      <c r="BEH11" s="283"/>
      <c r="BEI11" s="283"/>
      <c r="BEJ11" s="283"/>
      <c r="BEK11" s="283"/>
      <c r="BEL11" s="283"/>
      <c r="BEM11" s="283"/>
      <c r="BEN11" s="283"/>
      <c r="BEO11" s="283"/>
      <c r="BEP11" s="283"/>
      <c r="BEQ11" s="283"/>
      <c r="BER11" s="283"/>
      <c r="BES11" s="283"/>
      <c r="BET11" s="283"/>
      <c r="BEU11" s="283"/>
      <c r="BEV11" s="283"/>
      <c r="BEW11" s="283"/>
      <c r="BEX11" s="283"/>
      <c r="BEY11" s="283"/>
      <c r="BEZ11" s="283"/>
      <c r="BFA11" s="283"/>
      <c r="BFB11" s="283"/>
      <c r="BFC11" s="283"/>
      <c r="BFD11" s="283"/>
      <c r="BFE11" s="283"/>
      <c r="BFF11" s="283"/>
      <c r="BFG11" s="283"/>
      <c r="BFH11" s="283"/>
      <c r="BFI11" s="283"/>
      <c r="BFJ11" s="283"/>
      <c r="BFK11" s="283"/>
      <c r="BFL11" s="283"/>
      <c r="BFM11" s="283"/>
      <c r="BFN11" s="283"/>
      <c r="BFO11" s="283"/>
      <c r="BFP11" s="283"/>
      <c r="BFQ11" s="283"/>
      <c r="BFR11" s="283"/>
      <c r="BFS11" s="283"/>
      <c r="BFT11" s="283"/>
      <c r="BFU11" s="283"/>
      <c r="BFV11" s="283"/>
      <c r="BFW11" s="283"/>
      <c r="BFX11" s="283"/>
      <c r="BFY11" s="283"/>
      <c r="BFZ11" s="283"/>
      <c r="BGA11" s="283"/>
      <c r="BGB11" s="283"/>
      <c r="BGC11" s="283"/>
      <c r="BGD11" s="283"/>
      <c r="BGE11" s="283"/>
      <c r="BGF11" s="283"/>
      <c r="BGG11" s="283"/>
      <c r="BGH11" s="283"/>
      <c r="BGI11" s="283"/>
      <c r="BGJ11" s="283"/>
      <c r="BGK11" s="283"/>
      <c r="BGL11" s="283"/>
      <c r="BGM11" s="283"/>
      <c r="BGN11" s="283"/>
      <c r="BGO11" s="283"/>
      <c r="BGP11" s="283"/>
      <c r="BGQ11" s="283"/>
      <c r="BGR11" s="283"/>
      <c r="BGS11" s="283"/>
      <c r="BGT11" s="283"/>
      <c r="BGU11" s="283"/>
      <c r="BGV11" s="283"/>
      <c r="BGW11" s="283"/>
      <c r="BGX11" s="283"/>
      <c r="BGY11" s="283"/>
      <c r="BGZ11" s="283"/>
      <c r="BHA11" s="283"/>
      <c r="BHB11" s="283"/>
      <c r="BHC11" s="283"/>
      <c r="BHD11" s="283"/>
      <c r="BHE11" s="283"/>
      <c r="BHF11" s="283"/>
      <c r="BHG11" s="283"/>
      <c r="BHH11" s="283"/>
      <c r="BHI11" s="283"/>
      <c r="BHJ11" s="283"/>
      <c r="BHK11" s="283"/>
      <c r="BHL11" s="283"/>
      <c r="BHM11" s="283"/>
      <c r="BHN11" s="283"/>
      <c r="BHO11" s="283"/>
      <c r="BHP11" s="283"/>
      <c r="BHQ11" s="283"/>
      <c r="BHR11" s="283"/>
      <c r="BHS11" s="283"/>
      <c r="BHT11" s="283"/>
      <c r="BHU11" s="283"/>
      <c r="BHV11" s="283"/>
      <c r="BHW11" s="283"/>
      <c r="BHX11" s="283"/>
      <c r="BHY11" s="283"/>
      <c r="BHZ11" s="283"/>
      <c r="BIA11" s="283"/>
      <c r="BIB11" s="283"/>
      <c r="BIC11" s="283"/>
      <c r="BID11" s="283"/>
      <c r="BIE11" s="283"/>
      <c r="BIF11" s="283"/>
      <c r="BIG11" s="283"/>
      <c r="BIH11" s="283"/>
      <c r="BII11" s="283"/>
      <c r="BIJ11" s="283"/>
      <c r="BIK11" s="283"/>
      <c r="BIL11" s="283"/>
      <c r="BIM11" s="283"/>
      <c r="BIN11" s="283"/>
      <c r="BIO11" s="283"/>
      <c r="BIP11" s="283"/>
      <c r="BIQ11" s="283"/>
      <c r="BIR11" s="283"/>
      <c r="BIS11" s="283"/>
      <c r="BIT11" s="283"/>
      <c r="BIU11" s="283"/>
      <c r="BIV11" s="283"/>
      <c r="BIW11" s="283"/>
      <c r="BIX11" s="283"/>
      <c r="BIY11" s="283"/>
      <c r="BIZ11" s="283"/>
      <c r="BJA11" s="283"/>
      <c r="BJB11" s="283"/>
      <c r="BJC11" s="283"/>
      <c r="BJD11" s="283"/>
      <c r="BJE11" s="283"/>
      <c r="BJF11" s="283"/>
      <c r="BJG11" s="283"/>
      <c r="BJH11" s="283"/>
      <c r="BJI11" s="283"/>
      <c r="BJJ11" s="283"/>
      <c r="BJK11" s="283"/>
      <c r="BJL11" s="283"/>
      <c r="BJM11" s="283"/>
      <c r="BJN11" s="283"/>
      <c r="BJO11" s="283"/>
      <c r="BJP11" s="283"/>
      <c r="BJQ11" s="283"/>
      <c r="BJR11" s="283"/>
      <c r="BJS11" s="283"/>
      <c r="BJT11" s="283"/>
      <c r="BJU11" s="283"/>
      <c r="BJV11" s="283"/>
      <c r="BJW11" s="283"/>
      <c r="BJX11" s="283"/>
      <c r="BJY11" s="283"/>
      <c r="BJZ11" s="283"/>
      <c r="BKA11" s="283"/>
      <c r="BKB11" s="283"/>
      <c r="BKC11" s="283"/>
      <c r="BKD11" s="283"/>
      <c r="BKE11" s="283"/>
      <c r="BKF11" s="283"/>
      <c r="BKG11" s="283"/>
      <c r="BKH11" s="283"/>
      <c r="BKI11" s="283"/>
      <c r="BKJ11" s="283"/>
      <c r="BKK11" s="283"/>
      <c r="BKL11" s="283"/>
      <c r="BKM11" s="283"/>
      <c r="BKN11" s="283"/>
      <c r="BKO11" s="283"/>
      <c r="BKP11" s="283"/>
      <c r="BKQ11" s="283"/>
      <c r="BKR11" s="283"/>
      <c r="BKS11" s="283"/>
      <c r="BKT11" s="283"/>
      <c r="BKU11" s="283"/>
      <c r="BKV11" s="283"/>
      <c r="BKW11" s="283"/>
      <c r="BKX11" s="283"/>
      <c r="BKY11" s="283"/>
      <c r="BKZ11" s="283"/>
      <c r="BLA11" s="283"/>
      <c r="BLB11" s="283"/>
      <c r="BLC11" s="283"/>
      <c r="BLD11" s="283"/>
      <c r="BLE11" s="283"/>
      <c r="BLF11" s="283"/>
      <c r="BLG11" s="283"/>
      <c r="BLH11" s="283"/>
      <c r="BLI11" s="283"/>
      <c r="BLJ11" s="283"/>
      <c r="BLK11" s="283"/>
      <c r="BLL11" s="283"/>
      <c r="BLM11" s="283"/>
      <c r="BLN11" s="283"/>
      <c r="BLO11" s="283"/>
      <c r="BLP11" s="283"/>
      <c r="BLQ11" s="283"/>
      <c r="BLR11" s="283"/>
      <c r="BLS11" s="283"/>
      <c r="BLT11" s="283"/>
      <c r="BLU11" s="283"/>
      <c r="BLV11" s="283"/>
      <c r="BLW11" s="283"/>
      <c r="BLX11" s="283"/>
      <c r="BLY11" s="283"/>
      <c r="BLZ11" s="283"/>
      <c r="BMA11" s="283"/>
      <c r="BMB11" s="283"/>
      <c r="BMC11" s="283"/>
      <c r="BMD11" s="283"/>
      <c r="BME11" s="283"/>
      <c r="BMF11" s="283"/>
      <c r="BMG11" s="283"/>
      <c r="BMH11" s="283"/>
      <c r="BMI11" s="283"/>
      <c r="BMJ11" s="283"/>
      <c r="BMK11" s="283"/>
      <c r="BML11" s="283"/>
      <c r="BMM11" s="283"/>
      <c r="BMN11" s="283"/>
      <c r="BMO11" s="283"/>
      <c r="BMP11" s="283"/>
      <c r="BMQ11" s="283"/>
      <c r="BMR11" s="283"/>
      <c r="BMS11" s="283"/>
      <c r="BMT11" s="283"/>
      <c r="BMU11" s="283"/>
      <c r="BMV11" s="283"/>
      <c r="BMW11" s="283"/>
      <c r="BMX11" s="283"/>
      <c r="BMY11" s="283"/>
      <c r="BMZ11" s="283"/>
      <c r="BNA11" s="283"/>
      <c r="BNB11" s="283"/>
      <c r="BNC11" s="283"/>
      <c r="BND11" s="283"/>
      <c r="BNE11" s="283"/>
      <c r="BNF11" s="283"/>
      <c r="BNG11" s="283"/>
      <c r="BNH11" s="283"/>
      <c r="BNI11" s="283"/>
      <c r="BNJ11" s="283"/>
      <c r="BNK11" s="283"/>
      <c r="BNL11" s="283"/>
      <c r="BNM11" s="283"/>
      <c r="BNN11" s="283"/>
      <c r="BNO11" s="283"/>
      <c r="BNP11" s="283"/>
      <c r="BNQ11" s="283"/>
      <c r="BNR11" s="283"/>
      <c r="BNS11" s="283"/>
      <c r="BNT11" s="283"/>
      <c r="BNU11" s="283"/>
      <c r="BNV11" s="283"/>
      <c r="BNW11" s="283"/>
      <c r="BNX11" s="283"/>
      <c r="BNY11" s="283"/>
      <c r="BNZ11" s="283"/>
      <c r="BOA11" s="283"/>
      <c r="BOB11" s="283"/>
      <c r="BOC11" s="283"/>
      <c r="BOD11" s="283"/>
      <c r="BOE11" s="283"/>
      <c r="BOF11" s="283"/>
      <c r="BOG11" s="283"/>
      <c r="BOH11" s="283"/>
      <c r="BOI11" s="283"/>
      <c r="BOJ11" s="283"/>
      <c r="BOK11" s="283"/>
      <c r="BOL11" s="283"/>
      <c r="BOM11" s="283"/>
      <c r="BON11" s="283"/>
      <c r="BOO11" s="283"/>
      <c r="BOP11" s="283"/>
      <c r="BOQ11" s="283"/>
      <c r="BOR11" s="283"/>
      <c r="BOS11" s="283"/>
      <c r="BOT11" s="283"/>
      <c r="BOU11" s="283"/>
      <c r="BOV11" s="283"/>
      <c r="BOW11" s="283"/>
      <c r="BOX11" s="283"/>
      <c r="BOY11" s="283"/>
      <c r="BOZ11" s="283"/>
      <c r="BPA11" s="283"/>
      <c r="BPB11" s="283"/>
      <c r="BPC11" s="283"/>
      <c r="BPD11" s="283"/>
      <c r="BPE11" s="283"/>
      <c r="BPF11" s="283"/>
      <c r="BPG11" s="283"/>
      <c r="BPH11" s="283"/>
      <c r="BPI11" s="283"/>
      <c r="BPJ11" s="283"/>
      <c r="BPK11" s="283"/>
      <c r="BPL11" s="283"/>
      <c r="BPM11" s="283"/>
      <c r="BPN11" s="283"/>
      <c r="BPO11" s="283"/>
      <c r="BPP11" s="283"/>
      <c r="BPQ11" s="283"/>
      <c r="BPR11" s="283"/>
      <c r="BPS11" s="283"/>
      <c r="BPT11" s="283"/>
      <c r="BPU11" s="283"/>
      <c r="BPV11" s="283"/>
      <c r="BPW11" s="283"/>
      <c r="BPX11" s="283"/>
      <c r="BPY11" s="283"/>
      <c r="BPZ11" s="283"/>
      <c r="BQA11" s="283"/>
      <c r="BQB11" s="283"/>
      <c r="BQC11" s="283"/>
      <c r="BQD11" s="283"/>
      <c r="BQE11" s="283"/>
      <c r="BQF11" s="283"/>
      <c r="BQG11" s="283"/>
      <c r="BQH11" s="283"/>
      <c r="BQI11" s="283"/>
      <c r="BQJ11" s="283"/>
      <c r="BQK11" s="283"/>
      <c r="BQL11" s="283"/>
      <c r="BQM11" s="283"/>
      <c r="BQN11" s="283"/>
      <c r="BQO11" s="283"/>
      <c r="BQP11" s="283"/>
      <c r="BQQ11" s="283"/>
      <c r="BQR11" s="283"/>
      <c r="BQS11" s="283"/>
      <c r="BQT11" s="283"/>
      <c r="BQU11" s="283"/>
      <c r="BQV11" s="283"/>
      <c r="BQW11" s="283"/>
      <c r="BQX11" s="283"/>
      <c r="BQY11" s="283"/>
      <c r="BQZ11" s="283"/>
      <c r="BRA11" s="283"/>
      <c r="BRB11" s="283"/>
      <c r="BRC11" s="283"/>
      <c r="BRD11" s="283"/>
      <c r="BRE11" s="283"/>
      <c r="BRF11" s="283"/>
      <c r="BRG11" s="283"/>
      <c r="BRH11" s="283"/>
      <c r="BRI11" s="283"/>
      <c r="BRJ11" s="283"/>
      <c r="BRK11" s="283"/>
      <c r="BRL11" s="283"/>
      <c r="BRM11" s="283"/>
      <c r="BRN11" s="283"/>
      <c r="BRO11" s="283"/>
      <c r="BRP11" s="283"/>
      <c r="BRQ11" s="283"/>
      <c r="BRR11" s="283"/>
      <c r="BRS11" s="283"/>
      <c r="BRT11" s="283"/>
      <c r="BRU11" s="283"/>
      <c r="BRV11" s="283"/>
      <c r="BRW11" s="283"/>
      <c r="BRX11" s="283"/>
      <c r="BRY11" s="283"/>
      <c r="BRZ11" s="283"/>
      <c r="BSA11" s="283"/>
      <c r="BSB11" s="283"/>
      <c r="BSC11" s="283"/>
      <c r="BSD11" s="283"/>
      <c r="BSE11" s="283"/>
      <c r="BSF11" s="283"/>
      <c r="BSG11" s="283"/>
      <c r="BSH11" s="283"/>
      <c r="BSI11" s="283"/>
      <c r="BSJ11" s="283"/>
      <c r="BSK11" s="283"/>
      <c r="BSL11" s="283"/>
      <c r="BSM11" s="283"/>
      <c r="BSN11" s="283"/>
      <c r="BSO11" s="283"/>
      <c r="BSP11" s="283"/>
      <c r="BSQ11" s="283"/>
      <c r="BSR11" s="283"/>
      <c r="BSS11" s="283"/>
      <c r="BST11" s="283"/>
      <c r="BSU11" s="283"/>
      <c r="BSV11" s="283"/>
      <c r="BSW11" s="283"/>
      <c r="BSX11" s="283"/>
      <c r="BSY11" s="283"/>
      <c r="BSZ11" s="283"/>
      <c r="BTA11" s="283"/>
      <c r="BTB11" s="283"/>
      <c r="BTC11" s="283"/>
      <c r="BTD11" s="283"/>
      <c r="BTE11" s="283"/>
      <c r="BTF11" s="283"/>
      <c r="BTG11" s="283"/>
      <c r="BTH11" s="283"/>
      <c r="BTI11" s="283"/>
      <c r="BTJ11" s="283"/>
      <c r="BTK11" s="283"/>
      <c r="BTL11" s="283"/>
      <c r="BTM11" s="283"/>
      <c r="BTN11" s="283"/>
      <c r="BTO11" s="283"/>
      <c r="BTP11" s="283"/>
      <c r="BTQ11" s="283"/>
      <c r="BTR11" s="283"/>
      <c r="BTS11" s="283"/>
      <c r="BTT11" s="283"/>
      <c r="BTU11" s="283"/>
      <c r="BTV11" s="283"/>
      <c r="BTW11" s="283"/>
      <c r="BTX11" s="283"/>
      <c r="BTY11" s="283"/>
      <c r="BTZ11" s="283"/>
      <c r="BUA11" s="283"/>
      <c r="BUB11" s="283"/>
      <c r="BUC11" s="283"/>
      <c r="BUD11" s="283"/>
      <c r="BUE11" s="283"/>
      <c r="BUF11" s="283"/>
      <c r="BUG11" s="283"/>
      <c r="BUH11" s="283"/>
      <c r="BUI11" s="283"/>
      <c r="BUJ11" s="283"/>
      <c r="BUK11" s="283"/>
      <c r="BUL11" s="283"/>
      <c r="BUM11" s="283"/>
      <c r="BUN11" s="283"/>
      <c r="BUO11" s="283"/>
      <c r="BUP11" s="283"/>
      <c r="BUQ11" s="283"/>
      <c r="BUR11" s="283"/>
      <c r="BUS11" s="283"/>
      <c r="BUT11" s="283"/>
      <c r="BUU11" s="283"/>
      <c r="BUV11" s="283"/>
      <c r="BUW11" s="283"/>
      <c r="BUX11" s="283"/>
      <c r="BUY11" s="283"/>
      <c r="BUZ11" s="283"/>
      <c r="BVA11" s="283"/>
      <c r="BVB11" s="283"/>
      <c r="BVC11" s="283"/>
      <c r="BVD11" s="283"/>
      <c r="BVE11" s="283"/>
      <c r="BVF11" s="283"/>
      <c r="BVG11" s="283"/>
      <c r="BVH11" s="283"/>
      <c r="BVI11" s="283"/>
      <c r="BVJ11" s="283"/>
      <c r="BVK11" s="283"/>
      <c r="BVL11" s="283"/>
      <c r="BVM11" s="283"/>
      <c r="BVN11" s="283"/>
      <c r="BVO11" s="283"/>
      <c r="BVP11" s="283"/>
      <c r="BVQ11" s="283"/>
      <c r="BVR11" s="283"/>
      <c r="BVS11" s="283"/>
      <c r="BVT11" s="283"/>
      <c r="BVU11" s="283"/>
      <c r="BVV11" s="283"/>
      <c r="BVW11" s="283"/>
      <c r="BVX11" s="283"/>
      <c r="BVY11" s="283"/>
      <c r="BVZ11" s="283"/>
      <c r="BWA11" s="283"/>
      <c r="BWB11" s="283"/>
      <c r="BWC11" s="283"/>
      <c r="BWD11" s="283"/>
      <c r="BWE11" s="283"/>
      <c r="BWF11" s="283"/>
      <c r="BWG11" s="283"/>
      <c r="BWH11" s="283"/>
      <c r="BWI11" s="283"/>
      <c r="BWJ11" s="283"/>
      <c r="BWK11" s="283"/>
      <c r="BWL11" s="283"/>
      <c r="BWM11" s="283"/>
      <c r="BWN11" s="283"/>
      <c r="BWO11" s="283"/>
      <c r="BWP11" s="283"/>
      <c r="BWQ11" s="283"/>
      <c r="BWR11" s="283"/>
      <c r="BWS11" s="283"/>
      <c r="BWT11" s="283"/>
      <c r="BWU11" s="283"/>
      <c r="BWV11" s="283"/>
      <c r="BWW11" s="283"/>
      <c r="BWX11" s="283"/>
      <c r="BWY11" s="283"/>
      <c r="BWZ11" s="283"/>
      <c r="BXA11" s="283"/>
      <c r="BXB11" s="283"/>
      <c r="BXC11" s="283"/>
      <c r="BXD11" s="283"/>
      <c r="BXE11" s="283"/>
      <c r="BXF11" s="283"/>
      <c r="BXG11" s="283"/>
      <c r="BXH11" s="283"/>
      <c r="BXI11" s="283"/>
      <c r="BXJ11" s="283"/>
      <c r="BXK11" s="283"/>
      <c r="BXL11" s="283"/>
      <c r="BXM11" s="283"/>
      <c r="BXN11" s="283"/>
      <c r="BXO11" s="283"/>
      <c r="BXP11" s="283"/>
      <c r="BXQ11" s="283"/>
      <c r="BXR11" s="283"/>
      <c r="BXS11" s="283"/>
      <c r="BXT11" s="283"/>
      <c r="BXU11" s="283"/>
      <c r="BXV11" s="283"/>
      <c r="BXW11" s="283"/>
      <c r="BXX11" s="283"/>
      <c r="BXY11" s="283"/>
      <c r="BXZ11" s="283"/>
      <c r="BYA11" s="283"/>
      <c r="BYB11" s="283"/>
      <c r="BYC11" s="283"/>
      <c r="BYD11" s="283"/>
      <c r="BYE11" s="283"/>
      <c r="BYF11" s="283"/>
      <c r="BYG11" s="283"/>
      <c r="BYH11" s="283"/>
      <c r="BYI11" s="283"/>
      <c r="BYJ11" s="283"/>
      <c r="BYK11" s="283"/>
      <c r="BYL11" s="283"/>
      <c r="BYM11" s="283"/>
      <c r="BYN11" s="283"/>
      <c r="BYO11" s="283"/>
      <c r="BYP11" s="283"/>
      <c r="BYQ11" s="283"/>
      <c r="BYR11" s="283"/>
      <c r="BYS11" s="283"/>
      <c r="BYT11" s="283"/>
      <c r="BYU11" s="283"/>
      <c r="BYV11" s="283"/>
      <c r="BYW11" s="283"/>
      <c r="BYX11" s="283"/>
      <c r="BYY11" s="283"/>
      <c r="BYZ11" s="283"/>
      <c r="BZA11" s="283"/>
      <c r="BZB11" s="283"/>
      <c r="BZC11" s="283"/>
      <c r="BZD11" s="283"/>
      <c r="BZE11" s="283"/>
      <c r="BZF11" s="283"/>
      <c r="BZG11" s="283"/>
      <c r="BZH11" s="283"/>
      <c r="BZI11" s="283"/>
      <c r="BZJ11" s="283"/>
      <c r="BZK11" s="283"/>
      <c r="BZL11" s="283"/>
      <c r="BZM11" s="283"/>
      <c r="BZN11" s="283"/>
      <c r="BZO11" s="283"/>
      <c r="BZP11" s="283"/>
      <c r="BZQ11" s="283"/>
      <c r="BZR11" s="283"/>
      <c r="BZS11" s="283"/>
      <c r="BZT11" s="283"/>
      <c r="BZU11" s="283"/>
      <c r="BZV11" s="283"/>
      <c r="BZW11" s="283"/>
      <c r="BZX11" s="283"/>
      <c r="BZY11" s="283"/>
      <c r="BZZ11" s="283"/>
      <c r="CAA11" s="283"/>
      <c r="CAB11" s="283"/>
      <c r="CAC11" s="283"/>
      <c r="CAD11" s="283"/>
      <c r="CAE11" s="283"/>
      <c r="CAF11" s="283"/>
      <c r="CAG11" s="283"/>
      <c r="CAH11" s="283"/>
      <c r="CAI11" s="283"/>
      <c r="CAJ11" s="283"/>
      <c r="CAK11" s="283"/>
      <c r="CAL11" s="283"/>
      <c r="CAM11" s="283"/>
      <c r="CAN11" s="283"/>
      <c r="CAO11" s="283"/>
      <c r="CAP11" s="283"/>
      <c r="CAQ11" s="283"/>
      <c r="CAR11" s="283"/>
      <c r="CAS11" s="283"/>
      <c r="CAT11" s="283"/>
      <c r="CAU11" s="283"/>
      <c r="CAV11" s="283"/>
      <c r="CAW11" s="283"/>
      <c r="CAX11" s="283"/>
      <c r="CAY11" s="283"/>
      <c r="CAZ11" s="283"/>
      <c r="CBA11" s="283"/>
      <c r="CBB11" s="283"/>
      <c r="CBC11" s="283"/>
      <c r="CBD11" s="283"/>
      <c r="CBE11" s="283"/>
      <c r="CBF11" s="283"/>
      <c r="CBG11" s="283"/>
      <c r="CBH11" s="283"/>
      <c r="CBI11" s="283"/>
      <c r="CBJ11" s="283"/>
      <c r="CBK11" s="283"/>
      <c r="CBL11" s="283"/>
      <c r="CBM11" s="283"/>
      <c r="CBN11" s="283"/>
      <c r="CBO11" s="283"/>
      <c r="CBP11" s="283"/>
      <c r="CBQ11" s="283"/>
      <c r="CBR11" s="283"/>
      <c r="CBS11" s="283"/>
      <c r="CBT11" s="283"/>
      <c r="CBU11" s="283"/>
      <c r="CBV11" s="283"/>
      <c r="CBW11" s="283"/>
      <c r="CBX11" s="283"/>
      <c r="CBY11" s="283"/>
      <c r="CBZ11" s="283"/>
      <c r="CCA11" s="283"/>
      <c r="CCB11" s="283"/>
      <c r="CCC11" s="283"/>
      <c r="CCD11" s="283"/>
      <c r="CCE11" s="283"/>
      <c r="CCF11" s="283"/>
      <c r="CCG11" s="283"/>
      <c r="CCH11" s="283"/>
      <c r="CCI11" s="283"/>
      <c r="CCJ11" s="283"/>
      <c r="CCK11" s="283"/>
      <c r="CCL11" s="283"/>
      <c r="CCM11" s="283"/>
      <c r="CCN11" s="283"/>
      <c r="CCO11" s="283"/>
      <c r="CCP11" s="283"/>
      <c r="CCQ11" s="283"/>
      <c r="CCR11" s="283"/>
      <c r="CCS11" s="283"/>
      <c r="CCT11" s="283"/>
      <c r="CCU11" s="283"/>
      <c r="CCV11" s="283"/>
      <c r="CCW11" s="283"/>
      <c r="CCX11" s="283"/>
      <c r="CCY11" s="283"/>
      <c r="CCZ11" s="283"/>
      <c r="CDA11" s="283"/>
      <c r="CDB11" s="283"/>
      <c r="CDC11" s="283"/>
      <c r="CDD11" s="283"/>
      <c r="CDE11" s="283"/>
      <c r="CDF11" s="283"/>
      <c r="CDG11" s="283"/>
      <c r="CDH11" s="283"/>
      <c r="CDI11" s="283"/>
      <c r="CDJ11" s="283"/>
      <c r="CDK11" s="283"/>
      <c r="CDL11" s="283"/>
      <c r="CDM11" s="283"/>
      <c r="CDN11" s="283"/>
      <c r="CDO11" s="283"/>
      <c r="CDP11" s="283"/>
      <c r="CDQ11" s="283"/>
      <c r="CDR11" s="283"/>
      <c r="CDS11" s="283"/>
      <c r="CDT11" s="283"/>
      <c r="CDU11" s="283"/>
      <c r="CDV11" s="283"/>
      <c r="CDW11" s="283"/>
      <c r="CDX11" s="283"/>
      <c r="CDY11" s="283"/>
      <c r="CDZ11" s="283"/>
      <c r="CEA11" s="283"/>
      <c r="CEB11" s="283"/>
      <c r="CEC11" s="283"/>
      <c r="CED11" s="283"/>
      <c r="CEE11" s="283"/>
      <c r="CEF11" s="283"/>
      <c r="CEG11" s="283"/>
      <c r="CEH11" s="283"/>
      <c r="CEI11" s="283"/>
      <c r="CEJ11" s="283"/>
      <c r="CEK11" s="283"/>
      <c r="CEL11" s="283"/>
      <c r="CEM11" s="283"/>
      <c r="CEN11" s="283"/>
      <c r="CEO11" s="283"/>
      <c r="CEP11" s="283"/>
      <c r="CEQ11" s="283"/>
      <c r="CER11" s="283"/>
      <c r="CES11" s="283"/>
      <c r="CET11" s="283"/>
      <c r="CEU11" s="283"/>
      <c r="CEV11" s="283"/>
      <c r="CEW11" s="283"/>
      <c r="CEX11" s="283"/>
      <c r="CEY11" s="283"/>
      <c r="CEZ11" s="283"/>
      <c r="CFA11" s="283"/>
      <c r="CFB11" s="283"/>
      <c r="CFC11" s="283"/>
      <c r="CFD11" s="283"/>
      <c r="CFE11" s="283"/>
      <c r="CFF11" s="283"/>
      <c r="CFG11" s="283"/>
      <c r="CFH11" s="283"/>
      <c r="CFI11" s="283"/>
      <c r="CFJ11" s="283"/>
      <c r="CFK11" s="283"/>
      <c r="CFL11" s="283"/>
      <c r="CFM11" s="283"/>
      <c r="CFN11" s="283"/>
      <c r="CFO11" s="283"/>
      <c r="CFP11" s="283"/>
      <c r="CFQ11" s="283"/>
      <c r="CFR11" s="283"/>
      <c r="CFS11" s="283"/>
      <c r="CFT11" s="283"/>
      <c r="CFU11" s="283"/>
      <c r="CFV11" s="283"/>
      <c r="CFW11" s="283"/>
      <c r="CFX11" s="283"/>
      <c r="CFY11" s="283"/>
      <c r="CFZ11" s="283"/>
      <c r="CGA11" s="283"/>
      <c r="CGB11" s="283"/>
      <c r="CGC11" s="283"/>
      <c r="CGD11" s="283"/>
      <c r="CGE11" s="283"/>
      <c r="CGF11" s="283"/>
      <c r="CGG11" s="283"/>
      <c r="CGH11" s="283"/>
      <c r="CGI11" s="283"/>
      <c r="CGJ11" s="283"/>
      <c r="CGK11" s="283"/>
      <c r="CGL11" s="283"/>
      <c r="CGM11" s="283"/>
      <c r="CGN11" s="283"/>
      <c r="CGO11" s="283"/>
      <c r="CGP11" s="283"/>
      <c r="CGQ11" s="283"/>
      <c r="CGR11" s="283"/>
      <c r="CGS11" s="283"/>
      <c r="CGT11" s="283"/>
      <c r="CGU11" s="283"/>
      <c r="CGV11" s="283"/>
      <c r="CGW11" s="283"/>
      <c r="CGX11" s="283"/>
      <c r="CGY11" s="283"/>
      <c r="CGZ11" s="283"/>
      <c r="CHA11" s="283"/>
      <c r="CHB11" s="283"/>
      <c r="CHC11" s="283"/>
      <c r="CHD11" s="283"/>
      <c r="CHE11" s="283"/>
      <c r="CHF11" s="283"/>
      <c r="CHG11" s="283"/>
      <c r="CHH11" s="283"/>
      <c r="CHI11" s="283"/>
      <c r="CHJ11" s="283"/>
      <c r="CHK11" s="283"/>
      <c r="CHL11" s="283"/>
      <c r="CHM11" s="283"/>
      <c r="CHN11" s="283"/>
      <c r="CHO11" s="283"/>
      <c r="CHP11" s="283"/>
      <c r="CHQ11" s="283"/>
      <c r="CHR11" s="283"/>
      <c r="CHS11" s="283"/>
      <c r="CHT11" s="283"/>
      <c r="CHU11" s="283"/>
      <c r="CHV11" s="283"/>
      <c r="CHW11" s="283"/>
      <c r="CHX11" s="283"/>
      <c r="CHY11" s="283"/>
      <c r="CHZ11" s="283"/>
      <c r="CIA11" s="283"/>
      <c r="CIB11" s="283"/>
      <c r="CIC11" s="283"/>
      <c r="CID11" s="283"/>
      <c r="CIE11" s="283"/>
      <c r="CIF11" s="283"/>
      <c r="CIG11" s="283"/>
      <c r="CIH11" s="283"/>
      <c r="CII11" s="283"/>
      <c r="CIJ11" s="283"/>
      <c r="CIK11" s="283"/>
      <c r="CIL11" s="283"/>
      <c r="CIM11" s="283"/>
      <c r="CIN11" s="283"/>
      <c r="CIO11" s="283"/>
      <c r="CIP11" s="283"/>
      <c r="CIQ11" s="283"/>
      <c r="CIR11" s="283"/>
      <c r="CIS11" s="283"/>
      <c r="CIT11" s="283"/>
      <c r="CIU11" s="283"/>
      <c r="CIV11" s="283"/>
      <c r="CIW11" s="283"/>
      <c r="CIX11" s="283"/>
      <c r="CIY11" s="283"/>
      <c r="CIZ11" s="283"/>
      <c r="CJA11" s="283"/>
      <c r="CJB11" s="283"/>
      <c r="CJC11" s="283"/>
      <c r="CJD11" s="283"/>
      <c r="CJE11" s="283"/>
      <c r="CJF11" s="283"/>
      <c r="CJG11" s="283"/>
      <c r="CJH11" s="283"/>
      <c r="CJI11" s="283"/>
      <c r="CJJ11" s="283"/>
      <c r="CJK11" s="283"/>
      <c r="CJL11" s="283"/>
      <c r="CJM11" s="283"/>
      <c r="CJN11" s="283"/>
      <c r="CJO11" s="283"/>
      <c r="CJP11" s="283"/>
      <c r="CJQ11" s="283"/>
      <c r="CJR11" s="283"/>
      <c r="CJS11" s="283"/>
      <c r="CJT11" s="283"/>
      <c r="CJU11" s="283"/>
      <c r="CJV11" s="283"/>
      <c r="CJW11" s="283"/>
      <c r="CJX11" s="283"/>
      <c r="CJY11" s="283"/>
      <c r="CJZ11" s="283"/>
      <c r="CKA11" s="283"/>
      <c r="CKB11" s="283"/>
      <c r="CKC11" s="283"/>
      <c r="CKD11" s="283"/>
      <c r="CKE11" s="283"/>
      <c r="CKF11" s="283"/>
      <c r="CKG11" s="283"/>
      <c r="CKH11" s="283"/>
      <c r="CKI11" s="283"/>
      <c r="CKJ11" s="283"/>
      <c r="CKK11" s="283"/>
      <c r="CKL11" s="283"/>
      <c r="CKM11" s="283"/>
      <c r="CKN11" s="283"/>
      <c r="CKO11" s="283"/>
      <c r="CKP11" s="283"/>
      <c r="CKQ11" s="283"/>
      <c r="CKR11" s="283"/>
      <c r="CKS11" s="283"/>
      <c r="CKT11" s="283"/>
      <c r="CKU11" s="283"/>
      <c r="CKV11" s="283"/>
      <c r="CKW11" s="283"/>
      <c r="CKX11" s="283"/>
      <c r="CKY11" s="283"/>
      <c r="CKZ11" s="283"/>
      <c r="CLA11" s="283"/>
      <c r="CLB11" s="283"/>
      <c r="CLC11" s="283"/>
      <c r="CLD11" s="283"/>
      <c r="CLE11" s="283"/>
      <c r="CLF11" s="283"/>
      <c r="CLG11" s="283"/>
      <c r="CLH11" s="283"/>
      <c r="CLI11" s="283"/>
      <c r="CLJ11" s="283"/>
      <c r="CLK11" s="283"/>
      <c r="CLL11" s="283"/>
      <c r="CLM11" s="283"/>
      <c r="CLN11" s="283"/>
      <c r="CLO11" s="283"/>
      <c r="CLP11" s="283"/>
      <c r="CLQ11" s="283"/>
      <c r="CLR11" s="283"/>
      <c r="CLS11" s="283"/>
      <c r="CLT11" s="283"/>
      <c r="CLU11" s="283"/>
      <c r="CLV11" s="283"/>
      <c r="CLW11" s="283"/>
      <c r="CLX11" s="283"/>
      <c r="CLY11" s="283"/>
      <c r="CLZ11" s="283"/>
      <c r="CMA11" s="283"/>
      <c r="CMB11" s="283"/>
      <c r="CMC11" s="283"/>
      <c r="CMD11" s="283"/>
      <c r="CME11" s="283"/>
      <c r="CMF11" s="283"/>
      <c r="CMG11" s="283"/>
      <c r="CMH11" s="283"/>
      <c r="CMI11" s="283"/>
      <c r="CMJ11" s="283"/>
      <c r="CMK11" s="283"/>
      <c r="CML11" s="283"/>
      <c r="CMM11" s="283"/>
      <c r="CMN11" s="283"/>
      <c r="CMO11" s="283"/>
      <c r="CMP11" s="283"/>
      <c r="CMQ11" s="283"/>
      <c r="CMR11" s="283"/>
      <c r="CMS11" s="283"/>
      <c r="CMT11" s="283"/>
      <c r="CMU11" s="283"/>
      <c r="CMV11" s="283"/>
      <c r="CMW11" s="283"/>
      <c r="CMX11" s="283"/>
      <c r="CMY11" s="283"/>
      <c r="CMZ11" s="283"/>
      <c r="CNA11" s="283"/>
      <c r="CNB11" s="283"/>
      <c r="CNC11" s="283"/>
      <c r="CND11" s="283"/>
      <c r="CNE11" s="283"/>
      <c r="CNF11" s="283"/>
      <c r="CNG11" s="283"/>
      <c r="CNH11" s="283"/>
      <c r="CNI11" s="283"/>
      <c r="CNJ11" s="283"/>
      <c r="CNK11" s="283"/>
      <c r="CNL11" s="283"/>
      <c r="CNM11" s="283"/>
      <c r="CNN11" s="283"/>
      <c r="CNO11" s="283"/>
      <c r="CNP11" s="283"/>
      <c r="CNQ11" s="283"/>
      <c r="CNR11" s="283"/>
      <c r="CNS11" s="283"/>
      <c r="CNT11" s="283"/>
      <c r="CNU11" s="283"/>
      <c r="CNV11" s="283"/>
      <c r="CNW11" s="283"/>
      <c r="CNX11" s="283"/>
      <c r="CNY11" s="283"/>
      <c r="CNZ11" s="283"/>
      <c r="COA11" s="283"/>
      <c r="COB11" s="283"/>
      <c r="COC11" s="283"/>
      <c r="COD11" s="283"/>
      <c r="COE11" s="283"/>
      <c r="COF11" s="283"/>
      <c r="COG11" s="283"/>
      <c r="COH11" s="283"/>
      <c r="COI11" s="283"/>
      <c r="COJ11" s="283"/>
      <c r="COK11" s="283"/>
      <c r="COL11" s="283"/>
      <c r="COM11" s="283"/>
      <c r="CON11" s="283"/>
      <c r="COO11" s="283"/>
      <c r="COP11" s="283"/>
      <c r="COQ11" s="283"/>
      <c r="COR11" s="283"/>
      <c r="COS11" s="283"/>
      <c r="COT11" s="283"/>
      <c r="COU11" s="283"/>
      <c r="COV11" s="283"/>
      <c r="COW11" s="283"/>
      <c r="COX11" s="283"/>
      <c r="COY11" s="283"/>
      <c r="COZ11" s="283"/>
      <c r="CPA11" s="283"/>
      <c r="CPB11" s="283"/>
      <c r="CPC11" s="283"/>
      <c r="CPD11" s="283"/>
      <c r="CPE11" s="283"/>
      <c r="CPF11" s="283"/>
      <c r="CPG11" s="283"/>
      <c r="CPH11" s="283"/>
      <c r="CPI11" s="283"/>
      <c r="CPJ11" s="283"/>
      <c r="CPK11" s="283"/>
      <c r="CPL11" s="283"/>
      <c r="CPM11" s="283"/>
      <c r="CPN11" s="283"/>
      <c r="CPO11" s="283"/>
      <c r="CPP11" s="283"/>
      <c r="CPQ11" s="283"/>
      <c r="CPR11" s="283"/>
      <c r="CPS11" s="283"/>
      <c r="CPT11" s="283"/>
      <c r="CPU11" s="283"/>
      <c r="CPV11" s="283"/>
      <c r="CPW11" s="283"/>
      <c r="CPX11" s="283"/>
      <c r="CPY11" s="283"/>
      <c r="CPZ11" s="283"/>
      <c r="CQA11" s="283"/>
      <c r="CQB11" s="283"/>
      <c r="CQC11" s="283"/>
      <c r="CQD11" s="283"/>
      <c r="CQE11" s="283"/>
      <c r="CQF11" s="283"/>
      <c r="CQG11" s="283"/>
      <c r="CQH11" s="283"/>
      <c r="CQI11" s="283"/>
      <c r="CQJ11" s="283"/>
      <c r="CQK11" s="283"/>
      <c r="CQL11" s="283"/>
      <c r="CQM11" s="283"/>
      <c r="CQN11" s="283"/>
      <c r="CQO11" s="283"/>
      <c r="CQP11" s="283"/>
      <c r="CQQ11" s="283"/>
      <c r="CQR11" s="283"/>
      <c r="CQS11" s="283"/>
      <c r="CQT11" s="283"/>
      <c r="CQU11" s="283"/>
      <c r="CQV11" s="283"/>
      <c r="CQW11" s="283"/>
      <c r="CQX11" s="283"/>
      <c r="CQY11" s="283"/>
      <c r="CQZ11" s="283"/>
      <c r="CRA11" s="283"/>
      <c r="CRB11" s="283"/>
      <c r="CRC11" s="283"/>
      <c r="CRD11" s="283"/>
      <c r="CRE11" s="283"/>
      <c r="CRF11" s="283"/>
      <c r="CRG11" s="283"/>
      <c r="CRH11" s="283"/>
      <c r="CRI11" s="283"/>
      <c r="CRJ11" s="283"/>
      <c r="CRK11" s="283"/>
      <c r="CRL11" s="283"/>
      <c r="CRM11" s="283"/>
      <c r="CRN11" s="283"/>
      <c r="CRO11" s="283"/>
      <c r="CRP11" s="283"/>
      <c r="CRQ11" s="283"/>
      <c r="CRR11" s="283"/>
      <c r="CRS11" s="283"/>
      <c r="CRT11" s="283"/>
      <c r="CRU11" s="283"/>
      <c r="CRV11" s="283"/>
      <c r="CRW11" s="283"/>
      <c r="CRX11" s="283"/>
      <c r="CRY11" s="283"/>
      <c r="CRZ11" s="283"/>
      <c r="CSA11" s="283"/>
      <c r="CSB11" s="283"/>
      <c r="CSC11" s="283"/>
      <c r="CSD11" s="283"/>
      <c r="CSE11" s="283"/>
      <c r="CSF11" s="283"/>
      <c r="CSG11" s="283"/>
      <c r="CSH11" s="283"/>
      <c r="CSI11" s="283"/>
      <c r="CSJ11" s="283"/>
      <c r="CSK11" s="283"/>
      <c r="CSL11" s="283"/>
      <c r="CSM11" s="283"/>
      <c r="CSN11" s="283"/>
      <c r="CSO11" s="283"/>
      <c r="CSP11" s="283"/>
      <c r="CSQ11" s="283"/>
      <c r="CSR11" s="283"/>
      <c r="CSS11" s="283"/>
      <c r="CST11" s="283"/>
      <c r="CSU11" s="283"/>
      <c r="CSV11" s="283"/>
      <c r="CSW11" s="283"/>
      <c r="CSX11" s="283"/>
      <c r="CSY11" s="283"/>
      <c r="CSZ11" s="283"/>
      <c r="CTA11" s="283"/>
      <c r="CTB11" s="283"/>
      <c r="CTC11" s="283"/>
      <c r="CTD11" s="283"/>
      <c r="CTE11" s="283"/>
      <c r="CTF11" s="283"/>
      <c r="CTG11" s="283"/>
      <c r="CTH11" s="283"/>
      <c r="CTI11" s="283"/>
      <c r="CTJ11" s="283"/>
      <c r="CTK11" s="283"/>
      <c r="CTL11" s="283"/>
      <c r="CTM11" s="283"/>
      <c r="CTN11" s="283"/>
      <c r="CTO11" s="283"/>
      <c r="CTP11" s="283"/>
      <c r="CTQ11" s="283"/>
      <c r="CTR11" s="283"/>
      <c r="CTS11" s="283"/>
      <c r="CTT11" s="283"/>
      <c r="CTU11" s="283"/>
      <c r="CTV11" s="283"/>
      <c r="CTW11" s="283"/>
      <c r="CTX11" s="283"/>
      <c r="CTY11" s="283"/>
      <c r="CTZ11" s="283"/>
      <c r="CUA11" s="283"/>
      <c r="CUB11" s="283"/>
      <c r="CUC11" s="283"/>
      <c r="CUD11" s="283"/>
      <c r="CUE11" s="283"/>
      <c r="CUF11" s="283"/>
      <c r="CUG11" s="283"/>
      <c r="CUH11" s="283"/>
      <c r="CUI11" s="283"/>
      <c r="CUJ11" s="283"/>
      <c r="CUK11" s="283"/>
      <c r="CUL11" s="283"/>
      <c r="CUM11" s="283"/>
      <c r="CUN11" s="283"/>
      <c r="CUO11" s="283"/>
      <c r="CUP11" s="283"/>
      <c r="CUQ11" s="283"/>
      <c r="CUR11" s="283"/>
      <c r="CUS11" s="283"/>
      <c r="CUT11" s="283"/>
      <c r="CUU11" s="283"/>
      <c r="CUV11" s="283"/>
      <c r="CUW11" s="283"/>
      <c r="CUX11" s="283"/>
      <c r="CUY11" s="283"/>
      <c r="CUZ11" s="283"/>
      <c r="CVA11" s="283"/>
      <c r="CVB11" s="283"/>
      <c r="CVC11" s="283"/>
      <c r="CVD11" s="283"/>
      <c r="CVE11" s="283"/>
      <c r="CVF11" s="283"/>
      <c r="CVG11" s="283"/>
      <c r="CVH11" s="283"/>
      <c r="CVI11" s="283"/>
      <c r="CVJ11" s="283"/>
      <c r="CVK11" s="283"/>
      <c r="CVL11" s="283"/>
      <c r="CVM11" s="283"/>
      <c r="CVN11" s="283"/>
      <c r="CVO11" s="283"/>
      <c r="CVP11" s="283"/>
      <c r="CVQ11" s="283"/>
      <c r="CVR11" s="283"/>
      <c r="CVS11" s="283"/>
      <c r="CVT11" s="283"/>
      <c r="CVU11" s="283"/>
      <c r="CVV11" s="283"/>
      <c r="CVW11" s="283"/>
      <c r="CVX11" s="283"/>
      <c r="CVY11" s="283"/>
      <c r="CVZ11" s="283"/>
      <c r="CWA11" s="283"/>
      <c r="CWB11" s="283"/>
      <c r="CWC11" s="283"/>
      <c r="CWD11" s="283"/>
      <c r="CWE11" s="283"/>
      <c r="CWF11" s="283"/>
      <c r="CWG11" s="283"/>
      <c r="CWH11" s="283"/>
      <c r="CWI11" s="283"/>
      <c r="CWJ11" s="283"/>
      <c r="CWK11" s="283"/>
      <c r="CWL11" s="283"/>
      <c r="CWM11" s="283"/>
      <c r="CWN11" s="283"/>
      <c r="CWO11" s="283"/>
      <c r="CWP11" s="283"/>
      <c r="CWQ11" s="283"/>
      <c r="CWR11" s="283"/>
      <c r="CWS11" s="283"/>
      <c r="CWT11" s="283"/>
      <c r="CWU11" s="283"/>
      <c r="CWV11" s="283"/>
      <c r="CWW11" s="283"/>
      <c r="CWX11" s="283"/>
      <c r="CWY11" s="283"/>
      <c r="CWZ11" s="283"/>
      <c r="CXA11" s="283"/>
      <c r="CXB11" s="283"/>
      <c r="CXC11" s="283"/>
      <c r="CXD11" s="283"/>
      <c r="CXE11" s="283"/>
      <c r="CXF11" s="283"/>
      <c r="CXG11" s="283"/>
      <c r="CXH11" s="283"/>
      <c r="CXI11" s="283"/>
      <c r="CXJ11" s="283"/>
      <c r="CXK11" s="283"/>
      <c r="CXL11" s="283"/>
      <c r="CXM11" s="283"/>
      <c r="CXN11" s="283"/>
      <c r="CXO11" s="283"/>
      <c r="CXP11" s="283"/>
      <c r="CXQ11" s="283"/>
      <c r="CXR11" s="283"/>
      <c r="CXS11" s="283"/>
      <c r="CXT11" s="283"/>
      <c r="CXU11" s="283"/>
      <c r="CXV11" s="283"/>
      <c r="CXW11" s="283"/>
      <c r="CXX11" s="283"/>
      <c r="CXY11" s="283"/>
      <c r="CXZ11" s="283"/>
      <c r="CYA11" s="283"/>
      <c r="CYB11" s="283"/>
      <c r="CYC11" s="283"/>
      <c r="CYD11" s="283"/>
      <c r="CYE11" s="283"/>
      <c r="CYF11" s="283"/>
      <c r="CYG11" s="283"/>
      <c r="CYH11" s="283"/>
      <c r="CYI11" s="283"/>
      <c r="CYJ11" s="283"/>
      <c r="CYK11" s="283"/>
      <c r="CYL11" s="283"/>
      <c r="CYM11" s="283"/>
      <c r="CYN11" s="283"/>
      <c r="CYO11" s="283"/>
      <c r="CYP11" s="283"/>
      <c r="CYQ11" s="283"/>
      <c r="CYR11" s="283"/>
      <c r="CYS11" s="283"/>
      <c r="CYT11" s="283"/>
      <c r="CYU11" s="283"/>
      <c r="CYV11" s="283"/>
      <c r="CYW11" s="283"/>
      <c r="CYX11" s="283"/>
      <c r="CYY11" s="283"/>
      <c r="CYZ11" s="283"/>
      <c r="CZA11" s="283"/>
      <c r="CZB11" s="283"/>
      <c r="CZC11" s="283"/>
      <c r="CZD11" s="283"/>
      <c r="CZE11" s="283"/>
      <c r="CZF11" s="283"/>
      <c r="CZG11" s="283"/>
      <c r="CZH11" s="283"/>
      <c r="CZI11" s="283"/>
      <c r="CZJ11" s="283"/>
      <c r="CZK11" s="283"/>
      <c r="CZL11" s="283"/>
      <c r="CZM11" s="283"/>
      <c r="CZN11" s="283"/>
      <c r="CZO11" s="283"/>
      <c r="CZP11" s="283"/>
      <c r="CZQ11" s="283"/>
      <c r="CZR11" s="283"/>
      <c r="CZS11" s="283"/>
      <c r="CZT11" s="283"/>
      <c r="CZU11" s="283"/>
      <c r="CZV11" s="283"/>
      <c r="CZW11" s="283"/>
      <c r="CZX11" s="283"/>
      <c r="CZY11" s="283"/>
      <c r="CZZ11" s="283"/>
      <c r="DAA11" s="283"/>
      <c r="DAB11" s="283"/>
      <c r="DAC11" s="283"/>
      <c r="DAD11" s="283"/>
      <c r="DAE11" s="283"/>
      <c r="DAF11" s="283"/>
      <c r="DAG11" s="283"/>
      <c r="DAH11" s="283"/>
      <c r="DAI11" s="283"/>
      <c r="DAJ11" s="283"/>
      <c r="DAK11" s="283"/>
      <c r="DAL11" s="283"/>
      <c r="DAM11" s="283"/>
      <c r="DAN11" s="283"/>
      <c r="DAO11" s="283"/>
      <c r="DAP11" s="283"/>
      <c r="DAQ11" s="283"/>
      <c r="DAR11" s="283"/>
      <c r="DAS11" s="283"/>
      <c r="DAT11" s="283"/>
      <c r="DAU11" s="283"/>
      <c r="DAV11" s="283"/>
      <c r="DAW11" s="283"/>
      <c r="DAX11" s="283"/>
      <c r="DAY11" s="283"/>
      <c r="DAZ11" s="283"/>
      <c r="DBA11" s="283"/>
      <c r="DBB11" s="283"/>
      <c r="DBC11" s="283"/>
      <c r="DBD11" s="283"/>
      <c r="DBE11" s="283"/>
      <c r="DBF11" s="283"/>
      <c r="DBG11" s="283"/>
      <c r="DBH11" s="283"/>
      <c r="DBI11" s="283"/>
      <c r="DBJ11" s="283"/>
      <c r="DBK11" s="283"/>
      <c r="DBL11" s="283"/>
      <c r="DBM11" s="283"/>
      <c r="DBN11" s="283"/>
      <c r="DBO11" s="283"/>
      <c r="DBP11" s="283"/>
      <c r="DBQ11" s="283"/>
      <c r="DBR11" s="283"/>
      <c r="DBS11" s="283"/>
      <c r="DBT11" s="283"/>
      <c r="DBU11" s="283"/>
      <c r="DBV11" s="283"/>
      <c r="DBW11" s="283"/>
      <c r="DBX11" s="283"/>
      <c r="DBY11" s="283"/>
      <c r="DBZ11" s="283"/>
      <c r="DCA11" s="283"/>
      <c r="DCB11" s="283"/>
      <c r="DCC11" s="283"/>
      <c r="DCD11" s="283"/>
      <c r="DCE11" s="283"/>
      <c r="DCF11" s="283"/>
      <c r="DCG11" s="283"/>
      <c r="DCH11" s="283"/>
      <c r="DCI11" s="283"/>
      <c r="DCJ11" s="283"/>
      <c r="DCK11" s="283"/>
      <c r="DCL11" s="283"/>
      <c r="DCM11" s="283"/>
      <c r="DCN11" s="283"/>
      <c r="DCO11" s="283"/>
      <c r="DCP11" s="283"/>
      <c r="DCQ11" s="283"/>
      <c r="DCR11" s="283"/>
      <c r="DCS11" s="283"/>
      <c r="DCT11" s="283"/>
      <c r="DCU11" s="283"/>
      <c r="DCV11" s="283"/>
      <c r="DCW11" s="283"/>
      <c r="DCX11" s="283"/>
      <c r="DCY11" s="283"/>
      <c r="DCZ11" s="283"/>
      <c r="DDA11" s="283"/>
      <c r="DDB11" s="283"/>
      <c r="DDC11" s="283"/>
      <c r="DDD11" s="283"/>
      <c r="DDE11" s="283"/>
      <c r="DDF11" s="283"/>
      <c r="DDG11" s="283"/>
      <c r="DDH11" s="283"/>
      <c r="DDI11" s="283"/>
      <c r="DDJ11" s="283"/>
      <c r="DDK11" s="283"/>
      <c r="DDL11" s="283"/>
      <c r="DDM11" s="283"/>
      <c r="DDN11" s="283"/>
      <c r="DDO11" s="283"/>
      <c r="DDP11" s="283"/>
      <c r="DDQ11" s="283"/>
      <c r="DDR11" s="283"/>
      <c r="DDS11" s="283"/>
      <c r="DDT11" s="283"/>
      <c r="DDU11" s="283"/>
      <c r="DDV11" s="283"/>
      <c r="DDW11" s="283"/>
      <c r="DDX11" s="283"/>
      <c r="DDY11" s="283"/>
      <c r="DDZ11" s="283"/>
      <c r="DEA11" s="283"/>
      <c r="DEB11" s="283"/>
      <c r="DEC11" s="283"/>
      <c r="DED11" s="283"/>
      <c r="DEE11" s="283"/>
      <c r="DEF11" s="283"/>
      <c r="DEG11" s="283"/>
      <c r="DEH11" s="283"/>
      <c r="DEI11" s="283"/>
      <c r="DEJ11" s="283"/>
      <c r="DEK11" s="283"/>
      <c r="DEL11" s="283"/>
      <c r="DEM11" s="283"/>
      <c r="DEN11" s="283"/>
      <c r="DEO11" s="283"/>
      <c r="DEP11" s="283"/>
      <c r="DEQ11" s="283"/>
      <c r="DER11" s="283"/>
      <c r="DES11" s="283"/>
      <c r="DET11" s="283"/>
      <c r="DEU11" s="283"/>
      <c r="DEV11" s="283"/>
      <c r="DEW11" s="283"/>
      <c r="DEX11" s="283"/>
      <c r="DEY11" s="283"/>
      <c r="DEZ11" s="283"/>
      <c r="DFA11" s="283"/>
      <c r="DFB11" s="283"/>
      <c r="DFC11" s="283"/>
      <c r="DFD11" s="283"/>
      <c r="DFE11" s="283"/>
      <c r="DFF11" s="283"/>
      <c r="DFG11" s="283"/>
      <c r="DFH11" s="283"/>
      <c r="DFI11" s="283"/>
      <c r="DFJ11" s="283"/>
      <c r="DFK11" s="283"/>
      <c r="DFL11" s="283"/>
      <c r="DFM11" s="283"/>
      <c r="DFN11" s="283"/>
      <c r="DFO11" s="283"/>
      <c r="DFP11" s="283"/>
      <c r="DFQ11" s="283"/>
      <c r="DFR11" s="283"/>
      <c r="DFS11" s="283"/>
      <c r="DFT11" s="283"/>
      <c r="DFU11" s="283"/>
      <c r="DFV11" s="283"/>
      <c r="DFW11" s="283"/>
      <c r="DFX11" s="283"/>
      <c r="DFY11" s="283"/>
      <c r="DFZ11" s="283"/>
      <c r="DGA11" s="283"/>
      <c r="DGB11" s="283"/>
      <c r="DGC11" s="283"/>
      <c r="DGD11" s="283"/>
      <c r="DGE11" s="283"/>
      <c r="DGF11" s="283"/>
      <c r="DGG11" s="283"/>
      <c r="DGH11" s="283"/>
      <c r="DGI11" s="283"/>
      <c r="DGJ11" s="283"/>
      <c r="DGK11" s="283"/>
      <c r="DGL11" s="283"/>
      <c r="DGM11" s="283"/>
      <c r="DGN11" s="283"/>
      <c r="DGO11" s="283"/>
      <c r="DGP11" s="283"/>
      <c r="DGQ11" s="283"/>
      <c r="DGR11" s="283"/>
      <c r="DGS11" s="283"/>
      <c r="DGT11" s="283"/>
      <c r="DGU11" s="283"/>
      <c r="DGV11" s="283"/>
      <c r="DGW11" s="283"/>
      <c r="DGX11" s="283"/>
      <c r="DGY11" s="283"/>
      <c r="DGZ11" s="283"/>
      <c r="DHA11" s="283"/>
      <c r="DHB11" s="283"/>
      <c r="DHC11" s="283"/>
      <c r="DHD11" s="283"/>
      <c r="DHE11" s="283"/>
      <c r="DHF11" s="283"/>
      <c r="DHG11" s="283"/>
      <c r="DHH11" s="283"/>
      <c r="DHI11" s="283"/>
      <c r="DHJ11" s="283"/>
      <c r="DHK11" s="283"/>
      <c r="DHL11" s="283"/>
      <c r="DHM11" s="283"/>
      <c r="DHN11" s="283"/>
      <c r="DHO11" s="283"/>
      <c r="DHP11" s="283"/>
      <c r="DHQ11" s="283"/>
      <c r="DHR11" s="283"/>
      <c r="DHS11" s="283"/>
      <c r="DHT11" s="283"/>
      <c r="DHU11" s="283"/>
      <c r="DHV11" s="283"/>
      <c r="DHW11" s="283"/>
      <c r="DHX11" s="283"/>
      <c r="DHY11" s="283"/>
      <c r="DHZ11" s="283"/>
      <c r="DIA11" s="283"/>
      <c r="DIB11" s="283"/>
      <c r="DIC11" s="283"/>
      <c r="DID11" s="283"/>
      <c r="DIE11" s="283"/>
      <c r="DIF11" s="283"/>
      <c r="DIG11" s="283"/>
      <c r="DIH11" s="283"/>
      <c r="DII11" s="283"/>
      <c r="DIJ11" s="283"/>
      <c r="DIK11" s="283"/>
      <c r="DIL11" s="283"/>
      <c r="DIM11" s="283"/>
      <c r="DIN11" s="283"/>
      <c r="DIO11" s="283"/>
      <c r="DIP11" s="283"/>
      <c r="DIQ11" s="283"/>
      <c r="DIR11" s="283"/>
      <c r="DIS11" s="283"/>
      <c r="DIT11" s="283"/>
      <c r="DIU11" s="283"/>
      <c r="DIV11" s="283"/>
      <c r="DIW11" s="283"/>
      <c r="DIX11" s="283"/>
      <c r="DIY11" s="283"/>
      <c r="DIZ11" s="283"/>
      <c r="DJA11" s="283"/>
      <c r="DJB11" s="283"/>
      <c r="DJC11" s="283"/>
      <c r="DJD11" s="283"/>
      <c r="DJE11" s="283"/>
      <c r="DJF11" s="283"/>
      <c r="DJG11" s="283"/>
      <c r="DJH11" s="283"/>
      <c r="DJI11" s="283"/>
      <c r="DJJ11" s="283"/>
      <c r="DJK11" s="283"/>
      <c r="DJL11" s="283"/>
      <c r="DJM11" s="283"/>
      <c r="DJN11" s="283"/>
      <c r="DJO11" s="283"/>
      <c r="DJP11" s="283"/>
      <c r="DJQ11" s="283"/>
      <c r="DJR11" s="283"/>
      <c r="DJS11" s="283"/>
      <c r="DJT11" s="283"/>
      <c r="DJU11" s="283"/>
      <c r="DJV11" s="283"/>
      <c r="DJW11" s="283"/>
      <c r="DJX11" s="283"/>
      <c r="DJY11" s="283"/>
      <c r="DJZ11" s="283"/>
      <c r="DKA11" s="283"/>
      <c r="DKB11" s="283"/>
      <c r="DKC11" s="283"/>
      <c r="DKD11" s="283"/>
      <c r="DKE11" s="283"/>
      <c r="DKF11" s="283"/>
      <c r="DKG11" s="283"/>
      <c r="DKH11" s="283"/>
      <c r="DKI11" s="283"/>
      <c r="DKJ11" s="283"/>
      <c r="DKK11" s="283"/>
      <c r="DKL11" s="283"/>
      <c r="DKM11" s="283"/>
      <c r="DKN11" s="283"/>
      <c r="DKO11" s="283"/>
      <c r="DKP11" s="283"/>
      <c r="DKQ11" s="283"/>
      <c r="DKR11" s="283"/>
      <c r="DKS11" s="283"/>
      <c r="DKT11" s="283"/>
      <c r="DKU11" s="283"/>
      <c r="DKV11" s="283"/>
      <c r="DKW11" s="283"/>
      <c r="DKX11" s="283"/>
      <c r="DKY11" s="283"/>
      <c r="DKZ11" s="283"/>
      <c r="DLA11" s="283"/>
      <c r="DLB11" s="283"/>
      <c r="DLC11" s="283"/>
      <c r="DLD11" s="283"/>
      <c r="DLE11" s="283"/>
      <c r="DLF11" s="283"/>
      <c r="DLG11" s="283"/>
      <c r="DLH11" s="283"/>
      <c r="DLI11" s="283"/>
      <c r="DLJ11" s="283"/>
      <c r="DLK11" s="283"/>
      <c r="DLL11" s="283"/>
      <c r="DLM11" s="283"/>
      <c r="DLN11" s="283"/>
      <c r="DLO11" s="283"/>
      <c r="DLP11" s="283"/>
      <c r="DLQ11" s="283"/>
      <c r="DLR11" s="283"/>
      <c r="DLS11" s="283"/>
      <c r="DLT11" s="283"/>
      <c r="DLU11" s="283"/>
      <c r="DLV11" s="283"/>
      <c r="DLW11" s="283"/>
      <c r="DLX11" s="283"/>
      <c r="DLY11" s="283"/>
      <c r="DLZ11" s="283"/>
      <c r="DMA11" s="283"/>
      <c r="DMB11" s="283"/>
      <c r="DMC11" s="283"/>
      <c r="DMD11" s="283"/>
      <c r="DME11" s="283"/>
      <c r="DMF11" s="283"/>
      <c r="DMG11" s="283"/>
      <c r="DMH11" s="283"/>
      <c r="DMI11" s="283"/>
      <c r="DMJ11" s="283"/>
      <c r="DMK11" s="283"/>
      <c r="DML11" s="283"/>
      <c r="DMM11" s="283"/>
      <c r="DMN11" s="283"/>
      <c r="DMO11" s="283"/>
      <c r="DMP11" s="283"/>
      <c r="DMQ11" s="283"/>
      <c r="DMR11" s="283"/>
      <c r="DMS11" s="283"/>
      <c r="DMT11" s="283"/>
      <c r="DMU11" s="283"/>
      <c r="DMV11" s="283"/>
      <c r="DMW11" s="283"/>
      <c r="DMX11" s="283"/>
      <c r="DMY11" s="283"/>
      <c r="DMZ11" s="283"/>
      <c r="DNA11" s="283"/>
      <c r="DNB11" s="283"/>
      <c r="DNC11" s="283"/>
      <c r="DND11" s="283"/>
      <c r="DNE11" s="283"/>
      <c r="DNF11" s="283"/>
      <c r="DNG11" s="283"/>
      <c r="DNH11" s="283"/>
      <c r="DNI11" s="283"/>
      <c r="DNJ11" s="283"/>
      <c r="DNK11" s="283"/>
      <c r="DNL11" s="283"/>
      <c r="DNM11" s="283"/>
      <c r="DNN11" s="283"/>
      <c r="DNO11" s="283"/>
      <c r="DNP11" s="283"/>
      <c r="DNQ11" s="283"/>
      <c r="DNR11" s="283"/>
      <c r="DNS11" s="283"/>
      <c r="DNT11" s="283"/>
      <c r="DNU11" s="283"/>
      <c r="DNV11" s="283"/>
      <c r="DNW11" s="283"/>
      <c r="DNX11" s="283"/>
      <c r="DNY11" s="283"/>
      <c r="DNZ11" s="283"/>
      <c r="DOA11" s="283"/>
      <c r="DOB11" s="283"/>
      <c r="DOC11" s="283"/>
      <c r="DOD11" s="283"/>
      <c r="DOE11" s="283"/>
      <c r="DOF11" s="283"/>
      <c r="DOG11" s="283"/>
      <c r="DOH11" s="283"/>
      <c r="DOI11" s="283"/>
      <c r="DOJ11" s="283"/>
      <c r="DOK11" s="283"/>
      <c r="DOL11" s="283"/>
      <c r="DOM11" s="283"/>
      <c r="DON11" s="283"/>
      <c r="DOO11" s="283"/>
      <c r="DOP11" s="283"/>
      <c r="DOQ11" s="283"/>
      <c r="DOR11" s="283"/>
      <c r="DOS11" s="283"/>
      <c r="DOT11" s="283"/>
      <c r="DOU11" s="283"/>
      <c r="DOV11" s="283"/>
      <c r="DOW11" s="283"/>
      <c r="DOX11" s="283"/>
      <c r="DOY11" s="283"/>
      <c r="DOZ11" s="283"/>
      <c r="DPA11" s="283"/>
      <c r="DPB11" s="283"/>
      <c r="DPC11" s="283"/>
      <c r="DPD11" s="283"/>
      <c r="DPE11" s="283"/>
      <c r="DPF11" s="283"/>
      <c r="DPG11" s="283"/>
      <c r="DPH11" s="283"/>
      <c r="DPI11" s="283"/>
      <c r="DPJ11" s="283"/>
      <c r="DPK11" s="283"/>
      <c r="DPL11" s="283"/>
      <c r="DPM11" s="283"/>
      <c r="DPN11" s="283"/>
      <c r="DPO11" s="283"/>
      <c r="DPP11" s="283"/>
      <c r="DPQ11" s="283"/>
      <c r="DPR11" s="283"/>
      <c r="DPS11" s="283"/>
      <c r="DPT11" s="283"/>
      <c r="DPU11" s="283"/>
      <c r="DPV11" s="283"/>
      <c r="DPW11" s="283"/>
      <c r="DPX11" s="283"/>
      <c r="DPY11" s="283"/>
      <c r="DPZ11" s="283"/>
      <c r="DQA11" s="283"/>
      <c r="DQB11" s="283"/>
      <c r="DQC11" s="283"/>
      <c r="DQD11" s="283"/>
      <c r="DQE11" s="283"/>
      <c r="DQF11" s="283"/>
      <c r="DQG11" s="283"/>
      <c r="DQH11" s="283"/>
      <c r="DQI11" s="283"/>
      <c r="DQJ11" s="283"/>
      <c r="DQK11" s="283"/>
      <c r="DQL11" s="283"/>
      <c r="DQM11" s="283"/>
      <c r="DQN11" s="283"/>
      <c r="DQO11" s="283"/>
      <c r="DQP11" s="283"/>
      <c r="DQQ11" s="283"/>
      <c r="DQR11" s="283"/>
      <c r="DQS11" s="283"/>
      <c r="DQT11" s="283"/>
      <c r="DQU11" s="283"/>
      <c r="DQV11" s="283"/>
      <c r="DQW11" s="283"/>
      <c r="DQX11" s="283"/>
      <c r="DQY11" s="283"/>
      <c r="DQZ11" s="283"/>
      <c r="DRA11" s="283"/>
      <c r="DRB11" s="283"/>
      <c r="DRC11" s="283"/>
      <c r="DRD11" s="283"/>
      <c r="DRE11" s="283"/>
      <c r="DRF11" s="283"/>
      <c r="DRG11" s="283"/>
      <c r="DRH11" s="283"/>
      <c r="DRI11" s="283"/>
      <c r="DRJ11" s="283"/>
      <c r="DRK11" s="283"/>
      <c r="DRL11" s="283"/>
      <c r="DRM11" s="283"/>
      <c r="DRN11" s="283"/>
      <c r="DRO11" s="283"/>
      <c r="DRP11" s="283"/>
      <c r="DRQ11" s="283"/>
      <c r="DRR11" s="283"/>
      <c r="DRS11" s="283"/>
      <c r="DRT11" s="283"/>
      <c r="DRU11" s="283"/>
      <c r="DRV11" s="283"/>
      <c r="DRW11" s="283"/>
      <c r="DRX11" s="283"/>
      <c r="DRY11" s="283"/>
      <c r="DRZ11" s="283"/>
      <c r="DSA11" s="283"/>
      <c r="DSB11" s="283"/>
      <c r="DSC11" s="283"/>
      <c r="DSD11" s="283"/>
      <c r="DSE11" s="283"/>
      <c r="DSF11" s="283"/>
      <c r="DSG11" s="283"/>
      <c r="DSH11" s="283"/>
      <c r="DSI11" s="283"/>
      <c r="DSJ11" s="283"/>
      <c r="DSK11" s="283"/>
      <c r="DSL11" s="283"/>
      <c r="DSM11" s="283"/>
      <c r="DSN11" s="283"/>
      <c r="DSO11" s="283"/>
      <c r="DSP11" s="283"/>
      <c r="DSQ11" s="283"/>
      <c r="DSR11" s="283"/>
      <c r="DSS11" s="283"/>
      <c r="DST11" s="283"/>
      <c r="DSU11" s="283"/>
      <c r="DSV11" s="283"/>
      <c r="DSW11" s="283"/>
      <c r="DSX11" s="283"/>
      <c r="DSY11" s="283"/>
      <c r="DSZ11" s="283"/>
      <c r="DTA11" s="283"/>
      <c r="DTB11" s="283"/>
      <c r="DTC11" s="283"/>
      <c r="DTD11" s="283"/>
      <c r="DTE11" s="283"/>
      <c r="DTF11" s="283"/>
      <c r="DTG11" s="283"/>
      <c r="DTH11" s="283"/>
      <c r="DTI11" s="283"/>
      <c r="DTJ11" s="283"/>
      <c r="DTK11" s="283"/>
      <c r="DTL11" s="283"/>
      <c r="DTM11" s="283"/>
      <c r="DTN11" s="283"/>
      <c r="DTO11" s="283"/>
      <c r="DTP11" s="283"/>
      <c r="DTQ11" s="283"/>
      <c r="DTR11" s="283"/>
      <c r="DTS11" s="283"/>
      <c r="DTT11" s="283"/>
      <c r="DTU11" s="283"/>
      <c r="DTV11" s="283"/>
      <c r="DTW11" s="283"/>
      <c r="DTX11" s="283"/>
      <c r="DTY11" s="283"/>
      <c r="DTZ11" s="283"/>
      <c r="DUA11" s="283"/>
      <c r="DUB11" s="283"/>
      <c r="DUC11" s="283"/>
      <c r="DUD11" s="283"/>
      <c r="DUE11" s="283"/>
      <c r="DUF11" s="283"/>
      <c r="DUG11" s="283"/>
      <c r="DUH11" s="283"/>
      <c r="DUI11" s="283"/>
      <c r="DUJ11" s="283"/>
      <c r="DUK11" s="283"/>
      <c r="DUL11" s="283"/>
      <c r="DUM11" s="283"/>
      <c r="DUN11" s="283"/>
      <c r="DUO11" s="283"/>
      <c r="DUP11" s="283"/>
      <c r="DUQ11" s="283"/>
      <c r="DUR11" s="283"/>
      <c r="DUS11" s="283"/>
      <c r="DUT11" s="283"/>
      <c r="DUU11" s="283"/>
      <c r="DUV11" s="283"/>
      <c r="DUW11" s="283"/>
      <c r="DUX11" s="283"/>
      <c r="DUY11" s="283"/>
      <c r="DUZ11" s="283"/>
      <c r="DVA11" s="283"/>
      <c r="DVB11" s="283"/>
      <c r="DVC11" s="283"/>
      <c r="DVD11" s="283"/>
      <c r="DVE11" s="283"/>
      <c r="DVF11" s="283"/>
      <c r="DVG11" s="283"/>
      <c r="DVH11" s="283"/>
      <c r="DVI11" s="283"/>
      <c r="DVJ11" s="283"/>
      <c r="DVK11" s="283"/>
      <c r="DVL11" s="283"/>
      <c r="DVM11" s="283"/>
      <c r="DVN11" s="283"/>
      <c r="DVO11" s="283"/>
      <c r="DVP11" s="283"/>
      <c r="DVQ11" s="283"/>
      <c r="DVR11" s="283"/>
      <c r="DVS11" s="283"/>
      <c r="DVT11" s="283"/>
      <c r="DVU11" s="283"/>
      <c r="DVV11" s="283"/>
      <c r="DVW11" s="283"/>
      <c r="DVX11" s="283"/>
      <c r="DVY11" s="283"/>
      <c r="DVZ11" s="283"/>
      <c r="DWA11" s="283"/>
      <c r="DWB11" s="283"/>
      <c r="DWC11" s="283"/>
      <c r="DWD11" s="283"/>
      <c r="DWE11" s="283"/>
      <c r="DWF11" s="283"/>
      <c r="DWG11" s="283"/>
      <c r="DWH11" s="283"/>
      <c r="DWI11" s="283"/>
      <c r="DWJ11" s="283"/>
      <c r="DWK11" s="283"/>
      <c r="DWL11" s="283"/>
      <c r="DWM11" s="283"/>
      <c r="DWN11" s="283"/>
      <c r="DWO11" s="283"/>
      <c r="DWP11" s="283"/>
      <c r="DWQ11" s="283"/>
      <c r="DWR11" s="283"/>
      <c r="DWS11" s="283"/>
      <c r="DWT11" s="283"/>
      <c r="DWU11" s="283"/>
      <c r="DWV11" s="283"/>
      <c r="DWW11" s="283"/>
      <c r="DWX11" s="283"/>
      <c r="DWY11" s="283"/>
      <c r="DWZ11" s="283"/>
      <c r="DXA11" s="283"/>
      <c r="DXB11" s="283"/>
      <c r="DXC11" s="283"/>
      <c r="DXD11" s="283"/>
      <c r="DXE11" s="283"/>
      <c r="DXF11" s="283"/>
      <c r="DXG11" s="283"/>
      <c r="DXH11" s="283"/>
      <c r="DXI11" s="283"/>
      <c r="DXJ11" s="283"/>
      <c r="DXK11" s="283"/>
      <c r="DXL11" s="283"/>
      <c r="DXM11" s="283"/>
      <c r="DXN11" s="283"/>
      <c r="DXO11" s="283"/>
      <c r="DXP11" s="283"/>
      <c r="DXQ11" s="283"/>
      <c r="DXR11" s="283"/>
      <c r="DXS11" s="283"/>
      <c r="DXT11" s="283"/>
      <c r="DXU11" s="283"/>
      <c r="DXV11" s="283"/>
      <c r="DXW11" s="283"/>
      <c r="DXX11" s="283"/>
      <c r="DXY11" s="283"/>
      <c r="DXZ11" s="283"/>
      <c r="DYA11" s="283"/>
      <c r="DYB11" s="283"/>
      <c r="DYC11" s="283"/>
      <c r="DYD11" s="283"/>
      <c r="DYE11" s="283"/>
      <c r="DYF11" s="283"/>
      <c r="DYG11" s="283"/>
      <c r="DYH11" s="283"/>
      <c r="DYI11" s="283"/>
      <c r="DYJ11" s="283"/>
      <c r="DYK11" s="283"/>
      <c r="DYL11" s="283"/>
      <c r="DYM11" s="283"/>
      <c r="DYN11" s="283"/>
      <c r="DYO11" s="283"/>
      <c r="DYP11" s="283"/>
      <c r="DYQ11" s="283"/>
      <c r="DYR11" s="283"/>
      <c r="DYS11" s="283"/>
      <c r="DYT11" s="283"/>
      <c r="DYU11" s="283"/>
      <c r="DYV11" s="283"/>
      <c r="DYW11" s="283"/>
      <c r="DYX11" s="283"/>
      <c r="DYY11" s="283"/>
      <c r="DYZ11" s="283"/>
      <c r="DZA11" s="283"/>
      <c r="DZB11" s="283"/>
      <c r="DZC11" s="283"/>
      <c r="DZD11" s="283"/>
      <c r="DZE11" s="283"/>
      <c r="DZF11" s="283"/>
      <c r="DZG11" s="283"/>
      <c r="DZH11" s="283"/>
      <c r="DZI11" s="283"/>
      <c r="DZJ11" s="283"/>
      <c r="DZK11" s="283"/>
      <c r="DZL11" s="283"/>
      <c r="DZM11" s="283"/>
      <c r="DZN11" s="283"/>
      <c r="DZO11" s="283"/>
      <c r="DZP11" s="283"/>
      <c r="DZQ11" s="283"/>
      <c r="DZR11" s="283"/>
      <c r="DZS11" s="283"/>
      <c r="DZT11" s="283"/>
      <c r="DZU11" s="283"/>
      <c r="DZV11" s="283"/>
      <c r="DZW11" s="283"/>
      <c r="DZX11" s="283"/>
      <c r="DZY11" s="283"/>
      <c r="DZZ11" s="283"/>
      <c r="EAA11" s="283"/>
      <c r="EAB11" s="283"/>
      <c r="EAC11" s="283"/>
      <c r="EAD11" s="283"/>
      <c r="EAE11" s="283"/>
      <c r="EAF11" s="283"/>
      <c r="EAG11" s="283"/>
      <c r="EAH11" s="283"/>
      <c r="EAI11" s="283"/>
      <c r="EAJ11" s="283"/>
      <c r="EAK11" s="283"/>
      <c r="EAL11" s="283"/>
      <c r="EAM11" s="283"/>
      <c r="EAN11" s="283"/>
      <c r="EAO11" s="283"/>
      <c r="EAP11" s="283"/>
      <c r="EAQ11" s="283"/>
      <c r="EAR11" s="283"/>
      <c r="EAS11" s="283"/>
      <c r="EAT11" s="283"/>
      <c r="EAU11" s="283"/>
      <c r="EAV11" s="283"/>
      <c r="EAW11" s="283"/>
      <c r="EAX11" s="283"/>
      <c r="EAY11" s="283"/>
      <c r="EAZ11" s="283"/>
      <c r="EBA11" s="283"/>
      <c r="EBB11" s="283"/>
      <c r="EBC11" s="283"/>
      <c r="EBD11" s="283"/>
      <c r="EBE11" s="283"/>
      <c r="EBF11" s="283"/>
      <c r="EBG11" s="283"/>
      <c r="EBH11" s="283"/>
      <c r="EBI11" s="283"/>
      <c r="EBJ11" s="283"/>
      <c r="EBK11" s="283"/>
      <c r="EBL11" s="283"/>
      <c r="EBM11" s="283"/>
      <c r="EBN11" s="283"/>
      <c r="EBO11" s="283"/>
      <c r="EBP11" s="283"/>
      <c r="EBQ11" s="283"/>
      <c r="EBR11" s="283"/>
      <c r="EBS11" s="283"/>
      <c r="EBT11" s="283"/>
      <c r="EBU11" s="283"/>
      <c r="EBV11" s="283"/>
      <c r="EBW11" s="283"/>
      <c r="EBX11" s="283"/>
      <c r="EBY11" s="283"/>
      <c r="EBZ11" s="283"/>
      <c r="ECA11" s="283"/>
      <c r="ECB11" s="283"/>
      <c r="ECC11" s="283"/>
      <c r="ECD11" s="283"/>
      <c r="ECE11" s="283"/>
      <c r="ECF11" s="283"/>
      <c r="ECG11" s="283"/>
      <c r="ECH11" s="283"/>
      <c r="ECI11" s="283"/>
      <c r="ECJ11" s="283"/>
      <c r="ECK11" s="283"/>
      <c r="ECL11" s="283"/>
      <c r="ECM11" s="283"/>
      <c r="ECN11" s="283"/>
      <c r="ECO11" s="283"/>
      <c r="ECP11" s="283"/>
      <c r="ECQ11" s="283"/>
      <c r="ECR11" s="283"/>
      <c r="ECS11" s="283"/>
      <c r="ECT11" s="283"/>
      <c r="ECU11" s="283"/>
      <c r="ECV11" s="283"/>
      <c r="ECW11" s="283"/>
      <c r="ECX11" s="283"/>
      <c r="ECY11" s="283"/>
      <c r="ECZ11" s="283"/>
      <c r="EDA11" s="283"/>
      <c r="EDB11" s="283"/>
      <c r="EDC11" s="283"/>
      <c r="EDD11" s="283"/>
      <c r="EDE11" s="283"/>
      <c r="EDF11" s="283"/>
      <c r="EDG11" s="283"/>
      <c r="EDH11" s="283"/>
      <c r="EDI11" s="283"/>
      <c r="EDJ11" s="283"/>
      <c r="EDK11" s="283"/>
      <c r="EDL11" s="283"/>
      <c r="EDM11" s="283"/>
      <c r="EDN11" s="283"/>
      <c r="EDO11" s="283"/>
      <c r="EDP11" s="283"/>
      <c r="EDQ11" s="283"/>
      <c r="EDR11" s="283"/>
      <c r="EDS11" s="283"/>
      <c r="EDT11" s="283"/>
      <c r="EDU11" s="283"/>
      <c r="EDV11" s="283"/>
      <c r="EDW11" s="283"/>
      <c r="EDX11" s="283"/>
      <c r="EDY11" s="283"/>
      <c r="EDZ11" s="283"/>
      <c r="EEA11" s="283"/>
      <c r="EEB11" s="283"/>
      <c r="EEC11" s="283"/>
      <c r="EED11" s="283"/>
      <c r="EEE11" s="283"/>
      <c r="EEF11" s="283"/>
      <c r="EEG11" s="283"/>
      <c r="EEH11" s="283"/>
      <c r="EEI11" s="283"/>
      <c r="EEJ11" s="283"/>
      <c r="EEK11" s="283"/>
      <c r="EEL11" s="283"/>
      <c r="EEM11" s="283"/>
      <c r="EEN11" s="283"/>
      <c r="EEO11" s="283"/>
      <c r="EEP11" s="283"/>
      <c r="EEQ11" s="283"/>
      <c r="EER11" s="283"/>
      <c r="EES11" s="283"/>
      <c r="EET11" s="283"/>
      <c r="EEU11" s="283"/>
      <c r="EEV11" s="283"/>
      <c r="EEW11" s="283"/>
      <c r="EEX11" s="283"/>
      <c r="EEY11" s="283"/>
      <c r="EEZ11" s="283"/>
      <c r="EFA11" s="283"/>
      <c r="EFB11" s="283"/>
      <c r="EFC11" s="283"/>
      <c r="EFD11" s="283"/>
      <c r="EFE11" s="283"/>
      <c r="EFF11" s="283"/>
      <c r="EFG11" s="283"/>
      <c r="EFH11" s="283"/>
      <c r="EFI11" s="283"/>
      <c r="EFJ11" s="283"/>
      <c r="EFK11" s="283"/>
      <c r="EFL11" s="283"/>
      <c r="EFM11" s="283"/>
      <c r="EFN11" s="283"/>
      <c r="EFO11" s="283"/>
      <c r="EFP11" s="283"/>
      <c r="EFQ11" s="283"/>
      <c r="EFR11" s="283"/>
      <c r="EFS11" s="283"/>
      <c r="EFT11" s="283"/>
      <c r="EFU11" s="283"/>
      <c r="EFV11" s="283"/>
      <c r="EFW11" s="283"/>
      <c r="EFX11" s="283"/>
      <c r="EFY11" s="283"/>
      <c r="EFZ11" s="283"/>
      <c r="EGA11" s="283"/>
      <c r="EGB11" s="283"/>
      <c r="EGC11" s="283"/>
      <c r="EGD11" s="283"/>
      <c r="EGE11" s="283"/>
      <c r="EGF11" s="283"/>
      <c r="EGG11" s="283"/>
      <c r="EGH11" s="283"/>
      <c r="EGI11" s="283"/>
      <c r="EGJ11" s="283"/>
      <c r="EGK11" s="283"/>
      <c r="EGL11" s="283"/>
      <c r="EGM11" s="283"/>
      <c r="EGN11" s="283"/>
      <c r="EGO11" s="283"/>
      <c r="EGP11" s="283"/>
      <c r="EGQ11" s="283"/>
      <c r="EGR11" s="283"/>
      <c r="EGS11" s="283"/>
      <c r="EGT11" s="283"/>
      <c r="EGU11" s="283"/>
      <c r="EGV11" s="283"/>
      <c r="EGW11" s="283"/>
      <c r="EGX11" s="283"/>
      <c r="EGY11" s="283"/>
      <c r="EGZ11" s="283"/>
      <c r="EHA11" s="283"/>
      <c r="EHB11" s="283"/>
      <c r="EHC11" s="283"/>
      <c r="EHD11" s="283"/>
      <c r="EHE11" s="283"/>
      <c r="EHF11" s="283"/>
      <c r="EHG11" s="283"/>
      <c r="EHH11" s="283"/>
      <c r="EHI11" s="283"/>
      <c r="EHJ11" s="283"/>
      <c r="EHK11" s="283"/>
      <c r="EHL11" s="283"/>
      <c r="EHM11" s="283"/>
      <c r="EHN11" s="283"/>
      <c r="EHO11" s="283"/>
      <c r="EHP11" s="283"/>
      <c r="EHQ11" s="283"/>
      <c r="EHR11" s="283"/>
      <c r="EHS11" s="283"/>
      <c r="EHT11" s="283"/>
      <c r="EHU11" s="283"/>
      <c r="EHV11" s="283"/>
      <c r="EHW11" s="283"/>
      <c r="EHX11" s="283"/>
      <c r="EHY11" s="283"/>
      <c r="EHZ11" s="283"/>
      <c r="EIA11" s="283"/>
      <c r="EIB11" s="283"/>
      <c r="EIC11" s="283"/>
      <c r="EID11" s="283"/>
      <c r="EIE11" s="283"/>
      <c r="EIF11" s="283"/>
      <c r="EIG11" s="283"/>
      <c r="EIH11" s="283"/>
      <c r="EII11" s="283"/>
      <c r="EIJ11" s="283"/>
      <c r="EIK11" s="283"/>
      <c r="EIL11" s="283"/>
      <c r="EIM11" s="283"/>
      <c r="EIN11" s="283"/>
      <c r="EIO11" s="283"/>
      <c r="EIP11" s="283"/>
      <c r="EIQ11" s="283"/>
      <c r="EIR11" s="283"/>
      <c r="EIS11" s="283"/>
      <c r="EIT11" s="283"/>
      <c r="EIU11" s="283"/>
      <c r="EIV11" s="283"/>
      <c r="EIW11" s="283"/>
      <c r="EIX11" s="283"/>
      <c r="EIY11" s="283"/>
      <c r="EIZ11" s="283"/>
      <c r="EJA11" s="283"/>
      <c r="EJB11" s="283"/>
      <c r="EJC11" s="283"/>
      <c r="EJD11" s="283"/>
      <c r="EJE11" s="283"/>
      <c r="EJF11" s="283"/>
      <c r="EJG11" s="283"/>
      <c r="EJH11" s="283"/>
      <c r="EJI11" s="283"/>
      <c r="EJJ11" s="283"/>
      <c r="EJK11" s="283"/>
      <c r="EJL11" s="283"/>
      <c r="EJM11" s="283"/>
      <c r="EJN11" s="283"/>
      <c r="EJO11" s="283"/>
      <c r="EJP11" s="283"/>
      <c r="EJQ11" s="283"/>
      <c r="EJR11" s="283"/>
      <c r="EJS11" s="283"/>
      <c r="EJT11" s="283"/>
      <c r="EJU11" s="283"/>
      <c r="EJV11" s="283"/>
      <c r="EJW11" s="283"/>
      <c r="EJX11" s="283"/>
      <c r="EJY11" s="283"/>
      <c r="EJZ11" s="283"/>
      <c r="EKA11" s="283"/>
      <c r="EKB11" s="283"/>
      <c r="EKC11" s="283"/>
      <c r="EKD11" s="283"/>
      <c r="EKE11" s="283"/>
      <c r="EKF11" s="283"/>
      <c r="EKG11" s="283"/>
      <c r="EKH11" s="283"/>
      <c r="EKI11" s="283"/>
      <c r="EKJ11" s="283"/>
      <c r="EKK11" s="283"/>
      <c r="EKL11" s="283"/>
      <c r="EKM11" s="283"/>
      <c r="EKN11" s="283"/>
      <c r="EKO11" s="283"/>
      <c r="EKP11" s="283"/>
      <c r="EKQ11" s="283"/>
      <c r="EKR11" s="283"/>
      <c r="EKS11" s="283"/>
      <c r="EKT11" s="283"/>
      <c r="EKU11" s="283"/>
      <c r="EKV11" s="283"/>
      <c r="EKW11" s="283"/>
      <c r="EKX11" s="283"/>
      <c r="EKY11" s="283"/>
      <c r="EKZ11" s="283"/>
      <c r="ELA11" s="283"/>
      <c r="ELB11" s="283"/>
      <c r="ELC11" s="283"/>
      <c r="ELD11" s="283"/>
      <c r="ELE11" s="283"/>
      <c r="ELF11" s="283"/>
      <c r="ELG11" s="283"/>
      <c r="ELH11" s="283"/>
      <c r="ELI11" s="283"/>
      <c r="ELJ11" s="283"/>
      <c r="ELK11" s="283"/>
      <c r="ELL11" s="283"/>
      <c r="ELM11" s="283"/>
      <c r="ELN11" s="283"/>
      <c r="ELO11" s="283"/>
      <c r="ELP11" s="283"/>
      <c r="ELQ11" s="283"/>
      <c r="ELR11" s="283"/>
      <c r="ELS11" s="283"/>
      <c r="ELT11" s="283"/>
      <c r="ELU11" s="283"/>
      <c r="ELV11" s="283"/>
      <c r="ELW11" s="283"/>
      <c r="ELX11" s="283"/>
      <c r="ELY11" s="283"/>
      <c r="ELZ11" s="283"/>
      <c r="EMA11" s="283"/>
      <c r="EMB11" s="283"/>
      <c r="EMC11" s="283"/>
      <c r="EMD11" s="283"/>
      <c r="EME11" s="283"/>
      <c r="EMF11" s="283"/>
      <c r="EMG11" s="283"/>
      <c r="EMH11" s="283"/>
      <c r="EMI11" s="283"/>
      <c r="EMJ11" s="283"/>
      <c r="EMK11" s="283"/>
      <c r="EML11" s="283"/>
      <c r="EMM11" s="283"/>
      <c r="EMN11" s="283"/>
      <c r="EMO11" s="283"/>
      <c r="EMP11" s="283"/>
      <c r="EMQ11" s="283"/>
      <c r="EMR11" s="283"/>
      <c r="EMS11" s="283"/>
      <c r="EMT11" s="283"/>
      <c r="EMU11" s="283"/>
      <c r="EMV11" s="283"/>
      <c r="EMW11" s="283"/>
      <c r="EMX11" s="283"/>
      <c r="EMY11" s="283"/>
      <c r="EMZ11" s="283"/>
      <c r="ENA11" s="283"/>
      <c r="ENB11" s="283"/>
      <c r="ENC11" s="283"/>
      <c r="END11" s="283"/>
      <c r="ENE11" s="283"/>
      <c r="ENF11" s="283"/>
      <c r="ENG11" s="283"/>
      <c r="ENH11" s="283"/>
      <c r="ENI11" s="283"/>
      <c r="ENJ11" s="283"/>
      <c r="ENK11" s="283"/>
      <c r="ENL11" s="283"/>
      <c r="ENM11" s="283"/>
      <c r="ENN11" s="283"/>
      <c r="ENO11" s="283"/>
      <c r="ENP11" s="283"/>
      <c r="ENQ11" s="283"/>
      <c r="ENR11" s="283"/>
      <c r="ENS11" s="283"/>
      <c r="ENT11" s="283"/>
      <c r="ENU11" s="283"/>
      <c r="ENV11" s="283"/>
      <c r="ENW11" s="283"/>
      <c r="ENX11" s="283"/>
      <c r="ENY11" s="283"/>
      <c r="ENZ11" s="283"/>
      <c r="EOA11" s="283"/>
      <c r="EOB11" s="283"/>
      <c r="EOC11" s="283"/>
      <c r="EOD11" s="283"/>
      <c r="EOE11" s="283"/>
      <c r="EOF11" s="283"/>
      <c r="EOG11" s="283"/>
      <c r="EOH11" s="283"/>
      <c r="EOI11" s="283"/>
      <c r="EOJ11" s="283"/>
      <c r="EOK11" s="283"/>
      <c r="EOL11" s="283"/>
      <c r="EOM11" s="283"/>
      <c r="EON11" s="283"/>
      <c r="EOO11" s="283"/>
      <c r="EOP11" s="283"/>
      <c r="EOQ11" s="283"/>
      <c r="EOR11" s="283"/>
      <c r="EOS11" s="283"/>
      <c r="EOT11" s="283"/>
      <c r="EOU11" s="283"/>
      <c r="EOV11" s="283"/>
      <c r="EOW11" s="283"/>
      <c r="EOX11" s="283"/>
      <c r="EOY11" s="283"/>
      <c r="EOZ11" s="283"/>
      <c r="EPA11" s="283"/>
      <c r="EPB11" s="283"/>
      <c r="EPC11" s="283"/>
      <c r="EPD11" s="283"/>
      <c r="EPE11" s="283"/>
      <c r="EPF11" s="283"/>
      <c r="EPG11" s="283"/>
      <c r="EPH11" s="283"/>
      <c r="EPI11" s="283"/>
      <c r="EPJ11" s="283"/>
      <c r="EPK11" s="283"/>
      <c r="EPL11" s="283"/>
      <c r="EPM11" s="283"/>
      <c r="EPN11" s="283"/>
      <c r="EPO11" s="283"/>
      <c r="EPP11" s="283"/>
      <c r="EPQ11" s="283"/>
      <c r="EPR11" s="283"/>
      <c r="EPS11" s="283"/>
      <c r="EPT11" s="283"/>
      <c r="EPU11" s="283"/>
      <c r="EPV11" s="283"/>
      <c r="EPW11" s="283"/>
      <c r="EPX11" s="283"/>
      <c r="EPY11" s="283"/>
      <c r="EPZ11" s="283"/>
      <c r="EQA11" s="283"/>
      <c r="EQB11" s="283"/>
      <c r="EQC11" s="283"/>
      <c r="EQD11" s="283"/>
      <c r="EQE11" s="283"/>
      <c r="EQF11" s="283"/>
      <c r="EQG11" s="283"/>
      <c r="EQH11" s="283"/>
      <c r="EQI11" s="283"/>
      <c r="EQJ11" s="283"/>
      <c r="EQK11" s="283"/>
      <c r="EQL11" s="283"/>
      <c r="EQM11" s="283"/>
      <c r="EQN11" s="283"/>
      <c r="EQO11" s="283"/>
      <c r="EQP11" s="283"/>
      <c r="EQQ11" s="283"/>
      <c r="EQR11" s="283"/>
      <c r="EQS11" s="283"/>
      <c r="EQT11" s="283"/>
      <c r="EQU11" s="283"/>
      <c r="EQV11" s="283"/>
      <c r="EQW11" s="283"/>
      <c r="EQX11" s="283"/>
      <c r="EQY11" s="283"/>
      <c r="EQZ11" s="283"/>
      <c r="ERA11" s="283"/>
      <c r="ERB11" s="283"/>
      <c r="ERC11" s="283"/>
      <c r="ERD11" s="283"/>
      <c r="ERE11" s="283"/>
      <c r="ERF11" s="283"/>
      <c r="ERG11" s="283"/>
      <c r="ERH11" s="283"/>
      <c r="ERI11" s="283"/>
      <c r="ERJ11" s="283"/>
      <c r="ERK11" s="283"/>
      <c r="ERL11" s="283"/>
      <c r="ERM11" s="283"/>
      <c r="ERN11" s="283"/>
      <c r="ERO11" s="283"/>
      <c r="ERP11" s="283"/>
      <c r="ERQ11" s="283"/>
      <c r="ERR11" s="283"/>
      <c r="ERS11" s="283"/>
      <c r="ERT11" s="283"/>
      <c r="ERU11" s="283"/>
      <c r="ERV11" s="283"/>
      <c r="ERW11" s="283"/>
      <c r="ERX11" s="283"/>
      <c r="ERY11" s="283"/>
      <c r="ERZ11" s="283"/>
      <c r="ESA11" s="283"/>
      <c r="ESB11" s="283"/>
      <c r="ESC11" s="283"/>
      <c r="ESD11" s="283"/>
      <c r="ESE11" s="283"/>
      <c r="ESF11" s="283"/>
      <c r="ESG11" s="283"/>
      <c r="ESH11" s="283"/>
      <c r="ESI11" s="283"/>
      <c r="ESJ11" s="283"/>
      <c r="ESK11" s="283"/>
      <c r="ESL11" s="283"/>
      <c r="ESM11" s="283"/>
      <c r="ESN11" s="283"/>
      <c r="ESO11" s="283"/>
      <c r="ESP11" s="283"/>
      <c r="ESQ11" s="283"/>
      <c r="ESR11" s="283"/>
      <c r="ESS11" s="283"/>
      <c r="EST11" s="283"/>
      <c r="ESU11" s="283"/>
      <c r="ESV11" s="283"/>
      <c r="ESW11" s="283"/>
      <c r="ESX11" s="283"/>
      <c r="ESY11" s="283"/>
      <c r="ESZ11" s="283"/>
      <c r="ETA11" s="283"/>
      <c r="ETB11" s="283"/>
      <c r="ETC11" s="283"/>
      <c r="ETD11" s="283"/>
      <c r="ETE11" s="283"/>
      <c r="ETF11" s="283"/>
      <c r="ETG11" s="283"/>
      <c r="ETH11" s="283"/>
      <c r="ETI11" s="283"/>
      <c r="ETJ11" s="283"/>
      <c r="ETK11" s="283"/>
      <c r="ETL11" s="283"/>
      <c r="ETM11" s="283"/>
      <c r="ETN11" s="283"/>
      <c r="ETO11" s="283"/>
      <c r="ETP11" s="283"/>
      <c r="ETQ11" s="283"/>
      <c r="ETR11" s="283"/>
      <c r="ETS11" s="283"/>
      <c r="ETT11" s="283"/>
      <c r="ETU11" s="283"/>
      <c r="ETV11" s="283"/>
      <c r="ETW11" s="283"/>
      <c r="ETX11" s="283"/>
      <c r="ETY11" s="283"/>
      <c r="ETZ11" s="283"/>
      <c r="EUA11" s="283"/>
      <c r="EUB11" s="283"/>
      <c r="EUC11" s="283"/>
      <c r="EUD11" s="283"/>
      <c r="EUE11" s="283"/>
      <c r="EUF11" s="283"/>
      <c r="EUG11" s="283"/>
      <c r="EUH11" s="283"/>
      <c r="EUI11" s="283"/>
      <c r="EUJ11" s="283"/>
      <c r="EUK11" s="283"/>
      <c r="EUL11" s="283"/>
      <c r="EUM11" s="283"/>
      <c r="EUN11" s="283"/>
      <c r="EUO11" s="283"/>
      <c r="EUP11" s="283"/>
      <c r="EUQ11" s="283"/>
      <c r="EUR11" s="283"/>
      <c r="EUS11" s="283"/>
      <c r="EUT11" s="283"/>
      <c r="EUU11" s="283"/>
      <c r="EUV11" s="283"/>
      <c r="EUW11" s="283"/>
      <c r="EUX11" s="283"/>
      <c r="EUY11" s="283"/>
      <c r="EUZ11" s="283"/>
      <c r="EVA11" s="283"/>
      <c r="EVB11" s="283"/>
      <c r="EVC11" s="283"/>
      <c r="EVD11" s="283"/>
      <c r="EVE11" s="283"/>
      <c r="EVF11" s="283"/>
      <c r="EVG11" s="283"/>
      <c r="EVH11" s="283"/>
      <c r="EVI11" s="283"/>
      <c r="EVJ11" s="283"/>
      <c r="EVK11" s="283"/>
      <c r="EVL11" s="283"/>
      <c r="EVM11" s="283"/>
      <c r="EVN11" s="283"/>
      <c r="EVO11" s="283"/>
      <c r="EVP11" s="283"/>
      <c r="EVQ11" s="283"/>
      <c r="EVR11" s="283"/>
      <c r="EVS11" s="283"/>
      <c r="EVT11" s="283"/>
      <c r="EVU11" s="283"/>
      <c r="EVV11" s="283"/>
      <c r="EVW11" s="283"/>
      <c r="EVX11" s="283"/>
      <c r="EVY11" s="283"/>
      <c r="EVZ11" s="283"/>
      <c r="EWA11" s="283"/>
      <c r="EWB11" s="283"/>
      <c r="EWC11" s="283"/>
      <c r="EWD11" s="283"/>
      <c r="EWE11" s="283"/>
      <c r="EWF11" s="283"/>
      <c r="EWG11" s="283"/>
      <c r="EWH11" s="283"/>
      <c r="EWI11" s="283"/>
      <c r="EWJ11" s="283"/>
      <c r="EWK11" s="283"/>
      <c r="EWL11" s="283"/>
      <c r="EWM11" s="283"/>
      <c r="EWN11" s="283"/>
      <c r="EWO11" s="283"/>
      <c r="EWP11" s="283"/>
      <c r="EWQ11" s="283"/>
      <c r="EWR11" s="283"/>
      <c r="EWS11" s="283"/>
      <c r="EWT11" s="283"/>
      <c r="EWU11" s="283"/>
      <c r="EWV11" s="283"/>
      <c r="EWW11" s="283"/>
      <c r="EWX11" s="283"/>
      <c r="EWY11" s="283"/>
      <c r="EWZ11" s="283"/>
      <c r="EXA11" s="283"/>
      <c r="EXB11" s="283"/>
      <c r="EXC11" s="283"/>
      <c r="EXD11" s="283"/>
      <c r="EXE11" s="283"/>
      <c r="EXF11" s="283"/>
      <c r="EXG11" s="283"/>
      <c r="EXH11" s="283"/>
      <c r="EXI11" s="283"/>
      <c r="EXJ11" s="283"/>
      <c r="EXK11" s="283"/>
      <c r="EXL11" s="283"/>
      <c r="EXM11" s="283"/>
      <c r="EXN11" s="283"/>
      <c r="EXO11" s="283"/>
      <c r="EXP11" s="283"/>
      <c r="EXQ11" s="283"/>
      <c r="EXR11" s="283"/>
      <c r="EXS11" s="283"/>
      <c r="EXT11" s="283"/>
      <c r="EXU11" s="283"/>
      <c r="EXV11" s="283"/>
      <c r="EXW11" s="283"/>
      <c r="EXX11" s="283"/>
      <c r="EXY11" s="283"/>
      <c r="EXZ11" s="283"/>
      <c r="EYA11" s="283"/>
      <c r="EYB11" s="283"/>
      <c r="EYC11" s="283"/>
      <c r="EYD11" s="283"/>
      <c r="EYE11" s="283"/>
      <c r="EYF11" s="283"/>
      <c r="EYG11" s="283"/>
      <c r="EYH11" s="283"/>
      <c r="EYI11" s="283"/>
      <c r="EYJ11" s="283"/>
      <c r="EYK11" s="283"/>
      <c r="EYL11" s="283"/>
      <c r="EYM11" s="283"/>
      <c r="EYN11" s="283"/>
      <c r="EYO11" s="283"/>
      <c r="EYP11" s="283"/>
      <c r="EYQ11" s="283"/>
      <c r="EYR11" s="283"/>
      <c r="EYS11" s="283"/>
      <c r="EYT11" s="283"/>
      <c r="EYU11" s="283"/>
      <c r="EYV11" s="283"/>
      <c r="EYW11" s="283"/>
      <c r="EYX11" s="283"/>
      <c r="EYY11" s="283"/>
      <c r="EYZ11" s="283"/>
      <c r="EZA11" s="283"/>
      <c r="EZB11" s="283"/>
      <c r="EZC11" s="283"/>
      <c r="EZD11" s="283"/>
      <c r="EZE11" s="283"/>
      <c r="EZF11" s="283"/>
      <c r="EZG11" s="283"/>
      <c r="EZH11" s="283"/>
      <c r="EZI11" s="283"/>
      <c r="EZJ11" s="283"/>
      <c r="EZK11" s="283"/>
      <c r="EZL11" s="283"/>
      <c r="EZM11" s="283"/>
      <c r="EZN11" s="283"/>
      <c r="EZO11" s="283"/>
      <c r="EZP11" s="283"/>
      <c r="EZQ11" s="283"/>
      <c r="EZR11" s="283"/>
      <c r="EZS11" s="283"/>
      <c r="EZT11" s="283"/>
      <c r="EZU11" s="283"/>
      <c r="EZV11" s="283"/>
      <c r="EZW11" s="283"/>
      <c r="EZX11" s="283"/>
      <c r="EZY11" s="283"/>
      <c r="EZZ11" s="283"/>
      <c r="FAA11" s="283"/>
      <c r="FAB11" s="283"/>
      <c r="FAC11" s="283"/>
      <c r="FAD11" s="283"/>
      <c r="FAE11" s="283"/>
      <c r="FAF11" s="283"/>
      <c r="FAG11" s="283"/>
      <c r="FAH11" s="283"/>
      <c r="FAI11" s="283"/>
      <c r="FAJ11" s="283"/>
      <c r="FAK11" s="283"/>
      <c r="FAL11" s="283"/>
      <c r="FAM11" s="283"/>
      <c r="FAN11" s="283"/>
      <c r="FAO11" s="283"/>
      <c r="FAP11" s="283"/>
      <c r="FAQ11" s="283"/>
      <c r="FAR11" s="283"/>
      <c r="FAS11" s="283"/>
      <c r="FAT11" s="283"/>
      <c r="FAU11" s="283"/>
      <c r="FAV11" s="283"/>
      <c r="FAW11" s="283"/>
      <c r="FAX11" s="283"/>
      <c r="FAY11" s="283"/>
      <c r="FAZ11" s="283"/>
      <c r="FBA11" s="283"/>
      <c r="FBB11" s="283"/>
      <c r="FBC11" s="283"/>
      <c r="FBD11" s="283"/>
      <c r="FBE11" s="283"/>
      <c r="FBF11" s="283"/>
      <c r="FBG11" s="283"/>
      <c r="FBH11" s="283"/>
      <c r="FBI11" s="283"/>
      <c r="FBJ11" s="283"/>
      <c r="FBK11" s="283"/>
      <c r="FBL11" s="283"/>
      <c r="FBM11" s="283"/>
      <c r="FBN11" s="283"/>
      <c r="FBO11" s="283"/>
      <c r="FBP11" s="283"/>
      <c r="FBQ11" s="283"/>
      <c r="FBR11" s="283"/>
      <c r="FBS11" s="283"/>
      <c r="FBT11" s="283"/>
      <c r="FBU11" s="283"/>
      <c r="FBV11" s="283"/>
      <c r="FBW11" s="283"/>
      <c r="FBX11" s="283"/>
      <c r="FBY11" s="283"/>
      <c r="FBZ11" s="283"/>
      <c r="FCA11" s="283"/>
      <c r="FCB11" s="283"/>
      <c r="FCC11" s="283"/>
      <c r="FCD11" s="283"/>
      <c r="FCE11" s="283"/>
      <c r="FCF11" s="283"/>
      <c r="FCG11" s="283"/>
      <c r="FCH11" s="283"/>
      <c r="FCI11" s="283"/>
      <c r="FCJ11" s="283"/>
      <c r="FCK11" s="283"/>
      <c r="FCL11" s="283"/>
      <c r="FCM11" s="283"/>
      <c r="FCN11" s="283"/>
      <c r="FCO11" s="283"/>
      <c r="FCP11" s="283"/>
      <c r="FCQ11" s="283"/>
      <c r="FCR11" s="283"/>
      <c r="FCS11" s="283"/>
      <c r="FCT11" s="283"/>
      <c r="FCU11" s="283"/>
      <c r="FCV11" s="283"/>
      <c r="FCW11" s="283"/>
      <c r="FCX11" s="283"/>
      <c r="FCY11" s="283"/>
      <c r="FCZ11" s="283"/>
      <c r="FDA11" s="283"/>
      <c r="FDB11" s="283"/>
      <c r="FDC11" s="283"/>
      <c r="FDD11" s="283"/>
      <c r="FDE11" s="283"/>
      <c r="FDF11" s="283"/>
      <c r="FDG11" s="283"/>
      <c r="FDH11" s="283"/>
      <c r="FDI11" s="283"/>
      <c r="FDJ11" s="283"/>
      <c r="FDK11" s="283"/>
      <c r="FDL11" s="283"/>
      <c r="FDM11" s="283"/>
      <c r="FDN11" s="283"/>
      <c r="FDO11" s="283"/>
      <c r="FDP11" s="283"/>
      <c r="FDQ11" s="283"/>
      <c r="FDR11" s="283"/>
      <c r="FDS11" s="283"/>
      <c r="FDT11" s="283"/>
      <c r="FDU11" s="283"/>
      <c r="FDV11" s="283"/>
      <c r="FDW11" s="283"/>
      <c r="FDX11" s="283"/>
      <c r="FDY11" s="283"/>
      <c r="FDZ11" s="283"/>
      <c r="FEA11" s="283"/>
      <c r="FEB11" s="283"/>
      <c r="FEC11" s="283"/>
      <c r="FED11" s="283"/>
      <c r="FEE11" s="283"/>
      <c r="FEF11" s="283"/>
      <c r="FEG11" s="283"/>
      <c r="FEH11" s="283"/>
      <c r="FEI11" s="283"/>
      <c r="FEJ11" s="283"/>
      <c r="FEK11" s="283"/>
      <c r="FEL11" s="283"/>
      <c r="FEM11" s="283"/>
      <c r="FEN11" s="283"/>
      <c r="FEO11" s="283"/>
      <c r="FEP11" s="283"/>
      <c r="FEQ11" s="283"/>
      <c r="FER11" s="283"/>
      <c r="FES11" s="283"/>
      <c r="FET11" s="283"/>
      <c r="FEU11" s="283"/>
      <c r="FEV11" s="283"/>
      <c r="FEW11" s="283"/>
      <c r="FEX11" s="283"/>
      <c r="FEY11" s="283"/>
      <c r="FEZ11" s="283"/>
      <c r="FFA11" s="283"/>
      <c r="FFB11" s="283"/>
      <c r="FFC11" s="283"/>
      <c r="FFD11" s="283"/>
      <c r="FFE11" s="283"/>
      <c r="FFF11" s="283"/>
      <c r="FFG11" s="283"/>
      <c r="FFH11" s="283"/>
      <c r="FFI11" s="283"/>
      <c r="FFJ11" s="283"/>
      <c r="FFK11" s="283"/>
      <c r="FFL11" s="283"/>
      <c r="FFM11" s="283"/>
      <c r="FFN11" s="283"/>
      <c r="FFO11" s="283"/>
      <c r="FFP11" s="283"/>
      <c r="FFQ11" s="283"/>
      <c r="FFR11" s="283"/>
      <c r="FFS11" s="283"/>
      <c r="FFT11" s="283"/>
      <c r="FFU11" s="283"/>
      <c r="FFV11" s="283"/>
      <c r="FFW11" s="283"/>
      <c r="FFX11" s="283"/>
      <c r="FFY11" s="283"/>
      <c r="FFZ11" s="283"/>
      <c r="FGA11" s="283"/>
      <c r="FGB11" s="283"/>
      <c r="FGC11" s="283"/>
      <c r="FGD11" s="283"/>
      <c r="FGE11" s="283"/>
      <c r="FGF11" s="283"/>
      <c r="FGG11" s="283"/>
      <c r="FGH11" s="283"/>
      <c r="FGI11" s="283"/>
      <c r="FGJ11" s="283"/>
      <c r="FGK11" s="283"/>
      <c r="FGL11" s="283"/>
      <c r="FGM11" s="283"/>
      <c r="FGN11" s="283"/>
      <c r="FGO11" s="283"/>
      <c r="FGP11" s="283"/>
      <c r="FGQ11" s="283"/>
      <c r="FGR11" s="283"/>
      <c r="FGS11" s="283"/>
      <c r="FGT11" s="283"/>
      <c r="FGU11" s="283"/>
      <c r="FGV11" s="283"/>
      <c r="FGW11" s="283"/>
      <c r="FGX11" s="283"/>
      <c r="FGY11" s="283"/>
      <c r="FGZ11" s="283"/>
      <c r="FHA11" s="283"/>
      <c r="FHB11" s="283"/>
      <c r="FHC11" s="283"/>
      <c r="FHD11" s="283"/>
      <c r="FHE11" s="283"/>
      <c r="FHF11" s="283"/>
      <c r="FHG11" s="283"/>
      <c r="FHH11" s="283"/>
      <c r="FHI11" s="283"/>
      <c r="FHJ11" s="283"/>
      <c r="FHK11" s="283"/>
      <c r="FHL11" s="283"/>
      <c r="FHM11" s="283"/>
      <c r="FHN11" s="283"/>
      <c r="FHO11" s="283"/>
      <c r="FHP11" s="283"/>
      <c r="FHQ11" s="283"/>
      <c r="FHR11" s="283"/>
      <c r="FHS11" s="283"/>
      <c r="FHT11" s="283"/>
      <c r="FHU11" s="283"/>
      <c r="FHV11" s="283"/>
      <c r="FHW11" s="283"/>
      <c r="FHX11" s="283"/>
      <c r="FHY11" s="283"/>
      <c r="FHZ11" s="283"/>
      <c r="FIA11" s="283"/>
      <c r="FIB11" s="283"/>
      <c r="FIC11" s="283"/>
      <c r="FID11" s="283"/>
      <c r="FIE11" s="283"/>
      <c r="FIF11" s="283"/>
      <c r="FIG11" s="283"/>
      <c r="FIH11" s="283"/>
      <c r="FII11" s="283"/>
      <c r="FIJ11" s="283"/>
      <c r="FIK11" s="283"/>
      <c r="FIL11" s="283"/>
      <c r="FIM11" s="283"/>
      <c r="FIN11" s="283"/>
      <c r="FIO11" s="283"/>
      <c r="FIP11" s="283"/>
      <c r="FIQ11" s="283"/>
      <c r="FIR11" s="283"/>
      <c r="FIS11" s="283"/>
      <c r="FIT11" s="283"/>
      <c r="FIU11" s="283"/>
      <c r="FIV11" s="283"/>
      <c r="FIW11" s="283"/>
      <c r="FIX11" s="283"/>
      <c r="FIY11" s="283"/>
      <c r="FIZ11" s="283"/>
      <c r="FJA11" s="283"/>
      <c r="FJB11" s="283"/>
      <c r="FJC11" s="283"/>
      <c r="FJD11" s="283"/>
      <c r="FJE11" s="283"/>
      <c r="FJF11" s="283"/>
      <c r="FJG11" s="283"/>
      <c r="FJH11" s="283"/>
      <c r="FJI11" s="283"/>
      <c r="FJJ11" s="283"/>
      <c r="FJK11" s="283"/>
      <c r="FJL11" s="283"/>
      <c r="FJM11" s="283"/>
      <c r="FJN11" s="283"/>
      <c r="FJO11" s="283"/>
      <c r="FJP11" s="283"/>
      <c r="FJQ11" s="283"/>
      <c r="FJR11" s="283"/>
      <c r="FJS11" s="283"/>
      <c r="FJT11" s="283"/>
      <c r="FJU11" s="283"/>
      <c r="FJV11" s="283"/>
      <c r="FJW11" s="283"/>
      <c r="FJX11" s="283"/>
      <c r="FJY11" s="283"/>
      <c r="FJZ11" s="283"/>
      <c r="FKA11" s="283"/>
      <c r="FKB11" s="283"/>
      <c r="FKC11" s="283"/>
      <c r="FKD11" s="283"/>
      <c r="FKE11" s="283"/>
      <c r="FKF11" s="283"/>
      <c r="FKG11" s="283"/>
      <c r="FKH11" s="283"/>
      <c r="FKI11" s="283"/>
      <c r="FKJ11" s="283"/>
      <c r="FKK11" s="283"/>
      <c r="FKL11" s="283"/>
      <c r="FKM11" s="283"/>
      <c r="FKN11" s="283"/>
      <c r="FKO11" s="283"/>
      <c r="FKP11" s="283"/>
      <c r="FKQ11" s="283"/>
      <c r="FKR11" s="283"/>
      <c r="FKS11" s="283"/>
      <c r="FKT11" s="283"/>
      <c r="FKU11" s="283"/>
      <c r="FKV11" s="283"/>
      <c r="FKW11" s="283"/>
      <c r="FKX11" s="283"/>
      <c r="FKY11" s="283"/>
      <c r="FKZ11" s="283"/>
      <c r="FLA11" s="283"/>
      <c r="FLB11" s="283"/>
      <c r="FLC11" s="283"/>
      <c r="FLD11" s="283"/>
      <c r="FLE11" s="283"/>
      <c r="FLF11" s="283"/>
      <c r="FLG11" s="283"/>
      <c r="FLH11" s="283"/>
      <c r="FLI11" s="283"/>
      <c r="FLJ11" s="283"/>
      <c r="FLK11" s="283"/>
      <c r="FLL11" s="283"/>
      <c r="FLM11" s="283"/>
      <c r="FLN11" s="283"/>
      <c r="FLO11" s="283"/>
      <c r="FLP11" s="283"/>
      <c r="FLQ11" s="283"/>
      <c r="FLR11" s="283"/>
      <c r="FLS11" s="283"/>
      <c r="FLT11" s="283"/>
      <c r="FLU11" s="283"/>
      <c r="FLV11" s="283"/>
      <c r="FLW11" s="283"/>
      <c r="FLX11" s="283"/>
      <c r="FLY11" s="283"/>
      <c r="FLZ11" s="283"/>
      <c r="FMA11" s="283"/>
      <c r="FMB11" s="283"/>
      <c r="FMC11" s="283"/>
      <c r="FMD11" s="283"/>
      <c r="FME11" s="283"/>
      <c r="FMF11" s="283"/>
      <c r="FMG11" s="283"/>
      <c r="FMH11" s="283"/>
      <c r="FMI11" s="283"/>
      <c r="FMJ11" s="283"/>
      <c r="FMK11" s="283"/>
      <c r="FML11" s="283"/>
      <c r="FMM11" s="283"/>
      <c r="FMN11" s="283"/>
      <c r="FMO11" s="283"/>
      <c r="FMP11" s="283"/>
      <c r="FMQ11" s="283"/>
      <c r="FMR11" s="283"/>
      <c r="FMS11" s="283"/>
      <c r="FMT11" s="283"/>
      <c r="FMU11" s="283"/>
      <c r="FMV11" s="283"/>
      <c r="FMW11" s="283"/>
      <c r="FMX11" s="283"/>
      <c r="FMY11" s="283"/>
      <c r="FMZ11" s="283"/>
      <c r="FNA11" s="283"/>
      <c r="FNB11" s="283"/>
      <c r="FNC11" s="283"/>
      <c r="FND11" s="283"/>
      <c r="FNE11" s="283"/>
      <c r="FNF11" s="283"/>
      <c r="FNG11" s="283"/>
      <c r="FNH11" s="283"/>
      <c r="FNI11" s="283"/>
      <c r="FNJ11" s="283"/>
      <c r="FNK11" s="283"/>
      <c r="FNL11" s="283"/>
      <c r="FNM11" s="283"/>
      <c r="FNN11" s="283"/>
      <c r="FNO11" s="283"/>
      <c r="FNP11" s="283"/>
      <c r="FNQ11" s="283"/>
      <c r="FNR11" s="283"/>
      <c r="FNS11" s="283"/>
      <c r="FNT11" s="283"/>
      <c r="FNU11" s="283"/>
      <c r="FNV11" s="283"/>
      <c r="FNW11" s="283"/>
      <c r="FNX11" s="283"/>
      <c r="FNY11" s="283"/>
      <c r="FNZ11" s="283"/>
      <c r="FOA11" s="283"/>
      <c r="FOB11" s="283"/>
      <c r="FOC11" s="283"/>
      <c r="FOD11" s="283"/>
      <c r="FOE11" s="283"/>
      <c r="FOF11" s="283"/>
      <c r="FOG11" s="283"/>
      <c r="FOH11" s="283"/>
      <c r="FOI11" s="283"/>
      <c r="FOJ11" s="283"/>
      <c r="FOK11" s="283"/>
      <c r="FOL11" s="283"/>
      <c r="FOM11" s="283"/>
      <c r="FON11" s="283"/>
      <c r="FOO11" s="283"/>
      <c r="FOP11" s="283"/>
      <c r="FOQ11" s="283"/>
      <c r="FOR11" s="283"/>
      <c r="FOS11" s="283"/>
      <c r="FOT11" s="283"/>
      <c r="FOU11" s="283"/>
      <c r="FOV11" s="283"/>
      <c r="FOW11" s="283"/>
      <c r="FOX11" s="283"/>
      <c r="FOY11" s="283"/>
      <c r="FOZ11" s="283"/>
      <c r="FPA11" s="283"/>
      <c r="FPB11" s="283"/>
      <c r="FPC11" s="283"/>
      <c r="FPD11" s="283"/>
      <c r="FPE11" s="283"/>
      <c r="FPF11" s="283"/>
      <c r="FPG11" s="283"/>
      <c r="FPH11" s="283"/>
      <c r="FPI11" s="283"/>
      <c r="FPJ11" s="283"/>
      <c r="FPK11" s="283"/>
      <c r="FPL11" s="283"/>
      <c r="FPM11" s="283"/>
      <c r="FPN11" s="283"/>
      <c r="FPO11" s="283"/>
      <c r="FPP11" s="283"/>
      <c r="FPQ11" s="283"/>
      <c r="FPR11" s="283"/>
      <c r="FPS11" s="283"/>
      <c r="FPT11" s="283"/>
      <c r="FPU11" s="283"/>
      <c r="FPV11" s="283"/>
      <c r="FPW11" s="283"/>
      <c r="FPX11" s="283"/>
      <c r="FPY11" s="283"/>
      <c r="FPZ11" s="283"/>
      <c r="FQA11" s="283"/>
      <c r="FQB11" s="283"/>
      <c r="FQC11" s="283"/>
      <c r="FQD11" s="283"/>
      <c r="FQE11" s="283"/>
      <c r="FQF11" s="283"/>
      <c r="FQG11" s="283"/>
      <c r="FQH11" s="283"/>
      <c r="FQI11" s="283"/>
      <c r="FQJ11" s="283"/>
      <c r="FQK11" s="283"/>
      <c r="FQL11" s="283"/>
      <c r="FQM11" s="283"/>
      <c r="FQN11" s="283"/>
      <c r="FQO11" s="283"/>
      <c r="FQP11" s="283"/>
      <c r="FQQ11" s="283"/>
      <c r="FQR11" s="283"/>
      <c r="FQS11" s="283"/>
      <c r="FQT11" s="283"/>
      <c r="FQU11" s="283"/>
      <c r="FQV11" s="283"/>
      <c r="FQW11" s="283"/>
      <c r="FQX11" s="283"/>
      <c r="FQY11" s="283"/>
      <c r="FQZ11" s="283"/>
      <c r="FRA11" s="283"/>
      <c r="FRB11" s="283"/>
      <c r="FRC11" s="283"/>
      <c r="FRD11" s="283"/>
      <c r="FRE11" s="283"/>
      <c r="FRF11" s="283"/>
      <c r="FRG11" s="283"/>
      <c r="FRH11" s="283"/>
      <c r="FRI11" s="283"/>
      <c r="FRJ11" s="283"/>
      <c r="FRK11" s="283"/>
      <c r="FRL11" s="283"/>
      <c r="FRM11" s="283"/>
      <c r="FRN11" s="283"/>
      <c r="FRO11" s="283"/>
      <c r="FRP11" s="283"/>
      <c r="FRQ11" s="283"/>
      <c r="FRR11" s="283"/>
      <c r="FRS11" s="283"/>
      <c r="FRT11" s="283"/>
      <c r="FRU11" s="283"/>
      <c r="FRV11" s="283"/>
      <c r="FRW11" s="283"/>
      <c r="FRX11" s="283"/>
      <c r="FRY11" s="283"/>
      <c r="FRZ11" s="283"/>
      <c r="FSA11" s="283"/>
      <c r="FSB11" s="283"/>
      <c r="FSC11" s="283"/>
      <c r="FSD11" s="283"/>
      <c r="FSE11" s="283"/>
      <c r="FSF11" s="283"/>
      <c r="FSG11" s="283"/>
      <c r="FSH11" s="283"/>
      <c r="FSI11" s="283"/>
      <c r="FSJ11" s="283"/>
      <c r="FSK11" s="283"/>
      <c r="FSL11" s="283"/>
      <c r="FSM11" s="283"/>
      <c r="FSN11" s="283"/>
      <c r="FSO11" s="283"/>
      <c r="FSP11" s="283"/>
      <c r="FSQ11" s="283"/>
      <c r="FSR11" s="283"/>
      <c r="FSS11" s="283"/>
      <c r="FST11" s="283"/>
      <c r="FSU11" s="283"/>
      <c r="FSV11" s="283"/>
      <c r="FSW11" s="283"/>
      <c r="FSX11" s="283"/>
      <c r="FSY11" s="283"/>
      <c r="FSZ11" s="283"/>
      <c r="FTA11" s="283"/>
      <c r="FTB11" s="283"/>
      <c r="FTC11" s="283"/>
      <c r="FTD11" s="283"/>
      <c r="FTE11" s="283"/>
      <c r="FTF11" s="283"/>
      <c r="FTG11" s="283"/>
      <c r="FTH11" s="283"/>
      <c r="FTI11" s="283"/>
      <c r="FTJ11" s="283"/>
      <c r="FTK11" s="283"/>
      <c r="FTL11" s="283"/>
      <c r="FTM11" s="283"/>
      <c r="FTN11" s="283"/>
      <c r="FTO11" s="283"/>
      <c r="FTP11" s="283"/>
      <c r="FTQ11" s="283"/>
      <c r="FTR11" s="283"/>
      <c r="FTS11" s="283"/>
      <c r="FTT11" s="283"/>
      <c r="FTU11" s="283"/>
      <c r="FTV11" s="283"/>
      <c r="FTW11" s="283"/>
      <c r="FTX11" s="283"/>
      <c r="FTY11" s="283"/>
      <c r="FTZ11" s="283"/>
      <c r="FUA11" s="283"/>
      <c r="FUB11" s="283"/>
      <c r="FUC11" s="283"/>
      <c r="FUD11" s="283"/>
      <c r="FUE11" s="283"/>
      <c r="FUF11" s="283"/>
      <c r="FUG11" s="283"/>
      <c r="FUH11" s="283"/>
      <c r="FUI11" s="283"/>
      <c r="FUJ11" s="283"/>
      <c r="FUK11" s="283"/>
      <c r="FUL11" s="283"/>
      <c r="FUM11" s="283"/>
      <c r="FUN11" s="283"/>
      <c r="FUO11" s="283"/>
      <c r="FUP11" s="283"/>
      <c r="FUQ11" s="283"/>
      <c r="FUR11" s="283"/>
      <c r="FUS11" s="283"/>
      <c r="FUT11" s="283"/>
      <c r="FUU11" s="283"/>
      <c r="FUV11" s="283"/>
      <c r="FUW11" s="283"/>
      <c r="FUX11" s="283"/>
      <c r="FUY11" s="283"/>
      <c r="FUZ11" s="283"/>
      <c r="FVA11" s="283"/>
      <c r="FVB11" s="283"/>
      <c r="FVC11" s="283"/>
      <c r="FVD11" s="283"/>
      <c r="FVE11" s="283"/>
      <c r="FVF11" s="283"/>
      <c r="FVG11" s="283"/>
      <c r="FVH11" s="283"/>
      <c r="FVI11" s="283"/>
      <c r="FVJ11" s="283"/>
      <c r="FVK11" s="283"/>
      <c r="FVL11" s="283"/>
      <c r="FVM11" s="283"/>
      <c r="FVN11" s="283"/>
      <c r="FVO11" s="283"/>
      <c r="FVP11" s="283"/>
      <c r="FVQ11" s="283"/>
      <c r="FVR11" s="283"/>
      <c r="FVS11" s="283"/>
      <c r="FVT11" s="283"/>
      <c r="FVU11" s="283"/>
      <c r="FVV11" s="283"/>
      <c r="FVW11" s="283"/>
      <c r="FVX11" s="283"/>
      <c r="FVY11" s="283"/>
      <c r="FVZ11" s="283"/>
      <c r="FWA11" s="283"/>
      <c r="FWB11" s="283"/>
      <c r="FWC11" s="283"/>
      <c r="FWD11" s="283"/>
      <c r="FWE11" s="283"/>
      <c r="FWF11" s="283"/>
      <c r="FWG11" s="283"/>
      <c r="FWH11" s="283"/>
      <c r="FWI11" s="283"/>
      <c r="FWJ11" s="283"/>
      <c r="FWK11" s="283"/>
      <c r="FWL11" s="283"/>
      <c r="FWM11" s="283"/>
      <c r="FWN11" s="283"/>
      <c r="FWO11" s="283"/>
      <c r="FWP11" s="283"/>
      <c r="FWQ11" s="283"/>
      <c r="FWR11" s="283"/>
      <c r="FWS11" s="283"/>
      <c r="FWT11" s="283"/>
      <c r="FWU11" s="283"/>
      <c r="FWV11" s="283"/>
      <c r="FWW11" s="283"/>
      <c r="FWX11" s="283"/>
      <c r="FWY11" s="283"/>
      <c r="FWZ11" s="283"/>
      <c r="FXA11" s="283"/>
      <c r="FXB11" s="283"/>
      <c r="FXC11" s="283"/>
      <c r="FXD11" s="283"/>
      <c r="FXE11" s="283"/>
      <c r="FXF11" s="283"/>
      <c r="FXG11" s="283"/>
      <c r="FXH11" s="283"/>
      <c r="FXI11" s="283"/>
      <c r="FXJ11" s="283"/>
      <c r="FXK11" s="283"/>
      <c r="FXL11" s="283"/>
      <c r="FXM11" s="283"/>
      <c r="FXN11" s="283"/>
      <c r="FXO11" s="283"/>
      <c r="FXP11" s="283"/>
      <c r="FXQ11" s="283"/>
      <c r="FXR11" s="283"/>
      <c r="FXS11" s="283"/>
      <c r="FXT11" s="283"/>
      <c r="FXU11" s="283"/>
      <c r="FXV11" s="283"/>
      <c r="FXW11" s="283"/>
      <c r="FXX11" s="283"/>
      <c r="FXY11" s="283"/>
      <c r="FXZ11" s="283"/>
      <c r="FYA11" s="283"/>
      <c r="FYB11" s="283"/>
      <c r="FYC11" s="283"/>
      <c r="FYD11" s="283"/>
      <c r="FYE11" s="283"/>
      <c r="FYF11" s="283"/>
      <c r="FYG11" s="283"/>
      <c r="FYH11" s="283"/>
      <c r="FYI11" s="283"/>
      <c r="FYJ11" s="283"/>
      <c r="FYK11" s="283"/>
      <c r="FYL11" s="283"/>
      <c r="FYM11" s="283"/>
      <c r="FYN11" s="283"/>
      <c r="FYO11" s="283"/>
      <c r="FYP11" s="283"/>
      <c r="FYQ11" s="283"/>
      <c r="FYR11" s="283"/>
      <c r="FYS11" s="283"/>
      <c r="FYT11" s="283"/>
      <c r="FYU11" s="283"/>
      <c r="FYV11" s="283"/>
      <c r="FYW11" s="283"/>
      <c r="FYX11" s="283"/>
      <c r="FYY11" s="283"/>
      <c r="FYZ11" s="283"/>
      <c r="FZA11" s="283"/>
      <c r="FZB11" s="283"/>
      <c r="FZC11" s="283"/>
      <c r="FZD11" s="283"/>
      <c r="FZE11" s="283"/>
      <c r="FZF11" s="283"/>
      <c r="FZG11" s="283"/>
      <c r="FZH11" s="283"/>
      <c r="FZI11" s="283"/>
      <c r="FZJ11" s="283"/>
      <c r="FZK11" s="283"/>
      <c r="FZL11" s="283"/>
      <c r="FZM11" s="283"/>
      <c r="FZN11" s="283"/>
      <c r="FZO11" s="283"/>
      <c r="FZP11" s="283"/>
      <c r="FZQ11" s="283"/>
      <c r="FZR11" s="283"/>
      <c r="FZS11" s="283"/>
      <c r="FZT11" s="283"/>
      <c r="FZU11" s="283"/>
      <c r="FZV11" s="283"/>
      <c r="FZW11" s="283"/>
      <c r="FZX11" s="283"/>
      <c r="FZY11" s="283"/>
      <c r="FZZ11" s="283"/>
      <c r="GAA11" s="283"/>
      <c r="GAB11" s="283"/>
      <c r="GAC11" s="283"/>
      <c r="GAD11" s="283"/>
      <c r="GAE11" s="283"/>
      <c r="GAF11" s="283"/>
      <c r="GAG11" s="283"/>
      <c r="GAH11" s="283"/>
      <c r="GAI11" s="283"/>
      <c r="GAJ11" s="283"/>
      <c r="GAK11" s="283"/>
      <c r="GAL11" s="283"/>
      <c r="GAM11" s="283"/>
      <c r="GAN11" s="283"/>
      <c r="GAO11" s="283"/>
      <c r="GAP11" s="283"/>
      <c r="GAQ11" s="283"/>
      <c r="GAR11" s="283"/>
      <c r="GAS11" s="283"/>
      <c r="GAT11" s="283"/>
      <c r="GAU11" s="283"/>
      <c r="GAV11" s="283"/>
      <c r="GAW11" s="283"/>
      <c r="GAX11" s="283"/>
      <c r="GAY11" s="283"/>
      <c r="GAZ11" s="283"/>
      <c r="GBA11" s="283"/>
      <c r="GBB11" s="283"/>
      <c r="GBC11" s="283"/>
      <c r="GBD11" s="283"/>
      <c r="GBE11" s="283"/>
      <c r="GBF11" s="283"/>
      <c r="GBG11" s="283"/>
      <c r="GBH11" s="283"/>
      <c r="GBI11" s="283"/>
      <c r="GBJ11" s="283"/>
      <c r="GBK11" s="283"/>
      <c r="GBL11" s="283"/>
      <c r="GBM11" s="283"/>
      <c r="GBN11" s="283"/>
      <c r="GBO11" s="283"/>
      <c r="GBP11" s="283"/>
      <c r="GBQ11" s="283"/>
      <c r="GBR11" s="283"/>
      <c r="GBS11" s="283"/>
      <c r="GBT11" s="283"/>
      <c r="GBU11" s="283"/>
      <c r="GBV11" s="283"/>
      <c r="GBW11" s="283"/>
      <c r="GBX11" s="283"/>
      <c r="GBY11" s="283"/>
      <c r="GBZ11" s="283"/>
      <c r="GCA11" s="283"/>
      <c r="GCB11" s="283"/>
      <c r="GCC11" s="283"/>
      <c r="GCD11" s="283"/>
      <c r="GCE11" s="283"/>
      <c r="GCF11" s="283"/>
      <c r="GCG11" s="283"/>
      <c r="GCH11" s="283"/>
      <c r="GCI11" s="283"/>
      <c r="GCJ11" s="283"/>
      <c r="GCK11" s="283"/>
      <c r="GCL11" s="283"/>
      <c r="GCM11" s="283"/>
      <c r="GCN11" s="283"/>
      <c r="GCO11" s="283"/>
      <c r="GCP11" s="283"/>
      <c r="GCQ11" s="283"/>
      <c r="GCR11" s="283"/>
      <c r="GCS11" s="283"/>
      <c r="GCT11" s="283"/>
      <c r="GCU11" s="283"/>
      <c r="GCV11" s="283"/>
      <c r="GCW11" s="283"/>
      <c r="GCX11" s="283"/>
      <c r="GCY11" s="283"/>
      <c r="GCZ11" s="283"/>
      <c r="GDA11" s="283"/>
      <c r="GDB11" s="283"/>
      <c r="GDC11" s="283"/>
      <c r="GDD11" s="283"/>
      <c r="GDE11" s="283"/>
      <c r="GDF11" s="283"/>
      <c r="GDG11" s="283"/>
      <c r="GDH11" s="283"/>
      <c r="GDI11" s="283"/>
      <c r="GDJ11" s="283"/>
      <c r="GDK11" s="283"/>
      <c r="GDL11" s="283"/>
      <c r="GDM11" s="283"/>
      <c r="GDN11" s="283"/>
      <c r="GDO11" s="283"/>
      <c r="GDP11" s="283"/>
      <c r="GDQ11" s="283"/>
      <c r="GDR11" s="283"/>
      <c r="GDS11" s="283"/>
      <c r="GDT11" s="283"/>
      <c r="GDU11" s="283"/>
      <c r="GDV11" s="283"/>
      <c r="GDW11" s="283"/>
      <c r="GDX11" s="283"/>
      <c r="GDY11" s="283"/>
      <c r="GDZ11" s="283"/>
      <c r="GEA11" s="283"/>
      <c r="GEB11" s="283"/>
      <c r="GEC11" s="283"/>
      <c r="GED11" s="283"/>
      <c r="GEE11" s="283"/>
      <c r="GEF11" s="283"/>
      <c r="GEG11" s="283"/>
      <c r="GEH11" s="283"/>
      <c r="GEI11" s="283"/>
      <c r="GEJ11" s="283"/>
      <c r="GEK11" s="283"/>
      <c r="GEL11" s="283"/>
      <c r="GEM11" s="283"/>
      <c r="GEN11" s="283"/>
      <c r="GEO11" s="283"/>
      <c r="GEP11" s="283"/>
      <c r="GEQ11" s="283"/>
      <c r="GER11" s="283"/>
      <c r="GES11" s="283"/>
      <c r="GET11" s="283"/>
      <c r="GEU11" s="283"/>
      <c r="GEV11" s="283"/>
      <c r="GEW11" s="283"/>
      <c r="GEX11" s="283"/>
      <c r="GEY11" s="283"/>
      <c r="GEZ11" s="283"/>
      <c r="GFA11" s="283"/>
      <c r="GFB11" s="283"/>
      <c r="GFC11" s="283"/>
      <c r="GFD11" s="283"/>
      <c r="GFE11" s="283"/>
      <c r="GFF11" s="283"/>
      <c r="GFG11" s="283"/>
      <c r="GFH11" s="283"/>
      <c r="GFI11" s="283"/>
      <c r="GFJ11" s="283"/>
      <c r="GFK11" s="283"/>
      <c r="GFL11" s="283"/>
      <c r="GFM11" s="283"/>
      <c r="GFN11" s="283"/>
      <c r="GFO11" s="283"/>
      <c r="GFP11" s="283"/>
      <c r="GFQ11" s="283"/>
      <c r="GFR11" s="283"/>
      <c r="GFS11" s="283"/>
      <c r="GFT11" s="283"/>
      <c r="GFU11" s="283"/>
      <c r="GFV11" s="283"/>
      <c r="GFW11" s="283"/>
      <c r="GFX11" s="283"/>
      <c r="GFY11" s="283"/>
      <c r="GFZ11" s="283"/>
      <c r="GGA11" s="283"/>
      <c r="GGB11" s="283"/>
      <c r="GGC11" s="283"/>
      <c r="GGD11" s="283"/>
      <c r="GGE11" s="283"/>
      <c r="GGF11" s="283"/>
      <c r="GGG11" s="283"/>
      <c r="GGH11" s="283"/>
      <c r="GGI11" s="283"/>
      <c r="GGJ11" s="283"/>
      <c r="GGK11" s="283"/>
      <c r="GGL11" s="283"/>
      <c r="GGM11" s="283"/>
      <c r="GGN11" s="283"/>
      <c r="GGO11" s="283"/>
      <c r="GGP11" s="283"/>
      <c r="GGQ11" s="283"/>
      <c r="GGR11" s="283"/>
      <c r="GGS11" s="283"/>
      <c r="GGT11" s="283"/>
      <c r="GGU11" s="283"/>
      <c r="GGV11" s="283"/>
      <c r="GGW11" s="283"/>
      <c r="GGX11" s="283"/>
      <c r="GGY11" s="283"/>
      <c r="GGZ11" s="283"/>
      <c r="GHA11" s="283"/>
      <c r="GHB11" s="283"/>
      <c r="GHC11" s="283"/>
      <c r="GHD11" s="283"/>
      <c r="GHE11" s="283"/>
      <c r="GHF11" s="283"/>
      <c r="GHG11" s="283"/>
      <c r="GHH11" s="283"/>
      <c r="GHI11" s="283"/>
      <c r="GHJ11" s="283"/>
      <c r="GHK11" s="283"/>
      <c r="GHL11" s="283"/>
      <c r="GHM11" s="283"/>
      <c r="GHN11" s="283"/>
      <c r="GHO11" s="283"/>
      <c r="GHP11" s="283"/>
      <c r="GHQ11" s="283"/>
      <c r="GHR11" s="283"/>
      <c r="GHS11" s="283"/>
      <c r="GHT11" s="283"/>
      <c r="GHU11" s="283"/>
      <c r="GHV11" s="283"/>
      <c r="GHW11" s="283"/>
      <c r="GHX11" s="283"/>
      <c r="GHY11" s="283"/>
      <c r="GHZ11" s="283"/>
      <c r="GIA11" s="283"/>
      <c r="GIB11" s="283"/>
      <c r="GIC11" s="283"/>
      <c r="GID11" s="283"/>
      <c r="GIE11" s="283"/>
      <c r="GIF11" s="283"/>
      <c r="GIG11" s="283"/>
      <c r="GIH11" s="283"/>
      <c r="GII11" s="283"/>
      <c r="GIJ11" s="283"/>
      <c r="GIK11" s="283"/>
      <c r="GIL11" s="283"/>
      <c r="GIM11" s="283"/>
      <c r="GIN11" s="283"/>
      <c r="GIO11" s="283"/>
      <c r="GIP11" s="283"/>
      <c r="GIQ11" s="283"/>
      <c r="GIR11" s="283"/>
      <c r="GIS11" s="283"/>
      <c r="GIT11" s="283"/>
      <c r="GIU11" s="283"/>
      <c r="GIV11" s="283"/>
      <c r="GIW11" s="283"/>
      <c r="GIX11" s="283"/>
      <c r="GIY11" s="283"/>
      <c r="GIZ11" s="283"/>
      <c r="GJA11" s="283"/>
      <c r="GJB11" s="283"/>
      <c r="GJC11" s="283"/>
      <c r="GJD11" s="283"/>
      <c r="GJE11" s="283"/>
      <c r="GJF11" s="283"/>
      <c r="GJG11" s="283"/>
      <c r="GJH11" s="283"/>
      <c r="GJI11" s="283"/>
      <c r="GJJ11" s="283"/>
      <c r="GJK11" s="283"/>
      <c r="GJL11" s="283"/>
      <c r="GJM11" s="283"/>
      <c r="GJN11" s="283"/>
      <c r="GJO11" s="283"/>
      <c r="GJP11" s="283"/>
      <c r="GJQ11" s="283"/>
      <c r="GJR11" s="283"/>
      <c r="GJS11" s="283"/>
      <c r="GJT11" s="283"/>
      <c r="GJU11" s="283"/>
      <c r="GJV11" s="283"/>
      <c r="GJW11" s="283"/>
      <c r="GJX11" s="283"/>
      <c r="GJY11" s="283"/>
      <c r="GJZ11" s="283"/>
      <c r="GKA11" s="283"/>
      <c r="GKB11" s="283"/>
      <c r="GKC11" s="283"/>
      <c r="GKD11" s="283"/>
      <c r="GKE11" s="283"/>
      <c r="GKF11" s="283"/>
      <c r="GKG11" s="283"/>
      <c r="GKH11" s="283"/>
      <c r="GKI11" s="283"/>
      <c r="GKJ11" s="283"/>
      <c r="GKK11" s="283"/>
      <c r="GKL11" s="283"/>
      <c r="GKM11" s="283"/>
      <c r="GKN11" s="283"/>
      <c r="GKO11" s="283"/>
      <c r="GKP11" s="283"/>
      <c r="GKQ11" s="283"/>
      <c r="GKR11" s="283"/>
      <c r="GKS11" s="283"/>
      <c r="GKT11" s="283"/>
      <c r="GKU11" s="283"/>
      <c r="GKV11" s="283"/>
      <c r="GKW11" s="283"/>
      <c r="GKX11" s="283"/>
      <c r="GKY11" s="283"/>
      <c r="GKZ11" s="283"/>
      <c r="GLA11" s="283"/>
      <c r="GLB11" s="283"/>
      <c r="GLC11" s="283"/>
      <c r="GLD11" s="283"/>
      <c r="GLE11" s="283"/>
      <c r="GLF11" s="283"/>
      <c r="GLG11" s="283"/>
      <c r="GLH11" s="283"/>
      <c r="GLI11" s="283"/>
      <c r="GLJ11" s="283"/>
      <c r="GLK11" s="283"/>
      <c r="GLL11" s="283"/>
      <c r="GLM11" s="283"/>
      <c r="GLN11" s="283"/>
      <c r="GLO11" s="283"/>
      <c r="GLP11" s="283"/>
      <c r="GLQ11" s="283"/>
      <c r="GLR11" s="283"/>
      <c r="GLS11" s="283"/>
      <c r="GLT11" s="283"/>
      <c r="GLU11" s="283"/>
      <c r="GLV11" s="283"/>
      <c r="GLW11" s="283"/>
      <c r="GLX11" s="283"/>
      <c r="GLY11" s="283"/>
      <c r="GLZ11" s="283"/>
      <c r="GMA11" s="283"/>
      <c r="GMB11" s="283"/>
      <c r="GMC11" s="283"/>
      <c r="GMD11" s="283"/>
      <c r="GME11" s="283"/>
      <c r="GMF11" s="283"/>
      <c r="GMG11" s="283"/>
      <c r="GMH11" s="283"/>
      <c r="GMI11" s="283"/>
      <c r="GMJ11" s="283"/>
      <c r="GMK11" s="283"/>
      <c r="GML11" s="283"/>
      <c r="GMM11" s="283"/>
      <c r="GMN11" s="283"/>
      <c r="GMO11" s="283"/>
      <c r="GMP11" s="283"/>
      <c r="GMQ11" s="283"/>
      <c r="GMR11" s="283"/>
      <c r="GMS11" s="283"/>
      <c r="GMT11" s="283"/>
      <c r="GMU11" s="283"/>
      <c r="GMV11" s="283"/>
      <c r="GMW11" s="283"/>
      <c r="GMX11" s="283"/>
      <c r="GMY11" s="283"/>
      <c r="GMZ11" s="283"/>
      <c r="GNA11" s="283"/>
      <c r="GNB11" s="283"/>
      <c r="GNC11" s="283"/>
      <c r="GND11" s="283"/>
      <c r="GNE11" s="283"/>
      <c r="GNF11" s="283"/>
      <c r="GNG11" s="283"/>
      <c r="GNH11" s="283"/>
      <c r="GNI11" s="283"/>
      <c r="GNJ11" s="283"/>
      <c r="GNK11" s="283"/>
      <c r="GNL11" s="283"/>
      <c r="GNM11" s="283"/>
      <c r="GNN11" s="283"/>
      <c r="GNO11" s="283"/>
      <c r="GNP11" s="283"/>
      <c r="GNQ11" s="283"/>
      <c r="GNR11" s="283"/>
      <c r="GNS11" s="283"/>
      <c r="GNT11" s="283"/>
      <c r="GNU11" s="283"/>
      <c r="GNV11" s="283"/>
      <c r="GNW11" s="283"/>
      <c r="GNX11" s="283"/>
      <c r="GNY11" s="283"/>
      <c r="GNZ11" s="283"/>
      <c r="GOA11" s="283"/>
      <c r="GOB11" s="283"/>
      <c r="GOC11" s="283"/>
      <c r="GOD11" s="283"/>
      <c r="GOE11" s="283"/>
      <c r="GOF11" s="283"/>
      <c r="GOG11" s="283"/>
      <c r="GOH11" s="283"/>
      <c r="GOI11" s="283"/>
      <c r="GOJ11" s="283"/>
      <c r="GOK11" s="283"/>
      <c r="GOL11" s="283"/>
      <c r="GOM11" s="283"/>
      <c r="GON11" s="283"/>
      <c r="GOO11" s="283"/>
      <c r="GOP11" s="283"/>
      <c r="GOQ11" s="283"/>
      <c r="GOR11" s="283"/>
      <c r="GOS11" s="283"/>
      <c r="GOT11" s="283"/>
      <c r="GOU11" s="283"/>
      <c r="GOV11" s="283"/>
      <c r="GOW11" s="283"/>
      <c r="GOX11" s="283"/>
      <c r="GOY11" s="283"/>
      <c r="GOZ11" s="283"/>
      <c r="GPA11" s="283"/>
      <c r="GPB11" s="283"/>
      <c r="GPC11" s="283"/>
      <c r="GPD11" s="283"/>
      <c r="GPE11" s="283"/>
      <c r="GPF11" s="283"/>
      <c r="GPG11" s="283"/>
      <c r="GPH11" s="283"/>
      <c r="GPI11" s="283"/>
      <c r="GPJ11" s="283"/>
      <c r="GPK11" s="283"/>
      <c r="GPL11" s="283"/>
      <c r="GPM11" s="283"/>
      <c r="GPN11" s="283"/>
      <c r="GPO11" s="283"/>
      <c r="GPP11" s="283"/>
      <c r="GPQ11" s="283"/>
      <c r="GPR11" s="283"/>
      <c r="GPS11" s="283"/>
      <c r="GPT11" s="283"/>
      <c r="GPU11" s="283"/>
      <c r="GPV11" s="283"/>
      <c r="GPW11" s="283"/>
      <c r="GPX11" s="283"/>
      <c r="GPY11" s="283"/>
      <c r="GPZ11" s="283"/>
      <c r="GQA11" s="283"/>
      <c r="GQB11" s="283"/>
      <c r="GQC11" s="283"/>
      <c r="GQD11" s="283"/>
      <c r="GQE11" s="283"/>
      <c r="GQF11" s="283"/>
      <c r="GQG11" s="283"/>
      <c r="GQH11" s="283"/>
      <c r="GQI11" s="283"/>
      <c r="GQJ11" s="283"/>
      <c r="GQK11" s="283"/>
      <c r="GQL11" s="283"/>
      <c r="GQM11" s="283"/>
      <c r="GQN11" s="283"/>
      <c r="GQO11" s="283"/>
      <c r="GQP11" s="283"/>
      <c r="GQQ11" s="283"/>
      <c r="GQR11" s="283"/>
      <c r="GQS11" s="283"/>
      <c r="GQT11" s="283"/>
      <c r="GQU11" s="283"/>
      <c r="GQV11" s="283"/>
      <c r="GQW11" s="283"/>
      <c r="GQX11" s="283"/>
      <c r="GQY11" s="283"/>
      <c r="GQZ11" s="283"/>
      <c r="GRA11" s="283"/>
      <c r="GRB11" s="283"/>
      <c r="GRC11" s="283"/>
      <c r="GRD11" s="283"/>
      <c r="GRE11" s="283"/>
      <c r="GRF11" s="283"/>
      <c r="GRG11" s="283"/>
      <c r="GRH11" s="283"/>
      <c r="GRI11" s="283"/>
      <c r="GRJ11" s="283"/>
      <c r="GRK11" s="283"/>
      <c r="GRL11" s="283"/>
      <c r="GRM11" s="283"/>
      <c r="GRN11" s="283"/>
      <c r="GRO11" s="283"/>
      <c r="GRP11" s="283"/>
      <c r="GRQ11" s="283"/>
      <c r="GRR11" s="283"/>
      <c r="GRS11" s="283"/>
      <c r="GRT11" s="283"/>
      <c r="GRU11" s="283"/>
      <c r="GRV11" s="283"/>
      <c r="GRW11" s="283"/>
      <c r="GRX11" s="283"/>
      <c r="GRY11" s="283"/>
      <c r="GRZ11" s="283"/>
      <c r="GSA11" s="283"/>
      <c r="GSB11" s="283"/>
      <c r="GSC11" s="283"/>
      <c r="GSD11" s="283"/>
      <c r="GSE11" s="283"/>
      <c r="GSF11" s="283"/>
      <c r="GSG11" s="283"/>
      <c r="GSH11" s="283"/>
      <c r="GSI11" s="283"/>
      <c r="GSJ11" s="283"/>
      <c r="GSK11" s="283"/>
      <c r="GSL11" s="283"/>
      <c r="GSM11" s="283"/>
      <c r="GSN11" s="283"/>
      <c r="GSO11" s="283"/>
      <c r="GSP11" s="283"/>
      <c r="GSQ11" s="283"/>
      <c r="GSR11" s="283"/>
      <c r="GSS11" s="283"/>
      <c r="GST11" s="283"/>
      <c r="GSU11" s="283"/>
      <c r="GSV11" s="283"/>
      <c r="GSW11" s="283"/>
      <c r="GSX11" s="283"/>
      <c r="GSY11" s="283"/>
      <c r="GSZ11" s="283"/>
      <c r="GTA11" s="283"/>
      <c r="GTB11" s="283"/>
      <c r="GTC11" s="283"/>
      <c r="GTD11" s="283"/>
      <c r="GTE11" s="283"/>
      <c r="GTF11" s="283"/>
      <c r="GTG11" s="283"/>
      <c r="GTH11" s="283"/>
      <c r="GTI11" s="283"/>
      <c r="GTJ11" s="283"/>
      <c r="GTK11" s="283"/>
      <c r="GTL11" s="283"/>
      <c r="GTM11" s="283"/>
      <c r="GTN11" s="283"/>
      <c r="GTO11" s="283"/>
      <c r="GTP11" s="283"/>
      <c r="GTQ11" s="283"/>
      <c r="GTR11" s="283"/>
      <c r="GTS11" s="283"/>
      <c r="GTT11" s="283"/>
      <c r="GTU11" s="283"/>
      <c r="GTV11" s="283"/>
      <c r="GTW11" s="283"/>
      <c r="GTX11" s="283"/>
      <c r="GTY11" s="283"/>
      <c r="GTZ11" s="283"/>
      <c r="GUA11" s="283"/>
      <c r="GUB11" s="283"/>
      <c r="GUC11" s="283"/>
      <c r="GUD11" s="283"/>
      <c r="GUE11" s="283"/>
      <c r="GUF11" s="283"/>
      <c r="GUG11" s="283"/>
      <c r="GUH11" s="283"/>
      <c r="GUI11" s="283"/>
      <c r="GUJ11" s="283"/>
      <c r="GUK11" s="283"/>
      <c r="GUL11" s="283"/>
      <c r="GUM11" s="283"/>
      <c r="GUN11" s="283"/>
      <c r="GUO11" s="283"/>
      <c r="GUP11" s="283"/>
      <c r="GUQ11" s="283"/>
      <c r="GUR11" s="283"/>
      <c r="GUS11" s="283"/>
      <c r="GUT11" s="283"/>
      <c r="GUU11" s="283"/>
      <c r="GUV11" s="283"/>
      <c r="GUW11" s="283"/>
      <c r="GUX11" s="283"/>
      <c r="GUY11" s="283"/>
      <c r="GUZ11" s="283"/>
      <c r="GVA11" s="283"/>
      <c r="GVB11" s="283"/>
      <c r="GVC11" s="283"/>
      <c r="GVD11" s="283"/>
      <c r="GVE11" s="283"/>
      <c r="GVF11" s="283"/>
      <c r="GVG11" s="283"/>
      <c r="GVH11" s="283"/>
      <c r="GVI11" s="283"/>
      <c r="GVJ11" s="283"/>
      <c r="GVK11" s="283"/>
      <c r="GVL11" s="283"/>
      <c r="GVM11" s="283"/>
      <c r="GVN11" s="283"/>
      <c r="GVO11" s="283"/>
      <c r="GVP11" s="283"/>
      <c r="GVQ11" s="283"/>
      <c r="GVR11" s="283"/>
      <c r="GVS11" s="283"/>
      <c r="GVT11" s="283"/>
      <c r="GVU11" s="283"/>
      <c r="GVV11" s="283"/>
      <c r="GVW11" s="283"/>
      <c r="GVX11" s="283"/>
      <c r="GVY11" s="283"/>
      <c r="GVZ11" s="283"/>
      <c r="GWA11" s="283"/>
      <c r="GWB11" s="283"/>
      <c r="GWC11" s="283"/>
      <c r="GWD11" s="283"/>
      <c r="GWE11" s="283"/>
      <c r="GWF11" s="283"/>
      <c r="GWG11" s="283"/>
      <c r="GWH11" s="283"/>
      <c r="GWI11" s="283"/>
      <c r="GWJ11" s="283"/>
      <c r="GWK11" s="283"/>
      <c r="GWL11" s="283"/>
      <c r="GWM11" s="283"/>
      <c r="GWN11" s="283"/>
      <c r="GWO11" s="283"/>
      <c r="GWP11" s="283"/>
      <c r="GWQ11" s="283"/>
      <c r="GWR11" s="283"/>
      <c r="GWS11" s="283"/>
      <c r="GWT11" s="283"/>
      <c r="GWU11" s="283"/>
      <c r="GWV11" s="283"/>
      <c r="GWW11" s="283"/>
      <c r="GWX11" s="283"/>
      <c r="GWY11" s="283"/>
      <c r="GWZ11" s="283"/>
      <c r="GXA11" s="283"/>
      <c r="GXB11" s="283"/>
      <c r="GXC11" s="283"/>
      <c r="GXD11" s="283"/>
      <c r="GXE11" s="283"/>
      <c r="GXF11" s="283"/>
      <c r="GXG11" s="283"/>
      <c r="GXH11" s="283"/>
      <c r="GXI11" s="283"/>
      <c r="GXJ11" s="283"/>
      <c r="GXK11" s="283"/>
      <c r="GXL11" s="283"/>
      <c r="GXM11" s="283"/>
      <c r="GXN11" s="283"/>
      <c r="GXO11" s="283"/>
      <c r="GXP11" s="283"/>
      <c r="GXQ11" s="283"/>
      <c r="GXR11" s="283"/>
      <c r="GXS11" s="283"/>
      <c r="GXT11" s="283"/>
      <c r="GXU11" s="283"/>
      <c r="GXV11" s="283"/>
      <c r="GXW11" s="283"/>
      <c r="GXX11" s="283"/>
      <c r="GXY11" s="283"/>
      <c r="GXZ11" s="283"/>
      <c r="GYA11" s="283"/>
      <c r="GYB11" s="283"/>
      <c r="GYC11" s="283"/>
      <c r="GYD11" s="283"/>
      <c r="GYE11" s="283"/>
      <c r="GYF11" s="283"/>
      <c r="GYG11" s="283"/>
      <c r="GYH11" s="283"/>
      <c r="GYI11" s="283"/>
      <c r="GYJ11" s="283"/>
      <c r="GYK11" s="283"/>
      <c r="GYL11" s="283"/>
      <c r="GYM11" s="283"/>
      <c r="GYN11" s="283"/>
      <c r="GYO11" s="283"/>
      <c r="GYP11" s="283"/>
      <c r="GYQ11" s="283"/>
      <c r="GYR11" s="283"/>
      <c r="GYS11" s="283"/>
      <c r="GYT11" s="283"/>
      <c r="GYU11" s="283"/>
      <c r="GYV11" s="283"/>
      <c r="GYW11" s="283"/>
      <c r="GYX11" s="283"/>
      <c r="GYY11" s="283"/>
      <c r="GYZ11" s="283"/>
      <c r="GZA11" s="283"/>
      <c r="GZB11" s="283"/>
      <c r="GZC11" s="283"/>
      <c r="GZD11" s="283"/>
      <c r="GZE11" s="283"/>
      <c r="GZF11" s="283"/>
      <c r="GZG11" s="283"/>
      <c r="GZH11" s="283"/>
      <c r="GZI11" s="283"/>
      <c r="GZJ11" s="283"/>
      <c r="GZK11" s="283"/>
      <c r="GZL11" s="283"/>
      <c r="GZM11" s="283"/>
      <c r="GZN11" s="283"/>
      <c r="GZO11" s="283"/>
      <c r="GZP11" s="283"/>
      <c r="GZQ11" s="283"/>
      <c r="GZR11" s="283"/>
      <c r="GZS11" s="283"/>
      <c r="GZT11" s="283"/>
      <c r="GZU11" s="283"/>
      <c r="GZV11" s="283"/>
      <c r="GZW11" s="283"/>
      <c r="GZX11" s="283"/>
      <c r="GZY11" s="283"/>
      <c r="GZZ11" s="283"/>
      <c r="HAA11" s="283"/>
      <c r="HAB11" s="283"/>
      <c r="HAC11" s="283"/>
      <c r="HAD11" s="283"/>
      <c r="HAE11" s="283"/>
      <c r="HAF11" s="283"/>
      <c r="HAG11" s="283"/>
      <c r="HAH11" s="283"/>
      <c r="HAI11" s="283"/>
      <c r="HAJ11" s="283"/>
      <c r="HAK11" s="283"/>
      <c r="HAL11" s="283"/>
      <c r="HAM11" s="283"/>
      <c r="HAN11" s="283"/>
      <c r="HAO11" s="283"/>
      <c r="HAP11" s="283"/>
      <c r="HAQ11" s="283"/>
      <c r="HAR11" s="283"/>
      <c r="HAS11" s="283"/>
      <c r="HAT11" s="283"/>
      <c r="HAU11" s="283"/>
      <c r="HAV11" s="283"/>
      <c r="HAW11" s="283"/>
      <c r="HAX11" s="283"/>
      <c r="HAY11" s="283"/>
      <c r="HAZ11" s="283"/>
      <c r="HBA11" s="283"/>
      <c r="HBB11" s="283"/>
      <c r="HBC11" s="283"/>
      <c r="HBD11" s="283"/>
      <c r="HBE11" s="283"/>
      <c r="HBF11" s="283"/>
      <c r="HBG11" s="283"/>
      <c r="HBH11" s="283"/>
      <c r="HBI11" s="283"/>
      <c r="HBJ11" s="283"/>
      <c r="HBK11" s="283"/>
      <c r="HBL11" s="283"/>
      <c r="HBM11" s="283"/>
      <c r="HBN11" s="283"/>
      <c r="HBO11" s="283"/>
      <c r="HBP11" s="283"/>
      <c r="HBQ11" s="283"/>
      <c r="HBR11" s="283"/>
      <c r="HBS11" s="283"/>
      <c r="HBT11" s="283"/>
      <c r="HBU11" s="283"/>
      <c r="HBV11" s="283"/>
      <c r="HBW11" s="283"/>
      <c r="HBX11" s="283"/>
      <c r="HBY11" s="283"/>
      <c r="HBZ11" s="283"/>
      <c r="HCA11" s="283"/>
      <c r="HCB11" s="283"/>
      <c r="HCC11" s="283"/>
      <c r="HCD11" s="283"/>
      <c r="HCE11" s="283"/>
      <c r="HCF11" s="283"/>
      <c r="HCG11" s="283"/>
      <c r="HCH11" s="283"/>
      <c r="HCI11" s="283"/>
      <c r="HCJ11" s="283"/>
      <c r="HCK11" s="283"/>
      <c r="HCL11" s="283"/>
      <c r="HCM11" s="283"/>
      <c r="HCN11" s="283"/>
      <c r="HCO11" s="283"/>
      <c r="HCP11" s="283"/>
      <c r="HCQ11" s="283"/>
      <c r="HCR11" s="283"/>
      <c r="HCS11" s="283"/>
      <c r="HCT11" s="283"/>
      <c r="HCU11" s="283"/>
      <c r="HCV11" s="283"/>
      <c r="HCW11" s="283"/>
      <c r="HCX11" s="283"/>
      <c r="HCY11" s="283"/>
      <c r="HCZ11" s="283"/>
      <c r="HDA11" s="283"/>
      <c r="HDB11" s="283"/>
      <c r="HDC11" s="283"/>
      <c r="HDD11" s="283"/>
      <c r="HDE11" s="283"/>
      <c r="HDF11" s="283"/>
      <c r="HDG11" s="283"/>
      <c r="HDH11" s="283"/>
      <c r="HDI11" s="283"/>
      <c r="HDJ11" s="283"/>
      <c r="HDK11" s="283"/>
      <c r="HDL11" s="283"/>
      <c r="HDM11" s="283"/>
      <c r="HDN11" s="283"/>
      <c r="HDO11" s="283"/>
      <c r="HDP11" s="283"/>
      <c r="HDQ11" s="283"/>
      <c r="HDR11" s="283"/>
      <c r="HDS11" s="283"/>
      <c r="HDT11" s="283"/>
      <c r="HDU11" s="283"/>
      <c r="HDV11" s="283"/>
      <c r="HDW11" s="283"/>
      <c r="HDX11" s="283"/>
      <c r="HDY11" s="283"/>
      <c r="HDZ11" s="283"/>
      <c r="HEA11" s="283"/>
      <c r="HEB11" s="283"/>
      <c r="HEC11" s="283"/>
      <c r="HED11" s="283"/>
      <c r="HEE11" s="283"/>
      <c r="HEF11" s="283"/>
      <c r="HEG11" s="283"/>
      <c r="HEH11" s="283"/>
      <c r="HEI11" s="283"/>
      <c r="HEJ11" s="283"/>
      <c r="HEK11" s="283"/>
      <c r="HEL11" s="283"/>
      <c r="HEM11" s="283"/>
      <c r="HEN11" s="283"/>
      <c r="HEO11" s="283"/>
      <c r="HEP11" s="283"/>
      <c r="HEQ11" s="283"/>
      <c r="HER11" s="283"/>
      <c r="HES11" s="283"/>
      <c r="HET11" s="283"/>
      <c r="HEU11" s="283"/>
      <c r="HEV11" s="283"/>
      <c r="HEW11" s="283"/>
      <c r="HEX11" s="283"/>
      <c r="HEY11" s="283"/>
      <c r="HEZ11" s="283"/>
      <c r="HFA11" s="283"/>
      <c r="HFB11" s="283"/>
      <c r="HFC11" s="283"/>
      <c r="HFD11" s="283"/>
      <c r="HFE11" s="283"/>
      <c r="HFF11" s="283"/>
      <c r="HFG11" s="283"/>
      <c r="HFH11" s="283"/>
      <c r="HFI11" s="283"/>
      <c r="HFJ11" s="283"/>
      <c r="HFK11" s="283"/>
      <c r="HFL11" s="283"/>
      <c r="HFM11" s="283"/>
      <c r="HFN11" s="283"/>
      <c r="HFO11" s="283"/>
      <c r="HFP11" s="283"/>
      <c r="HFQ11" s="283"/>
      <c r="HFR11" s="283"/>
      <c r="HFS11" s="283"/>
      <c r="HFT11" s="283"/>
      <c r="HFU11" s="283"/>
      <c r="HFV11" s="283"/>
      <c r="HFW11" s="283"/>
      <c r="HFX11" s="283"/>
      <c r="HFY11" s="283"/>
      <c r="HFZ11" s="283"/>
      <c r="HGA11" s="283"/>
      <c r="HGB11" s="283"/>
      <c r="HGC11" s="283"/>
      <c r="HGD11" s="283"/>
      <c r="HGE11" s="283"/>
      <c r="HGF11" s="283"/>
      <c r="HGG11" s="283"/>
      <c r="HGH11" s="283"/>
      <c r="HGI11" s="283"/>
      <c r="HGJ11" s="283"/>
      <c r="HGK11" s="283"/>
      <c r="HGL11" s="283"/>
      <c r="HGM11" s="283"/>
      <c r="HGN11" s="283"/>
      <c r="HGO11" s="283"/>
      <c r="HGP11" s="283"/>
      <c r="HGQ11" s="283"/>
      <c r="HGR11" s="283"/>
      <c r="HGS11" s="283"/>
      <c r="HGT11" s="283"/>
      <c r="HGU11" s="283"/>
      <c r="HGV11" s="283"/>
      <c r="HGW11" s="283"/>
      <c r="HGX11" s="283"/>
      <c r="HGY11" s="283"/>
      <c r="HGZ11" s="283"/>
      <c r="HHA11" s="283"/>
      <c r="HHB11" s="283"/>
      <c r="HHC11" s="283"/>
      <c r="HHD11" s="283"/>
      <c r="HHE11" s="283"/>
      <c r="HHF11" s="283"/>
      <c r="HHG11" s="283"/>
      <c r="HHH11" s="283"/>
      <c r="HHI11" s="283"/>
      <c r="HHJ11" s="283"/>
      <c r="HHK11" s="283"/>
      <c r="HHL11" s="283"/>
      <c r="HHM11" s="283"/>
      <c r="HHN11" s="283"/>
      <c r="HHO11" s="283"/>
      <c r="HHP11" s="283"/>
      <c r="HHQ11" s="283"/>
      <c r="HHR11" s="283"/>
      <c r="HHS11" s="283"/>
      <c r="HHT11" s="283"/>
      <c r="HHU11" s="283"/>
      <c r="HHV11" s="283"/>
      <c r="HHW11" s="283"/>
      <c r="HHX11" s="283"/>
      <c r="HHY11" s="283"/>
      <c r="HHZ11" s="283"/>
      <c r="HIA11" s="283"/>
      <c r="HIB11" s="283"/>
      <c r="HIC11" s="283"/>
      <c r="HID11" s="283"/>
      <c r="HIE11" s="283"/>
      <c r="HIF11" s="283"/>
      <c r="HIG11" s="283"/>
      <c r="HIH11" s="283"/>
      <c r="HII11" s="283"/>
      <c r="HIJ11" s="283"/>
      <c r="HIK11" s="283"/>
      <c r="HIL11" s="283"/>
      <c r="HIM11" s="283"/>
      <c r="HIN11" s="283"/>
      <c r="HIO11" s="283"/>
      <c r="HIP11" s="283"/>
      <c r="HIQ11" s="283"/>
      <c r="HIR11" s="283"/>
      <c r="HIS11" s="283"/>
      <c r="HIT11" s="283"/>
      <c r="HIU11" s="283"/>
      <c r="HIV11" s="283"/>
      <c r="HIW11" s="283"/>
      <c r="HIX11" s="283"/>
      <c r="HIY11" s="283"/>
      <c r="HIZ11" s="283"/>
      <c r="HJA11" s="283"/>
      <c r="HJB11" s="283"/>
      <c r="HJC11" s="283"/>
      <c r="HJD11" s="283"/>
      <c r="HJE11" s="283"/>
      <c r="HJF11" s="283"/>
      <c r="HJG11" s="283"/>
      <c r="HJH11" s="283"/>
      <c r="HJI11" s="283"/>
      <c r="HJJ11" s="283"/>
      <c r="HJK11" s="283"/>
      <c r="HJL11" s="283"/>
      <c r="HJM11" s="283"/>
      <c r="HJN11" s="283"/>
      <c r="HJO11" s="283"/>
      <c r="HJP11" s="283"/>
      <c r="HJQ11" s="283"/>
      <c r="HJR11" s="283"/>
      <c r="HJS11" s="283"/>
      <c r="HJT11" s="283"/>
      <c r="HJU11" s="283"/>
      <c r="HJV11" s="283"/>
      <c r="HJW11" s="283"/>
      <c r="HJX11" s="283"/>
      <c r="HJY11" s="283"/>
      <c r="HJZ11" s="283"/>
      <c r="HKA11" s="283"/>
      <c r="HKB11" s="283"/>
      <c r="HKC11" s="283"/>
      <c r="HKD11" s="283"/>
      <c r="HKE11" s="283"/>
      <c r="HKF11" s="283"/>
      <c r="HKG11" s="283"/>
      <c r="HKH11" s="283"/>
      <c r="HKI11" s="283"/>
      <c r="HKJ11" s="283"/>
      <c r="HKK11" s="283"/>
      <c r="HKL11" s="283"/>
      <c r="HKM11" s="283"/>
      <c r="HKN11" s="283"/>
      <c r="HKO11" s="283"/>
      <c r="HKP11" s="283"/>
      <c r="HKQ11" s="283"/>
      <c r="HKR11" s="283"/>
      <c r="HKS11" s="283"/>
      <c r="HKT11" s="283"/>
      <c r="HKU11" s="283"/>
      <c r="HKV11" s="283"/>
      <c r="HKW11" s="283"/>
      <c r="HKX11" s="283"/>
      <c r="HKY11" s="283"/>
      <c r="HKZ11" s="283"/>
      <c r="HLA11" s="283"/>
      <c r="HLB11" s="283"/>
      <c r="HLC11" s="283"/>
      <c r="HLD11" s="283"/>
      <c r="HLE11" s="283"/>
      <c r="HLF11" s="283"/>
      <c r="HLG11" s="283"/>
      <c r="HLH11" s="283"/>
      <c r="HLI11" s="283"/>
      <c r="HLJ11" s="283"/>
      <c r="HLK11" s="283"/>
      <c r="HLL11" s="283"/>
      <c r="HLM11" s="283"/>
      <c r="HLN11" s="283"/>
      <c r="HLO11" s="283"/>
      <c r="HLP11" s="283"/>
      <c r="HLQ11" s="283"/>
      <c r="HLR11" s="283"/>
      <c r="HLS11" s="283"/>
      <c r="HLT11" s="283"/>
      <c r="HLU11" s="283"/>
      <c r="HLV11" s="283"/>
      <c r="HLW11" s="283"/>
      <c r="HLX11" s="283"/>
      <c r="HLY11" s="283"/>
      <c r="HLZ11" s="283"/>
      <c r="HMA11" s="283"/>
      <c r="HMB11" s="283"/>
      <c r="HMC11" s="283"/>
      <c r="HMD11" s="283"/>
      <c r="HME11" s="283"/>
      <c r="HMF11" s="283"/>
      <c r="HMG11" s="283"/>
      <c r="HMH11" s="283"/>
      <c r="HMI11" s="283"/>
      <c r="HMJ11" s="283"/>
      <c r="HMK11" s="283"/>
      <c r="HML11" s="283"/>
      <c r="HMM11" s="283"/>
      <c r="HMN11" s="283"/>
      <c r="HMO11" s="283"/>
      <c r="HMP11" s="283"/>
      <c r="HMQ11" s="283"/>
      <c r="HMR11" s="283"/>
      <c r="HMS11" s="283"/>
      <c r="HMT11" s="283"/>
      <c r="HMU11" s="283"/>
      <c r="HMV11" s="283"/>
      <c r="HMW11" s="283"/>
      <c r="HMX11" s="283"/>
      <c r="HMY11" s="283"/>
      <c r="HMZ11" s="283"/>
      <c r="HNA11" s="283"/>
      <c r="HNB11" s="283"/>
      <c r="HNC11" s="283"/>
      <c r="HND11" s="283"/>
      <c r="HNE11" s="283"/>
      <c r="HNF11" s="283"/>
      <c r="HNG11" s="283"/>
      <c r="HNH11" s="283"/>
      <c r="HNI11" s="283"/>
      <c r="HNJ11" s="283"/>
      <c r="HNK11" s="283"/>
      <c r="HNL11" s="283"/>
      <c r="HNM11" s="283"/>
      <c r="HNN11" s="283"/>
      <c r="HNO11" s="283"/>
      <c r="HNP11" s="283"/>
      <c r="HNQ11" s="283"/>
      <c r="HNR11" s="283"/>
      <c r="HNS11" s="283"/>
      <c r="HNT11" s="283"/>
      <c r="HNU11" s="283"/>
      <c r="HNV11" s="283"/>
      <c r="HNW11" s="283"/>
      <c r="HNX11" s="283"/>
      <c r="HNY11" s="283"/>
      <c r="HNZ11" s="283"/>
      <c r="HOA11" s="283"/>
      <c r="HOB11" s="283"/>
      <c r="HOC11" s="283"/>
      <c r="HOD11" s="283"/>
      <c r="HOE11" s="283"/>
      <c r="HOF11" s="283"/>
      <c r="HOG11" s="283"/>
      <c r="HOH11" s="283"/>
      <c r="HOI11" s="283"/>
      <c r="HOJ11" s="283"/>
      <c r="HOK11" s="283"/>
      <c r="HOL11" s="283"/>
      <c r="HOM11" s="283"/>
      <c r="HON11" s="283"/>
      <c r="HOO11" s="283"/>
      <c r="HOP11" s="283"/>
      <c r="HOQ11" s="283"/>
      <c r="HOR11" s="283"/>
      <c r="HOS11" s="283"/>
      <c r="HOT11" s="283"/>
      <c r="HOU11" s="283"/>
      <c r="HOV11" s="283"/>
      <c r="HOW11" s="283"/>
      <c r="HOX11" s="283"/>
      <c r="HOY11" s="283"/>
      <c r="HOZ11" s="283"/>
      <c r="HPA11" s="283"/>
      <c r="HPB11" s="283"/>
      <c r="HPC11" s="283"/>
      <c r="HPD11" s="283"/>
      <c r="HPE11" s="283"/>
      <c r="HPF11" s="283"/>
      <c r="HPG11" s="283"/>
      <c r="HPH11" s="283"/>
      <c r="HPI11" s="283"/>
      <c r="HPJ11" s="283"/>
      <c r="HPK11" s="283"/>
      <c r="HPL11" s="283"/>
      <c r="HPM11" s="283"/>
      <c r="HPN11" s="283"/>
      <c r="HPO11" s="283"/>
      <c r="HPP11" s="283"/>
      <c r="HPQ11" s="283"/>
      <c r="HPR11" s="283"/>
      <c r="HPS11" s="283"/>
      <c r="HPT11" s="283"/>
      <c r="HPU11" s="283"/>
      <c r="HPV11" s="283"/>
      <c r="HPW11" s="283"/>
      <c r="HPX11" s="283"/>
      <c r="HPY11" s="283"/>
      <c r="HPZ11" s="283"/>
      <c r="HQA11" s="283"/>
      <c r="HQB11" s="283"/>
      <c r="HQC11" s="283"/>
      <c r="HQD11" s="283"/>
      <c r="HQE11" s="283"/>
      <c r="HQF11" s="283"/>
      <c r="HQG11" s="283"/>
      <c r="HQH11" s="283"/>
      <c r="HQI11" s="283"/>
      <c r="HQJ11" s="283"/>
      <c r="HQK11" s="283"/>
      <c r="HQL11" s="283"/>
      <c r="HQM11" s="283"/>
      <c r="HQN11" s="283"/>
      <c r="HQO11" s="283"/>
      <c r="HQP11" s="283"/>
      <c r="HQQ11" s="283"/>
      <c r="HQR11" s="283"/>
      <c r="HQS11" s="283"/>
      <c r="HQT11" s="283"/>
      <c r="HQU11" s="283"/>
      <c r="HQV11" s="283"/>
      <c r="HQW11" s="283"/>
      <c r="HQX11" s="283"/>
      <c r="HQY11" s="283"/>
      <c r="HQZ11" s="283"/>
      <c r="HRA11" s="283"/>
      <c r="HRB11" s="283"/>
      <c r="HRC11" s="283"/>
      <c r="HRD11" s="283"/>
      <c r="HRE11" s="283"/>
      <c r="HRF11" s="283"/>
      <c r="HRG11" s="283"/>
      <c r="HRH11" s="283"/>
      <c r="HRI11" s="283"/>
      <c r="HRJ11" s="283"/>
      <c r="HRK11" s="283"/>
      <c r="HRL11" s="283"/>
      <c r="HRM11" s="283"/>
      <c r="HRN11" s="283"/>
      <c r="HRO11" s="283"/>
      <c r="HRP11" s="283"/>
      <c r="HRQ11" s="283"/>
      <c r="HRR11" s="283"/>
      <c r="HRS11" s="283"/>
      <c r="HRT11" s="283"/>
      <c r="HRU11" s="283"/>
      <c r="HRV11" s="283"/>
      <c r="HRW11" s="283"/>
      <c r="HRX11" s="283"/>
      <c r="HRY11" s="283"/>
      <c r="HRZ11" s="283"/>
      <c r="HSA11" s="283"/>
      <c r="HSB11" s="283"/>
      <c r="HSC11" s="283"/>
      <c r="HSD11" s="283"/>
      <c r="HSE11" s="283"/>
      <c r="HSF11" s="283"/>
      <c r="HSG11" s="283"/>
      <c r="HSH11" s="283"/>
      <c r="HSI11" s="283"/>
      <c r="HSJ11" s="283"/>
      <c r="HSK11" s="283"/>
      <c r="HSL11" s="283"/>
      <c r="HSM11" s="283"/>
      <c r="HSN11" s="283"/>
      <c r="HSO11" s="283"/>
      <c r="HSP11" s="283"/>
      <c r="HSQ11" s="283"/>
      <c r="HSR11" s="283"/>
      <c r="HSS11" s="283"/>
      <c r="HST11" s="283"/>
      <c r="HSU11" s="283"/>
      <c r="HSV11" s="283"/>
      <c r="HSW11" s="283"/>
      <c r="HSX11" s="283"/>
      <c r="HSY11" s="283"/>
      <c r="HSZ11" s="283"/>
      <c r="HTA11" s="283"/>
      <c r="HTB11" s="283"/>
      <c r="HTC11" s="283"/>
      <c r="HTD11" s="283"/>
      <c r="HTE11" s="283"/>
      <c r="HTF11" s="283"/>
      <c r="HTG11" s="283"/>
      <c r="HTH11" s="283"/>
      <c r="HTI11" s="283"/>
      <c r="HTJ11" s="283"/>
      <c r="HTK11" s="283"/>
      <c r="HTL11" s="283"/>
      <c r="HTM11" s="283"/>
      <c r="HTN11" s="283"/>
      <c r="HTO11" s="283"/>
      <c r="HTP11" s="283"/>
      <c r="HTQ11" s="283"/>
      <c r="HTR11" s="283"/>
      <c r="HTS11" s="283"/>
      <c r="HTT11" s="283"/>
      <c r="HTU11" s="283"/>
      <c r="HTV11" s="283"/>
      <c r="HTW11" s="283"/>
      <c r="HTX11" s="283"/>
      <c r="HTY11" s="283"/>
      <c r="HTZ11" s="283"/>
      <c r="HUA11" s="283"/>
      <c r="HUB11" s="283"/>
      <c r="HUC11" s="283"/>
      <c r="HUD11" s="283"/>
      <c r="HUE11" s="283"/>
      <c r="HUF11" s="283"/>
      <c r="HUG11" s="283"/>
      <c r="HUH11" s="283"/>
      <c r="HUI11" s="283"/>
      <c r="HUJ11" s="283"/>
      <c r="HUK11" s="283"/>
      <c r="HUL11" s="283"/>
      <c r="HUM11" s="283"/>
      <c r="HUN11" s="283"/>
      <c r="HUO11" s="283"/>
      <c r="HUP11" s="283"/>
      <c r="HUQ11" s="283"/>
      <c r="HUR11" s="283"/>
      <c r="HUS11" s="283"/>
      <c r="HUT11" s="283"/>
      <c r="HUU11" s="283"/>
      <c r="HUV11" s="283"/>
      <c r="HUW11" s="283"/>
      <c r="HUX11" s="283"/>
      <c r="HUY11" s="283"/>
      <c r="HUZ11" s="283"/>
      <c r="HVA11" s="283"/>
      <c r="HVB11" s="283"/>
      <c r="HVC11" s="283"/>
      <c r="HVD11" s="283"/>
      <c r="HVE11" s="283"/>
      <c r="HVF11" s="283"/>
      <c r="HVG11" s="283"/>
      <c r="HVH11" s="283"/>
      <c r="HVI11" s="283"/>
      <c r="HVJ11" s="283"/>
      <c r="HVK11" s="283"/>
      <c r="HVL11" s="283"/>
      <c r="HVM11" s="283"/>
      <c r="HVN11" s="283"/>
      <c r="HVO11" s="283"/>
      <c r="HVP11" s="283"/>
      <c r="HVQ11" s="283"/>
      <c r="HVR11" s="283"/>
      <c r="HVS11" s="283"/>
      <c r="HVT11" s="283"/>
      <c r="HVU11" s="283"/>
      <c r="HVV11" s="283"/>
      <c r="HVW11" s="283"/>
      <c r="HVX11" s="283"/>
      <c r="HVY11" s="283"/>
      <c r="HVZ11" s="283"/>
      <c r="HWA11" s="283"/>
      <c r="HWB11" s="283"/>
      <c r="HWC11" s="283"/>
      <c r="HWD11" s="283"/>
      <c r="HWE11" s="283"/>
      <c r="HWF11" s="283"/>
      <c r="HWG11" s="283"/>
      <c r="HWH11" s="283"/>
      <c r="HWI11" s="283"/>
      <c r="HWJ11" s="283"/>
      <c r="HWK11" s="283"/>
      <c r="HWL11" s="283"/>
      <c r="HWM11" s="283"/>
      <c r="HWN11" s="283"/>
      <c r="HWO11" s="283"/>
      <c r="HWP11" s="283"/>
      <c r="HWQ11" s="283"/>
      <c r="HWR11" s="283"/>
      <c r="HWS11" s="283"/>
      <c r="HWT11" s="283"/>
      <c r="HWU11" s="283"/>
      <c r="HWV11" s="283"/>
      <c r="HWW11" s="283"/>
      <c r="HWX11" s="283"/>
      <c r="HWY11" s="283"/>
      <c r="HWZ11" s="283"/>
      <c r="HXA11" s="283"/>
      <c r="HXB11" s="283"/>
      <c r="HXC11" s="283"/>
      <c r="HXD11" s="283"/>
      <c r="HXE11" s="283"/>
      <c r="HXF11" s="283"/>
      <c r="HXG11" s="283"/>
      <c r="HXH11" s="283"/>
      <c r="HXI11" s="283"/>
      <c r="HXJ11" s="283"/>
      <c r="HXK11" s="283"/>
      <c r="HXL11" s="283"/>
      <c r="HXM11" s="283"/>
      <c r="HXN11" s="283"/>
      <c r="HXO11" s="283"/>
      <c r="HXP11" s="283"/>
      <c r="HXQ11" s="283"/>
      <c r="HXR11" s="283"/>
      <c r="HXS11" s="283"/>
      <c r="HXT11" s="283"/>
      <c r="HXU11" s="283"/>
      <c r="HXV11" s="283"/>
      <c r="HXW11" s="283"/>
      <c r="HXX11" s="283"/>
      <c r="HXY11" s="283"/>
      <c r="HXZ11" s="283"/>
      <c r="HYA11" s="283"/>
      <c r="HYB11" s="283"/>
      <c r="HYC11" s="283"/>
      <c r="HYD11" s="283"/>
      <c r="HYE11" s="283"/>
      <c r="HYF11" s="283"/>
      <c r="HYG11" s="283"/>
      <c r="HYH11" s="283"/>
      <c r="HYI11" s="283"/>
      <c r="HYJ11" s="283"/>
      <c r="HYK11" s="283"/>
      <c r="HYL11" s="283"/>
      <c r="HYM11" s="283"/>
      <c r="HYN11" s="283"/>
      <c r="HYO11" s="283"/>
      <c r="HYP11" s="283"/>
      <c r="HYQ11" s="283"/>
      <c r="HYR11" s="283"/>
      <c r="HYS11" s="283"/>
      <c r="HYT11" s="283"/>
      <c r="HYU11" s="283"/>
      <c r="HYV11" s="283"/>
      <c r="HYW11" s="283"/>
      <c r="HYX11" s="283"/>
      <c r="HYY11" s="283"/>
      <c r="HYZ11" s="283"/>
      <c r="HZA11" s="283"/>
      <c r="HZB11" s="283"/>
      <c r="HZC11" s="283"/>
      <c r="HZD11" s="283"/>
      <c r="HZE11" s="283"/>
      <c r="HZF11" s="283"/>
      <c r="HZG11" s="283"/>
      <c r="HZH11" s="283"/>
      <c r="HZI11" s="283"/>
      <c r="HZJ11" s="283"/>
      <c r="HZK11" s="283"/>
      <c r="HZL11" s="283"/>
      <c r="HZM11" s="283"/>
      <c r="HZN11" s="283"/>
      <c r="HZO11" s="283"/>
      <c r="HZP11" s="283"/>
      <c r="HZQ11" s="283"/>
      <c r="HZR11" s="283"/>
      <c r="HZS11" s="283"/>
      <c r="HZT11" s="283"/>
      <c r="HZU11" s="283"/>
      <c r="HZV11" s="283"/>
      <c r="HZW11" s="283"/>
      <c r="HZX11" s="283"/>
      <c r="HZY11" s="283"/>
      <c r="HZZ11" s="283"/>
      <c r="IAA11" s="283"/>
      <c r="IAB11" s="283"/>
      <c r="IAC11" s="283"/>
      <c r="IAD11" s="283"/>
      <c r="IAE11" s="283"/>
      <c r="IAF11" s="283"/>
      <c r="IAG11" s="283"/>
      <c r="IAH11" s="283"/>
      <c r="IAI11" s="283"/>
      <c r="IAJ11" s="283"/>
      <c r="IAK11" s="283"/>
      <c r="IAL11" s="283"/>
      <c r="IAM11" s="283"/>
      <c r="IAN11" s="283"/>
      <c r="IAO11" s="283"/>
      <c r="IAP11" s="283"/>
      <c r="IAQ11" s="283"/>
      <c r="IAR11" s="283"/>
      <c r="IAS11" s="283"/>
      <c r="IAT11" s="283"/>
      <c r="IAU11" s="283"/>
      <c r="IAV11" s="283"/>
      <c r="IAW11" s="283"/>
      <c r="IAX11" s="283"/>
      <c r="IAY11" s="283"/>
      <c r="IAZ11" s="283"/>
      <c r="IBA11" s="283"/>
      <c r="IBB11" s="283"/>
      <c r="IBC11" s="283"/>
      <c r="IBD11" s="283"/>
      <c r="IBE11" s="283"/>
      <c r="IBF11" s="283"/>
      <c r="IBG11" s="283"/>
      <c r="IBH11" s="283"/>
      <c r="IBI11" s="283"/>
      <c r="IBJ11" s="283"/>
      <c r="IBK11" s="283"/>
      <c r="IBL11" s="283"/>
      <c r="IBM11" s="283"/>
      <c r="IBN11" s="283"/>
      <c r="IBO11" s="283"/>
      <c r="IBP11" s="283"/>
      <c r="IBQ11" s="283"/>
      <c r="IBR11" s="283"/>
      <c r="IBS11" s="283"/>
      <c r="IBT11" s="283"/>
      <c r="IBU11" s="283"/>
      <c r="IBV11" s="283"/>
      <c r="IBW11" s="283"/>
      <c r="IBX11" s="283"/>
      <c r="IBY11" s="283"/>
      <c r="IBZ11" s="283"/>
      <c r="ICA11" s="283"/>
      <c r="ICB11" s="283"/>
      <c r="ICC11" s="283"/>
      <c r="ICD11" s="283"/>
      <c r="ICE11" s="283"/>
      <c r="ICF11" s="283"/>
      <c r="ICG11" s="283"/>
      <c r="ICH11" s="283"/>
      <c r="ICI11" s="283"/>
      <c r="ICJ11" s="283"/>
      <c r="ICK11" s="283"/>
      <c r="ICL11" s="283"/>
      <c r="ICM11" s="283"/>
      <c r="ICN11" s="283"/>
      <c r="ICO11" s="283"/>
      <c r="ICP11" s="283"/>
      <c r="ICQ11" s="283"/>
      <c r="ICR11" s="283"/>
      <c r="ICS11" s="283"/>
      <c r="ICT11" s="283"/>
      <c r="ICU11" s="283"/>
      <c r="ICV11" s="283"/>
      <c r="ICW11" s="283"/>
      <c r="ICX11" s="283"/>
      <c r="ICY11" s="283"/>
      <c r="ICZ11" s="283"/>
      <c r="IDA11" s="283"/>
      <c r="IDB11" s="283"/>
      <c r="IDC11" s="283"/>
      <c r="IDD11" s="283"/>
      <c r="IDE11" s="283"/>
      <c r="IDF11" s="283"/>
      <c r="IDG11" s="283"/>
      <c r="IDH11" s="283"/>
      <c r="IDI11" s="283"/>
      <c r="IDJ11" s="283"/>
      <c r="IDK11" s="283"/>
      <c r="IDL11" s="283"/>
      <c r="IDM11" s="283"/>
      <c r="IDN11" s="283"/>
      <c r="IDO11" s="283"/>
      <c r="IDP11" s="283"/>
      <c r="IDQ11" s="283"/>
      <c r="IDR11" s="283"/>
      <c r="IDS11" s="283"/>
      <c r="IDT11" s="283"/>
      <c r="IDU11" s="283"/>
      <c r="IDV11" s="283"/>
      <c r="IDW11" s="283"/>
      <c r="IDX11" s="283"/>
      <c r="IDY11" s="283"/>
      <c r="IDZ11" s="283"/>
      <c r="IEA11" s="283"/>
      <c r="IEB11" s="283"/>
      <c r="IEC11" s="283"/>
      <c r="IED11" s="283"/>
      <c r="IEE11" s="283"/>
      <c r="IEF11" s="283"/>
      <c r="IEG11" s="283"/>
      <c r="IEH11" s="283"/>
      <c r="IEI11" s="283"/>
      <c r="IEJ11" s="283"/>
      <c r="IEK11" s="283"/>
      <c r="IEL11" s="283"/>
      <c r="IEM11" s="283"/>
      <c r="IEN11" s="283"/>
      <c r="IEO11" s="283"/>
      <c r="IEP11" s="283"/>
      <c r="IEQ11" s="283"/>
      <c r="IER11" s="283"/>
      <c r="IES11" s="283"/>
      <c r="IET11" s="283"/>
      <c r="IEU11" s="283"/>
      <c r="IEV11" s="283"/>
      <c r="IEW11" s="283"/>
      <c r="IEX11" s="283"/>
      <c r="IEY11" s="283"/>
      <c r="IEZ11" s="283"/>
      <c r="IFA11" s="283"/>
      <c r="IFB11" s="283"/>
      <c r="IFC11" s="283"/>
      <c r="IFD11" s="283"/>
      <c r="IFE11" s="283"/>
      <c r="IFF11" s="283"/>
      <c r="IFG11" s="283"/>
      <c r="IFH11" s="283"/>
      <c r="IFI11" s="283"/>
      <c r="IFJ11" s="283"/>
      <c r="IFK11" s="283"/>
      <c r="IFL11" s="283"/>
      <c r="IFM11" s="283"/>
      <c r="IFN11" s="283"/>
      <c r="IFO11" s="283"/>
      <c r="IFP11" s="283"/>
      <c r="IFQ11" s="283"/>
      <c r="IFR11" s="283"/>
      <c r="IFS11" s="283"/>
      <c r="IFT11" s="283"/>
      <c r="IFU11" s="283"/>
      <c r="IFV11" s="283"/>
      <c r="IFW11" s="283"/>
      <c r="IFX11" s="283"/>
      <c r="IFY11" s="283"/>
      <c r="IFZ11" s="283"/>
      <c r="IGA11" s="283"/>
      <c r="IGB11" s="283"/>
      <c r="IGC11" s="283"/>
      <c r="IGD11" s="283"/>
      <c r="IGE11" s="283"/>
      <c r="IGF11" s="283"/>
      <c r="IGG11" s="283"/>
      <c r="IGH11" s="283"/>
      <c r="IGI11" s="283"/>
      <c r="IGJ11" s="283"/>
      <c r="IGK11" s="283"/>
      <c r="IGL11" s="283"/>
      <c r="IGM11" s="283"/>
      <c r="IGN11" s="283"/>
      <c r="IGO11" s="283"/>
      <c r="IGP11" s="283"/>
      <c r="IGQ11" s="283"/>
      <c r="IGR11" s="283"/>
      <c r="IGS11" s="283"/>
      <c r="IGT11" s="283"/>
      <c r="IGU11" s="283"/>
      <c r="IGV11" s="283"/>
      <c r="IGW11" s="283"/>
      <c r="IGX11" s="283"/>
      <c r="IGY11" s="283"/>
      <c r="IGZ11" s="283"/>
      <c r="IHA11" s="283"/>
      <c r="IHB11" s="283"/>
      <c r="IHC11" s="283"/>
      <c r="IHD11" s="283"/>
      <c r="IHE11" s="283"/>
      <c r="IHF11" s="283"/>
      <c r="IHG11" s="283"/>
      <c r="IHH11" s="283"/>
      <c r="IHI11" s="283"/>
      <c r="IHJ11" s="283"/>
      <c r="IHK11" s="283"/>
      <c r="IHL11" s="283"/>
      <c r="IHM11" s="283"/>
      <c r="IHN11" s="283"/>
      <c r="IHO11" s="283"/>
      <c r="IHP11" s="283"/>
      <c r="IHQ11" s="283"/>
      <c r="IHR11" s="283"/>
      <c r="IHS11" s="283"/>
      <c r="IHT11" s="283"/>
      <c r="IHU11" s="283"/>
      <c r="IHV11" s="283"/>
      <c r="IHW11" s="283"/>
      <c r="IHX11" s="283"/>
      <c r="IHY11" s="283"/>
      <c r="IHZ11" s="283"/>
      <c r="IIA11" s="283"/>
      <c r="IIB11" s="283"/>
      <c r="IIC11" s="283"/>
      <c r="IID11" s="283"/>
      <c r="IIE11" s="283"/>
      <c r="IIF11" s="283"/>
      <c r="IIG11" s="283"/>
      <c r="IIH11" s="283"/>
      <c r="III11" s="283"/>
      <c r="IIJ11" s="283"/>
      <c r="IIK11" s="283"/>
      <c r="IIL11" s="283"/>
      <c r="IIM11" s="283"/>
      <c r="IIN11" s="283"/>
      <c r="IIO11" s="283"/>
      <c r="IIP11" s="283"/>
      <c r="IIQ11" s="283"/>
      <c r="IIR11" s="283"/>
      <c r="IIS11" s="283"/>
      <c r="IIT11" s="283"/>
      <c r="IIU11" s="283"/>
      <c r="IIV11" s="283"/>
      <c r="IIW11" s="283"/>
      <c r="IIX11" s="283"/>
      <c r="IIY11" s="283"/>
      <c r="IIZ11" s="283"/>
      <c r="IJA11" s="283"/>
      <c r="IJB11" s="283"/>
      <c r="IJC11" s="283"/>
      <c r="IJD11" s="283"/>
      <c r="IJE11" s="283"/>
      <c r="IJF11" s="283"/>
      <c r="IJG11" s="283"/>
      <c r="IJH11" s="283"/>
      <c r="IJI11" s="283"/>
      <c r="IJJ11" s="283"/>
      <c r="IJK11" s="283"/>
      <c r="IJL11" s="283"/>
      <c r="IJM11" s="283"/>
      <c r="IJN11" s="283"/>
      <c r="IJO11" s="283"/>
      <c r="IJP11" s="283"/>
      <c r="IJQ11" s="283"/>
      <c r="IJR11" s="283"/>
      <c r="IJS11" s="283"/>
      <c r="IJT11" s="283"/>
      <c r="IJU11" s="283"/>
      <c r="IJV11" s="283"/>
      <c r="IJW11" s="283"/>
      <c r="IJX11" s="283"/>
      <c r="IJY11" s="283"/>
      <c r="IJZ11" s="283"/>
      <c r="IKA11" s="283"/>
      <c r="IKB11" s="283"/>
      <c r="IKC11" s="283"/>
      <c r="IKD11" s="283"/>
      <c r="IKE11" s="283"/>
      <c r="IKF11" s="283"/>
      <c r="IKG11" s="283"/>
      <c r="IKH11" s="283"/>
      <c r="IKI11" s="283"/>
      <c r="IKJ11" s="283"/>
      <c r="IKK11" s="283"/>
      <c r="IKL11" s="283"/>
      <c r="IKM11" s="283"/>
      <c r="IKN11" s="283"/>
      <c r="IKO11" s="283"/>
      <c r="IKP11" s="283"/>
      <c r="IKQ11" s="283"/>
      <c r="IKR11" s="283"/>
      <c r="IKS11" s="283"/>
      <c r="IKT11" s="283"/>
      <c r="IKU11" s="283"/>
      <c r="IKV11" s="283"/>
      <c r="IKW11" s="283"/>
      <c r="IKX11" s="283"/>
      <c r="IKY11" s="283"/>
      <c r="IKZ11" s="283"/>
      <c r="ILA11" s="283"/>
      <c r="ILB11" s="283"/>
      <c r="ILC11" s="283"/>
      <c r="ILD11" s="283"/>
      <c r="ILE11" s="283"/>
      <c r="ILF11" s="283"/>
      <c r="ILG11" s="283"/>
      <c r="ILH11" s="283"/>
      <c r="ILI11" s="283"/>
      <c r="ILJ11" s="283"/>
      <c r="ILK11" s="283"/>
      <c r="ILL11" s="283"/>
      <c r="ILM11" s="283"/>
      <c r="ILN11" s="283"/>
      <c r="ILO11" s="283"/>
      <c r="ILP11" s="283"/>
      <c r="ILQ11" s="283"/>
      <c r="ILR11" s="283"/>
      <c r="ILS11" s="283"/>
      <c r="ILT11" s="283"/>
      <c r="ILU11" s="283"/>
      <c r="ILV11" s="283"/>
      <c r="ILW11" s="283"/>
      <c r="ILX11" s="283"/>
      <c r="ILY11" s="283"/>
      <c r="ILZ11" s="283"/>
      <c r="IMA11" s="283"/>
      <c r="IMB11" s="283"/>
      <c r="IMC11" s="283"/>
      <c r="IMD11" s="283"/>
      <c r="IME11" s="283"/>
      <c r="IMF11" s="283"/>
      <c r="IMG11" s="283"/>
      <c r="IMH11" s="283"/>
      <c r="IMI11" s="283"/>
      <c r="IMJ11" s="283"/>
      <c r="IMK11" s="283"/>
      <c r="IML11" s="283"/>
      <c r="IMM11" s="283"/>
      <c r="IMN11" s="283"/>
      <c r="IMO11" s="283"/>
      <c r="IMP11" s="283"/>
      <c r="IMQ11" s="283"/>
      <c r="IMR11" s="283"/>
      <c r="IMS11" s="283"/>
      <c r="IMT11" s="283"/>
      <c r="IMU11" s="283"/>
      <c r="IMV11" s="283"/>
      <c r="IMW11" s="283"/>
      <c r="IMX11" s="283"/>
      <c r="IMY11" s="283"/>
      <c r="IMZ11" s="283"/>
      <c r="INA11" s="283"/>
      <c r="INB11" s="283"/>
      <c r="INC11" s="283"/>
      <c r="IND11" s="283"/>
      <c r="INE11" s="283"/>
      <c r="INF11" s="283"/>
      <c r="ING11" s="283"/>
      <c r="INH11" s="283"/>
      <c r="INI11" s="283"/>
      <c r="INJ11" s="283"/>
      <c r="INK11" s="283"/>
      <c r="INL11" s="283"/>
      <c r="INM11" s="283"/>
      <c r="INN11" s="283"/>
      <c r="INO11" s="283"/>
      <c r="INP11" s="283"/>
      <c r="INQ11" s="283"/>
      <c r="INR11" s="283"/>
      <c r="INS11" s="283"/>
      <c r="INT11" s="283"/>
      <c r="INU11" s="283"/>
      <c r="INV11" s="283"/>
      <c r="INW11" s="283"/>
      <c r="INX11" s="283"/>
      <c r="INY11" s="283"/>
      <c r="INZ11" s="283"/>
      <c r="IOA11" s="283"/>
      <c r="IOB11" s="283"/>
      <c r="IOC11" s="283"/>
      <c r="IOD11" s="283"/>
      <c r="IOE11" s="283"/>
      <c r="IOF11" s="283"/>
      <c r="IOG11" s="283"/>
      <c r="IOH11" s="283"/>
      <c r="IOI11" s="283"/>
      <c r="IOJ11" s="283"/>
      <c r="IOK11" s="283"/>
      <c r="IOL11" s="283"/>
      <c r="IOM11" s="283"/>
      <c r="ION11" s="283"/>
      <c r="IOO11" s="283"/>
      <c r="IOP11" s="283"/>
      <c r="IOQ11" s="283"/>
      <c r="IOR11" s="283"/>
      <c r="IOS11" s="283"/>
      <c r="IOT11" s="283"/>
      <c r="IOU11" s="283"/>
      <c r="IOV11" s="283"/>
      <c r="IOW11" s="283"/>
      <c r="IOX11" s="283"/>
      <c r="IOY11" s="283"/>
      <c r="IOZ11" s="283"/>
      <c r="IPA11" s="283"/>
      <c r="IPB11" s="283"/>
      <c r="IPC11" s="283"/>
      <c r="IPD11" s="283"/>
      <c r="IPE11" s="283"/>
      <c r="IPF11" s="283"/>
      <c r="IPG11" s="283"/>
      <c r="IPH11" s="283"/>
      <c r="IPI11" s="283"/>
      <c r="IPJ11" s="283"/>
      <c r="IPK11" s="283"/>
      <c r="IPL11" s="283"/>
      <c r="IPM11" s="283"/>
      <c r="IPN11" s="283"/>
      <c r="IPO11" s="283"/>
      <c r="IPP11" s="283"/>
      <c r="IPQ11" s="283"/>
      <c r="IPR11" s="283"/>
      <c r="IPS11" s="283"/>
      <c r="IPT11" s="283"/>
      <c r="IPU11" s="283"/>
      <c r="IPV11" s="283"/>
      <c r="IPW11" s="283"/>
      <c r="IPX11" s="283"/>
      <c r="IPY11" s="283"/>
      <c r="IPZ11" s="283"/>
      <c r="IQA11" s="283"/>
      <c r="IQB11" s="283"/>
      <c r="IQC11" s="283"/>
      <c r="IQD11" s="283"/>
      <c r="IQE11" s="283"/>
      <c r="IQF11" s="283"/>
      <c r="IQG11" s="283"/>
      <c r="IQH11" s="283"/>
      <c r="IQI11" s="283"/>
      <c r="IQJ11" s="283"/>
      <c r="IQK11" s="283"/>
      <c r="IQL11" s="283"/>
      <c r="IQM11" s="283"/>
      <c r="IQN11" s="283"/>
      <c r="IQO11" s="283"/>
      <c r="IQP11" s="283"/>
      <c r="IQQ11" s="283"/>
      <c r="IQR11" s="283"/>
      <c r="IQS11" s="283"/>
      <c r="IQT11" s="283"/>
      <c r="IQU11" s="283"/>
      <c r="IQV11" s="283"/>
      <c r="IQW11" s="283"/>
      <c r="IQX11" s="283"/>
      <c r="IQY11" s="283"/>
      <c r="IQZ11" s="283"/>
      <c r="IRA11" s="283"/>
      <c r="IRB11" s="283"/>
      <c r="IRC11" s="283"/>
      <c r="IRD11" s="283"/>
      <c r="IRE11" s="283"/>
      <c r="IRF11" s="283"/>
      <c r="IRG11" s="283"/>
      <c r="IRH11" s="283"/>
      <c r="IRI11" s="283"/>
      <c r="IRJ11" s="283"/>
      <c r="IRK11" s="283"/>
      <c r="IRL11" s="283"/>
      <c r="IRM11" s="283"/>
      <c r="IRN11" s="283"/>
      <c r="IRO11" s="283"/>
      <c r="IRP11" s="283"/>
      <c r="IRQ11" s="283"/>
      <c r="IRR11" s="283"/>
      <c r="IRS11" s="283"/>
      <c r="IRT11" s="283"/>
      <c r="IRU11" s="283"/>
      <c r="IRV11" s="283"/>
      <c r="IRW11" s="283"/>
      <c r="IRX11" s="283"/>
      <c r="IRY11" s="283"/>
      <c r="IRZ11" s="283"/>
      <c r="ISA11" s="283"/>
      <c r="ISB11" s="283"/>
      <c r="ISC11" s="283"/>
      <c r="ISD11" s="283"/>
      <c r="ISE11" s="283"/>
      <c r="ISF11" s="283"/>
      <c r="ISG11" s="283"/>
      <c r="ISH11" s="283"/>
      <c r="ISI11" s="283"/>
      <c r="ISJ11" s="283"/>
      <c r="ISK11" s="283"/>
      <c r="ISL11" s="283"/>
      <c r="ISM11" s="283"/>
      <c r="ISN11" s="283"/>
      <c r="ISO11" s="283"/>
      <c r="ISP11" s="283"/>
      <c r="ISQ11" s="283"/>
      <c r="ISR11" s="283"/>
      <c r="ISS11" s="283"/>
      <c r="IST11" s="283"/>
      <c r="ISU11" s="283"/>
      <c r="ISV11" s="283"/>
      <c r="ISW11" s="283"/>
      <c r="ISX11" s="283"/>
      <c r="ISY11" s="283"/>
      <c r="ISZ11" s="283"/>
      <c r="ITA11" s="283"/>
      <c r="ITB11" s="283"/>
      <c r="ITC11" s="283"/>
      <c r="ITD11" s="283"/>
      <c r="ITE11" s="283"/>
      <c r="ITF11" s="283"/>
      <c r="ITG11" s="283"/>
      <c r="ITH11" s="283"/>
      <c r="ITI11" s="283"/>
      <c r="ITJ11" s="283"/>
      <c r="ITK11" s="283"/>
      <c r="ITL11" s="283"/>
      <c r="ITM11" s="283"/>
      <c r="ITN11" s="283"/>
      <c r="ITO11" s="283"/>
      <c r="ITP11" s="283"/>
      <c r="ITQ11" s="283"/>
      <c r="ITR11" s="283"/>
      <c r="ITS11" s="283"/>
      <c r="ITT11" s="283"/>
      <c r="ITU11" s="283"/>
      <c r="ITV11" s="283"/>
      <c r="ITW11" s="283"/>
      <c r="ITX11" s="283"/>
      <c r="ITY11" s="283"/>
      <c r="ITZ11" s="283"/>
      <c r="IUA11" s="283"/>
      <c r="IUB11" s="283"/>
      <c r="IUC11" s="283"/>
      <c r="IUD11" s="283"/>
      <c r="IUE11" s="283"/>
      <c r="IUF11" s="283"/>
      <c r="IUG11" s="283"/>
      <c r="IUH11" s="283"/>
      <c r="IUI11" s="283"/>
      <c r="IUJ11" s="283"/>
      <c r="IUK11" s="283"/>
      <c r="IUL11" s="283"/>
      <c r="IUM11" s="283"/>
      <c r="IUN11" s="283"/>
      <c r="IUO11" s="283"/>
      <c r="IUP11" s="283"/>
      <c r="IUQ11" s="283"/>
      <c r="IUR11" s="283"/>
      <c r="IUS11" s="283"/>
      <c r="IUT11" s="283"/>
      <c r="IUU11" s="283"/>
      <c r="IUV11" s="283"/>
      <c r="IUW11" s="283"/>
      <c r="IUX11" s="283"/>
      <c r="IUY11" s="283"/>
      <c r="IUZ11" s="283"/>
      <c r="IVA11" s="283"/>
      <c r="IVB11" s="283"/>
      <c r="IVC11" s="283"/>
      <c r="IVD11" s="283"/>
      <c r="IVE11" s="283"/>
      <c r="IVF11" s="283"/>
      <c r="IVG11" s="283"/>
      <c r="IVH11" s="283"/>
      <c r="IVI11" s="283"/>
      <c r="IVJ11" s="283"/>
      <c r="IVK11" s="283"/>
      <c r="IVL11" s="283"/>
      <c r="IVM11" s="283"/>
      <c r="IVN11" s="283"/>
      <c r="IVO11" s="283"/>
      <c r="IVP11" s="283"/>
      <c r="IVQ11" s="283"/>
      <c r="IVR11" s="283"/>
      <c r="IVS11" s="283"/>
      <c r="IVT11" s="283"/>
      <c r="IVU11" s="283"/>
      <c r="IVV11" s="283"/>
      <c r="IVW11" s="283"/>
      <c r="IVX11" s="283"/>
      <c r="IVY11" s="283"/>
      <c r="IVZ11" s="283"/>
      <c r="IWA11" s="283"/>
      <c r="IWB11" s="283"/>
      <c r="IWC11" s="283"/>
      <c r="IWD11" s="283"/>
      <c r="IWE11" s="283"/>
      <c r="IWF11" s="283"/>
      <c r="IWG11" s="283"/>
      <c r="IWH11" s="283"/>
      <c r="IWI11" s="283"/>
      <c r="IWJ11" s="283"/>
      <c r="IWK11" s="283"/>
      <c r="IWL11" s="283"/>
      <c r="IWM11" s="283"/>
      <c r="IWN11" s="283"/>
      <c r="IWO11" s="283"/>
      <c r="IWP11" s="283"/>
      <c r="IWQ11" s="283"/>
      <c r="IWR11" s="283"/>
      <c r="IWS11" s="283"/>
      <c r="IWT11" s="283"/>
      <c r="IWU11" s="283"/>
      <c r="IWV11" s="283"/>
      <c r="IWW11" s="283"/>
      <c r="IWX11" s="283"/>
      <c r="IWY11" s="283"/>
      <c r="IWZ11" s="283"/>
      <c r="IXA11" s="283"/>
      <c r="IXB11" s="283"/>
      <c r="IXC11" s="283"/>
      <c r="IXD11" s="283"/>
      <c r="IXE11" s="283"/>
      <c r="IXF11" s="283"/>
      <c r="IXG11" s="283"/>
      <c r="IXH11" s="283"/>
      <c r="IXI11" s="283"/>
      <c r="IXJ11" s="283"/>
      <c r="IXK11" s="283"/>
      <c r="IXL11" s="283"/>
      <c r="IXM11" s="283"/>
      <c r="IXN11" s="283"/>
      <c r="IXO11" s="283"/>
      <c r="IXP11" s="283"/>
      <c r="IXQ11" s="283"/>
      <c r="IXR11" s="283"/>
      <c r="IXS11" s="283"/>
      <c r="IXT11" s="283"/>
      <c r="IXU11" s="283"/>
      <c r="IXV11" s="283"/>
      <c r="IXW11" s="283"/>
      <c r="IXX11" s="283"/>
      <c r="IXY11" s="283"/>
      <c r="IXZ11" s="283"/>
      <c r="IYA11" s="283"/>
      <c r="IYB11" s="283"/>
      <c r="IYC11" s="283"/>
      <c r="IYD11" s="283"/>
      <c r="IYE11" s="283"/>
      <c r="IYF11" s="283"/>
      <c r="IYG11" s="283"/>
      <c r="IYH11" s="283"/>
      <c r="IYI11" s="283"/>
      <c r="IYJ11" s="283"/>
      <c r="IYK11" s="283"/>
      <c r="IYL11" s="283"/>
      <c r="IYM11" s="283"/>
      <c r="IYN11" s="283"/>
      <c r="IYO11" s="283"/>
      <c r="IYP11" s="283"/>
      <c r="IYQ11" s="283"/>
      <c r="IYR11" s="283"/>
      <c r="IYS11" s="283"/>
      <c r="IYT11" s="283"/>
      <c r="IYU11" s="283"/>
      <c r="IYV11" s="283"/>
      <c r="IYW11" s="283"/>
      <c r="IYX11" s="283"/>
      <c r="IYY11" s="283"/>
      <c r="IYZ11" s="283"/>
      <c r="IZA11" s="283"/>
      <c r="IZB11" s="283"/>
      <c r="IZC11" s="283"/>
      <c r="IZD11" s="283"/>
      <c r="IZE11" s="283"/>
      <c r="IZF11" s="283"/>
      <c r="IZG11" s="283"/>
      <c r="IZH11" s="283"/>
      <c r="IZI11" s="283"/>
      <c r="IZJ11" s="283"/>
      <c r="IZK11" s="283"/>
      <c r="IZL11" s="283"/>
      <c r="IZM11" s="283"/>
      <c r="IZN11" s="283"/>
      <c r="IZO11" s="283"/>
      <c r="IZP11" s="283"/>
      <c r="IZQ11" s="283"/>
      <c r="IZR11" s="283"/>
      <c r="IZS11" s="283"/>
      <c r="IZT11" s="283"/>
      <c r="IZU11" s="283"/>
      <c r="IZV11" s="283"/>
      <c r="IZW11" s="283"/>
      <c r="IZX11" s="283"/>
      <c r="IZY11" s="283"/>
      <c r="IZZ11" s="283"/>
      <c r="JAA11" s="283"/>
      <c r="JAB11" s="283"/>
      <c r="JAC11" s="283"/>
      <c r="JAD11" s="283"/>
      <c r="JAE11" s="283"/>
      <c r="JAF11" s="283"/>
      <c r="JAG11" s="283"/>
      <c r="JAH11" s="283"/>
      <c r="JAI11" s="283"/>
      <c r="JAJ11" s="283"/>
      <c r="JAK11" s="283"/>
      <c r="JAL11" s="283"/>
      <c r="JAM11" s="283"/>
      <c r="JAN11" s="283"/>
      <c r="JAO11" s="283"/>
      <c r="JAP11" s="283"/>
      <c r="JAQ11" s="283"/>
      <c r="JAR11" s="283"/>
      <c r="JAS11" s="283"/>
      <c r="JAT11" s="283"/>
      <c r="JAU11" s="283"/>
      <c r="JAV11" s="283"/>
      <c r="JAW11" s="283"/>
      <c r="JAX11" s="283"/>
      <c r="JAY11" s="283"/>
      <c r="JAZ11" s="283"/>
      <c r="JBA11" s="283"/>
      <c r="JBB11" s="283"/>
      <c r="JBC11" s="283"/>
      <c r="JBD11" s="283"/>
      <c r="JBE11" s="283"/>
      <c r="JBF11" s="283"/>
      <c r="JBG11" s="283"/>
      <c r="JBH11" s="283"/>
      <c r="JBI11" s="283"/>
      <c r="JBJ11" s="283"/>
      <c r="JBK11" s="283"/>
      <c r="JBL11" s="283"/>
      <c r="JBM11" s="283"/>
      <c r="JBN11" s="283"/>
      <c r="JBO11" s="283"/>
      <c r="JBP11" s="283"/>
      <c r="JBQ11" s="283"/>
      <c r="JBR11" s="283"/>
      <c r="JBS11" s="283"/>
      <c r="JBT11" s="283"/>
      <c r="JBU11" s="283"/>
      <c r="JBV11" s="283"/>
      <c r="JBW11" s="283"/>
      <c r="JBX11" s="283"/>
      <c r="JBY11" s="283"/>
      <c r="JBZ11" s="283"/>
      <c r="JCA11" s="283"/>
      <c r="JCB11" s="283"/>
      <c r="JCC11" s="283"/>
      <c r="JCD11" s="283"/>
      <c r="JCE11" s="283"/>
      <c r="JCF11" s="283"/>
      <c r="JCG11" s="283"/>
      <c r="JCH11" s="283"/>
      <c r="JCI11" s="283"/>
      <c r="JCJ11" s="283"/>
      <c r="JCK11" s="283"/>
      <c r="JCL11" s="283"/>
      <c r="JCM11" s="283"/>
      <c r="JCN11" s="283"/>
      <c r="JCO11" s="283"/>
      <c r="JCP11" s="283"/>
      <c r="JCQ11" s="283"/>
      <c r="JCR11" s="283"/>
      <c r="JCS11" s="283"/>
      <c r="JCT11" s="283"/>
      <c r="JCU11" s="283"/>
      <c r="JCV11" s="283"/>
      <c r="JCW11" s="283"/>
      <c r="JCX11" s="283"/>
      <c r="JCY11" s="283"/>
      <c r="JCZ11" s="283"/>
      <c r="JDA11" s="283"/>
      <c r="JDB11" s="283"/>
      <c r="JDC11" s="283"/>
      <c r="JDD11" s="283"/>
      <c r="JDE11" s="283"/>
      <c r="JDF11" s="283"/>
      <c r="JDG11" s="283"/>
      <c r="JDH11" s="283"/>
      <c r="JDI11" s="283"/>
      <c r="JDJ11" s="283"/>
      <c r="JDK11" s="283"/>
      <c r="JDL11" s="283"/>
      <c r="JDM11" s="283"/>
      <c r="JDN11" s="283"/>
      <c r="JDO11" s="283"/>
      <c r="JDP11" s="283"/>
      <c r="JDQ11" s="283"/>
      <c r="JDR11" s="283"/>
      <c r="JDS11" s="283"/>
      <c r="JDT11" s="283"/>
      <c r="JDU11" s="283"/>
      <c r="JDV11" s="283"/>
      <c r="JDW11" s="283"/>
      <c r="JDX11" s="283"/>
      <c r="JDY11" s="283"/>
      <c r="JDZ11" s="283"/>
      <c r="JEA11" s="283"/>
      <c r="JEB11" s="283"/>
      <c r="JEC11" s="283"/>
      <c r="JED11" s="283"/>
      <c r="JEE11" s="283"/>
      <c r="JEF11" s="283"/>
      <c r="JEG11" s="283"/>
      <c r="JEH11" s="283"/>
      <c r="JEI11" s="283"/>
      <c r="JEJ11" s="283"/>
      <c r="JEK11" s="283"/>
      <c r="JEL11" s="283"/>
      <c r="JEM11" s="283"/>
      <c r="JEN11" s="283"/>
      <c r="JEO11" s="283"/>
      <c r="JEP11" s="283"/>
      <c r="JEQ11" s="283"/>
      <c r="JER11" s="283"/>
      <c r="JES11" s="283"/>
      <c r="JET11" s="283"/>
      <c r="JEU11" s="283"/>
      <c r="JEV11" s="283"/>
      <c r="JEW11" s="283"/>
      <c r="JEX11" s="283"/>
      <c r="JEY11" s="283"/>
      <c r="JEZ11" s="283"/>
      <c r="JFA11" s="283"/>
      <c r="JFB11" s="283"/>
      <c r="JFC11" s="283"/>
      <c r="JFD11" s="283"/>
      <c r="JFE11" s="283"/>
      <c r="JFF11" s="283"/>
      <c r="JFG11" s="283"/>
      <c r="JFH11" s="283"/>
      <c r="JFI11" s="283"/>
      <c r="JFJ11" s="283"/>
      <c r="JFK11" s="283"/>
      <c r="JFL11" s="283"/>
      <c r="JFM11" s="283"/>
      <c r="JFN11" s="283"/>
      <c r="JFO11" s="283"/>
      <c r="JFP11" s="283"/>
      <c r="JFQ11" s="283"/>
      <c r="JFR11" s="283"/>
      <c r="JFS11" s="283"/>
      <c r="JFT11" s="283"/>
      <c r="JFU11" s="283"/>
      <c r="JFV11" s="283"/>
      <c r="JFW11" s="283"/>
      <c r="JFX11" s="283"/>
      <c r="JFY11" s="283"/>
      <c r="JFZ11" s="283"/>
      <c r="JGA11" s="283"/>
      <c r="JGB11" s="283"/>
      <c r="JGC11" s="283"/>
      <c r="JGD11" s="283"/>
      <c r="JGE11" s="283"/>
      <c r="JGF11" s="283"/>
      <c r="JGG11" s="283"/>
      <c r="JGH11" s="283"/>
      <c r="JGI11" s="283"/>
      <c r="JGJ11" s="283"/>
      <c r="JGK11" s="283"/>
      <c r="JGL11" s="283"/>
      <c r="JGM11" s="283"/>
      <c r="JGN11" s="283"/>
      <c r="JGO11" s="283"/>
      <c r="JGP11" s="283"/>
      <c r="JGQ11" s="283"/>
      <c r="JGR11" s="283"/>
      <c r="JGS11" s="283"/>
      <c r="JGT11" s="283"/>
      <c r="JGU11" s="283"/>
      <c r="JGV11" s="283"/>
      <c r="JGW11" s="283"/>
      <c r="JGX11" s="283"/>
      <c r="JGY11" s="283"/>
      <c r="JGZ11" s="283"/>
      <c r="JHA11" s="283"/>
      <c r="JHB11" s="283"/>
      <c r="JHC11" s="283"/>
      <c r="JHD11" s="283"/>
      <c r="JHE11" s="283"/>
      <c r="JHF11" s="283"/>
      <c r="JHG11" s="283"/>
      <c r="JHH11" s="283"/>
      <c r="JHI11" s="283"/>
      <c r="JHJ11" s="283"/>
      <c r="JHK11" s="283"/>
      <c r="JHL11" s="283"/>
      <c r="JHM11" s="283"/>
      <c r="JHN11" s="283"/>
      <c r="JHO11" s="283"/>
      <c r="JHP11" s="283"/>
      <c r="JHQ11" s="283"/>
      <c r="JHR11" s="283"/>
      <c r="JHS11" s="283"/>
      <c r="JHT11" s="283"/>
      <c r="JHU11" s="283"/>
      <c r="JHV11" s="283"/>
      <c r="JHW11" s="283"/>
      <c r="JHX11" s="283"/>
      <c r="JHY11" s="283"/>
      <c r="JHZ11" s="283"/>
      <c r="JIA11" s="283"/>
      <c r="JIB11" s="283"/>
      <c r="JIC11" s="283"/>
      <c r="JID11" s="283"/>
      <c r="JIE11" s="283"/>
      <c r="JIF11" s="283"/>
      <c r="JIG11" s="283"/>
      <c r="JIH11" s="283"/>
      <c r="JII11" s="283"/>
      <c r="JIJ11" s="283"/>
      <c r="JIK11" s="283"/>
      <c r="JIL11" s="283"/>
      <c r="JIM11" s="283"/>
      <c r="JIN11" s="283"/>
      <c r="JIO11" s="283"/>
      <c r="JIP11" s="283"/>
      <c r="JIQ11" s="283"/>
      <c r="JIR11" s="283"/>
      <c r="JIS11" s="283"/>
      <c r="JIT11" s="283"/>
      <c r="JIU11" s="283"/>
      <c r="JIV11" s="283"/>
      <c r="JIW11" s="283"/>
      <c r="JIX11" s="283"/>
      <c r="JIY11" s="283"/>
      <c r="JIZ11" s="283"/>
      <c r="JJA11" s="283"/>
      <c r="JJB11" s="283"/>
      <c r="JJC11" s="283"/>
      <c r="JJD11" s="283"/>
      <c r="JJE11" s="283"/>
      <c r="JJF11" s="283"/>
      <c r="JJG11" s="283"/>
      <c r="JJH11" s="283"/>
      <c r="JJI11" s="283"/>
      <c r="JJJ11" s="283"/>
      <c r="JJK11" s="283"/>
      <c r="JJL11" s="283"/>
      <c r="JJM11" s="283"/>
      <c r="JJN11" s="283"/>
      <c r="JJO11" s="283"/>
      <c r="JJP11" s="283"/>
      <c r="JJQ11" s="283"/>
      <c r="JJR11" s="283"/>
      <c r="JJS11" s="283"/>
      <c r="JJT11" s="283"/>
      <c r="JJU11" s="283"/>
      <c r="JJV11" s="283"/>
      <c r="JJW11" s="283"/>
      <c r="JJX11" s="283"/>
      <c r="JJY11" s="283"/>
      <c r="JJZ11" s="283"/>
      <c r="JKA11" s="283"/>
      <c r="JKB11" s="283"/>
      <c r="JKC11" s="283"/>
      <c r="JKD11" s="283"/>
      <c r="JKE11" s="283"/>
      <c r="JKF11" s="283"/>
      <c r="JKG11" s="283"/>
      <c r="JKH11" s="283"/>
      <c r="JKI11" s="283"/>
      <c r="JKJ11" s="283"/>
      <c r="JKK11" s="283"/>
      <c r="JKL11" s="283"/>
      <c r="JKM11" s="283"/>
      <c r="JKN11" s="283"/>
      <c r="JKO11" s="283"/>
      <c r="JKP11" s="283"/>
      <c r="JKQ11" s="283"/>
      <c r="JKR11" s="283"/>
      <c r="JKS11" s="283"/>
      <c r="JKT11" s="283"/>
      <c r="JKU11" s="283"/>
      <c r="JKV11" s="283"/>
      <c r="JKW11" s="283"/>
      <c r="JKX11" s="283"/>
      <c r="JKY11" s="283"/>
      <c r="JKZ11" s="283"/>
      <c r="JLA11" s="283"/>
      <c r="JLB11" s="283"/>
      <c r="JLC11" s="283"/>
      <c r="JLD11" s="283"/>
      <c r="JLE11" s="283"/>
      <c r="JLF11" s="283"/>
      <c r="JLG11" s="283"/>
      <c r="JLH11" s="283"/>
      <c r="JLI11" s="283"/>
      <c r="JLJ11" s="283"/>
      <c r="JLK11" s="283"/>
      <c r="JLL11" s="283"/>
      <c r="JLM11" s="283"/>
      <c r="JLN11" s="283"/>
      <c r="JLO11" s="283"/>
      <c r="JLP11" s="283"/>
      <c r="JLQ11" s="283"/>
      <c r="JLR11" s="283"/>
      <c r="JLS11" s="283"/>
      <c r="JLT11" s="283"/>
      <c r="JLU11" s="283"/>
      <c r="JLV11" s="283"/>
      <c r="JLW11" s="283"/>
      <c r="JLX11" s="283"/>
      <c r="JLY11" s="283"/>
      <c r="JLZ11" s="283"/>
      <c r="JMA11" s="283"/>
      <c r="JMB11" s="283"/>
      <c r="JMC11" s="283"/>
      <c r="JMD11" s="283"/>
      <c r="JME11" s="283"/>
      <c r="JMF11" s="283"/>
      <c r="JMG11" s="283"/>
      <c r="JMH11" s="283"/>
      <c r="JMI11" s="283"/>
      <c r="JMJ11" s="283"/>
      <c r="JMK11" s="283"/>
      <c r="JML11" s="283"/>
      <c r="JMM11" s="283"/>
      <c r="JMN11" s="283"/>
      <c r="JMO11" s="283"/>
      <c r="JMP11" s="283"/>
      <c r="JMQ11" s="283"/>
      <c r="JMR11" s="283"/>
      <c r="JMS11" s="283"/>
      <c r="JMT11" s="283"/>
      <c r="JMU11" s="283"/>
      <c r="JMV11" s="283"/>
      <c r="JMW11" s="283"/>
      <c r="JMX11" s="283"/>
      <c r="JMY11" s="283"/>
      <c r="JMZ11" s="283"/>
      <c r="JNA11" s="283"/>
      <c r="JNB11" s="283"/>
      <c r="JNC11" s="283"/>
      <c r="JND11" s="283"/>
      <c r="JNE11" s="283"/>
      <c r="JNF11" s="283"/>
      <c r="JNG11" s="283"/>
      <c r="JNH11" s="283"/>
      <c r="JNI11" s="283"/>
      <c r="JNJ11" s="283"/>
      <c r="JNK11" s="283"/>
      <c r="JNL11" s="283"/>
      <c r="JNM11" s="283"/>
      <c r="JNN11" s="283"/>
      <c r="JNO11" s="283"/>
      <c r="JNP11" s="283"/>
      <c r="JNQ11" s="283"/>
      <c r="JNR11" s="283"/>
      <c r="JNS11" s="283"/>
      <c r="JNT11" s="283"/>
      <c r="JNU11" s="283"/>
      <c r="JNV11" s="283"/>
      <c r="JNW11" s="283"/>
      <c r="JNX11" s="283"/>
      <c r="JNY11" s="283"/>
      <c r="JNZ11" s="283"/>
      <c r="JOA11" s="283"/>
      <c r="JOB11" s="283"/>
      <c r="JOC11" s="283"/>
      <c r="JOD11" s="283"/>
      <c r="JOE11" s="283"/>
      <c r="JOF11" s="283"/>
      <c r="JOG11" s="283"/>
      <c r="JOH11" s="283"/>
      <c r="JOI11" s="283"/>
      <c r="JOJ11" s="283"/>
      <c r="JOK11" s="283"/>
      <c r="JOL11" s="283"/>
      <c r="JOM11" s="283"/>
      <c r="JON11" s="283"/>
      <c r="JOO11" s="283"/>
      <c r="JOP11" s="283"/>
      <c r="JOQ11" s="283"/>
      <c r="JOR11" s="283"/>
      <c r="JOS11" s="283"/>
      <c r="JOT11" s="283"/>
      <c r="JOU11" s="283"/>
      <c r="JOV11" s="283"/>
      <c r="JOW11" s="283"/>
      <c r="JOX11" s="283"/>
      <c r="JOY11" s="283"/>
      <c r="JOZ11" s="283"/>
      <c r="JPA11" s="283"/>
      <c r="JPB11" s="283"/>
      <c r="JPC11" s="283"/>
      <c r="JPD11" s="283"/>
      <c r="JPE11" s="283"/>
      <c r="JPF11" s="283"/>
      <c r="JPG11" s="283"/>
      <c r="JPH11" s="283"/>
      <c r="JPI11" s="283"/>
      <c r="JPJ11" s="283"/>
      <c r="JPK11" s="283"/>
      <c r="JPL11" s="283"/>
      <c r="JPM11" s="283"/>
      <c r="JPN11" s="283"/>
      <c r="JPO11" s="283"/>
      <c r="JPP11" s="283"/>
      <c r="JPQ11" s="283"/>
      <c r="JPR11" s="283"/>
      <c r="JPS11" s="283"/>
      <c r="JPT11" s="283"/>
      <c r="JPU11" s="283"/>
      <c r="JPV11" s="283"/>
      <c r="JPW11" s="283"/>
      <c r="JPX11" s="283"/>
      <c r="JPY11" s="283"/>
      <c r="JPZ11" s="283"/>
      <c r="JQA11" s="283"/>
      <c r="JQB11" s="283"/>
      <c r="JQC11" s="283"/>
      <c r="JQD11" s="283"/>
      <c r="JQE11" s="283"/>
      <c r="JQF11" s="283"/>
      <c r="JQG11" s="283"/>
      <c r="JQH11" s="283"/>
      <c r="JQI11" s="283"/>
      <c r="JQJ11" s="283"/>
      <c r="JQK11" s="283"/>
      <c r="JQL11" s="283"/>
      <c r="JQM11" s="283"/>
      <c r="JQN11" s="283"/>
      <c r="JQO11" s="283"/>
      <c r="JQP11" s="283"/>
      <c r="JQQ11" s="283"/>
      <c r="JQR11" s="283"/>
      <c r="JQS11" s="283"/>
      <c r="JQT11" s="283"/>
      <c r="JQU11" s="283"/>
      <c r="JQV11" s="283"/>
      <c r="JQW11" s="283"/>
      <c r="JQX11" s="283"/>
      <c r="JQY11" s="283"/>
      <c r="JQZ11" s="283"/>
      <c r="JRA11" s="283"/>
      <c r="JRB11" s="283"/>
      <c r="JRC11" s="283"/>
      <c r="JRD11" s="283"/>
      <c r="JRE11" s="283"/>
      <c r="JRF11" s="283"/>
      <c r="JRG11" s="283"/>
      <c r="JRH11" s="283"/>
      <c r="JRI11" s="283"/>
      <c r="JRJ11" s="283"/>
      <c r="JRK11" s="283"/>
      <c r="JRL11" s="283"/>
      <c r="JRM11" s="283"/>
      <c r="JRN11" s="283"/>
      <c r="JRO11" s="283"/>
      <c r="JRP11" s="283"/>
      <c r="JRQ11" s="283"/>
      <c r="JRR11" s="283"/>
      <c r="JRS11" s="283"/>
      <c r="JRT11" s="283"/>
      <c r="JRU11" s="283"/>
      <c r="JRV11" s="283"/>
      <c r="JRW11" s="283"/>
      <c r="JRX11" s="283"/>
      <c r="JRY11" s="283"/>
      <c r="JRZ11" s="283"/>
      <c r="JSA11" s="283"/>
      <c r="JSB11" s="283"/>
      <c r="JSC11" s="283"/>
      <c r="JSD11" s="283"/>
      <c r="JSE11" s="283"/>
      <c r="JSF11" s="283"/>
      <c r="JSG11" s="283"/>
      <c r="JSH11" s="283"/>
      <c r="JSI11" s="283"/>
      <c r="JSJ11" s="283"/>
      <c r="JSK11" s="283"/>
      <c r="JSL11" s="283"/>
      <c r="JSM11" s="283"/>
      <c r="JSN11" s="283"/>
      <c r="JSO11" s="283"/>
      <c r="JSP11" s="283"/>
      <c r="JSQ11" s="283"/>
      <c r="JSR11" s="283"/>
      <c r="JSS11" s="283"/>
      <c r="JST11" s="283"/>
      <c r="JSU11" s="283"/>
      <c r="JSV11" s="283"/>
      <c r="JSW11" s="283"/>
      <c r="JSX11" s="283"/>
      <c r="JSY11" s="283"/>
      <c r="JSZ11" s="283"/>
      <c r="JTA11" s="283"/>
      <c r="JTB11" s="283"/>
      <c r="JTC11" s="283"/>
      <c r="JTD11" s="283"/>
      <c r="JTE11" s="283"/>
      <c r="JTF11" s="283"/>
      <c r="JTG11" s="283"/>
      <c r="JTH11" s="283"/>
      <c r="JTI11" s="283"/>
      <c r="JTJ11" s="283"/>
      <c r="JTK11" s="283"/>
      <c r="JTL11" s="283"/>
      <c r="JTM11" s="283"/>
      <c r="JTN11" s="283"/>
      <c r="JTO11" s="283"/>
      <c r="JTP11" s="283"/>
      <c r="JTQ11" s="283"/>
      <c r="JTR11" s="283"/>
      <c r="JTS11" s="283"/>
      <c r="JTT11" s="283"/>
      <c r="JTU11" s="283"/>
      <c r="JTV11" s="283"/>
      <c r="JTW11" s="283"/>
      <c r="JTX11" s="283"/>
      <c r="JTY11" s="283"/>
      <c r="JTZ11" s="283"/>
      <c r="JUA11" s="283"/>
      <c r="JUB11" s="283"/>
      <c r="JUC11" s="283"/>
      <c r="JUD11" s="283"/>
      <c r="JUE11" s="283"/>
      <c r="JUF11" s="283"/>
      <c r="JUG11" s="283"/>
      <c r="JUH11" s="283"/>
      <c r="JUI11" s="283"/>
      <c r="JUJ11" s="283"/>
      <c r="JUK11" s="283"/>
      <c r="JUL11" s="283"/>
      <c r="JUM11" s="283"/>
      <c r="JUN11" s="283"/>
      <c r="JUO11" s="283"/>
      <c r="JUP11" s="283"/>
      <c r="JUQ11" s="283"/>
      <c r="JUR11" s="283"/>
      <c r="JUS11" s="283"/>
      <c r="JUT11" s="283"/>
      <c r="JUU11" s="283"/>
      <c r="JUV11" s="283"/>
      <c r="JUW11" s="283"/>
      <c r="JUX11" s="283"/>
      <c r="JUY11" s="283"/>
      <c r="JUZ11" s="283"/>
      <c r="JVA11" s="283"/>
      <c r="JVB11" s="283"/>
      <c r="JVC11" s="283"/>
      <c r="JVD11" s="283"/>
      <c r="JVE11" s="283"/>
      <c r="JVF11" s="283"/>
      <c r="JVG11" s="283"/>
      <c r="JVH11" s="283"/>
      <c r="JVI11" s="283"/>
      <c r="JVJ11" s="283"/>
      <c r="JVK11" s="283"/>
      <c r="JVL11" s="283"/>
      <c r="JVM11" s="283"/>
      <c r="JVN11" s="283"/>
      <c r="JVO11" s="283"/>
      <c r="JVP11" s="283"/>
      <c r="JVQ11" s="283"/>
      <c r="JVR11" s="283"/>
      <c r="JVS11" s="283"/>
      <c r="JVT11" s="283"/>
      <c r="JVU11" s="283"/>
      <c r="JVV11" s="283"/>
      <c r="JVW11" s="283"/>
      <c r="JVX11" s="283"/>
      <c r="JVY11" s="283"/>
      <c r="JVZ11" s="283"/>
      <c r="JWA11" s="283"/>
      <c r="JWB11" s="283"/>
      <c r="JWC11" s="283"/>
      <c r="JWD11" s="283"/>
      <c r="JWE11" s="283"/>
      <c r="JWF11" s="283"/>
      <c r="JWG11" s="283"/>
      <c r="JWH11" s="283"/>
      <c r="JWI11" s="283"/>
      <c r="JWJ11" s="283"/>
      <c r="JWK11" s="283"/>
      <c r="JWL11" s="283"/>
      <c r="JWM11" s="283"/>
      <c r="JWN11" s="283"/>
      <c r="JWO11" s="283"/>
      <c r="JWP11" s="283"/>
      <c r="JWQ11" s="283"/>
      <c r="JWR11" s="283"/>
      <c r="JWS11" s="283"/>
      <c r="JWT11" s="283"/>
      <c r="JWU11" s="283"/>
      <c r="JWV11" s="283"/>
      <c r="JWW11" s="283"/>
      <c r="JWX11" s="283"/>
      <c r="JWY11" s="283"/>
      <c r="JWZ11" s="283"/>
      <c r="JXA11" s="283"/>
      <c r="JXB11" s="283"/>
      <c r="JXC11" s="283"/>
      <c r="JXD11" s="283"/>
      <c r="JXE11" s="283"/>
      <c r="JXF11" s="283"/>
      <c r="JXG11" s="283"/>
      <c r="JXH11" s="283"/>
      <c r="JXI11" s="283"/>
      <c r="JXJ11" s="283"/>
      <c r="JXK11" s="283"/>
      <c r="JXL11" s="283"/>
      <c r="JXM11" s="283"/>
      <c r="JXN11" s="283"/>
      <c r="JXO11" s="283"/>
      <c r="JXP11" s="283"/>
      <c r="JXQ11" s="283"/>
      <c r="JXR11" s="283"/>
      <c r="JXS11" s="283"/>
      <c r="JXT11" s="283"/>
      <c r="JXU11" s="283"/>
      <c r="JXV11" s="283"/>
      <c r="JXW11" s="283"/>
      <c r="JXX11" s="283"/>
      <c r="JXY11" s="283"/>
      <c r="JXZ11" s="283"/>
      <c r="JYA11" s="283"/>
      <c r="JYB11" s="283"/>
      <c r="JYC11" s="283"/>
      <c r="JYD11" s="283"/>
      <c r="JYE11" s="283"/>
      <c r="JYF11" s="283"/>
      <c r="JYG11" s="283"/>
      <c r="JYH11" s="283"/>
      <c r="JYI11" s="283"/>
      <c r="JYJ11" s="283"/>
      <c r="JYK11" s="283"/>
      <c r="JYL11" s="283"/>
      <c r="JYM11" s="283"/>
      <c r="JYN11" s="283"/>
      <c r="JYO11" s="283"/>
      <c r="JYP11" s="283"/>
      <c r="JYQ11" s="283"/>
      <c r="JYR11" s="283"/>
      <c r="JYS11" s="283"/>
      <c r="JYT11" s="283"/>
      <c r="JYU11" s="283"/>
      <c r="JYV11" s="283"/>
      <c r="JYW11" s="283"/>
      <c r="JYX11" s="283"/>
      <c r="JYY11" s="283"/>
      <c r="JYZ11" s="283"/>
      <c r="JZA11" s="283"/>
      <c r="JZB11" s="283"/>
      <c r="JZC11" s="283"/>
      <c r="JZD11" s="283"/>
      <c r="JZE11" s="283"/>
      <c r="JZF11" s="283"/>
      <c r="JZG11" s="283"/>
      <c r="JZH11" s="283"/>
      <c r="JZI11" s="283"/>
      <c r="JZJ11" s="283"/>
      <c r="JZK11" s="283"/>
      <c r="JZL11" s="283"/>
      <c r="JZM11" s="283"/>
      <c r="JZN11" s="283"/>
      <c r="JZO11" s="283"/>
      <c r="JZP11" s="283"/>
      <c r="JZQ11" s="283"/>
      <c r="JZR11" s="283"/>
      <c r="JZS11" s="283"/>
      <c r="JZT11" s="283"/>
      <c r="JZU11" s="283"/>
      <c r="JZV11" s="283"/>
      <c r="JZW11" s="283"/>
      <c r="JZX11" s="283"/>
      <c r="JZY11" s="283"/>
      <c r="JZZ11" s="283"/>
      <c r="KAA11" s="283"/>
      <c r="KAB11" s="283"/>
      <c r="KAC11" s="283"/>
      <c r="KAD11" s="283"/>
      <c r="KAE11" s="283"/>
      <c r="KAF11" s="283"/>
      <c r="KAG11" s="283"/>
      <c r="KAH11" s="283"/>
      <c r="KAI11" s="283"/>
      <c r="KAJ11" s="283"/>
      <c r="KAK11" s="283"/>
      <c r="KAL11" s="283"/>
      <c r="KAM11" s="283"/>
      <c r="KAN11" s="283"/>
      <c r="KAO11" s="283"/>
      <c r="KAP11" s="283"/>
      <c r="KAQ11" s="283"/>
      <c r="KAR11" s="283"/>
      <c r="KAS11" s="283"/>
      <c r="KAT11" s="283"/>
      <c r="KAU11" s="283"/>
      <c r="KAV11" s="283"/>
      <c r="KAW11" s="283"/>
      <c r="KAX11" s="283"/>
      <c r="KAY11" s="283"/>
      <c r="KAZ11" s="283"/>
      <c r="KBA11" s="283"/>
      <c r="KBB11" s="283"/>
      <c r="KBC11" s="283"/>
      <c r="KBD11" s="283"/>
      <c r="KBE11" s="283"/>
      <c r="KBF11" s="283"/>
      <c r="KBG11" s="283"/>
      <c r="KBH11" s="283"/>
      <c r="KBI11" s="283"/>
      <c r="KBJ11" s="283"/>
      <c r="KBK11" s="283"/>
      <c r="KBL11" s="283"/>
      <c r="KBM11" s="283"/>
      <c r="KBN11" s="283"/>
      <c r="KBO11" s="283"/>
      <c r="KBP11" s="283"/>
      <c r="KBQ11" s="283"/>
      <c r="KBR11" s="283"/>
      <c r="KBS11" s="283"/>
      <c r="KBT11" s="283"/>
      <c r="KBU11" s="283"/>
      <c r="KBV11" s="283"/>
      <c r="KBW11" s="283"/>
      <c r="KBX11" s="283"/>
      <c r="KBY11" s="283"/>
      <c r="KBZ11" s="283"/>
      <c r="KCA11" s="283"/>
      <c r="KCB11" s="283"/>
      <c r="KCC11" s="283"/>
      <c r="KCD11" s="283"/>
      <c r="KCE11" s="283"/>
      <c r="KCF11" s="283"/>
      <c r="KCG11" s="283"/>
      <c r="KCH11" s="283"/>
      <c r="KCI11" s="283"/>
      <c r="KCJ11" s="283"/>
      <c r="KCK11" s="283"/>
      <c r="KCL11" s="283"/>
      <c r="KCM11" s="283"/>
      <c r="KCN11" s="283"/>
      <c r="KCO11" s="283"/>
      <c r="KCP11" s="283"/>
      <c r="KCQ11" s="283"/>
      <c r="KCR11" s="283"/>
      <c r="KCS11" s="283"/>
      <c r="KCT11" s="283"/>
      <c r="KCU11" s="283"/>
      <c r="KCV11" s="283"/>
      <c r="KCW11" s="283"/>
      <c r="KCX11" s="283"/>
      <c r="KCY11" s="283"/>
      <c r="KCZ11" s="283"/>
      <c r="KDA11" s="283"/>
      <c r="KDB11" s="283"/>
      <c r="KDC11" s="283"/>
      <c r="KDD11" s="283"/>
      <c r="KDE11" s="283"/>
      <c r="KDF11" s="283"/>
      <c r="KDG11" s="283"/>
      <c r="KDH11" s="283"/>
      <c r="KDI11" s="283"/>
      <c r="KDJ11" s="283"/>
      <c r="KDK11" s="283"/>
      <c r="KDL11" s="283"/>
      <c r="KDM11" s="283"/>
      <c r="KDN11" s="283"/>
      <c r="KDO11" s="283"/>
      <c r="KDP11" s="283"/>
      <c r="KDQ11" s="283"/>
      <c r="KDR11" s="283"/>
      <c r="KDS11" s="283"/>
      <c r="KDT11" s="283"/>
      <c r="KDU11" s="283"/>
      <c r="KDV11" s="283"/>
      <c r="KDW11" s="283"/>
      <c r="KDX11" s="283"/>
      <c r="KDY11" s="283"/>
      <c r="KDZ11" s="283"/>
      <c r="KEA11" s="283"/>
      <c r="KEB11" s="283"/>
      <c r="KEC11" s="283"/>
      <c r="KED11" s="283"/>
      <c r="KEE11" s="283"/>
      <c r="KEF11" s="283"/>
      <c r="KEG11" s="283"/>
      <c r="KEH11" s="283"/>
      <c r="KEI11" s="283"/>
      <c r="KEJ11" s="283"/>
      <c r="KEK11" s="283"/>
      <c r="KEL11" s="283"/>
      <c r="KEM11" s="283"/>
      <c r="KEN11" s="283"/>
      <c r="KEO11" s="283"/>
      <c r="KEP11" s="283"/>
      <c r="KEQ11" s="283"/>
      <c r="KER11" s="283"/>
      <c r="KES11" s="283"/>
      <c r="KET11" s="283"/>
      <c r="KEU11" s="283"/>
      <c r="KEV11" s="283"/>
      <c r="KEW11" s="283"/>
      <c r="KEX11" s="283"/>
      <c r="KEY11" s="283"/>
      <c r="KEZ11" s="283"/>
      <c r="KFA11" s="283"/>
      <c r="KFB11" s="283"/>
      <c r="KFC11" s="283"/>
      <c r="KFD11" s="283"/>
      <c r="KFE11" s="283"/>
      <c r="KFF11" s="283"/>
      <c r="KFG11" s="283"/>
      <c r="KFH11" s="283"/>
      <c r="KFI11" s="283"/>
      <c r="KFJ11" s="283"/>
      <c r="KFK11" s="283"/>
      <c r="KFL11" s="283"/>
      <c r="KFM11" s="283"/>
      <c r="KFN11" s="283"/>
      <c r="KFO11" s="283"/>
      <c r="KFP11" s="283"/>
      <c r="KFQ11" s="283"/>
      <c r="KFR11" s="283"/>
      <c r="KFS11" s="283"/>
      <c r="KFT11" s="283"/>
      <c r="KFU11" s="283"/>
      <c r="KFV11" s="283"/>
      <c r="KFW11" s="283"/>
      <c r="KFX11" s="283"/>
      <c r="KFY11" s="283"/>
      <c r="KFZ11" s="283"/>
      <c r="KGA11" s="283"/>
      <c r="KGB11" s="283"/>
      <c r="KGC11" s="283"/>
      <c r="KGD11" s="283"/>
      <c r="KGE11" s="283"/>
      <c r="KGF11" s="283"/>
      <c r="KGG11" s="283"/>
      <c r="KGH11" s="283"/>
      <c r="KGI11" s="283"/>
      <c r="KGJ11" s="283"/>
      <c r="KGK11" s="283"/>
      <c r="KGL11" s="283"/>
      <c r="KGM11" s="283"/>
      <c r="KGN11" s="283"/>
      <c r="KGO11" s="283"/>
      <c r="KGP11" s="283"/>
      <c r="KGQ11" s="283"/>
      <c r="KGR11" s="283"/>
      <c r="KGS11" s="283"/>
      <c r="KGT11" s="283"/>
      <c r="KGU11" s="283"/>
      <c r="KGV11" s="283"/>
      <c r="KGW11" s="283"/>
      <c r="KGX11" s="283"/>
      <c r="KGY11" s="283"/>
      <c r="KGZ11" s="283"/>
      <c r="KHA11" s="283"/>
      <c r="KHB11" s="283"/>
      <c r="KHC11" s="283"/>
      <c r="KHD11" s="283"/>
      <c r="KHE11" s="283"/>
      <c r="KHF11" s="283"/>
      <c r="KHG11" s="283"/>
      <c r="KHH11" s="283"/>
      <c r="KHI11" s="283"/>
      <c r="KHJ11" s="283"/>
      <c r="KHK11" s="283"/>
      <c r="KHL11" s="283"/>
      <c r="KHM11" s="283"/>
      <c r="KHN11" s="283"/>
      <c r="KHO11" s="283"/>
      <c r="KHP11" s="283"/>
      <c r="KHQ11" s="283"/>
      <c r="KHR11" s="283"/>
      <c r="KHS11" s="283"/>
      <c r="KHT11" s="283"/>
      <c r="KHU11" s="283"/>
      <c r="KHV11" s="283"/>
      <c r="KHW11" s="283"/>
      <c r="KHX11" s="283"/>
      <c r="KHY11" s="283"/>
      <c r="KHZ11" s="283"/>
      <c r="KIA11" s="283"/>
      <c r="KIB11" s="283"/>
      <c r="KIC11" s="283"/>
      <c r="KID11" s="283"/>
      <c r="KIE11" s="283"/>
      <c r="KIF11" s="283"/>
      <c r="KIG11" s="283"/>
      <c r="KIH11" s="283"/>
      <c r="KII11" s="283"/>
      <c r="KIJ11" s="283"/>
      <c r="KIK11" s="283"/>
      <c r="KIL11" s="283"/>
      <c r="KIM11" s="283"/>
      <c r="KIN11" s="283"/>
      <c r="KIO11" s="283"/>
      <c r="KIP11" s="283"/>
      <c r="KIQ11" s="283"/>
      <c r="KIR11" s="283"/>
      <c r="KIS11" s="283"/>
      <c r="KIT11" s="283"/>
      <c r="KIU11" s="283"/>
      <c r="KIV11" s="283"/>
      <c r="KIW11" s="283"/>
      <c r="KIX11" s="283"/>
      <c r="KIY11" s="283"/>
      <c r="KIZ11" s="283"/>
      <c r="KJA11" s="283"/>
      <c r="KJB11" s="283"/>
      <c r="KJC11" s="283"/>
      <c r="KJD11" s="283"/>
      <c r="KJE11" s="283"/>
      <c r="KJF11" s="283"/>
      <c r="KJG11" s="283"/>
      <c r="KJH11" s="283"/>
      <c r="KJI11" s="283"/>
      <c r="KJJ11" s="283"/>
      <c r="KJK11" s="283"/>
      <c r="KJL11" s="283"/>
      <c r="KJM11" s="283"/>
      <c r="KJN11" s="283"/>
      <c r="KJO11" s="283"/>
      <c r="KJP11" s="283"/>
      <c r="KJQ11" s="283"/>
      <c r="KJR11" s="283"/>
      <c r="KJS11" s="283"/>
      <c r="KJT11" s="283"/>
      <c r="KJU11" s="283"/>
      <c r="KJV11" s="283"/>
      <c r="KJW11" s="283"/>
      <c r="KJX11" s="283"/>
      <c r="KJY11" s="283"/>
      <c r="KJZ11" s="283"/>
      <c r="KKA11" s="283"/>
      <c r="KKB11" s="283"/>
      <c r="KKC11" s="283"/>
      <c r="KKD11" s="283"/>
      <c r="KKE11" s="283"/>
      <c r="KKF11" s="283"/>
      <c r="KKG11" s="283"/>
      <c r="KKH11" s="283"/>
      <c r="KKI11" s="283"/>
      <c r="KKJ11" s="283"/>
      <c r="KKK11" s="283"/>
      <c r="KKL11" s="283"/>
      <c r="KKM11" s="283"/>
      <c r="KKN11" s="283"/>
      <c r="KKO11" s="283"/>
      <c r="KKP11" s="283"/>
      <c r="KKQ11" s="283"/>
      <c r="KKR11" s="283"/>
      <c r="KKS11" s="283"/>
      <c r="KKT11" s="283"/>
      <c r="KKU11" s="283"/>
      <c r="KKV11" s="283"/>
      <c r="KKW11" s="283"/>
      <c r="KKX11" s="283"/>
      <c r="KKY11" s="283"/>
      <c r="KKZ11" s="283"/>
      <c r="KLA11" s="283"/>
      <c r="KLB11" s="283"/>
      <c r="KLC11" s="283"/>
      <c r="KLD11" s="283"/>
      <c r="KLE11" s="283"/>
      <c r="KLF11" s="283"/>
      <c r="KLG11" s="283"/>
      <c r="KLH11" s="283"/>
      <c r="KLI11" s="283"/>
      <c r="KLJ11" s="283"/>
      <c r="KLK11" s="283"/>
      <c r="KLL11" s="283"/>
      <c r="KLM11" s="283"/>
      <c r="KLN11" s="283"/>
      <c r="KLO11" s="283"/>
      <c r="KLP11" s="283"/>
      <c r="KLQ11" s="283"/>
      <c r="KLR11" s="283"/>
      <c r="KLS11" s="283"/>
      <c r="KLT11" s="283"/>
      <c r="KLU11" s="283"/>
      <c r="KLV11" s="283"/>
      <c r="KLW11" s="283"/>
      <c r="KLX11" s="283"/>
      <c r="KLY11" s="283"/>
      <c r="KLZ11" s="283"/>
      <c r="KMA11" s="283"/>
      <c r="KMB11" s="283"/>
      <c r="KMC11" s="283"/>
      <c r="KMD11" s="283"/>
      <c r="KME11" s="283"/>
      <c r="KMF11" s="283"/>
      <c r="KMG11" s="283"/>
      <c r="KMH11" s="283"/>
      <c r="KMI11" s="283"/>
      <c r="KMJ11" s="283"/>
      <c r="KMK11" s="283"/>
      <c r="KML11" s="283"/>
      <c r="KMM11" s="283"/>
      <c r="KMN11" s="283"/>
      <c r="KMO11" s="283"/>
      <c r="KMP11" s="283"/>
      <c r="KMQ11" s="283"/>
      <c r="KMR11" s="283"/>
      <c r="KMS11" s="283"/>
      <c r="KMT11" s="283"/>
      <c r="KMU11" s="283"/>
      <c r="KMV11" s="283"/>
      <c r="KMW11" s="283"/>
      <c r="KMX11" s="283"/>
      <c r="KMY11" s="283"/>
      <c r="KMZ11" s="283"/>
      <c r="KNA11" s="283"/>
      <c r="KNB11" s="283"/>
      <c r="KNC11" s="283"/>
      <c r="KND11" s="283"/>
      <c r="KNE11" s="283"/>
      <c r="KNF11" s="283"/>
      <c r="KNG11" s="283"/>
      <c r="KNH11" s="283"/>
      <c r="KNI11" s="283"/>
      <c r="KNJ11" s="283"/>
      <c r="KNK11" s="283"/>
      <c r="KNL11" s="283"/>
      <c r="KNM11" s="283"/>
      <c r="KNN11" s="283"/>
      <c r="KNO11" s="283"/>
      <c r="KNP11" s="283"/>
      <c r="KNQ11" s="283"/>
      <c r="KNR11" s="283"/>
      <c r="KNS11" s="283"/>
      <c r="KNT11" s="283"/>
      <c r="KNU11" s="283"/>
      <c r="KNV11" s="283"/>
      <c r="KNW11" s="283"/>
      <c r="KNX11" s="283"/>
      <c r="KNY11" s="283"/>
      <c r="KNZ11" s="283"/>
      <c r="KOA11" s="283"/>
      <c r="KOB11" s="283"/>
      <c r="KOC11" s="283"/>
      <c r="KOD11" s="283"/>
      <c r="KOE11" s="283"/>
      <c r="KOF11" s="283"/>
      <c r="KOG11" s="283"/>
      <c r="KOH11" s="283"/>
      <c r="KOI11" s="283"/>
      <c r="KOJ11" s="283"/>
      <c r="KOK11" s="283"/>
      <c r="KOL11" s="283"/>
      <c r="KOM11" s="283"/>
      <c r="KON11" s="283"/>
      <c r="KOO11" s="283"/>
      <c r="KOP11" s="283"/>
      <c r="KOQ11" s="283"/>
      <c r="KOR11" s="283"/>
      <c r="KOS11" s="283"/>
      <c r="KOT11" s="283"/>
      <c r="KOU11" s="283"/>
      <c r="KOV11" s="283"/>
      <c r="KOW11" s="283"/>
      <c r="KOX11" s="283"/>
      <c r="KOY11" s="283"/>
      <c r="KOZ11" s="283"/>
      <c r="KPA11" s="283"/>
      <c r="KPB11" s="283"/>
      <c r="KPC11" s="283"/>
      <c r="KPD11" s="283"/>
      <c r="KPE11" s="283"/>
      <c r="KPF11" s="283"/>
      <c r="KPG11" s="283"/>
      <c r="KPH11" s="283"/>
      <c r="KPI11" s="283"/>
      <c r="KPJ11" s="283"/>
      <c r="KPK11" s="283"/>
      <c r="KPL11" s="283"/>
      <c r="KPM11" s="283"/>
      <c r="KPN11" s="283"/>
      <c r="KPO11" s="283"/>
      <c r="KPP11" s="283"/>
      <c r="KPQ11" s="283"/>
      <c r="KPR11" s="283"/>
      <c r="KPS11" s="283"/>
      <c r="KPT11" s="283"/>
      <c r="KPU11" s="283"/>
      <c r="KPV11" s="283"/>
      <c r="KPW11" s="283"/>
      <c r="KPX11" s="283"/>
      <c r="KPY11" s="283"/>
      <c r="KPZ11" s="283"/>
      <c r="KQA11" s="283"/>
      <c r="KQB11" s="283"/>
      <c r="KQC11" s="283"/>
      <c r="KQD11" s="283"/>
      <c r="KQE11" s="283"/>
      <c r="KQF11" s="283"/>
      <c r="KQG11" s="283"/>
      <c r="KQH11" s="283"/>
      <c r="KQI11" s="283"/>
      <c r="KQJ11" s="283"/>
      <c r="KQK11" s="283"/>
      <c r="KQL11" s="283"/>
      <c r="KQM11" s="283"/>
      <c r="KQN11" s="283"/>
      <c r="KQO11" s="283"/>
      <c r="KQP11" s="283"/>
      <c r="KQQ11" s="283"/>
      <c r="KQR11" s="283"/>
      <c r="KQS11" s="283"/>
      <c r="KQT11" s="283"/>
      <c r="KQU11" s="283"/>
      <c r="KQV11" s="283"/>
      <c r="KQW11" s="283"/>
      <c r="KQX11" s="283"/>
      <c r="KQY11" s="283"/>
      <c r="KQZ11" s="283"/>
      <c r="KRA11" s="283"/>
      <c r="KRB11" s="283"/>
      <c r="KRC11" s="283"/>
      <c r="KRD11" s="283"/>
      <c r="KRE11" s="283"/>
      <c r="KRF11" s="283"/>
      <c r="KRG11" s="283"/>
      <c r="KRH11" s="283"/>
      <c r="KRI11" s="283"/>
      <c r="KRJ11" s="283"/>
      <c r="KRK11" s="283"/>
      <c r="KRL11" s="283"/>
      <c r="KRM11" s="283"/>
      <c r="KRN11" s="283"/>
      <c r="KRO11" s="283"/>
      <c r="KRP11" s="283"/>
      <c r="KRQ11" s="283"/>
      <c r="KRR11" s="283"/>
      <c r="KRS11" s="283"/>
      <c r="KRT11" s="283"/>
      <c r="KRU11" s="283"/>
      <c r="KRV11" s="283"/>
      <c r="KRW11" s="283"/>
      <c r="KRX11" s="283"/>
      <c r="KRY11" s="283"/>
      <c r="KRZ11" s="283"/>
      <c r="KSA11" s="283"/>
      <c r="KSB11" s="283"/>
      <c r="KSC11" s="283"/>
      <c r="KSD11" s="283"/>
      <c r="KSE11" s="283"/>
      <c r="KSF11" s="283"/>
      <c r="KSG11" s="283"/>
      <c r="KSH11" s="283"/>
      <c r="KSI11" s="283"/>
      <c r="KSJ11" s="283"/>
      <c r="KSK11" s="283"/>
      <c r="KSL11" s="283"/>
      <c r="KSM11" s="283"/>
      <c r="KSN11" s="283"/>
      <c r="KSO11" s="283"/>
      <c r="KSP11" s="283"/>
      <c r="KSQ11" s="283"/>
      <c r="KSR11" s="283"/>
      <c r="KSS11" s="283"/>
      <c r="KST11" s="283"/>
      <c r="KSU11" s="283"/>
      <c r="KSV11" s="283"/>
      <c r="KSW11" s="283"/>
      <c r="KSX11" s="283"/>
      <c r="KSY11" s="283"/>
      <c r="KSZ11" s="283"/>
      <c r="KTA11" s="283"/>
      <c r="KTB11" s="283"/>
      <c r="KTC11" s="283"/>
      <c r="KTD11" s="283"/>
      <c r="KTE11" s="283"/>
      <c r="KTF11" s="283"/>
      <c r="KTG11" s="283"/>
      <c r="KTH11" s="283"/>
      <c r="KTI11" s="283"/>
      <c r="KTJ11" s="283"/>
      <c r="KTK11" s="283"/>
      <c r="KTL11" s="283"/>
      <c r="KTM11" s="283"/>
      <c r="KTN11" s="283"/>
      <c r="KTO11" s="283"/>
      <c r="KTP11" s="283"/>
      <c r="KTQ11" s="283"/>
      <c r="KTR11" s="283"/>
      <c r="KTS11" s="283"/>
      <c r="KTT11" s="283"/>
      <c r="KTU11" s="283"/>
      <c r="KTV11" s="283"/>
      <c r="KTW11" s="283"/>
      <c r="KTX11" s="283"/>
      <c r="KTY11" s="283"/>
      <c r="KTZ11" s="283"/>
      <c r="KUA11" s="283"/>
      <c r="KUB11" s="283"/>
      <c r="KUC11" s="283"/>
      <c r="KUD11" s="283"/>
      <c r="KUE11" s="283"/>
      <c r="KUF11" s="283"/>
      <c r="KUG11" s="283"/>
      <c r="KUH11" s="283"/>
      <c r="KUI11" s="283"/>
      <c r="KUJ11" s="283"/>
      <c r="KUK11" s="283"/>
      <c r="KUL11" s="283"/>
      <c r="KUM11" s="283"/>
      <c r="KUN11" s="283"/>
      <c r="KUO11" s="283"/>
      <c r="KUP11" s="283"/>
      <c r="KUQ11" s="283"/>
      <c r="KUR11" s="283"/>
      <c r="KUS11" s="283"/>
      <c r="KUT11" s="283"/>
      <c r="KUU11" s="283"/>
      <c r="KUV11" s="283"/>
      <c r="KUW11" s="283"/>
      <c r="KUX11" s="283"/>
      <c r="KUY11" s="283"/>
      <c r="KUZ11" s="283"/>
      <c r="KVA11" s="283"/>
      <c r="KVB11" s="283"/>
      <c r="KVC11" s="283"/>
      <c r="KVD11" s="283"/>
      <c r="KVE11" s="283"/>
      <c r="KVF11" s="283"/>
      <c r="KVG11" s="283"/>
      <c r="KVH11" s="283"/>
      <c r="KVI11" s="283"/>
      <c r="KVJ11" s="283"/>
      <c r="KVK11" s="283"/>
      <c r="KVL11" s="283"/>
      <c r="KVM11" s="283"/>
      <c r="KVN11" s="283"/>
      <c r="KVO11" s="283"/>
      <c r="KVP11" s="283"/>
      <c r="KVQ11" s="283"/>
      <c r="KVR11" s="283"/>
      <c r="KVS11" s="283"/>
      <c r="KVT11" s="283"/>
      <c r="KVU11" s="283"/>
      <c r="KVV11" s="283"/>
      <c r="KVW11" s="283"/>
      <c r="KVX11" s="283"/>
      <c r="KVY11" s="283"/>
      <c r="KVZ11" s="283"/>
      <c r="KWA11" s="283"/>
      <c r="KWB11" s="283"/>
      <c r="KWC11" s="283"/>
      <c r="KWD11" s="283"/>
      <c r="KWE11" s="283"/>
      <c r="KWF11" s="283"/>
      <c r="KWG11" s="283"/>
      <c r="KWH11" s="283"/>
      <c r="KWI11" s="283"/>
      <c r="KWJ11" s="283"/>
      <c r="KWK11" s="283"/>
      <c r="KWL11" s="283"/>
      <c r="KWM11" s="283"/>
      <c r="KWN11" s="283"/>
      <c r="KWO11" s="283"/>
      <c r="KWP11" s="283"/>
      <c r="KWQ11" s="283"/>
      <c r="KWR11" s="283"/>
      <c r="KWS11" s="283"/>
      <c r="KWT11" s="283"/>
      <c r="KWU11" s="283"/>
      <c r="KWV11" s="283"/>
      <c r="KWW11" s="283"/>
      <c r="KWX11" s="283"/>
      <c r="KWY11" s="283"/>
      <c r="KWZ11" s="283"/>
      <c r="KXA11" s="283"/>
      <c r="KXB11" s="283"/>
      <c r="KXC11" s="283"/>
      <c r="KXD11" s="283"/>
      <c r="KXE11" s="283"/>
      <c r="KXF11" s="283"/>
      <c r="KXG11" s="283"/>
      <c r="KXH11" s="283"/>
      <c r="KXI11" s="283"/>
      <c r="KXJ11" s="283"/>
      <c r="KXK11" s="283"/>
      <c r="KXL11" s="283"/>
      <c r="KXM11" s="283"/>
      <c r="KXN11" s="283"/>
      <c r="KXO11" s="283"/>
      <c r="KXP11" s="283"/>
      <c r="KXQ11" s="283"/>
      <c r="KXR11" s="283"/>
      <c r="KXS11" s="283"/>
      <c r="KXT11" s="283"/>
      <c r="KXU11" s="283"/>
      <c r="KXV11" s="283"/>
      <c r="KXW11" s="283"/>
      <c r="KXX11" s="283"/>
      <c r="KXY11" s="283"/>
      <c r="KXZ11" s="283"/>
      <c r="KYA11" s="283"/>
      <c r="KYB11" s="283"/>
      <c r="KYC11" s="283"/>
      <c r="KYD11" s="283"/>
      <c r="KYE11" s="283"/>
      <c r="KYF11" s="283"/>
      <c r="KYG11" s="283"/>
      <c r="KYH11" s="283"/>
      <c r="KYI11" s="283"/>
      <c r="KYJ11" s="283"/>
      <c r="KYK11" s="283"/>
      <c r="KYL11" s="283"/>
      <c r="KYM11" s="283"/>
      <c r="KYN11" s="283"/>
      <c r="KYO11" s="283"/>
      <c r="KYP11" s="283"/>
      <c r="KYQ11" s="283"/>
      <c r="KYR11" s="283"/>
      <c r="KYS11" s="283"/>
      <c r="KYT11" s="283"/>
      <c r="KYU11" s="283"/>
      <c r="KYV11" s="283"/>
      <c r="KYW11" s="283"/>
      <c r="KYX11" s="283"/>
      <c r="KYY11" s="283"/>
      <c r="KYZ11" s="283"/>
      <c r="KZA11" s="283"/>
      <c r="KZB11" s="283"/>
      <c r="KZC11" s="283"/>
      <c r="KZD11" s="283"/>
      <c r="KZE11" s="283"/>
      <c r="KZF11" s="283"/>
      <c r="KZG11" s="283"/>
      <c r="KZH11" s="283"/>
      <c r="KZI11" s="283"/>
      <c r="KZJ11" s="283"/>
      <c r="KZK11" s="283"/>
      <c r="KZL11" s="283"/>
      <c r="KZM11" s="283"/>
      <c r="KZN11" s="283"/>
      <c r="KZO11" s="283"/>
      <c r="KZP11" s="283"/>
      <c r="KZQ11" s="283"/>
      <c r="KZR11" s="283"/>
      <c r="KZS11" s="283"/>
      <c r="KZT11" s="283"/>
      <c r="KZU11" s="283"/>
      <c r="KZV11" s="283"/>
      <c r="KZW11" s="283"/>
      <c r="KZX11" s="283"/>
      <c r="KZY11" s="283"/>
      <c r="KZZ11" s="283"/>
      <c r="LAA11" s="283"/>
      <c r="LAB11" s="283"/>
      <c r="LAC11" s="283"/>
      <c r="LAD11" s="283"/>
      <c r="LAE11" s="283"/>
      <c r="LAF11" s="283"/>
      <c r="LAG11" s="283"/>
      <c r="LAH11" s="283"/>
      <c r="LAI11" s="283"/>
      <c r="LAJ11" s="283"/>
      <c r="LAK11" s="283"/>
      <c r="LAL11" s="283"/>
      <c r="LAM11" s="283"/>
      <c r="LAN11" s="283"/>
      <c r="LAO11" s="283"/>
      <c r="LAP11" s="283"/>
      <c r="LAQ11" s="283"/>
      <c r="LAR11" s="283"/>
      <c r="LAS11" s="283"/>
      <c r="LAT11" s="283"/>
      <c r="LAU11" s="283"/>
      <c r="LAV11" s="283"/>
      <c r="LAW11" s="283"/>
      <c r="LAX11" s="283"/>
      <c r="LAY11" s="283"/>
      <c r="LAZ11" s="283"/>
      <c r="LBA11" s="283"/>
      <c r="LBB11" s="283"/>
      <c r="LBC11" s="283"/>
      <c r="LBD11" s="283"/>
      <c r="LBE11" s="283"/>
      <c r="LBF11" s="283"/>
      <c r="LBG11" s="283"/>
      <c r="LBH11" s="283"/>
      <c r="LBI11" s="283"/>
      <c r="LBJ11" s="283"/>
      <c r="LBK11" s="283"/>
      <c r="LBL11" s="283"/>
      <c r="LBM11" s="283"/>
      <c r="LBN11" s="283"/>
      <c r="LBO11" s="283"/>
      <c r="LBP11" s="283"/>
      <c r="LBQ11" s="283"/>
      <c r="LBR11" s="283"/>
      <c r="LBS11" s="283"/>
      <c r="LBT11" s="283"/>
      <c r="LBU11" s="283"/>
      <c r="LBV11" s="283"/>
      <c r="LBW11" s="283"/>
      <c r="LBX11" s="283"/>
      <c r="LBY11" s="283"/>
      <c r="LBZ11" s="283"/>
      <c r="LCA11" s="283"/>
      <c r="LCB11" s="283"/>
      <c r="LCC11" s="283"/>
      <c r="LCD11" s="283"/>
      <c r="LCE11" s="283"/>
      <c r="LCF11" s="283"/>
      <c r="LCG11" s="283"/>
      <c r="LCH11" s="283"/>
      <c r="LCI11" s="283"/>
      <c r="LCJ11" s="283"/>
      <c r="LCK11" s="283"/>
      <c r="LCL11" s="283"/>
      <c r="LCM11" s="283"/>
      <c r="LCN11" s="283"/>
      <c r="LCO11" s="283"/>
      <c r="LCP11" s="283"/>
      <c r="LCQ11" s="283"/>
      <c r="LCR11" s="283"/>
      <c r="LCS11" s="283"/>
      <c r="LCT11" s="283"/>
      <c r="LCU11" s="283"/>
      <c r="LCV11" s="283"/>
      <c r="LCW11" s="283"/>
      <c r="LCX11" s="283"/>
      <c r="LCY11" s="283"/>
      <c r="LCZ11" s="283"/>
      <c r="LDA11" s="283"/>
      <c r="LDB11" s="283"/>
      <c r="LDC11" s="283"/>
      <c r="LDD11" s="283"/>
      <c r="LDE11" s="283"/>
      <c r="LDF11" s="283"/>
      <c r="LDG11" s="283"/>
      <c r="LDH11" s="283"/>
      <c r="LDI11" s="283"/>
      <c r="LDJ11" s="283"/>
      <c r="LDK11" s="283"/>
      <c r="LDL11" s="283"/>
      <c r="LDM11" s="283"/>
      <c r="LDN11" s="283"/>
      <c r="LDO11" s="283"/>
      <c r="LDP11" s="283"/>
      <c r="LDQ11" s="283"/>
      <c r="LDR11" s="283"/>
      <c r="LDS11" s="283"/>
      <c r="LDT11" s="283"/>
      <c r="LDU11" s="283"/>
      <c r="LDV11" s="283"/>
      <c r="LDW11" s="283"/>
      <c r="LDX11" s="283"/>
      <c r="LDY11" s="283"/>
      <c r="LDZ11" s="283"/>
      <c r="LEA11" s="283"/>
      <c r="LEB11" s="283"/>
      <c r="LEC11" s="283"/>
      <c r="LED11" s="283"/>
      <c r="LEE11" s="283"/>
      <c r="LEF11" s="283"/>
      <c r="LEG11" s="283"/>
      <c r="LEH11" s="283"/>
      <c r="LEI11" s="283"/>
      <c r="LEJ11" s="283"/>
      <c r="LEK11" s="283"/>
      <c r="LEL11" s="283"/>
      <c r="LEM11" s="283"/>
      <c r="LEN11" s="283"/>
      <c r="LEO11" s="283"/>
      <c r="LEP11" s="283"/>
      <c r="LEQ11" s="283"/>
      <c r="LER11" s="283"/>
      <c r="LES11" s="283"/>
      <c r="LET11" s="283"/>
      <c r="LEU11" s="283"/>
      <c r="LEV11" s="283"/>
      <c r="LEW11" s="283"/>
      <c r="LEX11" s="283"/>
      <c r="LEY11" s="283"/>
      <c r="LEZ11" s="283"/>
      <c r="LFA11" s="283"/>
      <c r="LFB11" s="283"/>
      <c r="LFC11" s="283"/>
      <c r="LFD11" s="283"/>
      <c r="LFE11" s="283"/>
      <c r="LFF11" s="283"/>
      <c r="LFG11" s="283"/>
      <c r="LFH11" s="283"/>
      <c r="LFI11" s="283"/>
      <c r="LFJ11" s="283"/>
      <c r="LFK11" s="283"/>
      <c r="LFL11" s="283"/>
      <c r="LFM11" s="283"/>
      <c r="LFN11" s="283"/>
      <c r="LFO11" s="283"/>
      <c r="LFP11" s="283"/>
      <c r="LFQ11" s="283"/>
      <c r="LFR11" s="283"/>
      <c r="LFS11" s="283"/>
      <c r="LFT11" s="283"/>
      <c r="LFU11" s="283"/>
      <c r="LFV11" s="283"/>
      <c r="LFW11" s="283"/>
      <c r="LFX11" s="283"/>
      <c r="LFY11" s="283"/>
      <c r="LFZ11" s="283"/>
      <c r="LGA11" s="283"/>
      <c r="LGB11" s="283"/>
      <c r="LGC11" s="283"/>
      <c r="LGD11" s="283"/>
      <c r="LGE11" s="283"/>
      <c r="LGF11" s="283"/>
      <c r="LGG11" s="283"/>
      <c r="LGH11" s="283"/>
      <c r="LGI11" s="283"/>
      <c r="LGJ11" s="283"/>
      <c r="LGK11" s="283"/>
      <c r="LGL11" s="283"/>
      <c r="LGM11" s="283"/>
      <c r="LGN11" s="283"/>
      <c r="LGO11" s="283"/>
      <c r="LGP11" s="283"/>
      <c r="LGQ11" s="283"/>
      <c r="LGR11" s="283"/>
      <c r="LGS11" s="283"/>
      <c r="LGT11" s="283"/>
      <c r="LGU11" s="283"/>
      <c r="LGV11" s="283"/>
      <c r="LGW11" s="283"/>
      <c r="LGX11" s="283"/>
      <c r="LGY11" s="283"/>
      <c r="LGZ11" s="283"/>
      <c r="LHA11" s="283"/>
      <c r="LHB11" s="283"/>
      <c r="LHC11" s="283"/>
      <c r="LHD11" s="283"/>
      <c r="LHE11" s="283"/>
      <c r="LHF11" s="283"/>
      <c r="LHG11" s="283"/>
      <c r="LHH11" s="283"/>
      <c r="LHI11" s="283"/>
      <c r="LHJ11" s="283"/>
      <c r="LHK11" s="283"/>
      <c r="LHL11" s="283"/>
      <c r="LHM11" s="283"/>
      <c r="LHN11" s="283"/>
      <c r="LHO11" s="283"/>
      <c r="LHP11" s="283"/>
      <c r="LHQ11" s="283"/>
      <c r="LHR11" s="283"/>
      <c r="LHS11" s="283"/>
      <c r="LHT11" s="283"/>
      <c r="LHU11" s="283"/>
      <c r="LHV11" s="283"/>
      <c r="LHW11" s="283"/>
      <c r="LHX11" s="283"/>
      <c r="LHY11" s="283"/>
      <c r="LHZ11" s="283"/>
      <c r="LIA11" s="283"/>
      <c r="LIB11" s="283"/>
      <c r="LIC11" s="283"/>
      <c r="LID11" s="283"/>
      <c r="LIE11" s="283"/>
      <c r="LIF11" s="283"/>
      <c r="LIG11" s="283"/>
      <c r="LIH11" s="283"/>
      <c r="LII11" s="283"/>
      <c r="LIJ11" s="283"/>
      <c r="LIK11" s="283"/>
      <c r="LIL11" s="283"/>
      <c r="LIM11" s="283"/>
      <c r="LIN11" s="283"/>
      <c r="LIO11" s="283"/>
      <c r="LIP11" s="283"/>
      <c r="LIQ11" s="283"/>
      <c r="LIR11" s="283"/>
      <c r="LIS11" s="283"/>
      <c r="LIT11" s="283"/>
      <c r="LIU11" s="283"/>
      <c r="LIV11" s="283"/>
      <c r="LIW11" s="283"/>
      <c r="LIX11" s="283"/>
      <c r="LIY11" s="283"/>
      <c r="LIZ11" s="283"/>
      <c r="LJA11" s="283"/>
      <c r="LJB11" s="283"/>
      <c r="LJC11" s="283"/>
      <c r="LJD11" s="283"/>
      <c r="LJE11" s="283"/>
      <c r="LJF11" s="283"/>
      <c r="LJG11" s="283"/>
      <c r="LJH11" s="283"/>
      <c r="LJI11" s="283"/>
      <c r="LJJ11" s="283"/>
      <c r="LJK11" s="283"/>
      <c r="LJL11" s="283"/>
      <c r="LJM11" s="283"/>
      <c r="LJN11" s="283"/>
      <c r="LJO11" s="283"/>
      <c r="LJP11" s="283"/>
      <c r="LJQ11" s="283"/>
      <c r="LJR11" s="283"/>
      <c r="LJS11" s="283"/>
      <c r="LJT11" s="283"/>
      <c r="LJU11" s="283"/>
      <c r="LJV11" s="283"/>
      <c r="LJW11" s="283"/>
      <c r="LJX11" s="283"/>
      <c r="LJY11" s="283"/>
      <c r="LJZ11" s="283"/>
      <c r="LKA11" s="283"/>
      <c r="LKB11" s="283"/>
      <c r="LKC11" s="283"/>
      <c r="LKD11" s="283"/>
      <c r="LKE11" s="283"/>
      <c r="LKF11" s="283"/>
      <c r="LKG11" s="283"/>
      <c r="LKH11" s="283"/>
      <c r="LKI11" s="283"/>
      <c r="LKJ11" s="283"/>
      <c r="LKK11" s="283"/>
      <c r="LKL11" s="283"/>
      <c r="LKM11" s="283"/>
      <c r="LKN11" s="283"/>
      <c r="LKO11" s="283"/>
      <c r="LKP11" s="283"/>
      <c r="LKQ11" s="283"/>
      <c r="LKR11" s="283"/>
      <c r="LKS11" s="283"/>
      <c r="LKT11" s="283"/>
      <c r="LKU11" s="283"/>
      <c r="LKV11" s="283"/>
      <c r="LKW11" s="283"/>
      <c r="LKX11" s="283"/>
      <c r="LKY11" s="283"/>
      <c r="LKZ11" s="283"/>
      <c r="LLA11" s="283"/>
      <c r="LLB11" s="283"/>
      <c r="LLC11" s="283"/>
      <c r="LLD11" s="283"/>
      <c r="LLE11" s="283"/>
      <c r="LLF11" s="283"/>
      <c r="LLG11" s="283"/>
      <c r="LLH11" s="283"/>
      <c r="LLI11" s="283"/>
      <c r="LLJ11" s="283"/>
      <c r="LLK11" s="283"/>
      <c r="LLL11" s="283"/>
      <c r="LLM11" s="283"/>
      <c r="LLN11" s="283"/>
      <c r="LLO11" s="283"/>
      <c r="LLP11" s="283"/>
      <c r="LLQ11" s="283"/>
      <c r="LLR11" s="283"/>
      <c r="LLS11" s="283"/>
      <c r="LLT11" s="283"/>
      <c r="LLU11" s="283"/>
      <c r="LLV11" s="283"/>
      <c r="LLW11" s="283"/>
      <c r="LLX11" s="283"/>
      <c r="LLY11" s="283"/>
      <c r="LLZ11" s="283"/>
      <c r="LMA11" s="283"/>
      <c r="LMB11" s="283"/>
      <c r="LMC11" s="283"/>
      <c r="LMD11" s="283"/>
      <c r="LME11" s="283"/>
      <c r="LMF11" s="283"/>
      <c r="LMG11" s="283"/>
      <c r="LMH11" s="283"/>
      <c r="LMI11" s="283"/>
      <c r="LMJ11" s="283"/>
      <c r="LMK11" s="283"/>
      <c r="LML11" s="283"/>
      <c r="LMM11" s="283"/>
      <c r="LMN11" s="283"/>
      <c r="LMO11" s="283"/>
      <c r="LMP11" s="283"/>
      <c r="LMQ11" s="283"/>
      <c r="LMR11" s="283"/>
      <c r="LMS11" s="283"/>
      <c r="LMT11" s="283"/>
      <c r="LMU11" s="283"/>
      <c r="LMV11" s="283"/>
      <c r="LMW11" s="283"/>
      <c r="LMX11" s="283"/>
      <c r="LMY11" s="283"/>
      <c r="LMZ11" s="283"/>
      <c r="LNA11" s="283"/>
      <c r="LNB11" s="283"/>
      <c r="LNC11" s="283"/>
      <c r="LND11" s="283"/>
      <c r="LNE11" s="283"/>
      <c r="LNF11" s="283"/>
      <c r="LNG11" s="283"/>
      <c r="LNH11" s="283"/>
      <c r="LNI11" s="283"/>
      <c r="LNJ11" s="283"/>
      <c r="LNK11" s="283"/>
      <c r="LNL11" s="283"/>
      <c r="LNM11" s="283"/>
      <c r="LNN11" s="283"/>
      <c r="LNO11" s="283"/>
      <c r="LNP11" s="283"/>
      <c r="LNQ11" s="283"/>
      <c r="LNR11" s="283"/>
      <c r="LNS11" s="283"/>
      <c r="LNT11" s="283"/>
      <c r="LNU11" s="283"/>
      <c r="LNV11" s="283"/>
      <c r="LNW11" s="283"/>
      <c r="LNX11" s="283"/>
      <c r="LNY11" s="283"/>
      <c r="LNZ11" s="283"/>
      <c r="LOA11" s="283"/>
      <c r="LOB11" s="283"/>
      <c r="LOC11" s="283"/>
      <c r="LOD11" s="283"/>
      <c r="LOE11" s="283"/>
      <c r="LOF11" s="283"/>
      <c r="LOG11" s="283"/>
      <c r="LOH11" s="283"/>
      <c r="LOI11" s="283"/>
      <c r="LOJ11" s="283"/>
      <c r="LOK11" s="283"/>
      <c r="LOL11" s="283"/>
      <c r="LOM11" s="283"/>
      <c r="LON11" s="283"/>
      <c r="LOO11" s="283"/>
      <c r="LOP11" s="283"/>
      <c r="LOQ11" s="283"/>
      <c r="LOR11" s="283"/>
      <c r="LOS11" s="283"/>
      <c r="LOT11" s="283"/>
      <c r="LOU11" s="283"/>
      <c r="LOV11" s="283"/>
      <c r="LOW11" s="283"/>
      <c r="LOX11" s="283"/>
      <c r="LOY11" s="283"/>
      <c r="LOZ11" s="283"/>
      <c r="LPA11" s="283"/>
      <c r="LPB11" s="283"/>
      <c r="LPC11" s="283"/>
      <c r="LPD11" s="283"/>
      <c r="LPE11" s="283"/>
      <c r="LPF11" s="283"/>
      <c r="LPG11" s="283"/>
      <c r="LPH11" s="283"/>
      <c r="LPI11" s="283"/>
      <c r="LPJ11" s="283"/>
      <c r="LPK11" s="283"/>
      <c r="LPL11" s="283"/>
      <c r="LPM11" s="283"/>
      <c r="LPN11" s="283"/>
      <c r="LPO11" s="283"/>
      <c r="LPP11" s="283"/>
      <c r="LPQ11" s="283"/>
      <c r="LPR11" s="283"/>
      <c r="LPS11" s="283"/>
      <c r="LPT11" s="283"/>
      <c r="LPU11" s="283"/>
      <c r="LPV11" s="283"/>
      <c r="LPW11" s="283"/>
      <c r="LPX11" s="283"/>
      <c r="LPY11" s="283"/>
      <c r="LPZ11" s="283"/>
      <c r="LQA11" s="283"/>
      <c r="LQB11" s="283"/>
      <c r="LQC11" s="283"/>
      <c r="LQD11" s="283"/>
      <c r="LQE11" s="283"/>
      <c r="LQF11" s="283"/>
      <c r="LQG11" s="283"/>
      <c r="LQH11" s="283"/>
      <c r="LQI11" s="283"/>
      <c r="LQJ11" s="283"/>
      <c r="LQK11" s="283"/>
      <c r="LQL11" s="283"/>
      <c r="LQM11" s="283"/>
      <c r="LQN11" s="283"/>
      <c r="LQO11" s="283"/>
      <c r="LQP11" s="283"/>
      <c r="LQQ11" s="283"/>
      <c r="LQR11" s="283"/>
      <c r="LQS11" s="283"/>
      <c r="LQT11" s="283"/>
      <c r="LQU11" s="283"/>
      <c r="LQV11" s="283"/>
      <c r="LQW11" s="283"/>
      <c r="LQX11" s="283"/>
      <c r="LQY11" s="283"/>
      <c r="LQZ11" s="283"/>
      <c r="LRA11" s="283"/>
      <c r="LRB11" s="283"/>
      <c r="LRC11" s="283"/>
      <c r="LRD11" s="283"/>
      <c r="LRE11" s="283"/>
      <c r="LRF11" s="283"/>
      <c r="LRG11" s="283"/>
      <c r="LRH11" s="283"/>
      <c r="LRI11" s="283"/>
      <c r="LRJ11" s="283"/>
      <c r="LRK11" s="283"/>
      <c r="LRL11" s="283"/>
      <c r="LRM11" s="283"/>
      <c r="LRN11" s="283"/>
      <c r="LRO11" s="283"/>
      <c r="LRP11" s="283"/>
      <c r="LRQ11" s="283"/>
      <c r="LRR11" s="283"/>
      <c r="LRS11" s="283"/>
      <c r="LRT11" s="283"/>
      <c r="LRU11" s="283"/>
      <c r="LRV11" s="283"/>
      <c r="LRW11" s="283"/>
      <c r="LRX11" s="283"/>
      <c r="LRY11" s="283"/>
      <c r="LRZ11" s="283"/>
      <c r="LSA11" s="283"/>
      <c r="LSB11" s="283"/>
      <c r="LSC11" s="283"/>
      <c r="LSD11" s="283"/>
      <c r="LSE11" s="283"/>
      <c r="LSF11" s="283"/>
      <c r="LSG11" s="283"/>
      <c r="LSH11" s="283"/>
      <c r="LSI11" s="283"/>
      <c r="LSJ11" s="283"/>
      <c r="LSK11" s="283"/>
      <c r="LSL11" s="283"/>
      <c r="LSM11" s="283"/>
      <c r="LSN11" s="283"/>
      <c r="LSO11" s="283"/>
      <c r="LSP11" s="283"/>
      <c r="LSQ11" s="283"/>
      <c r="LSR11" s="283"/>
      <c r="LSS11" s="283"/>
      <c r="LST11" s="283"/>
      <c r="LSU11" s="283"/>
      <c r="LSV11" s="283"/>
      <c r="LSW11" s="283"/>
      <c r="LSX11" s="283"/>
      <c r="LSY11" s="283"/>
      <c r="LSZ11" s="283"/>
      <c r="LTA11" s="283"/>
      <c r="LTB11" s="283"/>
      <c r="LTC11" s="283"/>
      <c r="LTD11" s="283"/>
      <c r="LTE11" s="283"/>
      <c r="LTF11" s="283"/>
      <c r="LTG11" s="283"/>
      <c r="LTH11" s="283"/>
      <c r="LTI11" s="283"/>
      <c r="LTJ11" s="283"/>
      <c r="LTK11" s="283"/>
      <c r="LTL11" s="283"/>
      <c r="LTM11" s="283"/>
      <c r="LTN11" s="283"/>
      <c r="LTO11" s="283"/>
      <c r="LTP11" s="283"/>
      <c r="LTQ11" s="283"/>
      <c r="LTR11" s="283"/>
      <c r="LTS11" s="283"/>
      <c r="LTT11" s="283"/>
      <c r="LTU11" s="283"/>
      <c r="LTV11" s="283"/>
      <c r="LTW11" s="283"/>
      <c r="LTX11" s="283"/>
      <c r="LTY11" s="283"/>
      <c r="LTZ11" s="283"/>
      <c r="LUA11" s="283"/>
      <c r="LUB11" s="283"/>
      <c r="LUC11" s="283"/>
      <c r="LUD11" s="283"/>
      <c r="LUE11" s="283"/>
      <c r="LUF11" s="283"/>
      <c r="LUG11" s="283"/>
      <c r="LUH11" s="283"/>
      <c r="LUI11" s="283"/>
      <c r="LUJ11" s="283"/>
      <c r="LUK11" s="283"/>
      <c r="LUL11" s="283"/>
      <c r="LUM11" s="283"/>
      <c r="LUN11" s="283"/>
      <c r="LUO11" s="283"/>
      <c r="LUP11" s="283"/>
      <c r="LUQ11" s="283"/>
      <c r="LUR11" s="283"/>
      <c r="LUS11" s="283"/>
      <c r="LUT11" s="283"/>
      <c r="LUU11" s="283"/>
      <c r="LUV11" s="283"/>
      <c r="LUW11" s="283"/>
      <c r="LUX11" s="283"/>
      <c r="LUY11" s="283"/>
      <c r="LUZ11" s="283"/>
      <c r="LVA11" s="283"/>
      <c r="LVB11" s="283"/>
      <c r="LVC11" s="283"/>
      <c r="LVD11" s="283"/>
      <c r="LVE11" s="283"/>
      <c r="LVF11" s="283"/>
      <c r="LVG11" s="283"/>
      <c r="LVH11" s="283"/>
      <c r="LVI11" s="283"/>
      <c r="LVJ11" s="283"/>
      <c r="LVK11" s="283"/>
      <c r="LVL11" s="283"/>
      <c r="LVM11" s="283"/>
      <c r="LVN11" s="283"/>
      <c r="LVO11" s="283"/>
      <c r="LVP11" s="283"/>
      <c r="LVQ11" s="283"/>
      <c r="LVR11" s="283"/>
      <c r="LVS11" s="283"/>
      <c r="LVT11" s="283"/>
      <c r="LVU11" s="283"/>
      <c r="LVV11" s="283"/>
      <c r="LVW11" s="283"/>
      <c r="LVX11" s="283"/>
      <c r="LVY11" s="283"/>
      <c r="LVZ11" s="283"/>
      <c r="LWA11" s="283"/>
      <c r="LWB11" s="283"/>
      <c r="LWC11" s="283"/>
      <c r="LWD11" s="283"/>
      <c r="LWE11" s="283"/>
      <c r="LWF11" s="283"/>
      <c r="LWG11" s="283"/>
      <c r="LWH11" s="283"/>
      <c r="LWI11" s="283"/>
      <c r="LWJ11" s="283"/>
      <c r="LWK11" s="283"/>
      <c r="LWL11" s="283"/>
      <c r="LWM11" s="283"/>
      <c r="LWN11" s="283"/>
      <c r="LWO11" s="283"/>
      <c r="LWP11" s="283"/>
      <c r="LWQ11" s="283"/>
      <c r="LWR11" s="283"/>
      <c r="LWS11" s="283"/>
      <c r="LWT11" s="283"/>
      <c r="LWU11" s="283"/>
      <c r="LWV11" s="283"/>
      <c r="LWW11" s="283"/>
      <c r="LWX11" s="283"/>
      <c r="LWY11" s="283"/>
      <c r="LWZ11" s="283"/>
      <c r="LXA11" s="283"/>
      <c r="LXB11" s="283"/>
      <c r="LXC11" s="283"/>
      <c r="LXD11" s="283"/>
      <c r="LXE11" s="283"/>
      <c r="LXF11" s="283"/>
      <c r="LXG11" s="283"/>
      <c r="LXH11" s="283"/>
      <c r="LXI11" s="283"/>
      <c r="LXJ11" s="283"/>
      <c r="LXK11" s="283"/>
      <c r="LXL11" s="283"/>
      <c r="LXM11" s="283"/>
      <c r="LXN11" s="283"/>
      <c r="LXO11" s="283"/>
      <c r="LXP11" s="283"/>
      <c r="LXQ11" s="283"/>
      <c r="LXR11" s="283"/>
      <c r="LXS11" s="283"/>
      <c r="LXT11" s="283"/>
      <c r="LXU11" s="283"/>
      <c r="LXV11" s="283"/>
      <c r="LXW11" s="283"/>
      <c r="LXX11" s="283"/>
      <c r="LXY11" s="283"/>
      <c r="LXZ11" s="283"/>
      <c r="LYA11" s="283"/>
      <c r="LYB11" s="283"/>
      <c r="LYC11" s="283"/>
      <c r="LYD11" s="283"/>
      <c r="LYE11" s="283"/>
      <c r="LYF11" s="283"/>
      <c r="LYG11" s="283"/>
      <c r="LYH11" s="283"/>
      <c r="LYI11" s="283"/>
      <c r="LYJ11" s="283"/>
      <c r="LYK11" s="283"/>
      <c r="LYL11" s="283"/>
      <c r="LYM11" s="283"/>
      <c r="LYN11" s="283"/>
      <c r="LYO11" s="283"/>
      <c r="LYP11" s="283"/>
      <c r="LYQ11" s="283"/>
      <c r="LYR11" s="283"/>
      <c r="LYS11" s="283"/>
      <c r="LYT11" s="283"/>
      <c r="LYU11" s="283"/>
      <c r="LYV11" s="283"/>
      <c r="LYW11" s="283"/>
      <c r="LYX11" s="283"/>
      <c r="LYY11" s="283"/>
      <c r="LYZ11" s="283"/>
      <c r="LZA11" s="283"/>
      <c r="LZB11" s="283"/>
      <c r="LZC11" s="283"/>
      <c r="LZD11" s="283"/>
      <c r="LZE11" s="283"/>
      <c r="LZF11" s="283"/>
      <c r="LZG11" s="283"/>
      <c r="LZH11" s="283"/>
      <c r="LZI11" s="283"/>
      <c r="LZJ11" s="283"/>
      <c r="LZK11" s="283"/>
      <c r="LZL11" s="283"/>
      <c r="LZM11" s="283"/>
      <c r="LZN11" s="283"/>
      <c r="LZO11" s="283"/>
      <c r="LZP11" s="283"/>
      <c r="LZQ11" s="283"/>
      <c r="LZR11" s="283"/>
      <c r="LZS11" s="283"/>
      <c r="LZT11" s="283"/>
      <c r="LZU11" s="283"/>
      <c r="LZV11" s="283"/>
      <c r="LZW11" s="283"/>
      <c r="LZX11" s="283"/>
      <c r="LZY11" s="283"/>
      <c r="LZZ11" s="283"/>
      <c r="MAA11" s="283"/>
      <c r="MAB11" s="283"/>
      <c r="MAC11" s="283"/>
      <c r="MAD11" s="283"/>
      <c r="MAE11" s="283"/>
      <c r="MAF11" s="283"/>
      <c r="MAG11" s="283"/>
      <c r="MAH11" s="283"/>
      <c r="MAI11" s="283"/>
      <c r="MAJ11" s="283"/>
      <c r="MAK11" s="283"/>
      <c r="MAL11" s="283"/>
      <c r="MAM11" s="283"/>
      <c r="MAN11" s="283"/>
      <c r="MAO11" s="283"/>
      <c r="MAP11" s="283"/>
      <c r="MAQ11" s="283"/>
      <c r="MAR11" s="283"/>
      <c r="MAS11" s="283"/>
      <c r="MAT11" s="283"/>
      <c r="MAU11" s="283"/>
      <c r="MAV11" s="283"/>
      <c r="MAW11" s="283"/>
      <c r="MAX11" s="283"/>
      <c r="MAY11" s="283"/>
      <c r="MAZ11" s="283"/>
      <c r="MBA11" s="283"/>
      <c r="MBB11" s="283"/>
      <c r="MBC11" s="283"/>
      <c r="MBD11" s="283"/>
      <c r="MBE11" s="283"/>
      <c r="MBF11" s="283"/>
      <c r="MBG11" s="283"/>
      <c r="MBH11" s="283"/>
      <c r="MBI11" s="283"/>
      <c r="MBJ11" s="283"/>
      <c r="MBK11" s="283"/>
      <c r="MBL11" s="283"/>
      <c r="MBM11" s="283"/>
      <c r="MBN11" s="283"/>
      <c r="MBO11" s="283"/>
      <c r="MBP11" s="283"/>
      <c r="MBQ11" s="283"/>
      <c r="MBR11" s="283"/>
      <c r="MBS11" s="283"/>
      <c r="MBT11" s="283"/>
      <c r="MBU11" s="283"/>
      <c r="MBV11" s="283"/>
      <c r="MBW11" s="283"/>
      <c r="MBX11" s="283"/>
      <c r="MBY11" s="283"/>
      <c r="MBZ11" s="283"/>
      <c r="MCA11" s="283"/>
      <c r="MCB11" s="283"/>
      <c r="MCC11" s="283"/>
      <c r="MCD11" s="283"/>
      <c r="MCE11" s="283"/>
      <c r="MCF11" s="283"/>
      <c r="MCG11" s="283"/>
      <c r="MCH11" s="283"/>
      <c r="MCI11" s="283"/>
      <c r="MCJ11" s="283"/>
      <c r="MCK11" s="283"/>
      <c r="MCL11" s="283"/>
      <c r="MCM11" s="283"/>
      <c r="MCN11" s="283"/>
      <c r="MCO11" s="283"/>
      <c r="MCP11" s="283"/>
      <c r="MCQ11" s="283"/>
      <c r="MCR11" s="283"/>
      <c r="MCS11" s="283"/>
      <c r="MCT11" s="283"/>
      <c r="MCU11" s="283"/>
      <c r="MCV11" s="283"/>
      <c r="MCW11" s="283"/>
      <c r="MCX11" s="283"/>
      <c r="MCY11" s="283"/>
      <c r="MCZ11" s="283"/>
      <c r="MDA11" s="283"/>
      <c r="MDB11" s="283"/>
      <c r="MDC11" s="283"/>
      <c r="MDD11" s="283"/>
      <c r="MDE11" s="283"/>
      <c r="MDF11" s="283"/>
      <c r="MDG11" s="283"/>
      <c r="MDH11" s="283"/>
      <c r="MDI11" s="283"/>
      <c r="MDJ11" s="283"/>
      <c r="MDK11" s="283"/>
      <c r="MDL11" s="283"/>
      <c r="MDM11" s="283"/>
      <c r="MDN11" s="283"/>
      <c r="MDO11" s="283"/>
      <c r="MDP11" s="283"/>
      <c r="MDQ11" s="283"/>
      <c r="MDR11" s="283"/>
      <c r="MDS11" s="283"/>
      <c r="MDT11" s="283"/>
      <c r="MDU11" s="283"/>
      <c r="MDV11" s="283"/>
      <c r="MDW11" s="283"/>
      <c r="MDX11" s="283"/>
      <c r="MDY11" s="283"/>
      <c r="MDZ11" s="283"/>
      <c r="MEA11" s="283"/>
      <c r="MEB11" s="283"/>
      <c r="MEC11" s="283"/>
      <c r="MED11" s="283"/>
      <c r="MEE11" s="283"/>
      <c r="MEF11" s="283"/>
      <c r="MEG11" s="283"/>
      <c r="MEH11" s="283"/>
      <c r="MEI11" s="283"/>
      <c r="MEJ11" s="283"/>
      <c r="MEK11" s="283"/>
      <c r="MEL11" s="283"/>
      <c r="MEM11" s="283"/>
      <c r="MEN11" s="283"/>
      <c r="MEO11" s="283"/>
      <c r="MEP11" s="283"/>
      <c r="MEQ11" s="283"/>
      <c r="MER11" s="283"/>
      <c r="MES11" s="283"/>
      <c r="MET11" s="283"/>
      <c r="MEU11" s="283"/>
      <c r="MEV11" s="283"/>
      <c r="MEW11" s="283"/>
      <c r="MEX11" s="283"/>
      <c r="MEY11" s="283"/>
      <c r="MEZ11" s="283"/>
      <c r="MFA11" s="283"/>
      <c r="MFB11" s="283"/>
      <c r="MFC11" s="283"/>
      <c r="MFD11" s="283"/>
      <c r="MFE11" s="283"/>
      <c r="MFF11" s="283"/>
      <c r="MFG11" s="283"/>
      <c r="MFH11" s="283"/>
      <c r="MFI11" s="283"/>
      <c r="MFJ11" s="283"/>
      <c r="MFK11" s="283"/>
      <c r="MFL11" s="283"/>
      <c r="MFM11" s="283"/>
      <c r="MFN11" s="283"/>
      <c r="MFO11" s="283"/>
      <c r="MFP11" s="283"/>
      <c r="MFQ11" s="283"/>
      <c r="MFR11" s="283"/>
      <c r="MFS11" s="283"/>
      <c r="MFT11" s="283"/>
      <c r="MFU11" s="283"/>
      <c r="MFV11" s="283"/>
      <c r="MFW11" s="283"/>
      <c r="MFX11" s="283"/>
      <c r="MFY11" s="283"/>
      <c r="MFZ11" s="283"/>
      <c r="MGA11" s="283"/>
      <c r="MGB11" s="283"/>
      <c r="MGC11" s="283"/>
      <c r="MGD11" s="283"/>
      <c r="MGE11" s="283"/>
      <c r="MGF11" s="283"/>
      <c r="MGG11" s="283"/>
      <c r="MGH11" s="283"/>
      <c r="MGI11" s="283"/>
      <c r="MGJ11" s="283"/>
      <c r="MGK11" s="283"/>
      <c r="MGL11" s="283"/>
      <c r="MGM11" s="283"/>
      <c r="MGN11" s="283"/>
      <c r="MGO11" s="283"/>
      <c r="MGP11" s="283"/>
      <c r="MGQ11" s="283"/>
      <c r="MGR11" s="283"/>
      <c r="MGS11" s="283"/>
      <c r="MGT11" s="283"/>
      <c r="MGU11" s="283"/>
      <c r="MGV11" s="283"/>
      <c r="MGW11" s="283"/>
      <c r="MGX11" s="283"/>
      <c r="MGY11" s="283"/>
      <c r="MGZ11" s="283"/>
      <c r="MHA11" s="283"/>
      <c r="MHB11" s="283"/>
      <c r="MHC11" s="283"/>
      <c r="MHD11" s="283"/>
      <c r="MHE11" s="283"/>
      <c r="MHF11" s="283"/>
      <c r="MHG11" s="283"/>
      <c r="MHH11" s="283"/>
      <c r="MHI11" s="283"/>
      <c r="MHJ11" s="283"/>
      <c r="MHK11" s="283"/>
      <c r="MHL11" s="283"/>
      <c r="MHM11" s="283"/>
      <c r="MHN11" s="283"/>
      <c r="MHO11" s="283"/>
      <c r="MHP11" s="283"/>
      <c r="MHQ11" s="283"/>
      <c r="MHR11" s="283"/>
      <c r="MHS11" s="283"/>
      <c r="MHT11" s="283"/>
      <c r="MHU11" s="283"/>
      <c r="MHV11" s="283"/>
      <c r="MHW11" s="283"/>
      <c r="MHX11" s="283"/>
      <c r="MHY11" s="283"/>
      <c r="MHZ11" s="283"/>
      <c r="MIA11" s="283"/>
      <c r="MIB11" s="283"/>
      <c r="MIC11" s="283"/>
      <c r="MID11" s="283"/>
      <c r="MIE11" s="283"/>
      <c r="MIF11" s="283"/>
      <c r="MIG11" s="283"/>
      <c r="MIH11" s="283"/>
      <c r="MII11" s="283"/>
      <c r="MIJ11" s="283"/>
      <c r="MIK11" s="283"/>
      <c r="MIL11" s="283"/>
      <c r="MIM11" s="283"/>
      <c r="MIN11" s="283"/>
      <c r="MIO11" s="283"/>
      <c r="MIP11" s="283"/>
      <c r="MIQ11" s="283"/>
      <c r="MIR11" s="283"/>
      <c r="MIS11" s="283"/>
      <c r="MIT11" s="283"/>
      <c r="MIU11" s="283"/>
      <c r="MIV11" s="283"/>
      <c r="MIW11" s="283"/>
      <c r="MIX11" s="283"/>
      <c r="MIY11" s="283"/>
      <c r="MIZ11" s="283"/>
      <c r="MJA11" s="283"/>
      <c r="MJB11" s="283"/>
      <c r="MJC11" s="283"/>
      <c r="MJD11" s="283"/>
      <c r="MJE11" s="283"/>
      <c r="MJF11" s="283"/>
      <c r="MJG11" s="283"/>
      <c r="MJH11" s="283"/>
      <c r="MJI11" s="283"/>
      <c r="MJJ11" s="283"/>
      <c r="MJK11" s="283"/>
      <c r="MJL11" s="283"/>
      <c r="MJM11" s="283"/>
      <c r="MJN11" s="283"/>
      <c r="MJO11" s="283"/>
      <c r="MJP11" s="283"/>
      <c r="MJQ11" s="283"/>
      <c r="MJR11" s="283"/>
      <c r="MJS11" s="283"/>
      <c r="MJT11" s="283"/>
      <c r="MJU11" s="283"/>
      <c r="MJV11" s="283"/>
      <c r="MJW11" s="283"/>
      <c r="MJX11" s="283"/>
      <c r="MJY11" s="283"/>
      <c r="MJZ11" s="283"/>
      <c r="MKA11" s="283"/>
      <c r="MKB11" s="283"/>
      <c r="MKC11" s="283"/>
      <c r="MKD11" s="283"/>
      <c r="MKE11" s="283"/>
      <c r="MKF11" s="283"/>
      <c r="MKG11" s="283"/>
      <c r="MKH11" s="283"/>
      <c r="MKI11" s="283"/>
      <c r="MKJ11" s="283"/>
      <c r="MKK11" s="283"/>
      <c r="MKL11" s="283"/>
      <c r="MKM11" s="283"/>
      <c r="MKN11" s="283"/>
      <c r="MKO11" s="283"/>
      <c r="MKP11" s="283"/>
      <c r="MKQ11" s="283"/>
      <c r="MKR11" s="283"/>
      <c r="MKS11" s="283"/>
      <c r="MKT11" s="283"/>
      <c r="MKU11" s="283"/>
      <c r="MKV11" s="283"/>
      <c r="MKW11" s="283"/>
      <c r="MKX11" s="283"/>
      <c r="MKY11" s="283"/>
      <c r="MKZ11" s="283"/>
      <c r="MLA11" s="283"/>
      <c r="MLB11" s="283"/>
      <c r="MLC11" s="283"/>
      <c r="MLD11" s="283"/>
      <c r="MLE11" s="283"/>
      <c r="MLF11" s="283"/>
      <c r="MLG11" s="283"/>
      <c r="MLH11" s="283"/>
      <c r="MLI11" s="283"/>
      <c r="MLJ11" s="283"/>
      <c r="MLK11" s="283"/>
      <c r="MLL11" s="283"/>
      <c r="MLM11" s="283"/>
      <c r="MLN11" s="283"/>
      <c r="MLO11" s="283"/>
      <c r="MLP11" s="283"/>
      <c r="MLQ11" s="283"/>
      <c r="MLR11" s="283"/>
      <c r="MLS11" s="283"/>
      <c r="MLT11" s="283"/>
      <c r="MLU11" s="283"/>
      <c r="MLV11" s="283"/>
      <c r="MLW11" s="283"/>
      <c r="MLX11" s="283"/>
      <c r="MLY11" s="283"/>
      <c r="MLZ11" s="283"/>
      <c r="MMA11" s="283"/>
      <c r="MMB11" s="283"/>
      <c r="MMC11" s="283"/>
      <c r="MMD11" s="283"/>
      <c r="MME11" s="283"/>
      <c r="MMF11" s="283"/>
      <c r="MMG11" s="283"/>
      <c r="MMH11" s="283"/>
      <c r="MMI11" s="283"/>
      <c r="MMJ11" s="283"/>
      <c r="MMK11" s="283"/>
      <c r="MML11" s="283"/>
      <c r="MMM11" s="283"/>
      <c r="MMN11" s="283"/>
      <c r="MMO11" s="283"/>
      <c r="MMP11" s="283"/>
      <c r="MMQ11" s="283"/>
      <c r="MMR11" s="283"/>
      <c r="MMS11" s="283"/>
      <c r="MMT11" s="283"/>
      <c r="MMU11" s="283"/>
      <c r="MMV11" s="283"/>
      <c r="MMW11" s="283"/>
      <c r="MMX11" s="283"/>
      <c r="MMY11" s="283"/>
      <c r="MMZ11" s="283"/>
      <c r="MNA11" s="283"/>
      <c r="MNB11" s="283"/>
      <c r="MNC11" s="283"/>
      <c r="MND11" s="283"/>
      <c r="MNE11" s="283"/>
      <c r="MNF11" s="283"/>
      <c r="MNG11" s="283"/>
      <c r="MNH11" s="283"/>
      <c r="MNI11" s="283"/>
      <c r="MNJ11" s="283"/>
      <c r="MNK11" s="283"/>
      <c r="MNL11" s="283"/>
      <c r="MNM11" s="283"/>
      <c r="MNN11" s="283"/>
      <c r="MNO11" s="283"/>
      <c r="MNP11" s="283"/>
      <c r="MNQ11" s="283"/>
      <c r="MNR11" s="283"/>
      <c r="MNS11" s="283"/>
      <c r="MNT11" s="283"/>
      <c r="MNU11" s="283"/>
      <c r="MNV11" s="283"/>
      <c r="MNW11" s="283"/>
      <c r="MNX11" s="283"/>
      <c r="MNY11" s="283"/>
      <c r="MNZ11" s="283"/>
      <c r="MOA11" s="283"/>
      <c r="MOB11" s="283"/>
      <c r="MOC11" s="283"/>
      <c r="MOD11" s="283"/>
      <c r="MOE11" s="283"/>
      <c r="MOF11" s="283"/>
      <c r="MOG11" s="283"/>
      <c r="MOH11" s="283"/>
      <c r="MOI11" s="283"/>
      <c r="MOJ11" s="283"/>
      <c r="MOK11" s="283"/>
      <c r="MOL11" s="283"/>
      <c r="MOM11" s="283"/>
      <c r="MON11" s="283"/>
      <c r="MOO11" s="283"/>
      <c r="MOP11" s="283"/>
      <c r="MOQ11" s="283"/>
      <c r="MOR11" s="283"/>
      <c r="MOS11" s="283"/>
      <c r="MOT11" s="283"/>
      <c r="MOU11" s="283"/>
      <c r="MOV11" s="283"/>
      <c r="MOW11" s="283"/>
      <c r="MOX11" s="283"/>
      <c r="MOY11" s="283"/>
      <c r="MOZ11" s="283"/>
      <c r="MPA11" s="283"/>
      <c r="MPB11" s="283"/>
      <c r="MPC11" s="283"/>
      <c r="MPD11" s="283"/>
      <c r="MPE11" s="283"/>
      <c r="MPF11" s="283"/>
      <c r="MPG11" s="283"/>
      <c r="MPH11" s="283"/>
      <c r="MPI11" s="283"/>
      <c r="MPJ11" s="283"/>
      <c r="MPK11" s="283"/>
      <c r="MPL11" s="283"/>
      <c r="MPM11" s="283"/>
      <c r="MPN11" s="283"/>
      <c r="MPO11" s="283"/>
      <c r="MPP11" s="283"/>
      <c r="MPQ11" s="283"/>
      <c r="MPR11" s="283"/>
      <c r="MPS11" s="283"/>
      <c r="MPT11" s="283"/>
      <c r="MPU11" s="283"/>
      <c r="MPV11" s="283"/>
      <c r="MPW11" s="283"/>
      <c r="MPX11" s="283"/>
      <c r="MPY11" s="283"/>
      <c r="MPZ11" s="283"/>
      <c r="MQA11" s="283"/>
      <c r="MQB11" s="283"/>
      <c r="MQC11" s="283"/>
      <c r="MQD11" s="283"/>
      <c r="MQE11" s="283"/>
      <c r="MQF11" s="283"/>
      <c r="MQG11" s="283"/>
      <c r="MQH11" s="283"/>
      <c r="MQI11" s="283"/>
      <c r="MQJ11" s="283"/>
      <c r="MQK11" s="283"/>
      <c r="MQL11" s="283"/>
      <c r="MQM11" s="283"/>
      <c r="MQN11" s="283"/>
      <c r="MQO11" s="283"/>
      <c r="MQP11" s="283"/>
      <c r="MQQ11" s="283"/>
      <c r="MQR11" s="283"/>
      <c r="MQS11" s="283"/>
      <c r="MQT11" s="283"/>
      <c r="MQU11" s="283"/>
      <c r="MQV11" s="283"/>
      <c r="MQW11" s="283"/>
      <c r="MQX11" s="283"/>
      <c r="MQY11" s="283"/>
      <c r="MQZ11" s="283"/>
      <c r="MRA11" s="283"/>
      <c r="MRB11" s="283"/>
      <c r="MRC11" s="283"/>
      <c r="MRD11" s="283"/>
      <c r="MRE11" s="283"/>
      <c r="MRF11" s="283"/>
      <c r="MRG11" s="283"/>
      <c r="MRH11" s="283"/>
      <c r="MRI11" s="283"/>
      <c r="MRJ11" s="283"/>
      <c r="MRK11" s="283"/>
      <c r="MRL11" s="283"/>
      <c r="MRM11" s="283"/>
      <c r="MRN11" s="283"/>
      <c r="MRO11" s="283"/>
      <c r="MRP11" s="283"/>
      <c r="MRQ11" s="283"/>
      <c r="MRR11" s="283"/>
      <c r="MRS11" s="283"/>
      <c r="MRT11" s="283"/>
      <c r="MRU11" s="283"/>
      <c r="MRV11" s="283"/>
      <c r="MRW11" s="283"/>
      <c r="MRX11" s="283"/>
      <c r="MRY11" s="283"/>
      <c r="MRZ11" s="283"/>
      <c r="MSA11" s="283"/>
      <c r="MSB11" s="283"/>
      <c r="MSC11" s="283"/>
      <c r="MSD11" s="283"/>
      <c r="MSE11" s="283"/>
      <c r="MSF11" s="283"/>
      <c r="MSG11" s="283"/>
      <c r="MSH11" s="283"/>
      <c r="MSI11" s="283"/>
      <c r="MSJ11" s="283"/>
      <c r="MSK11" s="283"/>
      <c r="MSL11" s="283"/>
      <c r="MSM11" s="283"/>
      <c r="MSN11" s="283"/>
      <c r="MSO11" s="283"/>
      <c r="MSP11" s="283"/>
      <c r="MSQ11" s="283"/>
      <c r="MSR11" s="283"/>
      <c r="MSS11" s="283"/>
      <c r="MST11" s="283"/>
      <c r="MSU11" s="283"/>
      <c r="MSV11" s="283"/>
      <c r="MSW11" s="283"/>
      <c r="MSX11" s="283"/>
      <c r="MSY11" s="283"/>
      <c r="MSZ11" s="283"/>
      <c r="MTA11" s="283"/>
      <c r="MTB11" s="283"/>
      <c r="MTC11" s="283"/>
      <c r="MTD11" s="283"/>
      <c r="MTE11" s="283"/>
      <c r="MTF11" s="283"/>
      <c r="MTG11" s="283"/>
      <c r="MTH11" s="283"/>
      <c r="MTI11" s="283"/>
      <c r="MTJ11" s="283"/>
      <c r="MTK11" s="283"/>
      <c r="MTL11" s="283"/>
      <c r="MTM11" s="283"/>
      <c r="MTN11" s="283"/>
      <c r="MTO11" s="283"/>
      <c r="MTP11" s="283"/>
      <c r="MTQ11" s="283"/>
      <c r="MTR11" s="283"/>
      <c r="MTS11" s="283"/>
      <c r="MTT11" s="283"/>
      <c r="MTU11" s="283"/>
      <c r="MTV11" s="283"/>
      <c r="MTW11" s="283"/>
      <c r="MTX11" s="283"/>
      <c r="MTY11" s="283"/>
      <c r="MTZ11" s="283"/>
      <c r="MUA11" s="283"/>
      <c r="MUB11" s="283"/>
      <c r="MUC11" s="283"/>
      <c r="MUD11" s="283"/>
      <c r="MUE11" s="283"/>
      <c r="MUF11" s="283"/>
      <c r="MUG11" s="283"/>
      <c r="MUH11" s="283"/>
      <c r="MUI11" s="283"/>
      <c r="MUJ11" s="283"/>
      <c r="MUK11" s="283"/>
      <c r="MUL11" s="283"/>
      <c r="MUM11" s="283"/>
      <c r="MUN11" s="283"/>
      <c r="MUO11" s="283"/>
      <c r="MUP11" s="283"/>
      <c r="MUQ11" s="283"/>
      <c r="MUR11" s="283"/>
      <c r="MUS11" s="283"/>
      <c r="MUT11" s="283"/>
      <c r="MUU11" s="283"/>
      <c r="MUV11" s="283"/>
      <c r="MUW11" s="283"/>
      <c r="MUX11" s="283"/>
      <c r="MUY11" s="283"/>
      <c r="MUZ11" s="283"/>
      <c r="MVA11" s="283"/>
      <c r="MVB11" s="283"/>
      <c r="MVC11" s="283"/>
      <c r="MVD11" s="283"/>
      <c r="MVE11" s="283"/>
      <c r="MVF11" s="283"/>
      <c r="MVG11" s="283"/>
      <c r="MVH11" s="283"/>
      <c r="MVI11" s="283"/>
      <c r="MVJ11" s="283"/>
      <c r="MVK11" s="283"/>
      <c r="MVL11" s="283"/>
      <c r="MVM11" s="283"/>
      <c r="MVN11" s="283"/>
      <c r="MVO11" s="283"/>
      <c r="MVP11" s="283"/>
      <c r="MVQ11" s="283"/>
      <c r="MVR11" s="283"/>
      <c r="MVS11" s="283"/>
      <c r="MVT11" s="283"/>
      <c r="MVU11" s="283"/>
      <c r="MVV11" s="283"/>
      <c r="MVW11" s="283"/>
      <c r="MVX11" s="283"/>
      <c r="MVY11" s="283"/>
      <c r="MVZ11" s="283"/>
      <c r="MWA11" s="283"/>
      <c r="MWB11" s="283"/>
      <c r="MWC11" s="283"/>
      <c r="MWD11" s="283"/>
      <c r="MWE11" s="283"/>
      <c r="MWF11" s="283"/>
      <c r="MWG11" s="283"/>
      <c r="MWH11" s="283"/>
      <c r="MWI11" s="283"/>
      <c r="MWJ11" s="283"/>
      <c r="MWK11" s="283"/>
      <c r="MWL11" s="283"/>
      <c r="MWM11" s="283"/>
      <c r="MWN11" s="283"/>
      <c r="MWO11" s="283"/>
      <c r="MWP11" s="283"/>
      <c r="MWQ11" s="283"/>
      <c r="MWR11" s="283"/>
      <c r="MWS11" s="283"/>
      <c r="MWT11" s="283"/>
      <c r="MWU11" s="283"/>
      <c r="MWV11" s="283"/>
      <c r="MWW11" s="283"/>
      <c r="MWX11" s="283"/>
      <c r="MWY11" s="283"/>
      <c r="MWZ11" s="283"/>
      <c r="MXA11" s="283"/>
      <c r="MXB11" s="283"/>
      <c r="MXC11" s="283"/>
      <c r="MXD11" s="283"/>
      <c r="MXE11" s="283"/>
      <c r="MXF11" s="283"/>
      <c r="MXG11" s="283"/>
      <c r="MXH11" s="283"/>
      <c r="MXI11" s="283"/>
      <c r="MXJ11" s="283"/>
      <c r="MXK11" s="283"/>
      <c r="MXL11" s="283"/>
      <c r="MXM11" s="283"/>
      <c r="MXN11" s="283"/>
      <c r="MXO11" s="283"/>
      <c r="MXP11" s="283"/>
      <c r="MXQ11" s="283"/>
      <c r="MXR11" s="283"/>
      <c r="MXS11" s="283"/>
      <c r="MXT11" s="283"/>
      <c r="MXU11" s="283"/>
      <c r="MXV11" s="283"/>
      <c r="MXW11" s="283"/>
      <c r="MXX11" s="283"/>
      <c r="MXY11" s="283"/>
      <c r="MXZ11" s="283"/>
      <c r="MYA11" s="283"/>
      <c r="MYB11" s="283"/>
      <c r="MYC11" s="283"/>
      <c r="MYD11" s="283"/>
      <c r="MYE11" s="283"/>
      <c r="MYF11" s="283"/>
      <c r="MYG11" s="283"/>
      <c r="MYH11" s="283"/>
      <c r="MYI11" s="283"/>
      <c r="MYJ11" s="283"/>
      <c r="MYK11" s="283"/>
      <c r="MYL11" s="283"/>
      <c r="MYM11" s="283"/>
      <c r="MYN11" s="283"/>
      <c r="MYO11" s="283"/>
      <c r="MYP11" s="283"/>
      <c r="MYQ11" s="283"/>
      <c r="MYR11" s="283"/>
      <c r="MYS11" s="283"/>
      <c r="MYT11" s="283"/>
      <c r="MYU11" s="283"/>
      <c r="MYV11" s="283"/>
      <c r="MYW11" s="283"/>
      <c r="MYX11" s="283"/>
      <c r="MYY11" s="283"/>
      <c r="MYZ11" s="283"/>
      <c r="MZA11" s="283"/>
      <c r="MZB11" s="283"/>
      <c r="MZC11" s="283"/>
      <c r="MZD11" s="283"/>
      <c r="MZE11" s="283"/>
      <c r="MZF11" s="283"/>
      <c r="MZG11" s="283"/>
      <c r="MZH11" s="283"/>
      <c r="MZI11" s="283"/>
      <c r="MZJ11" s="283"/>
      <c r="MZK11" s="283"/>
      <c r="MZL11" s="283"/>
      <c r="MZM11" s="283"/>
      <c r="MZN11" s="283"/>
      <c r="MZO11" s="283"/>
      <c r="MZP11" s="283"/>
      <c r="MZQ11" s="283"/>
      <c r="MZR11" s="283"/>
      <c r="MZS11" s="283"/>
      <c r="MZT11" s="283"/>
      <c r="MZU11" s="283"/>
      <c r="MZV11" s="283"/>
      <c r="MZW11" s="283"/>
      <c r="MZX11" s="283"/>
      <c r="MZY11" s="283"/>
      <c r="MZZ11" s="283"/>
      <c r="NAA11" s="283"/>
      <c r="NAB11" s="283"/>
      <c r="NAC11" s="283"/>
      <c r="NAD11" s="283"/>
      <c r="NAE11" s="283"/>
      <c r="NAF11" s="283"/>
      <c r="NAG11" s="283"/>
      <c r="NAH11" s="283"/>
      <c r="NAI11" s="283"/>
      <c r="NAJ11" s="283"/>
      <c r="NAK11" s="283"/>
      <c r="NAL11" s="283"/>
      <c r="NAM11" s="283"/>
      <c r="NAN11" s="283"/>
      <c r="NAO11" s="283"/>
      <c r="NAP11" s="283"/>
      <c r="NAQ11" s="283"/>
      <c r="NAR11" s="283"/>
      <c r="NAS11" s="283"/>
      <c r="NAT11" s="283"/>
      <c r="NAU11" s="283"/>
      <c r="NAV11" s="283"/>
      <c r="NAW11" s="283"/>
      <c r="NAX11" s="283"/>
      <c r="NAY11" s="283"/>
      <c r="NAZ11" s="283"/>
      <c r="NBA11" s="283"/>
      <c r="NBB11" s="283"/>
      <c r="NBC11" s="283"/>
      <c r="NBD11" s="283"/>
      <c r="NBE11" s="283"/>
      <c r="NBF11" s="283"/>
      <c r="NBG11" s="283"/>
      <c r="NBH11" s="283"/>
      <c r="NBI11" s="283"/>
      <c r="NBJ11" s="283"/>
      <c r="NBK11" s="283"/>
      <c r="NBL11" s="283"/>
      <c r="NBM11" s="283"/>
      <c r="NBN11" s="283"/>
      <c r="NBO11" s="283"/>
      <c r="NBP11" s="283"/>
      <c r="NBQ11" s="283"/>
      <c r="NBR11" s="283"/>
      <c r="NBS11" s="283"/>
      <c r="NBT11" s="283"/>
      <c r="NBU11" s="283"/>
      <c r="NBV11" s="283"/>
      <c r="NBW11" s="283"/>
      <c r="NBX11" s="283"/>
      <c r="NBY11" s="283"/>
      <c r="NBZ11" s="283"/>
      <c r="NCA11" s="283"/>
      <c r="NCB11" s="283"/>
      <c r="NCC11" s="283"/>
      <c r="NCD11" s="283"/>
      <c r="NCE11" s="283"/>
      <c r="NCF11" s="283"/>
      <c r="NCG11" s="283"/>
      <c r="NCH11" s="283"/>
      <c r="NCI11" s="283"/>
      <c r="NCJ11" s="283"/>
      <c r="NCK11" s="283"/>
      <c r="NCL11" s="283"/>
      <c r="NCM11" s="283"/>
      <c r="NCN11" s="283"/>
      <c r="NCO11" s="283"/>
      <c r="NCP11" s="283"/>
      <c r="NCQ11" s="283"/>
      <c r="NCR11" s="283"/>
      <c r="NCS11" s="283"/>
      <c r="NCT11" s="283"/>
      <c r="NCU11" s="283"/>
      <c r="NCV11" s="283"/>
      <c r="NCW11" s="283"/>
      <c r="NCX11" s="283"/>
      <c r="NCY11" s="283"/>
      <c r="NCZ11" s="283"/>
      <c r="NDA11" s="283"/>
      <c r="NDB11" s="283"/>
      <c r="NDC11" s="283"/>
      <c r="NDD11" s="283"/>
      <c r="NDE11" s="283"/>
      <c r="NDF11" s="283"/>
      <c r="NDG11" s="283"/>
      <c r="NDH11" s="283"/>
      <c r="NDI11" s="283"/>
      <c r="NDJ11" s="283"/>
      <c r="NDK11" s="283"/>
      <c r="NDL11" s="283"/>
      <c r="NDM11" s="283"/>
      <c r="NDN11" s="283"/>
      <c r="NDO11" s="283"/>
      <c r="NDP11" s="283"/>
      <c r="NDQ11" s="283"/>
      <c r="NDR11" s="283"/>
      <c r="NDS11" s="283"/>
      <c r="NDT11" s="283"/>
      <c r="NDU11" s="283"/>
      <c r="NDV11" s="283"/>
      <c r="NDW11" s="283"/>
      <c r="NDX11" s="283"/>
      <c r="NDY11" s="283"/>
      <c r="NDZ11" s="283"/>
      <c r="NEA11" s="283"/>
      <c r="NEB11" s="283"/>
      <c r="NEC11" s="283"/>
      <c r="NED11" s="283"/>
      <c r="NEE11" s="283"/>
      <c r="NEF11" s="283"/>
      <c r="NEG11" s="283"/>
      <c r="NEH11" s="283"/>
      <c r="NEI11" s="283"/>
      <c r="NEJ11" s="283"/>
      <c r="NEK11" s="283"/>
      <c r="NEL11" s="283"/>
      <c r="NEM11" s="283"/>
      <c r="NEN11" s="283"/>
      <c r="NEO11" s="283"/>
      <c r="NEP11" s="283"/>
      <c r="NEQ11" s="283"/>
      <c r="NER11" s="283"/>
      <c r="NES11" s="283"/>
      <c r="NET11" s="283"/>
      <c r="NEU11" s="283"/>
      <c r="NEV11" s="283"/>
      <c r="NEW11" s="283"/>
      <c r="NEX11" s="283"/>
      <c r="NEY11" s="283"/>
      <c r="NEZ11" s="283"/>
      <c r="NFA11" s="283"/>
      <c r="NFB11" s="283"/>
      <c r="NFC11" s="283"/>
      <c r="NFD11" s="283"/>
      <c r="NFE11" s="283"/>
      <c r="NFF11" s="283"/>
      <c r="NFG11" s="283"/>
      <c r="NFH11" s="283"/>
      <c r="NFI11" s="283"/>
      <c r="NFJ11" s="283"/>
      <c r="NFK11" s="283"/>
      <c r="NFL11" s="283"/>
      <c r="NFM11" s="283"/>
      <c r="NFN11" s="283"/>
      <c r="NFO11" s="283"/>
      <c r="NFP11" s="283"/>
      <c r="NFQ11" s="283"/>
      <c r="NFR11" s="283"/>
      <c r="NFS11" s="283"/>
      <c r="NFT11" s="283"/>
      <c r="NFU11" s="283"/>
      <c r="NFV11" s="283"/>
      <c r="NFW11" s="283"/>
      <c r="NFX11" s="283"/>
      <c r="NFY11" s="283"/>
      <c r="NFZ11" s="283"/>
      <c r="NGA11" s="283"/>
      <c r="NGB11" s="283"/>
      <c r="NGC11" s="283"/>
      <c r="NGD11" s="283"/>
      <c r="NGE11" s="283"/>
      <c r="NGF11" s="283"/>
      <c r="NGG11" s="283"/>
      <c r="NGH11" s="283"/>
      <c r="NGI11" s="283"/>
      <c r="NGJ11" s="283"/>
      <c r="NGK11" s="283"/>
      <c r="NGL11" s="283"/>
      <c r="NGM11" s="283"/>
      <c r="NGN11" s="283"/>
      <c r="NGO11" s="283"/>
      <c r="NGP11" s="283"/>
      <c r="NGQ11" s="283"/>
      <c r="NGR11" s="283"/>
      <c r="NGS11" s="283"/>
      <c r="NGT11" s="283"/>
      <c r="NGU11" s="283"/>
      <c r="NGV11" s="283"/>
      <c r="NGW11" s="283"/>
      <c r="NGX11" s="283"/>
      <c r="NGY11" s="283"/>
      <c r="NGZ11" s="283"/>
      <c r="NHA11" s="283"/>
      <c r="NHB11" s="283"/>
      <c r="NHC11" s="283"/>
      <c r="NHD11" s="283"/>
      <c r="NHE11" s="283"/>
      <c r="NHF11" s="283"/>
      <c r="NHG11" s="283"/>
      <c r="NHH11" s="283"/>
      <c r="NHI11" s="283"/>
      <c r="NHJ11" s="283"/>
      <c r="NHK11" s="283"/>
      <c r="NHL11" s="283"/>
      <c r="NHM11" s="283"/>
      <c r="NHN11" s="283"/>
      <c r="NHO11" s="283"/>
      <c r="NHP11" s="283"/>
      <c r="NHQ11" s="283"/>
      <c r="NHR11" s="283"/>
      <c r="NHS11" s="283"/>
      <c r="NHT11" s="283"/>
      <c r="NHU11" s="283"/>
      <c r="NHV11" s="283"/>
      <c r="NHW11" s="283"/>
      <c r="NHX11" s="283"/>
      <c r="NHY11" s="283"/>
      <c r="NHZ11" s="283"/>
      <c r="NIA11" s="283"/>
      <c r="NIB11" s="283"/>
      <c r="NIC11" s="283"/>
      <c r="NID11" s="283"/>
      <c r="NIE11" s="283"/>
      <c r="NIF11" s="283"/>
      <c r="NIG11" s="283"/>
      <c r="NIH11" s="283"/>
      <c r="NII11" s="283"/>
      <c r="NIJ11" s="283"/>
      <c r="NIK11" s="283"/>
      <c r="NIL11" s="283"/>
      <c r="NIM11" s="283"/>
      <c r="NIN11" s="283"/>
      <c r="NIO11" s="283"/>
      <c r="NIP11" s="283"/>
      <c r="NIQ11" s="283"/>
      <c r="NIR11" s="283"/>
      <c r="NIS11" s="283"/>
      <c r="NIT11" s="283"/>
      <c r="NIU11" s="283"/>
      <c r="NIV11" s="283"/>
      <c r="NIW11" s="283"/>
      <c r="NIX11" s="283"/>
      <c r="NIY11" s="283"/>
      <c r="NIZ11" s="283"/>
      <c r="NJA11" s="283"/>
      <c r="NJB11" s="283"/>
      <c r="NJC11" s="283"/>
      <c r="NJD11" s="283"/>
      <c r="NJE11" s="283"/>
      <c r="NJF11" s="283"/>
      <c r="NJG11" s="283"/>
      <c r="NJH11" s="283"/>
      <c r="NJI11" s="283"/>
      <c r="NJJ11" s="283"/>
      <c r="NJK11" s="283"/>
      <c r="NJL11" s="283"/>
      <c r="NJM11" s="283"/>
      <c r="NJN11" s="283"/>
      <c r="NJO11" s="283"/>
      <c r="NJP11" s="283"/>
      <c r="NJQ11" s="283"/>
      <c r="NJR11" s="283"/>
      <c r="NJS11" s="283"/>
      <c r="NJT11" s="283"/>
      <c r="NJU11" s="283"/>
      <c r="NJV11" s="283"/>
      <c r="NJW11" s="283"/>
      <c r="NJX11" s="283"/>
      <c r="NJY11" s="283"/>
      <c r="NJZ11" s="283"/>
      <c r="NKA11" s="283"/>
      <c r="NKB11" s="283"/>
      <c r="NKC11" s="283"/>
      <c r="NKD11" s="283"/>
      <c r="NKE11" s="283"/>
      <c r="NKF11" s="283"/>
      <c r="NKG11" s="283"/>
      <c r="NKH11" s="283"/>
      <c r="NKI11" s="283"/>
      <c r="NKJ11" s="283"/>
      <c r="NKK11" s="283"/>
      <c r="NKL11" s="283"/>
      <c r="NKM11" s="283"/>
      <c r="NKN11" s="283"/>
      <c r="NKO11" s="283"/>
      <c r="NKP11" s="283"/>
      <c r="NKQ11" s="283"/>
      <c r="NKR11" s="283"/>
      <c r="NKS11" s="283"/>
      <c r="NKT11" s="283"/>
      <c r="NKU11" s="283"/>
      <c r="NKV11" s="283"/>
      <c r="NKW11" s="283"/>
      <c r="NKX11" s="283"/>
      <c r="NKY11" s="283"/>
      <c r="NKZ11" s="283"/>
      <c r="NLA11" s="283"/>
      <c r="NLB11" s="283"/>
      <c r="NLC11" s="283"/>
      <c r="NLD11" s="283"/>
      <c r="NLE11" s="283"/>
      <c r="NLF11" s="283"/>
      <c r="NLG11" s="283"/>
      <c r="NLH11" s="283"/>
      <c r="NLI11" s="283"/>
      <c r="NLJ11" s="283"/>
      <c r="NLK11" s="283"/>
      <c r="NLL11" s="283"/>
      <c r="NLM11" s="283"/>
      <c r="NLN11" s="283"/>
      <c r="NLO11" s="283"/>
      <c r="NLP11" s="283"/>
      <c r="NLQ11" s="283"/>
      <c r="NLR11" s="283"/>
      <c r="NLS11" s="283"/>
      <c r="NLT11" s="283"/>
      <c r="NLU11" s="283"/>
      <c r="NLV11" s="283"/>
      <c r="NLW11" s="283"/>
      <c r="NLX11" s="283"/>
      <c r="NLY11" s="283"/>
      <c r="NLZ11" s="283"/>
      <c r="NMA11" s="283"/>
      <c r="NMB11" s="283"/>
      <c r="NMC11" s="283"/>
      <c r="NMD11" s="283"/>
      <c r="NME11" s="283"/>
      <c r="NMF11" s="283"/>
      <c r="NMG11" s="283"/>
      <c r="NMH11" s="283"/>
      <c r="NMI11" s="283"/>
      <c r="NMJ11" s="283"/>
      <c r="NMK11" s="283"/>
      <c r="NML11" s="283"/>
      <c r="NMM11" s="283"/>
      <c r="NMN11" s="283"/>
      <c r="NMO11" s="283"/>
      <c r="NMP11" s="283"/>
      <c r="NMQ11" s="283"/>
      <c r="NMR11" s="283"/>
      <c r="NMS11" s="283"/>
      <c r="NMT11" s="283"/>
      <c r="NMU11" s="283"/>
      <c r="NMV11" s="283"/>
      <c r="NMW11" s="283"/>
      <c r="NMX11" s="283"/>
      <c r="NMY11" s="283"/>
      <c r="NMZ11" s="283"/>
      <c r="NNA11" s="283"/>
      <c r="NNB11" s="283"/>
      <c r="NNC11" s="283"/>
      <c r="NND11" s="283"/>
      <c r="NNE11" s="283"/>
      <c r="NNF11" s="283"/>
      <c r="NNG11" s="283"/>
      <c r="NNH11" s="283"/>
      <c r="NNI11" s="283"/>
      <c r="NNJ11" s="283"/>
      <c r="NNK11" s="283"/>
      <c r="NNL11" s="283"/>
      <c r="NNM11" s="283"/>
      <c r="NNN11" s="283"/>
      <c r="NNO11" s="283"/>
      <c r="NNP11" s="283"/>
      <c r="NNQ11" s="283"/>
      <c r="NNR11" s="283"/>
      <c r="NNS11" s="283"/>
      <c r="NNT11" s="283"/>
      <c r="NNU11" s="283"/>
      <c r="NNV11" s="283"/>
      <c r="NNW11" s="283"/>
      <c r="NNX11" s="283"/>
      <c r="NNY11" s="283"/>
      <c r="NNZ11" s="283"/>
      <c r="NOA11" s="283"/>
      <c r="NOB11" s="283"/>
      <c r="NOC11" s="283"/>
      <c r="NOD11" s="283"/>
      <c r="NOE11" s="283"/>
      <c r="NOF11" s="283"/>
      <c r="NOG11" s="283"/>
      <c r="NOH11" s="283"/>
      <c r="NOI11" s="283"/>
      <c r="NOJ11" s="283"/>
      <c r="NOK11" s="283"/>
      <c r="NOL11" s="283"/>
      <c r="NOM11" s="283"/>
      <c r="NON11" s="283"/>
      <c r="NOO11" s="283"/>
      <c r="NOP11" s="283"/>
      <c r="NOQ11" s="283"/>
      <c r="NOR11" s="283"/>
      <c r="NOS11" s="283"/>
      <c r="NOT11" s="283"/>
      <c r="NOU11" s="283"/>
      <c r="NOV11" s="283"/>
      <c r="NOW11" s="283"/>
      <c r="NOX11" s="283"/>
      <c r="NOY11" s="283"/>
      <c r="NOZ11" s="283"/>
      <c r="NPA11" s="283"/>
      <c r="NPB11" s="283"/>
      <c r="NPC11" s="283"/>
      <c r="NPD11" s="283"/>
      <c r="NPE11" s="283"/>
      <c r="NPF11" s="283"/>
      <c r="NPG11" s="283"/>
      <c r="NPH11" s="283"/>
      <c r="NPI11" s="283"/>
      <c r="NPJ11" s="283"/>
      <c r="NPK11" s="283"/>
      <c r="NPL11" s="283"/>
      <c r="NPM11" s="283"/>
      <c r="NPN11" s="283"/>
      <c r="NPO11" s="283"/>
      <c r="NPP11" s="283"/>
      <c r="NPQ11" s="283"/>
      <c r="NPR11" s="283"/>
      <c r="NPS11" s="283"/>
      <c r="NPT11" s="283"/>
      <c r="NPU11" s="283"/>
      <c r="NPV11" s="283"/>
      <c r="NPW11" s="283"/>
      <c r="NPX11" s="283"/>
      <c r="NPY11" s="283"/>
      <c r="NPZ11" s="283"/>
      <c r="NQA11" s="283"/>
      <c r="NQB11" s="283"/>
      <c r="NQC11" s="283"/>
      <c r="NQD11" s="283"/>
      <c r="NQE11" s="283"/>
      <c r="NQF11" s="283"/>
      <c r="NQG11" s="283"/>
      <c r="NQH11" s="283"/>
      <c r="NQI11" s="283"/>
      <c r="NQJ11" s="283"/>
      <c r="NQK11" s="283"/>
      <c r="NQL11" s="283"/>
      <c r="NQM11" s="283"/>
      <c r="NQN11" s="283"/>
      <c r="NQO11" s="283"/>
      <c r="NQP11" s="283"/>
      <c r="NQQ11" s="283"/>
      <c r="NQR11" s="283"/>
      <c r="NQS11" s="283"/>
      <c r="NQT11" s="283"/>
      <c r="NQU11" s="283"/>
      <c r="NQV11" s="283"/>
      <c r="NQW11" s="283"/>
      <c r="NQX11" s="283"/>
      <c r="NQY11" s="283"/>
      <c r="NQZ11" s="283"/>
      <c r="NRA11" s="283"/>
      <c r="NRB11" s="283"/>
      <c r="NRC11" s="283"/>
      <c r="NRD11" s="283"/>
      <c r="NRE11" s="283"/>
      <c r="NRF11" s="283"/>
      <c r="NRG11" s="283"/>
      <c r="NRH11" s="283"/>
      <c r="NRI11" s="283"/>
      <c r="NRJ11" s="283"/>
      <c r="NRK11" s="283"/>
      <c r="NRL11" s="283"/>
      <c r="NRM11" s="283"/>
      <c r="NRN11" s="283"/>
      <c r="NRO11" s="283"/>
      <c r="NRP11" s="283"/>
      <c r="NRQ11" s="283"/>
      <c r="NRR11" s="283"/>
      <c r="NRS11" s="283"/>
      <c r="NRT11" s="283"/>
      <c r="NRU11" s="283"/>
      <c r="NRV11" s="283"/>
      <c r="NRW11" s="283"/>
      <c r="NRX11" s="283"/>
      <c r="NRY11" s="283"/>
      <c r="NRZ11" s="283"/>
      <c r="NSA11" s="283"/>
      <c r="NSB11" s="283"/>
      <c r="NSC11" s="283"/>
      <c r="NSD11" s="283"/>
      <c r="NSE11" s="283"/>
      <c r="NSF11" s="283"/>
      <c r="NSG11" s="283"/>
      <c r="NSH11" s="283"/>
      <c r="NSI11" s="283"/>
      <c r="NSJ11" s="283"/>
      <c r="NSK11" s="283"/>
      <c r="NSL11" s="283"/>
      <c r="NSM11" s="283"/>
      <c r="NSN11" s="283"/>
      <c r="NSO11" s="283"/>
      <c r="NSP11" s="283"/>
      <c r="NSQ11" s="283"/>
      <c r="NSR11" s="283"/>
      <c r="NSS11" s="283"/>
      <c r="NST11" s="283"/>
      <c r="NSU11" s="283"/>
      <c r="NSV11" s="283"/>
      <c r="NSW11" s="283"/>
      <c r="NSX11" s="283"/>
      <c r="NSY11" s="283"/>
      <c r="NSZ11" s="283"/>
      <c r="NTA11" s="283"/>
      <c r="NTB11" s="283"/>
      <c r="NTC11" s="283"/>
      <c r="NTD11" s="283"/>
      <c r="NTE11" s="283"/>
      <c r="NTF11" s="283"/>
      <c r="NTG11" s="283"/>
      <c r="NTH11" s="283"/>
      <c r="NTI11" s="283"/>
      <c r="NTJ11" s="283"/>
      <c r="NTK11" s="283"/>
      <c r="NTL11" s="283"/>
      <c r="NTM11" s="283"/>
      <c r="NTN11" s="283"/>
      <c r="NTO11" s="283"/>
      <c r="NTP11" s="283"/>
      <c r="NTQ11" s="283"/>
      <c r="NTR11" s="283"/>
      <c r="NTS11" s="283"/>
      <c r="NTT11" s="283"/>
      <c r="NTU11" s="283"/>
      <c r="NTV11" s="283"/>
      <c r="NTW11" s="283"/>
      <c r="NTX11" s="283"/>
      <c r="NTY11" s="283"/>
      <c r="NTZ11" s="283"/>
      <c r="NUA11" s="283"/>
      <c r="NUB11" s="283"/>
      <c r="NUC11" s="283"/>
      <c r="NUD11" s="283"/>
      <c r="NUE11" s="283"/>
      <c r="NUF11" s="283"/>
      <c r="NUG11" s="283"/>
      <c r="NUH11" s="283"/>
      <c r="NUI11" s="283"/>
      <c r="NUJ11" s="283"/>
      <c r="NUK11" s="283"/>
      <c r="NUL11" s="283"/>
      <c r="NUM11" s="283"/>
      <c r="NUN11" s="283"/>
      <c r="NUO11" s="283"/>
      <c r="NUP11" s="283"/>
      <c r="NUQ11" s="283"/>
      <c r="NUR11" s="283"/>
      <c r="NUS11" s="283"/>
      <c r="NUT11" s="283"/>
      <c r="NUU11" s="283"/>
      <c r="NUV11" s="283"/>
      <c r="NUW11" s="283"/>
      <c r="NUX11" s="283"/>
      <c r="NUY11" s="283"/>
      <c r="NUZ11" s="283"/>
      <c r="NVA11" s="283"/>
      <c r="NVB11" s="283"/>
      <c r="NVC11" s="283"/>
      <c r="NVD11" s="283"/>
      <c r="NVE11" s="283"/>
      <c r="NVF11" s="283"/>
      <c r="NVG11" s="283"/>
      <c r="NVH11" s="283"/>
      <c r="NVI11" s="283"/>
      <c r="NVJ11" s="283"/>
      <c r="NVK11" s="283"/>
      <c r="NVL11" s="283"/>
      <c r="NVM11" s="283"/>
      <c r="NVN11" s="283"/>
      <c r="NVO11" s="283"/>
      <c r="NVP11" s="283"/>
      <c r="NVQ11" s="283"/>
      <c r="NVR11" s="283"/>
      <c r="NVS11" s="283"/>
      <c r="NVT11" s="283"/>
      <c r="NVU11" s="283"/>
      <c r="NVV11" s="283"/>
      <c r="NVW11" s="283"/>
      <c r="NVX11" s="283"/>
      <c r="NVY11" s="283"/>
      <c r="NVZ11" s="283"/>
      <c r="NWA11" s="283"/>
      <c r="NWB11" s="283"/>
      <c r="NWC11" s="283"/>
      <c r="NWD11" s="283"/>
      <c r="NWE11" s="283"/>
      <c r="NWF11" s="283"/>
      <c r="NWG11" s="283"/>
      <c r="NWH11" s="283"/>
      <c r="NWI11" s="283"/>
      <c r="NWJ11" s="283"/>
      <c r="NWK11" s="283"/>
      <c r="NWL11" s="283"/>
      <c r="NWM11" s="283"/>
      <c r="NWN11" s="283"/>
      <c r="NWO11" s="283"/>
      <c r="NWP11" s="283"/>
      <c r="NWQ11" s="283"/>
      <c r="NWR11" s="283"/>
      <c r="NWS11" s="283"/>
      <c r="NWT11" s="283"/>
      <c r="NWU11" s="283"/>
      <c r="NWV11" s="283"/>
      <c r="NWW11" s="283"/>
      <c r="NWX11" s="283"/>
      <c r="NWY11" s="283"/>
      <c r="NWZ11" s="283"/>
      <c r="NXA11" s="283"/>
      <c r="NXB11" s="283"/>
      <c r="NXC11" s="283"/>
      <c r="NXD11" s="283"/>
      <c r="NXE11" s="283"/>
      <c r="NXF11" s="283"/>
      <c r="NXG11" s="283"/>
      <c r="NXH11" s="283"/>
      <c r="NXI11" s="283"/>
      <c r="NXJ11" s="283"/>
      <c r="NXK11" s="283"/>
      <c r="NXL11" s="283"/>
      <c r="NXM11" s="283"/>
      <c r="NXN11" s="283"/>
      <c r="NXO11" s="283"/>
      <c r="NXP11" s="283"/>
      <c r="NXQ11" s="283"/>
      <c r="NXR11" s="283"/>
      <c r="NXS11" s="283"/>
      <c r="NXT11" s="283"/>
      <c r="NXU11" s="283"/>
      <c r="NXV11" s="283"/>
      <c r="NXW11" s="283"/>
      <c r="NXX11" s="283"/>
      <c r="NXY11" s="283"/>
      <c r="NXZ11" s="283"/>
      <c r="NYA11" s="283"/>
      <c r="NYB11" s="283"/>
      <c r="NYC11" s="283"/>
      <c r="NYD11" s="283"/>
      <c r="NYE11" s="283"/>
      <c r="NYF11" s="283"/>
      <c r="NYG11" s="283"/>
      <c r="NYH11" s="283"/>
      <c r="NYI11" s="283"/>
      <c r="NYJ11" s="283"/>
      <c r="NYK11" s="283"/>
      <c r="NYL11" s="283"/>
      <c r="NYM11" s="283"/>
      <c r="NYN11" s="283"/>
      <c r="NYO11" s="283"/>
      <c r="NYP11" s="283"/>
      <c r="NYQ11" s="283"/>
      <c r="NYR11" s="283"/>
      <c r="NYS11" s="283"/>
      <c r="NYT11" s="283"/>
      <c r="NYU11" s="283"/>
      <c r="NYV11" s="283"/>
      <c r="NYW11" s="283"/>
      <c r="NYX11" s="283"/>
      <c r="NYY11" s="283"/>
      <c r="NYZ11" s="283"/>
      <c r="NZA11" s="283"/>
      <c r="NZB11" s="283"/>
      <c r="NZC11" s="283"/>
      <c r="NZD11" s="283"/>
      <c r="NZE11" s="283"/>
      <c r="NZF11" s="283"/>
      <c r="NZG11" s="283"/>
      <c r="NZH11" s="283"/>
      <c r="NZI11" s="283"/>
      <c r="NZJ11" s="283"/>
      <c r="NZK11" s="283"/>
      <c r="NZL11" s="283"/>
      <c r="NZM11" s="283"/>
      <c r="NZN11" s="283"/>
      <c r="NZO11" s="283"/>
      <c r="NZP11" s="283"/>
      <c r="NZQ11" s="283"/>
      <c r="NZR11" s="283"/>
      <c r="NZS11" s="283"/>
      <c r="NZT11" s="283"/>
      <c r="NZU11" s="283"/>
      <c r="NZV11" s="283"/>
      <c r="NZW11" s="283"/>
      <c r="NZX11" s="283"/>
      <c r="NZY11" s="283"/>
      <c r="NZZ11" s="283"/>
      <c r="OAA11" s="283"/>
      <c r="OAB11" s="283"/>
      <c r="OAC11" s="283"/>
      <c r="OAD11" s="283"/>
      <c r="OAE11" s="283"/>
      <c r="OAF11" s="283"/>
      <c r="OAG11" s="283"/>
      <c r="OAH11" s="283"/>
      <c r="OAI11" s="283"/>
      <c r="OAJ11" s="283"/>
      <c r="OAK11" s="283"/>
      <c r="OAL11" s="283"/>
      <c r="OAM11" s="283"/>
      <c r="OAN11" s="283"/>
      <c r="OAO11" s="283"/>
      <c r="OAP11" s="283"/>
      <c r="OAQ11" s="283"/>
      <c r="OAR11" s="283"/>
      <c r="OAS11" s="283"/>
      <c r="OAT11" s="283"/>
      <c r="OAU11" s="283"/>
      <c r="OAV11" s="283"/>
      <c r="OAW11" s="283"/>
      <c r="OAX11" s="283"/>
      <c r="OAY11" s="283"/>
      <c r="OAZ11" s="283"/>
      <c r="OBA11" s="283"/>
      <c r="OBB11" s="283"/>
      <c r="OBC11" s="283"/>
      <c r="OBD11" s="283"/>
      <c r="OBE11" s="283"/>
      <c r="OBF11" s="283"/>
      <c r="OBG11" s="283"/>
      <c r="OBH11" s="283"/>
      <c r="OBI11" s="283"/>
      <c r="OBJ11" s="283"/>
      <c r="OBK11" s="283"/>
      <c r="OBL11" s="283"/>
      <c r="OBM11" s="283"/>
      <c r="OBN11" s="283"/>
      <c r="OBO11" s="283"/>
      <c r="OBP11" s="283"/>
      <c r="OBQ11" s="283"/>
      <c r="OBR11" s="283"/>
      <c r="OBS11" s="283"/>
      <c r="OBT11" s="283"/>
      <c r="OBU11" s="283"/>
      <c r="OBV11" s="283"/>
      <c r="OBW11" s="283"/>
      <c r="OBX11" s="283"/>
      <c r="OBY11" s="283"/>
      <c r="OBZ11" s="283"/>
      <c r="OCA11" s="283"/>
      <c r="OCB11" s="283"/>
      <c r="OCC11" s="283"/>
      <c r="OCD11" s="283"/>
      <c r="OCE11" s="283"/>
      <c r="OCF11" s="283"/>
      <c r="OCG11" s="283"/>
      <c r="OCH11" s="283"/>
      <c r="OCI11" s="283"/>
      <c r="OCJ11" s="283"/>
      <c r="OCK11" s="283"/>
      <c r="OCL11" s="283"/>
      <c r="OCM11" s="283"/>
      <c r="OCN11" s="283"/>
      <c r="OCO11" s="283"/>
      <c r="OCP11" s="283"/>
      <c r="OCQ11" s="283"/>
      <c r="OCR11" s="283"/>
      <c r="OCS11" s="283"/>
      <c r="OCT11" s="283"/>
      <c r="OCU11" s="283"/>
      <c r="OCV11" s="283"/>
      <c r="OCW11" s="283"/>
      <c r="OCX11" s="283"/>
      <c r="OCY11" s="283"/>
      <c r="OCZ11" s="283"/>
      <c r="ODA11" s="283"/>
      <c r="ODB11" s="283"/>
      <c r="ODC11" s="283"/>
      <c r="ODD11" s="283"/>
      <c r="ODE11" s="283"/>
      <c r="ODF11" s="283"/>
      <c r="ODG11" s="283"/>
      <c r="ODH11" s="283"/>
      <c r="ODI11" s="283"/>
      <c r="ODJ11" s="283"/>
      <c r="ODK11" s="283"/>
      <c r="ODL11" s="283"/>
      <c r="ODM11" s="283"/>
      <c r="ODN11" s="283"/>
      <c r="ODO11" s="283"/>
      <c r="ODP11" s="283"/>
      <c r="ODQ11" s="283"/>
      <c r="ODR11" s="283"/>
      <c r="ODS11" s="283"/>
      <c r="ODT11" s="283"/>
      <c r="ODU11" s="283"/>
      <c r="ODV11" s="283"/>
      <c r="ODW11" s="283"/>
      <c r="ODX11" s="283"/>
      <c r="ODY11" s="283"/>
      <c r="ODZ11" s="283"/>
      <c r="OEA11" s="283"/>
      <c r="OEB11" s="283"/>
      <c r="OEC11" s="283"/>
      <c r="OED11" s="283"/>
      <c r="OEE11" s="283"/>
      <c r="OEF11" s="283"/>
      <c r="OEG11" s="283"/>
      <c r="OEH11" s="283"/>
      <c r="OEI11" s="283"/>
      <c r="OEJ11" s="283"/>
      <c r="OEK11" s="283"/>
      <c r="OEL11" s="283"/>
      <c r="OEM11" s="283"/>
      <c r="OEN11" s="283"/>
      <c r="OEO11" s="283"/>
      <c r="OEP11" s="283"/>
      <c r="OEQ11" s="283"/>
      <c r="OER11" s="283"/>
      <c r="OES11" s="283"/>
      <c r="OET11" s="283"/>
      <c r="OEU11" s="283"/>
      <c r="OEV11" s="283"/>
      <c r="OEW11" s="283"/>
      <c r="OEX11" s="283"/>
      <c r="OEY11" s="283"/>
      <c r="OEZ11" s="283"/>
      <c r="OFA11" s="283"/>
      <c r="OFB11" s="283"/>
      <c r="OFC11" s="283"/>
      <c r="OFD11" s="283"/>
      <c r="OFE11" s="283"/>
      <c r="OFF11" s="283"/>
      <c r="OFG11" s="283"/>
      <c r="OFH11" s="283"/>
      <c r="OFI11" s="283"/>
      <c r="OFJ11" s="283"/>
      <c r="OFK11" s="283"/>
      <c r="OFL11" s="283"/>
      <c r="OFM11" s="283"/>
      <c r="OFN11" s="283"/>
      <c r="OFO11" s="283"/>
      <c r="OFP11" s="283"/>
      <c r="OFQ11" s="283"/>
      <c r="OFR11" s="283"/>
      <c r="OFS11" s="283"/>
      <c r="OFT11" s="283"/>
      <c r="OFU11" s="283"/>
      <c r="OFV11" s="283"/>
      <c r="OFW11" s="283"/>
      <c r="OFX11" s="283"/>
      <c r="OFY11" s="283"/>
      <c r="OFZ11" s="283"/>
      <c r="OGA11" s="283"/>
      <c r="OGB11" s="283"/>
      <c r="OGC11" s="283"/>
      <c r="OGD11" s="283"/>
      <c r="OGE11" s="283"/>
      <c r="OGF11" s="283"/>
      <c r="OGG11" s="283"/>
      <c r="OGH11" s="283"/>
      <c r="OGI11" s="283"/>
      <c r="OGJ11" s="283"/>
      <c r="OGK11" s="283"/>
      <c r="OGL11" s="283"/>
      <c r="OGM11" s="283"/>
      <c r="OGN11" s="283"/>
      <c r="OGO11" s="283"/>
      <c r="OGP11" s="283"/>
      <c r="OGQ11" s="283"/>
      <c r="OGR11" s="283"/>
      <c r="OGS11" s="283"/>
      <c r="OGT11" s="283"/>
      <c r="OGU11" s="283"/>
      <c r="OGV11" s="283"/>
      <c r="OGW11" s="283"/>
      <c r="OGX11" s="283"/>
      <c r="OGY11" s="283"/>
      <c r="OGZ11" s="283"/>
      <c r="OHA11" s="283"/>
      <c r="OHB11" s="283"/>
      <c r="OHC11" s="283"/>
      <c r="OHD11" s="283"/>
      <c r="OHE11" s="283"/>
      <c r="OHF11" s="283"/>
      <c r="OHG11" s="283"/>
      <c r="OHH11" s="283"/>
      <c r="OHI11" s="283"/>
      <c r="OHJ11" s="283"/>
      <c r="OHK11" s="283"/>
      <c r="OHL11" s="283"/>
      <c r="OHM11" s="283"/>
      <c r="OHN11" s="283"/>
      <c r="OHO11" s="283"/>
      <c r="OHP11" s="283"/>
      <c r="OHQ11" s="283"/>
      <c r="OHR11" s="283"/>
      <c r="OHS11" s="283"/>
      <c r="OHT11" s="283"/>
      <c r="OHU11" s="283"/>
      <c r="OHV11" s="283"/>
      <c r="OHW11" s="283"/>
      <c r="OHX11" s="283"/>
      <c r="OHY11" s="283"/>
      <c r="OHZ11" s="283"/>
      <c r="OIA11" s="283"/>
      <c r="OIB11" s="283"/>
      <c r="OIC11" s="283"/>
      <c r="OID11" s="283"/>
      <c r="OIE11" s="283"/>
      <c r="OIF11" s="283"/>
      <c r="OIG11" s="283"/>
      <c r="OIH11" s="283"/>
      <c r="OII11" s="283"/>
      <c r="OIJ11" s="283"/>
      <c r="OIK11" s="283"/>
      <c r="OIL11" s="283"/>
      <c r="OIM11" s="283"/>
      <c r="OIN11" s="283"/>
      <c r="OIO11" s="283"/>
      <c r="OIP11" s="283"/>
      <c r="OIQ11" s="283"/>
      <c r="OIR11" s="283"/>
      <c r="OIS11" s="283"/>
      <c r="OIT11" s="283"/>
      <c r="OIU11" s="283"/>
      <c r="OIV11" s="283"/>
      <c r="OIW11" s="283"/>
      <c r="OIX11" s="283"/>
      <c r="OIY11" s="283"/>
      <c r="OIZ11" s="283"/>
      <c r="OJA11" s="283"/>
      <c r="OJB11" s="283"/>
      <c r="OJC11" s="283"/>
      <c r="OJD11" s="283"/>
      <c r="OJE11" s="283"/>
      <c r="OJF11" s="283"/>
      <c r="OJG11" s="283"/>
      <c r="OJH11" s="283"/>
      <c r="OJI11" s="283"/>
      <c r="OJJ11" s="283"/>
      <c r="OJK11" s="283"/>
      <c r="OJL11" s="283"/>
      <c r="OJM11" s="283"/>
      <c r="OJN11" s="283"/>
      <c r="OJO11" s="283"/>
      <c r="OJP11" s="283"/>
      <c r="OJQ11" s="283"/>
      <c r="OJR11" s="283"/>
      <c r="OJS11" s="283"/>
      <c r="OJT11" s="283"/>
      <c r="OJU11" s="283"/>
      <c r="OJV11" s="283"/>
      <c r="OJW11" s="283"/>
      <c r="OJX11" s="283"/>
      <c r="OJY11" s="283"/>
      <c r="OJZ11" s="283"/>
      <c r="OKA11" s="283"/>
      <c r="OKB11" s="283"/>
      <c r="OKC11" s="283"/>
      <c r="OKD11" s="283"/>
      <c r="OKE11" s="283"/>
      <c r="OKF11" s="283"/>
      <c r="OKG11" s="283"/>
      <c r="OKH11" s="283"/>
      <c r="OKI11" s="283"/>
      <c r="OKJ11" s="283"/>
      <c r="OKK11" s="283"/>
      <c r="OKL11" s="283"/>
      <c r="OKM11" s="283"/>
      <c r="OKN11" s="283"/>
      <c r="OKO11" s="283"/>
      <c r="OKP11" s="283"/>
      <c r="OKQ11" s="283"/>
      <c r="OKR11" s="283"/>
      <c r="OKS11" s="283"/>
      <c r="OKT11" s="283"/>
      <c r="OKU11" s="283"/>
      <c r="OKV11" s="283"/>
      <c r="OKW11" s="283"/>
      <c r="OKX11" s="283"/>
      <c r="OKY11" s="283"/>
      <c r="OKZ11" s="283"/>
      <c r="OLA11" s="283"/>
      <c r="OLB11" s="283"/>
      <c r="OLC11" s="283"/>
      <c r="OLD11" s="283"/>
      <c r="OLE11" s="283"/>
      <c r="OLF11" s="283"/>
      <c r="OLG11" s="283"/>
      <c r="OLH11" s="283"/>
      <c r="OLI11" s="283"/>
      <c r="OLJ11" s="283"/>
      <c r="OLK11" s="283"/>
      <c r="OLL11" s="283"/>
      <c r="OLM11" s="283"/>
      <c r="OLN11" s="283"/>
      <c r="OLO11" s="283"/>
      <c r="OLP11" s="283"/>
      <c r="OLQ11" s="283"/>
      <c r="OLR11" s="283"/>
      <c r="OLS11" s="283"/>
      <c r="OLT11" s="283"/>
      <c r="OLU11" s="283"/>
      <c r="OLV11" s="283"/>
      <c r="OLW11" s="283"/>
      <c r="OLX11" s="283"/>
      <c r="OLY11" s="283"/>
      <c r="OLZ11" s="283"/>
      <c r="OMA11" s="283"/>
      <c r="OMB11" s="283"/>
      <c r="OMC11" s="283"/>
      <c r="OMD11" s="283"/>
      <c r="OME11" s="283"/>
      <c r="OMF11" s="283"/>
      <c r="OMG11" s="283"/>
      <c r="OMH11" s="283"/>
      <c r="OMI11" s="283"/>
      <c r="OMJ11" s="283"/>
      <c r="OMK11" s="283"/>
      <c r="OML11" s="283"/>
      <c r="OMM11" s="283"/>
      <c r="OMN11" s="283"/>
      <c r="OMO11" s="283"/>
      <c r="OMP11" s="283"/>
      <c r="OMQ11" s="283"/>
      <c r="OMR11" s="283"/>
      <c r="OMS11" s="283"/>
      <c r="OMT11" s="283"/>
      <c r="OMU11" s="283"/>
      <c r="OMV11" s="283"/>
      <c r="OMW11" s="283"/>
      <c r="OMX11" s="283"/>
      <c r="OMY11" s="283"/>
      <c r="OMZ11" s="283"/>
      <c r="ONA11" s="283"/>
      <c r="ONB11" s="283"/>
      <c r="ONC11" s="283"/>
      <c r="OND11" s="283"/>
      <c r="ONE11" s="283"/>
      <c r="ONF11" s="283"/>
      <c r="ONG11" s="283"/>
      <c r="ONH11" s="283"/>
      <c r="ONI11" s="283"/>
      <c r="ONJ11" s="283"/>
      <c r="ONK11" s="283"/>
      <c r="ONL11" s="283"/>
      <c r="ONM11" s="283"/>
      <c r="ONN11" s="283"/>
      <c r="ONO11" s="283"/>
      <c r="ONP11" s="283"/>
      <c r="ONQ11" s="283"/>
      <c r="ONR11" s="283"/>
      <c r="ONS11" s="283"/>
      <c r="ONT11" s="283"/>
      <c r="ONU11" s="283"/>
      <c r="ONV11" s="283"/>
      <c r="ONW11" s="283"/>
      <c r="ONX11" s="283"/>
      <c r="ONY11" s="283"/>
      <c r="ONZ11" s="283"/>
      <c r="OOA11" s="283"/>
      <c r="OOB11" s="283"/>
      <c r="OOC11" s="283"/>
      <c r="OOD11" s="283"/>
      <c r="OOE11" s="283"/>
      <c r="OOF11" s="283"/>
      <c r="OOG11" s="283"/>
      <c r="OOH11" s="283"/>
      <c r="OOI11" s="283"/>
      <c r="OOJ11" s="283"/>
      <c r="OOK11" s="283"/>
      <c r="OOL11" s="283"/>
      <c r="OOM11" s="283"/>
      <c r="OON11" s="283"/>
      <c r="OOO11" s="283"/>
      <c r="OOP11" s="283"/>
      <c r="OOQ11" s="283"/>
      <c r="OOR11" s="283"/>
      <c r="OOS11" s="283"/>
      <c r="OOT11" s="283"/>
      <c r="OOU11" s="283"/>
      <c r="OOV11" s="283"/>
      <c r="OOW11" s="283"/>
      <c r="OOX11" s="283"/>
      <c r="OOY11" s="283"/>
      <c r="OOZ11" s="283"/>
      <c r="OPA11" s="283"/>
      <c r="OPB11" s="283"/>
      <c r="OPC11" s="283"/>
      <c r="OPD11" s="283"/>
      <c r="OPE11" s="283"/>
      <c r="OPF11" s="283"/>
      <c r="OPG11" s="283"/>
      <c r="OPH11" s="283"/>
      <c r="OPI11" s="283"/>
      <c r="OPJ11" s="283"/>
      <c r="OPK11" s="283"/>
      <c r="OPL11" s="283"/>
      <c r="OPM11" s="283"/>
      <c r="OPN11" s="283"/>
      <c r="OPO11" s="283"/>
      <c r="OPP11" s="283"/>
      <c r="OPQ11" s="283"/>
      <c r="OPR11" s="283"/>
      <c r="OPS11" s="283"/>
      <c r="OPT11" s="283"/>
      <c r="OPU11" s="283"/>
      <c r="OPV11" s="283"/>
      <c r="OPW11" s="283"/>
      <c r="OPX11" s="283"/>
      <c r="OPY11" s="283"/>
      <c r="OPZ11" s="283"/>
      <c r="OQA11" s="283"/>
      <c r="OQB11" s="283"/>
      <c r="OQC11" s="283"/>
      <c r="OQD11" s="283"/>
      <c r="OQE11" s="283"/>
      <c r="OQF11" s="283"/>
      <c r="OQG11" s="283"/>
      <c r="OQH11" s="283"/>
      <c r="OQI11" s="283"/>
      <c r="OQJ11" s="283"/>
      <c r="OQK11" s="283"/>
      <c r="OQL11" s="283"/>
      <c r="OQM11" s="283"/>
      <c r="OQN11" s="283"/>
      <c r="OQO11" s="283"/>
      <c r="OQP11" s="283"/>
      <c r="OQQ11" s="283"/>
      <c r="OQR11" s="283"/>
      <c r="OQS11" s="283"/>
      <c r="OQT11" s="283"/>
      <c r="OQU11" s="283"/>
      <c r="OQV11" s="283"/>
      <c r="OQW11" s="283"/>
      <c r="OQX11" s="283"/>
      <c r="OQY11" s="283"/>
      <c r="OQZ11" s="283"/>
      <c r="ORA11" s="283"/>
      <c r="ORB11" s="283"/>
      <c r="ORC11" s="283"/>
      <c r="ORD11" s="283"/>
      <c r="ORE11" s="283"/>
      <c r="ORF11" s="283"/>
      <c r="ORG11" s="283"/>
      <c r="ORH11" s="283"/>
      <c r="ORI11" s="283"/>
      <c r="ORJ11" s="283"/>
      <c r="ORK11" s="283"/>
      <c r="ORL11" s="283"/>
      <c r="ORM11" s="283"/>
      <c r="ORN11" s="283"/>
      <c r="ORO11" s="283"/>
      <c r="ORP11" s="283"/>
      <c r="ORQ11" s="283"/>
      <c r="ORR11" s="283"/>
      <c r="ORS11" s="283"/>
      <c r="ORT11" s="283"/>
      <c r="ORU11" s="283"/>
      <c r="ORV11" s="283"/>
      <c r="ORW11" s="283"/>
      <c r="ORX11" s="283"/>
      <c r="ORY11" s="283"/>
      <c r="ORZ11" s="283"/>
      <c r="OSA11" s="283"/>
      <c r="OSB11" s="283"/>
      <c r="OSC11" s="283"/>
      <c r="OSD11" s="283"/>
      <c r="OSE11" s="283"/>
      <c r="OSF11" s="283"/>
      <c r="OSG11" s="283"/>
      <c r="OSH11" s="283"/>
      <c r="OSI11" s="283"/>
      <c r="OSJ11" s="283"/>
      <c r="OSK11" s="283"/>
      <c r="OSL11" s="283"/>
      <c r="OSM11" s="283"/>
      <c r="OSN11" s="283"/>
      <c r="OSO11" s="283"/>
      <c r="OSP11" s="283"/>
      <c r="OSQ11" s="283"/>
      <c r="OSR11" s="283"/>
      <c r="OSS11" s="283"/>
      <c r="OST11" s="283"/>
      <c r="OSU11" s="283"/>
      <c r="OSV11" s="283"/>
      <c r="OSW11" s="283"/>
      <c r="OSX11" s="283"/>
      <c r="OSY11" s="283"/>
      <c r="OSZ11" s="283"/>
      <c r="OTA11" s="283"/>
      <c r="OTB11" s="283"/>
      <c r="OTC11" s="283"/>
      <c r="OTD11" s="283"/>
      <c r="OTE11" s="283"/>
      <c r="OTF11" s="283"/>
      <c r="OTG11" s="283"/>
      <c r="OTH11" s="283"/>
      <c r="OTI11" s="283"/>
      <c r="OTJ11" s="283"/>
      <c r="OTK11" s="283"/>
      <c r="OTL11" s="283"/>
      <c r="OTM11" s="283"/>
      <c r="OTN11" s="283"/>
      <c r="OTO11" s="283"/>
      <c r="OTP11" s="283"/>
      <c r="OTQ11" s="283"/>
      <c r="OTR11" s="283"/>
      <c r="OTS11" s="283"/>
      <c r="OTT11" s="283"/>
      <c r="OTU11" s="283"/>
      <c r="OTV11" s="283"/>
      <c r="OTW11" s="283"/>
      <c r="OTX11" s="283"/>
      <c r="OTY11" s="283"/>
      <c r="OTZ11" s="283"/>
      <c r="OUA11" s="283"/>
      <c r="OUB11" s="283"/>
      <c r="OUC11" s="283"/>
      <c r="OUD11" s="283"/>
      <c r="OUE11" s="283"/>
      <c r="OUF11" s="283"/>
      <c r="OUG11" s="283"/>
      <c r="OUH11" s="283"/>
      <c r="OUI11" s="283"/>
      <c r="OUJ11" s="283"/>
      <c r="OUK11" s="283"/>
      <c r="OUL11" s="283"/>
      <c r="OUM11" s="283"/>
      <c r="OUN11" s="283"/>
      <c r="OUO11" s="283"/>
      <c r="OUP11" s="283"/>
      <c r="OUQ11" s="283"/>
      <c r="OUR11" s="283"/>
      <c r="OUS11" s="283"/>
      <c r="OUT11" s="283"/>
      <c r="OUU11" s="283"/>
      <c r="OUV11" s="283"/>
      <c r="OUW11" s="283"/>
      <c r="OUX11" s="283"/>
      <c r="OUY11" s="283"/>
      <c r="OUZ11" s="283"/>
      <c r="OVA11" s="283"/>
      <c r="OVB11" s="283"/>
      <c r="OVC11" s="283"/>
      <c r="OVD11" s="283"/>
      <c r="OVE11" s="283"/>
      <c r="OVF11" s="283"/>
      <c r="OVG11" s="283"/>
      <c r="OVH11" s="283"/>
      <c r="OVI11" s="283"/>
      <c r="OVJ11" s="283"/>
      <c r="OVK11" s="283"/>
      <c r="OVL11" s="283"/>
      <c r="OVM11" s="283"/>
      <c r="OVN11" s="283"/>
      <c r="OVO11" s="283"/>
      <c r="OVP11" s="283"/>
      <c r="OVQ11" s="283"/>
      <c r="OVR11" s="283"/>
      <c r="OVS11" s="283"/>
      <c r="OVT11" s="283"/>
      <c r="OVU11" s="283"/>
      <c r="OVV11" s="283"/>
      <c r="OVW11" s="283"/>
      <c r="OVX11" s="283"/>
      <c r="OVY11" s="283"/>
      <c r="OVZ11" s="283"/>
      <c r="OWA11" s="283"/>
      <c r="OWB11" s="283"/>
      <c r="OWC11" s="283"/>
      <c r="OWD11" s="283"/>
      <c r="OWE11" s="283"/>
      <c r="OWF11" s="283"/>
      <c r="OWG11" s="283"/>
      <c r="OWH11" s="283"/>
      <c r="OWI11" s="283"/>
      <c r="OWJ11" s="283"/>
      <c r="OWK11" s="283"/>
      <c r="OWL11" s="283"/>
      <c r="OWM11" s="283"/>
      <c r="OWN11" s="283"/>
      <c r="OWO11" s="283"/>
      <c r="OWP11" s="283"/>
      <c r="OWQ11" s="283"/>
      <c r="OWR11" s="283"/>
      <c r="OWS11" s="283"/>
      <c r="OWT11" s="283"/>
      <c r="OWU11" s="283"/>
      <c r="OWV11" s="283"/>
      <c r="OWW11" s="283"/>
      <c r="OWX11" s="283"/>
      <c r="OWY11" s="283"/>
      <c r="OWZ11" s="283"/>
      <c r="OXA11" s="283"/>
      <c r="OXB11" s="283"/>
      <c r="OXC11" s="283"/>
      <c r="OXD11" s="283"/>
      <c r="OXE11" s="283"/>
      <c r="OXF11" s="283"/>
      <c r="OXG11" s="283"/>
      <c r="OXH11" s="283"/>
      <c r="OXI11" s="283"/>
      <c r="OXJ11" s="283"/>
      <c r="OXK11" s="283"/>
      <c r="OXL11" s="283"/>
      <c r="OXM11" s="283"/>
      <c r="OXN11" s="283"/>
      <c r="OXO11" s="283"/>
      <c r="OXP11" s="283"/>
      <c r="OXQ11" s="283"/>
      <c r="OXR11" s="283"/>
      <c r="OXS11" s="283"/>
      <c r="OXT11" s="283"/>
      <c r="OXU11" s="283"/>
      <c r="OXV11" s="283"/>
      <c r="OXW11" s="283"/>
      <c r="OXX11" s="283"/>
      <c r="OXY11" s="283"/>
      <c r="OXZ11" s="283"/>
      <c r="OYA11" s="283"/>
      <c r="OYB11" s="283"/>
      <c r="OYC11" s="283"/>
      <c r="OYD11" s="283"/>
      <c r="OYE11" s="283"/>
      <c r="OYF11" s="283"/>
      <c r="OYG11" s="283"/>
      <c r="OYH11" s="283"/>
      <c r="OYI11" s="283"/>
      <c r="OYJ11" s="283"/>
      <c r="OYK11" s="283"/>
      <c r="OYL11" s="283"/>
      <c r="OYM11" s="283"/>
      <c r="OYN11" s="283"/>
      <c r="OYO11" s="283"/>
      <c r="OYP11" s="283"/>
      <c r="OYQ11" s="283"/>
      <c r="OYR11" s="283"/>
      <c r="OYS11" s="283"/>
      <c r="OYT11" s="283"/>
      <c r="OYU11" s="283"/>
      <c r="OYV11" s="283"/>
      <c r="OYW11" s="283"/>
      <c r="OYX11" s="283"/>
      <c r="OYY11" s="283"/>
      <c r="OYZ11" s="283"/>
      <c r="OZA11" s="283"/>
      <c r="OZB11" s="283"/>
      <c r="OZC11" s="283"/>
      <c r="OZD11" s="283"/>
      <c r="OZE11" s="283"/>
      <c r="OZF11" s="283"/>
      <c r="OZG11" s="283"/>
      <c r="OZH11" s="283"/>
      <c r="OZI11" s="283"/>
      <c r="OZJ11" s="283"/>
      <c r="OZK11" s="283"/>
      <c r="OZL11" s="283"/>
      <c r="OZM11" s="283"/>
      <c r="OZN11" s="283"/>
      <c r="OZO11" s="283"/>
      <c r="OZP11" s="283"/>
      <c r="OZQ11" s="283"/>
      <c r="OZR11" s="283"/>
      <c r="OZS11" s="283"/>
      <c r="OZT11" s="283"/>
      <c r="OZU11" s="283"/>
      <c r="OZV11" s="283"/>
      <c r="OZW11" s="283"/>
      <c r="OZX11" s="283"/>
      <c r="OZY11" s="283"/>
      <c r="OZZ11" s="283"/>
      <c r="PAA11" s="283"/>
      <c r="PAB11" s="283"/>
      <c r="PAC11" s="283"/>
      <c r="PAD11" s="283"/>
      <c r="PAE11" s="283"/>
      <c r="PAF11" s="283"/>
      <c r="PAG11" s="283"/>
      <c r="PAH11" s="283"/>
      <c r="PAI11" s="283"/>
      <c r="PAJ11" s="283"/>
      <c r="PAK11" s="283"/>
      <c r="PAL11" s="283"/>
      <c r="PAM11" s="283"/>
      <c r="PAN11" s="283"/>
      <c r="PAO11" s="283"/>
      <c r="PAP11" s="283"/>
      <c r="PAQ11" s="283"/>
      <c r="PAR11" s="283"/>
      <c r="PAS11" s="283"/>
      <c r="PAT11" s="283"/>
      <c r="PAU11" s="283"/>
      <c r="PAV11" s="283"/>
      <c r="PAW11" s="283"/>
      <c r="PAX11" s="283"/>
      <c r="PAY11" s="283"/>
      <c r="PAZ11" s="283"/>
      <c r="PBA11" s="283"/>
      <c r="PBB11" s="283"/>
      <c r="PBC11" s="283"/>
      <c r="PBD11" s="283"/>
      <c r="PBE11" s="283"/>
      <c r="PBF11" s="283"/>
      <c r="PBG11" s="283"/>
      <c r="PBH11" s="283"/>
      <c r="PBI11" s="283"/>
      <c r="PBJ11" s="283"/>
      <c r="PBK11" s="283"/>
      <c r="PBL11" s="283"/>
      <c r="PBM11" s="283"/>
      <c r="PBN11" s="283"/>
      <c r="PBO11" s="283"/>
      <c r="PBP11" s="283"/>
      <c r="PBQ11" s="283"/>
      <c r="PBR11" s="283"/>
      <c r="PBS11" s="283"/>
      <c r="PBT11" s="283"/>
      <c r="PBU11" s="283"/>
      <c r="PBV11" s="283"/>
      <c r="PBW11" s="283"/>
      <c r="PBX11" s="283"/>
      <c r="PBY11" s="283"/>
      <c r="PBZ11" s="283"/>
      <c r="PCA11" s="283"/>
      <c r="PCB11" s="283"/>
      <c r="PCC11" s="283"/>
      <c r="PCD11" s="283"/>
      <c r="PCE11" s="283"/>
      <c r="PCF11" s="283"/>
      <c r="PCG11" s="283"/>
      <c r="PCH11" s="283"/>
      <c r="PCI11" s="283"/>
      <c r="PCJ11" s="283"/>
      <c r="PCK11" s="283"/>
      <c r="PCL11" s="283"/>
      <c r="PCM11" s="283"/>
      <c r="PCN11" s="283"/>
      <c r="PCO11" s="283"/>
      <c r="PCP11" s="283"/>
      <c r="PCQ11" s="283"/>
      <c r="PCR11" s="283"/>
      <c r="PCS11" s="283"/>
      <c r="PCT11" s="283"/>
      <c r="PCU11" s="283"/>
      <c r="PCV11" s="283"/>
      <c r="PCW11" s="283"/>
      <c r="PCX11" s="283"/>
      <c r="PCY11" s="283"/>
      <c r="PCZ11" s="283"/>
      <c r="PDA11" s="283"/>
      <c r="PDB11" s="283"/>
      <c r="PDC11" s="283"/>
      <c r="PDD11" s="283"/>
      <c r="PDE11" s="283"/>
      <c r="PDF11" s="283"/>
      <c r="PDG11" s="283"/>
      <c r="PDH11" s="283"/>
      <c r="PDI11" s="283"/>
      <c r="PDJ11" s="283"/>
      <c r="PDK11" s="283"/>
      <c r="PDL11" s="283"/>
      <c r="PDM11" s="283"/>
      <c r="PDN11" s="283"/>
      <c r="PDO11" s="283"/>
      <c r="PDP11" s="283"/>
      <c r="PDQ11" s="283"/>
      <c r="PDR11" s="283"/>
      <c r="PDS11" s="283"/>
      <c r="PDT11" s="283"/>
      <c r="PDU11" s="283"/>
      <c r="PDV11" s="283"/>
      <c r="PDW11" s="283"/>
      <c r="PDX11" s="283"/>
      <c r="PDY11" s="283"/>
      <c r="PDZ11" s="283"/>
      <c r="PEA11" s="283"/>
      <c r="PEB11" s="283"/>
      <c r="PEC11" s="283"/>
      <c r="PED11" s="283"/>
      <c r="PEE11" s="283"/>
      <c r="PEF11" s="283"/>
      <c r="PEG11" s="283"/>
      <c r="PEH11" s="283"/>
      <c r="PEI11" s="283"/>
      <c r="PEJ11" s="283"/>
      <c r="PEK11" s="283"/>
      <c r="PEL11" s="283"/>
      <c r="PEM11" s="283"/>
      <c r="PEN11" s="283"/>
      <c r="PEO11" s="283"/>
      <c r="PEP11" s="283"/>
      <c r="PEQ11" s="283"/>
      <c r="PER11" s="283"/>
      <c r="PES11" s="283"/>
      <c r="PET11" s="283"/>
      <c r="PEU11" s="283"/>
      <c r="PEV11" s="283"/>
      <c r="PEW11" s="283"/>
      <c r="PEX11" s="283"/>
      <c r="PEY11" s="283"/>
      <c r="PEZ11" s="283"/>
      <c r="PFA11" s="283"/>
      <c r="PFB11" s="283"/>
      <c r="PFC11" s="283"/>
      <c r="PFD11" s="283"/>
      <c r="PFE11" s="283"/>
      <c r="PFF11" s="283"/>
      <c r="PFG11" s="283"/>
      <c r="PFH11" s="283"/>
      <c r="PFI11" s="283"/>
      <c r="PFJ11" s="283"/>
      <c r="PFK11" s="283"/>
      <c r="PFL11" s="283"/>
      <c r="PFM11" s="283"/>
      <c r="PFN11" s="283"/>
      <c r="PFO11" s="283"/>
      <c r="PFP11" s="283"/>
      <c r="PFQ11" s="283"/>
      <c r="PFR11" s="283"/>
      <c r="PFS11" s="283"/>
      <c r="PFT11" s="283"/>
      <c r="PFU11" s="283"/>
      <c r="PFV11" s="283"/>
      <c r="PFW11" s="283"/>
      <c r="PFX11" s="283"/>
      <c r="PFY11" s="283"/>
      <c r="PFZ11" s="283"/>
      <c r="PGA11" s="283"/>
      <c r="PGB11" s="283"/>
      <c r="PGC11" s="283"/>
      <c r="PGD11" s="283"/>
      <c r="PGE11" s="283"/>
      <c r="PGF11" s="283"/>
      <c r="PGG11" s="283"/>
      <c r="PGH11" s="283"/>
      <c r="PGI11" s="283"/>
      <c r="PGJ11" s="283"/>
      <c r="PGK11" s="283"/>
      <c r="PGL11" s="283"/>
      <c r="PGM11" s="283"/>
      <c r="PGN11" s="283"/>
      <c r="PGO11" s="283"/>
      <c r="PGP11" s="283"/>
      <c r="PGQ11" s="283"/>
      <c r="PGR11" s="283"/>
      <c r="PGS11" s="283"/>
      <c r="PGT11" s="283"/>
      <c r="PGU11" s="283"/>
      <c r="PGV11" s="283"/>
      <c r="PGW11" s="283"/>
      <c r="PGX11" s="283"/>
      <c r="PGY11" s="283"/>
      <c r="PGZ11" s="283"/>
      <c r="PHA11" s="283"/>
      <c r="PHB11" s="283"/>
      <c r="PHC11" s="283"/>
      <c r="PHD11" s="283"/>
      <c r="PHE11" s="283"/>
      <c r="PHF11" s="283"/>
      <c r="PHG11" s="283"/>
      <c r="PHH11" s="283"/>
      <c r="PHI11" s="283"/>
      <c r="PHJ11" s="283"/>
      <c r="PHK11" s="283"/>
      <c r="PHL11" s="283"/>
      <c r="PHM11" s="283"/>
      <c r="PHN11" s="283"/>
      <c r="PHO11" s="283"/>
      <c r="PHP11" s="283"/>
      <c r="PHQ11" s="283"/>
      <c r="PHR11" s="283"/>
      <c r="PHS11" s="283"/>
      <c r="PHT11" s="283"/>
      <c r="PHU11" s="283"/>
      <c r="PHV11" s="283"/>
      <c r="PHW11" s="283"/>
      <c r="PHX11" s="283"/>
      <c r="PHY11" s="283"/>
      <c r="PHZ11" s="283"/>
      <c r="PIA11" s="283"/>
      <c r="PIB11" s="283"/>
      <c r="PIC11" s="283"/>
      <c r="PID11" s="283"/>
      <c r="PIE11" s="283"/>
      <c r="PIF11" s="283"/>
      <c r="PIG11" s="283"/>
      <c r="PIH11" s="283"/>
      <c r="PII11" s="283"/>
      <c r="PIJ11" s="283"/>
      <c r="PIK11" s="283"/>
      <c r="PIL11" s="283"/>
      <c r="PIM11" s="283"/>
      <c r="PIN11" s="283"/>
      <c r="PIO11" s="283"/>
      <c r="PIP11" s="283"/>
      <c r="PIQ11" s="283"/>
      <c r="PIR11" s="283"/>
      <c r="PIS11" s="283"/>
      <c r="PIT11" s="283"/>
      <c r="PIU11" s="283"/>
      <c r="PIV11" s="283"/>
      <c r="PIW11" s="283"/>
      <c r="PIX11" s="283"/>
      <c r="PIY11" s="283"/>
      <c r="PIZ11" s="283"/>
      <c r="PJA11" s="283"/>
      <c r="PJB11" s="283"/>
      <c r="PJC11" s="283"/>
      <c r="PJD11" s="283"/>
      <c r="PJE11" s="283"/>
      <c r="PJF11" s="283"/>
      <c r="PJG11" s="283"/>
      <c r="PJH11" s="283"/>
      <c r="PJI11" s="283"/>
      <c r="PJJ11" s="283"/>
      <c r="PJK11" s="283"/>
      <c r="PJL11" s="283"/>
      <c r="PJM11" s="283"/>
      <c r="PJN11" s="283"/>
      <c r="PJO11" s="283"/>
      <c r="PJP11" s="283"/>
      <c r="PJQ11" s="283"/>
      <c r="PJR11" s="283"/>
      <c r="PJS11" s="283"/>
      <c r="PJT11" s="283"/>
      <c r="PJU11" s="283"/>
      <c r="PJV11" s="283"/>
      <c r="PJW11" s="283"/>
      <c r="PJX11" s="283"/>
      <c r="PJY11" s="283"/>
      <c r="PJZ11" s="283"/>
      <c r="PKA11" s="283"/>
      <c r="PKB11" s="283"/>
      <c r="PKC11" s="283"/>
      <c r="PKD11" s="283"/>
      <c r="PKE11" s="283"/>
      <c r="PKF11" s="283"/>
      <c r="PKG11" s="283"/>
      <c r="PKH11" s="283"/>
      <c r="PKI11" s="283"/>
      <c r="PKJ11" s="283"/>
      <c r="PKK11" s="283"/>
      <c r="PKL11" s="283"/>
      <c r="PKM11" s="283"/>
      <c r="PKN11" s="283"/>
      <c r="PKO11" s="283"/>
      <c r="PKP11" s="283"/>
      <c r="PKQ11" s="283"/>
      <c r="PKR11" s="283"/>
      <c r="PKS11" s="283"/>
      <c r="PKT11" s="283"/>
      <c r="PKU11" s="283"/>
      <c r="PKV11" s="283"/>
      <c r="PKW11" s="283"/>
      <c r="PKX11" s="283"/>
      <c r="PKY11" s="283"/>
      <c r="PKZ11" s="283"/>
      <c r="PLA11" s="283"/>
      <c r="PLB11" s="283"/>
      <c r="PLC11" s="283"/>
      <c r="PLD11" s="283"/>
      <c r="PLE11" s="283"/>
      <c r="PLF11" s="283"/>
      <c r="PLG11" s="283"/>
      <c r="PLH11" s="283"/>
      <c r="PLI11" s="283"/>
      <c r="PLJ11" s="283"/>
      <c r="PLK11" s="283"/>
      <c r="PLL11" s="283"/>
      <c r="PLM11" s="283"/>
      <c r="PLN11" s="283"/>
      <c r="PLO11" s="283"/>
      <c r="PLP11" s="283"/>
      <c r="PLQ11" s="283"/>
      <c r="PLR11" s="283"/>
      <c r="PLS11" s="283"/>
      <c r="PLT11" s="283"/>
      <c r="PLU11" s="283"/>
      <c r="PLV11" s="283"/>
      <c r="PLW11" s="283"/>
      <c r="PLX11" s="283"/>
      <c r="PLY11" s="283"/>
      <c r="PLZ11" s="283"/>
      <c r="PMA11" s="283"/>
      <c r="PMB11" s="283"/>
      <c r="PMC11" s="283"/>
      <c r="PMD11" s="283"/>
      <c r="PME11" s="283"/>
      <c r="PMF11" s="283"/>
      <c r="PMG11" s="283"/>
      <c r="PMH11" s="283"/>
      <c r="PMI11" s="283"/>
      <c r="PMJ11" s="283"/>
      <c r="PMK11" s="283"/>
      <c r="PML11" s="283"/>
      <c r="PMM11" s="283"/>
      <c r="PMN11" s="283"/>
      <c r="PMO11" s="283"/>
      <c r="PMP11" s="283"/>
      <c r="PMQ11" s="283"/>
      <c r="PMR11" s="283"/>
      <c r="PMS11" s="283"/>
      <c r="PMT11" s="283"/>
      <c r="PMU11" s="283"/>
      <c r="PMV11" s="283"/>
      <c r="PMW11" s="283"/>
      <c r="PMX11" s="283"/>
      <c r="PMY11" s="283"/>
      <c r="PMZ11" s="283"/>
      <c r="PNA11" s="283"/>
      <c r="PNB11" s="283"/>
      <c r="PNC11" s="283"/>
      <c r="PND11" s="283"/>
      <c r="PNE11" s="283"/>
      <c r="PNF11" s="283"/>
      <c r="PNG11" s="283"/>
      <c r="PNH11" s="283"/>
      <c r="PNI11" s="283"/>
      <c r="PNJ11" s="283"/>
      <c r="PNK11" s="283"/>
      <c r="PNL11" s="283"/>
      <c r="PNM11" s="283"/>
      <c r="PNN11" s="283"/>
      <c r="PNO11" s="283"/>
      <c r="PNP11" s="283"/>
      <c r="PNQ11" s="283"/>
      <c r="PNR11" s="283"/>
      <c r="PNS11" s="283"/>
      <c r="PNT11" s="283"/>
      <c r="PNU11" s="283"/>
      <c r="PNV11" s="283"/>
      <c r="PNW11" s="283"/>
      <c r="PNX11" s="283"/>
      <c r="PNY11" s="283"/>
      <c r="PNZ11" s="283"/>
      <c r="POA11" s="283"/>
      <c r="POB11" s="283"/>
      <c r="POC11" s="283"/>
      <c r="POD11" s="283"/>
      <c r="POE11" s="283"/>
      <c r="POF11" s="283"/>
      <c r="POG11" s="283"/>
      <c r="POH11" s="283"/>
      <c r="POI11" s="283"/>
      <c r="POJ11" s="283"/>
      <c r="POK11" s="283"/>
      <c r="POL11" s="283"/>
      <c r="POM11" s="283"/>
      <c r="PON11" s="283"/>
      <c r="POO11" s="283"/>
      <c r="POP11" s="283"/>
      <c r="POQ11" s="283"/>
      <c r="POR11" s="283"/>
      <c r="POS11" s="283"/>
      <c r="POT11" s="283"/>
      <c r="POU11" s="283"/>
      <c r="POV11" s="283"/>
      <c r="POW11" s="283"/>
      <c r="POX11" s="283"/>
      <c r="POY11" s="283"/>
      <c r="POZ11" s="283"/>
      <c r="PPA11" s="283"/>
      <c r="PPB11" s="283"/>
      <c r="PPC11" s="283"/>
      <c r="PPD11" s="283"/>
      <c r="PPE11" s="283"/>
      <c r="PPF11" s="283"/>
      <c r="PPG11" s="283"/>
      <c r="PPH11" s="283"/>
      <c r="PPI11" s="283"/>
      <c r="PPJ11" s="283"/>
      <c r="PPK11" s="283"/>
      <c r="PPL11" s="283"/>
      <c r="PPM11" s="283"/>
      <c r="PPN11" s="283"/>
      <c r="PPO11" s="283"/>
      <c r="PPP11" s="283"/>
      <c r="PPQ11" s="283"/>
      <c r="PPR11" s="283"/>
      <c r="PPS11" s="283"/>
      <c r="PPT11" s="283"/>
      <c r="PPU11" s="283"/>
      <c r="PPV11" s="283"/>
      <c r="PPW11" s="283"/>
      <c r="PPX11" s="283"/>
      <c r="PPY11" s="283"/>
      <c r="PPZ11" s="283"/>
      <c r="PQA11" s="283"/>
      <c r="PQB11" s="283"/>
      <c r="PQC11" s="283"/>
      <c r="PQD11" s="283"/>
      <c r="PQE11" s="283"/>
      <c r="PQF11" s="283"/>
      <c r="PQG11" s="283"/>
      <c r="PQH11" s="283"/>
      <c r="PQI11" s="283"/>
      <c r="PQJ11" s="283"/>
      <c r="PQK11" s="283"/>
      <c r="PQL11" s="283"/>
      <c r="PQM11" s="283"/>
      <c r="PQN11" s="283"/>
      <c r="PQO11" s="283"/>
      <c r="PQP11" s="283"/>
      <c r="PQQ11" s="283"/>
      <c r="PQR11" s="283"/>
      <c r="PQS11" s="283"/>
      <c r="PQT11" s="283"/>
      <c r="PQU11" s="283"/>
      <c r="PQV11" s="283"/>
      <c r="PQW11" s="283"/>
      <c r="PQX11" s="283"/>
      <c r="PQY11" s="283"/>
      <c r="PQZ11" s="283"/>
      <c r="PRA11" s="283"/>
      <c r="PRB11" s="283"/>
      <c r="PRC11" s="283"/>
      <c r="PRD11" s="283"/>
      <c r="PRE11" s="283"/>
      <c r="PRF11" s="283"/>
      <c r="PRG11" s="283"/>
      <c r="PRH11" s="283"/>
      <c r="PRI11" s="283"/>
      <c r="PRJ11" s="283"/>
      <c r="PRK11" s="283"/>
      <c r="PRL11" s="283"/>
      <c r="PRM11" s="283"/>
      <c r="PRN11" s="283"/>
      <c r="PRO11" s="283"/>
      <c r="PRP11" s="283"/>
      <c r="PRQ11" s="283"/>
      <c r="PRR11" s="283"/>
      <c r="PRS11" s="283"/>
      <c r="PRT11" s="283"/>
      <c r="PRU11" s="283"/>
      <c r="PRV11" s="283"/>
      <c r="PRW11" s="283"/>
      <c r="PRX11" s="283"/>
      <c r="PRY11" s="283"/>
      <c r="PRZ11" s="283"/>
      <c r="PSA11" s="283"/>
      <c r="PSB11" s="283"/>
      <c r="PSC11" s="283"/>
      <c r="PSD11" s="283"/>
      <c r="PSE11" s="283"/>
      <c r="PSF11" s="283"/>
      <c r="PSG11" s="283"/>
      <c r="PSH11" s="283"/>
      <c r="PSI11" s="283"/>
      <c r="PSJ11" s="283"/>
      <c r="PSK11" s="283"/>
      <c r="PSL11" s="283"/>
      <c r="PSM11" s="283"/>
      <c r="PSN11" s="283"/>
      <c r="PSO11" s="283"/>
      <c r="PSP11" s="283"/>
      <c r="PSQ11" s="283"/>
      <c r="PSR11" s="283"/>
      <c r="PSS11" s="283"/>
      <c r="PST11" s="283"/>
      <c r="PSU11" s="283"/>
      <c r="PSV11" s="283"/>
      <c r="PSW11" s="283"/>
      <c r="PSX11" s="283"/>
      <c r="PSY11" s="283"/>
      <c r="PSZ11" s="283"/>
      <c r="PTA11" s="283"/>
      <c r="PTB11" s="283"/>
      <c r="PTC11" s="283"/>
      <c r="PTD11" s="283"/>
      <c r="PTE11" s="283"/>
      <c r="PTF11" s="283"/>
      <c r="PTG11" s="283"/>
      <c r="PTH11" s="283"/>
      <c r="PTI11" s="283"/>
      <c r="PTJ11" s="283"/>
      <c r="PTK11" s="283"/>
      <c r="PTL11" s="283"/>
      <c r="PTM11" s="283"/>
      <c r="PTN11" s="283"/>
      <c r="PTO11" s="283"/>
      <c r="PTP11" s="283"/>
      <c r="PTQ11" s="283"/>
      <c r="PTR11" s="283"/>
      <c r="PTS11" s="283"/>
      <c r="PTT11" s="283"/>
      <c r="PTU11" s="283"/>
      <c r="PTV11" s="283"/>
      <c r="PTW11" s="283"/>
      <c r="PTX11" s="283"/>
      <c r="PTY11" s="283"/>
      <c r="PTZ11" s="283"/>
      <c r="PUA11" s="283"/>
      <c r="PUB11" s="283"/>
      <c r="PUC11" s="283"/>
      <c r="PUD11" s="283"/>
      <c r="PUE11" s="283"/>
      <c r="PUF11" s="283"/>
      <c r="PUG11" s="283"/>
      <c r="PUH11" s="283"/>
      <c r="PUI11" s="283"/>
      <c r="PUJ11" s="283"/>
      <c r="PUK11" s="283"/>
      <c r="PUL11" s="283"/>
      <c r="PUM11" s="283"/>
      <c r="PUN11" s="283"/>
      <c r="PUO11" s="283"/>
      <c r="PUP11" s="283"/>
      <c r="PUQ11" s="283"/>
      <c r="PUR11" s="283"/>
      <c r="PUS11" s="283"/>
      <c r="PUT11" s="283"/>
      <c r="PUU11" s="283"/>
      <c r="PUV11" s="283"/>
      <c r="PUW11" s="283"/>
      <c r="PUX11" s="283"/>
      <c r="PUY11" s="283"/>
      <c r="PUZ11" s="283"/>
      <c r="PVA11" s="283"/>
      <c r="PVB11" s="283"/>
      <c r="PVC11" s="283"/>
      <c r="PVD11" s="283"/>
      <c r="PVE11" s="283"/>
      <c r="PVF11" s="283"/>
      <c r="PVG11" s="283"/>
      <c r="PVH11" s="283"/>
      <c r="PVI11" s="283"/>
      <c r="PVJ11" s="283"/>
      <c r="PVK11" s="283"/>
      <c r="PVL11" s="283"/>
      <c r="PVM11" s="283"/>
      <c r="PVN11" s="283"/>
      <c r="PVO11" s="283"/>
      <c r="PVP11" s="283"/>
      <c r="PVQ11" s="283"/>
      <c r="PVR11" s="283"/>
      <c r="PVS11" s="283"/>
      <c r="PVT11" s="283"/>
      <c r="PVU11" s="283"/>
      <c r="PVV11" s="283"/>
      <c r="PVW11" s="283"/>
      <c r="PVX11" s="283"/>
      <c r="PVY11" s="283"/>
      <c r="PVZ11" s="283"/>
      <c r="PWA11" s="283"/>
      <c r="PWB11" s="283"/>
      <c r="PWC11" s="283"/>
      <c r="PWD11" s="283"/>
      <c r="PWE11" s="283"/>
      <c r="PWF11" s="283"/>
      <c r="PWG11" s="283"/>
      <c r="PWH11" s="283"/>
      <c r="PWI11" s="283"/>
      <c r="PWJ11" s="283"/>
      <c r="PWK11" s="283"/>
      <c r="PWL11" s="283"/>
      <c r="PWM11" s="283"/>
      <c r="PWN11" s="283"/>
      <c r="PWO11" s="283"/>
      <c r="PWP11" s="283"/>
      <c r="PWQ11" s="283"/>
      <c r="PWR11" s="283"/>
      <c r="PWS11" s="283"/>
      <c r="PWT11" s="283"/>
      <c r="PWU11" s="283"/>
      <c r="PWV11" s="283"/>
      <c r="PWW11" s="283"/>
      <c r="PWX11" s="283"/>
      <c r="PWY11" s="283"/>
      <c r="PWZ11" s="283"/>
      <c r="PXA11" s="283"/>
      <c r="PXB11" s="283"/>
      <c r="PXC11" s="283"/>
      <c r="PXD11" s="283"/>
      <c r="PXE11" s="283"/>
      <c r="PXF11" s="283"/>
      <c r="PXG11" s="283"/>
      <c r="PXH11" s="283"/>
      <c r="PXI11" s="283"/>
      <c r="PXJ11" s="283"/>
      <c r="PXK11" s="283"/>
      <c r="PXL11" s="283"/>
      <c r="PXM11" s="283"/>
      <c r="PXN11" s="283"/>
      <c r="PXO11" s="283"/>
      <c r="PXP11" s="283"/>
      <c r="PXQ11" s="283"/>
      <c r="PXR11" s="283"/>
      <c r="PXS11" s="283"/>
      <c r="PXT11" s="283"/>
      <c r="PXU11" s="283"/>
      <c r="PXV11" s="283"/>
      <c r="PXW11" s="283"/>
      <c r="PXX11" s="283"/>
      <c r="PXY11" s="283"/>
      <c r="PXZ11" s="283"/>
      <c r="PYA11" s="283"/>
      <c r="PYB11" s="283"/>
      <c r="PYC11" s="283"/>
      <c r="PYD11" s="283"/>
      <c r="PYE11" s="283"/>
      <c r="PYF11" s="283"/>
      <c r="PYG11" s="283"/>
      <c r="PYH11" s="283"/>
      <c r="PYI11" s="283"/>
      <c r="PYJ11" s="283"/>
      <c r="PYK11" s="283"/>
      <c r="PYL11" s="283"/>
      <c r="PYM11" s="283"/>
      <c r="PYN11" s="283"/>
      <c r="PYO11" s="283"/>
      <c r="PYP11" s="283"/>
      <c r="PYQ11" s="283"/>
      <c r="PYR11" s="283"/>
      <c r="PYS11" s="283"/>
      <c r="PYT11" s="283"/>
      <c r="PYU11" s="283"/>
      <c r="PYV11" s="283"/>
      <c r="PYW11" s="283"/>
      <c r="PYX11" s="283"/>
      <c r="PYY11" s="283"/>
      <c r="PYZ11" s="283"/>
      <c r="PZA11" s="283"/>
      <c r="PZB11" s="283"/>
      <c r="PZC11" s="283"/>
      <c r="PZD11" s="283"/>
      <c r="PZE11" s="283"/>
      <c r="PZF11" s="283"/>
      <c r="PZG11" s="283"/>
      <c r="PZH11" s="283"/>
      <c r="PZI11" s="283"/>
      <c r="PZJ11" s="283"/>
      <c r="PZK11" s="283"/>
      <c r="PZL11" s="283"/>
      <c r="PZM11" s="283"/>
      <c r="PZN11" s="283"/>
      <c r="PZO11" s="283"/>
      <c r="PZP11" s="283"/>
      <c r="PZQ11" s="283"/>
      <c r="PZR11" s="283"/>
      <c r="PZS11" s="283"/>
      <c r="PZT11" s="283"/>
      <c r="PZU11" s="283"/>
      <c r="PZV11" s="283"/>
      <c r="PZW11" s="283"/>
      <c r="PZX11" s="283"/>
      <c r="PZY11" s="283"/>
      <c r="PZZ11" s="283"/>
      <c r="QAA11" s="283"/>
      <c r="QAB11" s="283"/>
      <c r="QAC11" s="283"/>
      <c r="QAD11" s="283"/>
      <c r="QAE11" s="283"/>
      <c r="QAF11" s="283"/>
      <c r="QAG11" s="283"/>
      <c r="QAH11" s="283"/>
      <c r="QAI11" s="283"/>
      <c r="QAJ11" s="283"/>
      <c r="QAK11" s="283"/>
      <c r="QAL11" s="283"/>
      <c r="QAM11" s="283"/>
      <c r="QAN11" s="283"/>
      <c r="QAO11" s="283"/>
      <c r="QAP11" s="283"/>
      <c r="QAQ11" s="283"/>
      <c r="QAR11" s="283"/>
      <c r="QAS11" s="283"/>
      <c r="QAT11" s="283"/>
      <c r="QAU11" s="283"/>
      <c r="QAV11" s="283"/>
      <c r="QAW11" s="283"/>
      <c r="QAX11" s="283"/>
      <c r="QAY11" s="283"/>
      <c r="QAZ11" s="283"/>
      <c r="QBA11" s="283"/>
      <c r="QBB11" s="283"/>
      <c r="QBC11" s="283"/>
      <c r="QBD11" s="283"/>
      <c r="QBE11" s="283"/>
      <c r="QBF11" s="283"/>
      <c r="QBG11" s="283"/>
      <c r="QBH11" s="283"/>
      <c r="QBI11" s="283"/>
      <c r="QBJ11" s="283"/>
      <c r="QBK11" s="283"/>
      <c r="QBL11" s="283"/>
      <c r="QBM11" s="283"/>
      <c r="QBN11" s="283"/>
      <c r="QBO11" s="283"/>
      <c r="QBP11" s="283"/>
      <c r="QBQ11" s="283"/>
      <c r="QBR11" s="283"/>
      <c r="QBS11" s="283"/>
      <c r="QBT11" s="283"/>
      <c r="QBU11" s="283"/>
      <c r="QBV11" s="283"/>
      <c r="QBW11" s="283"/>
      <c r="QBX11" s="283"/>
      <c r="QBY11" s="283"/>
      <c r="QBZ11" s="283"/>
      <c r="QCA11" s="283"/>
      <c r="QCB11" s="283"/>
      <c r="QCC11" s="283"/>
      <c r="QCD11" s="283"/>
      <c r="QCE11" s="283"/>
      <c r="QCF11" s="283"/>
      <c r="QCG11" s="283"/>
      <c r="QCH11" s="283"/>
      <c r="QCI11" s="283"/>
      <c r="QCJ11" s="283"/>
      <c r="QCK11" s="283"/>
      <c r="QCL11" s="283"/>
      <c r="QCM11" s="283"/>
      <c r="QCN11" s="283"/>
      <c r="QCO11" s="283"/>
      <c r="QCP11" s="283"/>
      <c r="QCQ11" s="283"/>
      <c r="QCR11" s="283"/>
      <c r="QCS11" s="283"/>
      <c r="QCT11" s="283"/>
      <c r="QCU11" s="283"/>
      <c r="QCV11" s="283"/>
      <c r="QCW11" s="283"/>
      <c r="QCX11" s="283"/>
      <c r="QCY11" s="283"/>
      <c r="QCZ11" s="283"/>
      <c r="QDA11" s="283"/>
      <c r="QDB11" s="283"/>
      <c r="QDC11" s="283"/>
      <c r="QDD11" s="283"/>
      <c r="QDE11" s="283"/>
      <c r="QDF11" s="283"/>
      <c r="QDG11" s="283"/>
      <c r="QDH11" s="283"/>
      <c r="QDI11" s="283"/>
      <c r="QDJ11" s="283"/>
      <c r="QDK11" s="283"/>
      <c r="QDL11" s="283"/>
      <c r="QDM11" s="283"/>
      <c r="QDN11" s="283"/>
      <c r="QDO11" s="283"/>
      <c r="QDP11" s="283"/>
      <c r="QDQ11" s="283"/>
      <c r="QDR11" s="283"/>
      <c r="QDS11" s="283"/>
      <c r="QDT11" s="283"/>
      <c r="QDU11" s="283"/>
      <c r="QDV11" s="283"/>
      <c r="QDW11" s="283"/>
      <c r="QDX11" s="283"/>
      <c r="QDY11" s="283"/>
      <c r="QDZ11" s="283"/>
      <c r="QEA11" s="283"/>
      <c r="QEB11" s="283"/>
      <c r="QEC11" s="283"/>
      <c r="QED11" s="283"/>
      <c r="QEE11" s="283"/>
      <c r="QEF11" s="283"/>
      <c r="QEG11" s="283"/>
      <c r="QEH11" s="283"/>
      <c r="QEI11" s="283"/>
      <c r="QEJ11" s="283"/>
      <c r="QEK11" s="283"/>
      <c r="QEL11" s="283"/>
      <c r="QEM11" s="283"/>
      <c r="QEN11" s="283"/>
      <c r="QEO11" s="283"/>
      <c r="QEP11" s="283"/>
      <c r="QEQ11" s="283"/>
      <c r="QER11" s="283"/>
      <c r="QES11" s="283"/>
      <c r="QET11" s="283"/>
      <c r="QEU11" s="283"/>
      <c r="QEV11" s="283"/>
      <c r="QEW11" s="283"/>
      <c r="QEX11" s="283"/>
      <c r="QEY11" s="283"/>
      <c r="QEZ11" s="283"/>
      <c r="QFA11" s="283"/>
      <c r="QFB11" s="283"/>
      <c r="QFC11" s="283"/>
      <c r="QFD11" s="283"/>
      <c r="QFE11" s="283"/>
      <c r="QFF11" s="283"/>
      <c r="QFG11" s="283"/>
      <c r="QFH11" s="283"/>
      <c r="QFI11" s="283"/>
      <c r="QFJ11" s="283"/>
      <c r="QFK11" s="283"/>
      <c r="QFL11" s="283"/>
      <c r="QFM11" s="283"/>
      <c r="QFN11" s="283"/>
      <c r="QFO11" s="283"/>
      <c r="QFP11" s="283"/>
      <c r="QFQ11" s="283"/>
      <c r="QFR11" s="283"/>
      <c r="QFS11" s="283"/>
      <c r="QFT11" s="283"/>
      <c r="QFU11" s="283"/>
      <c r="QFV11" s="283"/>
      <c r="QFW11" s="283"/>
      <c r="QFX11" s="283"/>
      <c r="QFY11" s="283"/>
      <c r="QFZ11" s="283"/>
      <c r="QGA11" s="283"/>
      <c r="QGB11" s="283"/>
      <c r="QGC11" s="283"/>
      <c r="QGD11" s="283"/>
      <c r="QGE11" s="283"/>
      <c r="QGF11" s="283"/>
      <c r="QGG11" s="283"/>
      <c r="QGH11" s="283"/>
      <c r="QGI11" s="283"/>
      <c r="QGJ11" s="283"/>
      <c r="QGK11" s="283"/>
      <c r="QGL11" s="283"/>
      <c r="QGM11" s="283"/>
      <c r="QGN11" s="283"/>
      <c r="QGO11" s="283"/>
      <c r="QGP11" s="283"/>
      <c r="QGQ11" s="283"/>
      <c r="QGR11" s="283"/>
      <c r="QGS11" s="283"/>
      <c r="QGT11" s="283"/>
      <c r="QGU11" s="283"/>
      <c r="QGV11" s="283"/>
      <c r="QGW11" s="283"/>
      <c r="QGX11" s="283"/>
      <c r="QGY11" s="283"/>
      <c r="QGZ11" s="283"/>
      <c r="QHA11" s="283"/>
      <c r="QHB11" s="283"/>
      <c r="QHC11" s="283"/>
      <c r="QHD11" s="283"/>
      <c r="QHE11" s="283"/>
      <c r="QHF11" s="283"/>
      <c r="QHG11" s="283"/>
      <c r="QHH11" s="283"/>
      <c r="QHI11" s="283"/>
      <c r="QHJ11" s="283"/>
      <c r="QHK11" s="283"/>
      <c r="QHL11" s="283"/>
      <c r="QHM11" s="283"/>
      <c r="QHN11" s="283"/>
      <c r="QHO11" s="283"/>
      <c r="QHP11" s="283"/>
      <c r="QHQ11" s="283"/>
      <c r="QHR11" s="283"/>
      <c r="QHS11" s="283"/>
      <c r="QHT11" s="283"/>
      <c r="QHU11" s="283"/>
      <c r="QHV11" s="283"/>
      <c r="QHW11" s="283"/>
      <c r="QHX11" s="283"/>
      <c r="QHY11" s="283"/>
      <c r="QHZ11" s="283"/>
      <c r="QIA11" s="283"/>
      <c r="QIB11" s="283"/>
      <c r="QIC11" s="283"/>
      <c r="QID11" s="283"/>
      <c r="QIE11" s="283"/>
      <c r="QIF11" s="283"/>
      <c r="QIG11" s="283"/>
      <c r="QIH11" s="283"/>
      <c r="QII11" s="283"/>
      <c r="QIJ11" s="283"/>
      <c r="QIK11" s="283"/>
      <c r="QIL11" s="283"/>
      <c r="QIM11" s="283"/>
      <c r="QIN11" s="283"/>
      <c r="QIO11" s="283"/>
      <c r="QIP11" s="283"/>
      <c r="QIQ11" s="283"/>
      <c r="QIR11" s="283"/>
      <c r="QIS11" s="283"/>
      <c r="QIT11" s="283"/>
      <c r="QIU11" s="283"/>
      <c r="QIV11" s="283"/>
      <c r="QIW11" s="283"/>
      <c r="QIX11" s="283"/>
      <c r="QIY11" s="283"/>
      <c r="QIZ11" s="283"/>
      <c r="QJA11" s="283"/>
      <c r="QJB11" s="283"/>
      <c r="QJC11" s="283"/>
      <c r="QJD11" s="283"/>
      <c r="QJE11" s="283"/>
      <c r="QJF11" s="283"/>
      <c r="QJG11" s="283"/>
      <c r="QJH11" s="283"/>
      <c r="QJI11" s="283"/>
      <c r="QJJ11" s="283"/>
      <c r="QJK11" s="283"/>
      <c r="QJL11" s="283"/>
      <c r="QJM11" s="283"/>
      <c r="QJN11" s="283"/>
      <c r="QJO11" s="283"/>
      <c r="QJP11" s="283"/>
      <c r="QJQ11" s="283"/>
      <c r="QJR11" s="283"/>
      <c r="QJS11" s="283"/>
      <c r="QJT11" s="283"/>
      <c r="QJU11" s="283"/>
      <c r="QJV11" s="283"/>
      <c r="QJW11" s="283"/>
      <c r="QJX11" s="283"/>
      <c r="QJY11" s="283"/>
      <c r="QJZ11" s="283"/>
      <c r="QKA11" s="283"/>
      <c r="QKB11" s="283"/>
      <c r="QKC11" s="283"/>
      <c r="QKD11" s="283"/>
      <c r="QKE11" s="283"/>
      <c r="QKF11" s="283"/>
      <c r="QKG11" s="283"/>
      <c r="QKH11" s="283"/>
      <c r="QKI11" s="283"/>
      <c r="QKJ11" s="283"/>
      <c r="QKK11" s="283"/>
      <c r="QKL11" s="283"/>
      <c r="QKM11" s="283"/>
      <c r="QKN11" s="283"/>
      <c r="QKO11" s="283"/>
      <c r="QKP11" s="283"/>
      <c r="QKQ11" s="283"/>
      <c r="QKR11" s="283"/>
      <c r="QKS11" s="283"/>
      <c r="QKT11" s="283"/>
      <c r="QKU11" s="283"/>
      <c r="QKV11" s="283"/>
      <c r="QKW11" s="283"/>
      <c r="QKX11" s="283"/>
      <c r="QKY11" s="283"/>
      <c r="QKZ11" s="283"/>
      <c r="QLA11" s="283"/>
      <c r="QLB11" s="283"/>
      <c r="QLC11" s="283"/>
      <c r="QLD11" s="283"/>
      <c r="QLE11" s="283"/>
      <c r="QLF11" s="283"/>
      <c r="QLG11" s="283"/>
      <c r="QLH11" s="283"/>
      <c r="QLI11" s="283"/>
      <c r="QLJ11" s="283"/>
      <c r="QLK11" s="283"/>
      <c r="QLL11" s="283"/>
      <c r="QLM11" s="283"/>
      <c r="QLN11" s="283"/>
      <c r="QLO11" s="283"/>
      <c r="QLP11" s="283"/>
      <c r="QLQ11" s="283"/>
      <c r="QLR11" s="283"/>
      <c r="QLS11" s="283"/>
      <c r="QLT11" s="283"/>
      <c r="QLU11" s="283"/>
      <c r="QLV11" s="283"/>
      <c r="QLW11" s="283"/>
      <c r="QLX11" s="283"/>
      <c r="QLY11" s="283"/>
      <c r="QLZ11" s="283"/>
      <c r="QMA11" s="283"/>
      <c r="QMB11" s="283"/>
      <c r="QMC11" s="283"/>
      <c r="QMD11" s="283"/>
      <c r="QME11" s="283"/>
      <c r="QMF11" s="283"/>
      <c r="QMG11" s="283"/>
      <c r="QMH11" s="283"/>
      <c r="QMI11" s="283"/>
      <c r="QMJ11" s="283"/>
      <c r="QMK11" s="283"/>
      <c r="QML11" s="283"/>
      <c r="QMM11" s="283"/>
      <c r="QMN11" s="283"/>
      <c r="QMO11" s="283"/>
      <c r="QMP11" s="283"/>
      <c r="QMQ11" s="283"/>
      <c r="QMR11" s="283"/>
      <c r="QMS11" s="283"/>
      <c r="QMT11" s="283"/>
      <c r="QMU11" s="283"/>
      <c r="QMV11" s="283"/>
      <c r="QMW11" s="283"/>
      <c r="QMX11" s="283"/>
      <c r="QMY11" s="283"/>
      <c r="QMZ11" s="283"/>
      <c r="QNA11" s="283"/>
      <c r="QNB11" s="283"/>
      <c r="QNC11" s="283"/>
      <c r="QND11" s="283"/>
      <c r="QNE11" s="283"/>
      <c r="QNF11" s="283"/>
      <c r="QNG11" s="283"/>
      <c r="QNH11" s="283"/>
      <c r="QNI11" s="283"/>
      <c r="QNJ11" s="283"/>
      <c r="QNK11" s="283"/>
      <c r="QNL11" s="283"/>
      <c r="QNM11" s="283"/>
      <c r="QNN11" s="283"/>
      <c r="QNO11" s="283"/>
      <c r="QNP11" s="283"/>
      <c r="QNQ11" s="283"/>
      <c r="QNR11" s="283"/>
      <c r="QNS11" s="283"/>
      <c r="QNT11" s="283"/>
      <c r="QNU11" s="283"/>
      <c r="QNV11" s="283"/>
      <c r="QNW11" s="283"/>
      <c r="QNX11" s="283"/>
      <c r="QNY11" s="283"/>
      <c r="QNZ11" s="283"/>
      <c r="QOA11" s="283"/>
      <c r="QOB11" s="283"/>
      <c r="QOC11" s="283"/>
      <c r="QOD11" s="283"/>
      <c r="QOE11" s="283"/>
      <c r="QOF11" s="283"/>
      <c r="QOG11" s="283"/>
      <c r="QOH11" s="283"/>
      <c r="QOI11" s="283"/>
      <c r="QOJ11" s="283"/>
      <c r="QOK11" s="283"/>
      <c r="QOL11" s="283"/>
      <c r="QOM11" s="283"/>
      <c r="QON11" s="283"/>
      <c r="QOO11" s="283"/>
      <c r="QOP11" s="283"/>
      <c r="QOQ11" s="283"/>
      <c r="QOR11" s="283"/>
      <c r="QOS11" s="283"/>
      <c r="QOT11" s="283"/>
      <c r="QOU11" s="283"/>
      <c r="QOV11" s="283"/>
      <c r="QOW11" s="283"/>
      <c r="QOX11" s="283"/>
      <c r="QOY11" s="283"/>
      <c r="QOZ11" s="283"/>
      <c r="QPA11" s="283"/>
      <c r="QPB11" s="283"/>
      <c r="QPC11" s="283"/>
      <c r="QPD11" s="283"/>
      <c r="QPE11" s="283"/>
      <c r="QPF11" s="283"/>
      <c r="QPG11" s="283"/>
      <c r="QPH11" s="283"/>
      <c r="QPI11" s="283"/>
      <c r="QPJ11" s="283"/>
      <c r="QPK11" s="283"/>
      <c r="QPL11" s="283"/>
      <c r="QPM11" s="283"/>
      <c r="QPN11" s="283"/>
      <c r="QPO11" s="283"/>
      <c r="QPP11" s="283"/>
      <c r="QPQ11" s="283"/>
      <c r="QPR11" s="283"/>
      <c r="QPS11" s="283"/>
      <c r="QPT11" s="283"/>
      <c r="QPU11" s="283"/>
      <c r="QPV11" s="283"/>
      <c r="QPW11" s="283"/>
      <c r="QPX11" s="283"/>
      <c r="QPY11" s="283"/>
      <c r="QPZ11" s="283"/>
      <c r="QQA11" s="283"/>
      <c r="QQB11" s="283"/>
      <c r="QQC11" s="283"/>
      <c r="QQD11" s="283"/>
      <c r="QQE11" s="283"/>
      <c r="QQF11" s="283"/>
      <c r="QQG11" s="283"/>
      <c r="QQH11" s="283"/>
      <c r="QQI11" s="283"/>
      <c r="QQJ11" s="283"/>
      <c r="QQK11" s="283"/>
      <c r="QQL11" s="283"/>
      <c r="QQM11" s="283"/>
      <c r="QQN11" s="283"/>
      <c r="QQO11" s="283"/>
      <c r="QQP11" s="283"/>
      <c r="QQQ11" s="283"/>
      <c r="QQR11" s="283"/>
      <c r="QQS11" s="283"/>
      <c r="QQT11" s="283"/>
      <c r="QQU11" s="283"/>
      <c r="QQV11" s="283"/>
      <c r="QQW11" s="283"/>
      <c r="QQX11" s="283"/>
      <c r="QQY11" s="283"/>
      <c r="QQZ11" s="283"/>
      <c r="QRA11" s="283"/>
      <c r="QRB11" s="283"/>
      <c r="QRC11" s="283"/>
      <c r="QRD11" s="283"/>
      <c r="QRE11" s="283"/>
      <c r="QRF11" s="283"/>
      <c r="QRG11" s="283"/>
      <c r="QRH11" s="283"/>
      <c r="QRI11" s="283"/>
      <c r="QRJ11" s="283"/>
      <c r="QRK11" s="283"/>
      <c r="QRL11" s="283"/>
      <c r="QRM11" s="283"/>
      <c r="QRN11" s="283"/>
      <c r="QRO11" s="283"/>
      <c r="QRP11" s="283"/>
      <c r="QRQ11" s="283"/>
      <c r="QRR11" s="283"/>
      <c r="QRS11" s="283"/>
      <c r="QRT11" s="283"/>
      <c r="QRU11" s="283"/>
      <c r="QRV11" s="283"/>
      <c r="QRW11" s="283"/>
      <c r="QRX11" s="283"/>
      <c r="QRY11" s="283"/>
      <c r="QRZ11" s="283"/>
      <c r="QSA11" s="283"/>
      <c r="QSB11" s="283"/>
      <c r="QSC11" s="283"/>
      <c r="QSD11" s="283"/>
      <c r="QSE11" s="283"/>
      <c r="QSF11" s="283"/>
      <c r="QSG11" s="283"/>
      <c r="QSH11" s="283"/>
      <c r="QSI11" s="283"/>
      <c r="QSJ11" s="283"/>
      <c r="QSK11" s="283"/>
      <c r="QSL11" s="283"/>
      <c r="QSM11" s="283"/>
      <c r="QSN11" s="283"/>
      <c r="QSO11" s="283"/>
      <c r="QSP11" s="283"/>
      <c r="QSQ11" s="283"/>
      <c r="QSR11" s="283"/>
      <c r="QSS11" s="283"/>
      <c r="QST11" s="283"/>
      <c r="QSU11" s="283"/>
      <c r="QSV11" s="283"/>
      <c r="QSW11" s="283"/>
      <c r="QSX11" s="283"/>
      <c r="QSY11" s="283"/>
      <c r="QSZ11" s="283"/>
      <c r="QTA11" s="283"/>
      <c r="QTB11" s="283"/>
      <c r="QTC11" s="283"/>
      <c r="QTD11" s="283"/>
      <c r="QTE11" s="283"/>
      <c r="QTF11" s="283"/>
      <c r="QTG11" s="283"/>
      <c r="QTH11" s="283"/>
      <c r="QTI11" s="283"/>
      <c r="QTJ11" s="283"/>
      <c r="QTK11" s="283"/>
      <c r="QTL11" s="283"/>
      <c r="QTM11" s="283"/>
      <c r="QTN11" s="283"/>
      <c r="QTO11" s="283"/>
      <c r="QTP11" s="283"/>
      <c r="QTQ11" s="283"/>
      <c r="QTR11" s="283"/>
      <c r="QTS11" s="283"/>
      <c r="QTT11" s="283"/>
      <c r="QTU11" s="283"/>
      <c r="QTV11" s="283"/>
      <c r="QTW11" s="283"/>
      <c r="QTX11" s="283"/>
      <c r="QTY11" s="283"/>
      <c r="QTZ11" s="283"/>
      <c r="QUA11" s="283"/>
      <c r="QUB11" s="283"/>
      <c r="QUC11" s="283"/>
      <c r="QUD11" s="283"/>
      <c r="QUE11" s="283"/>
      <c r="QUF11" s="283"/>
      <c r="QUG11" s="283"/>
      <c r="QUH11" s="283"/>
      <c r="QUI11" s="283"/>
      <c r="QUJ11" s="283"/>
      <c r="QUK11" s="283"/>
      <c r="QUL11" s="283"/>
      <c r="QUM11" s="283"/>
      <c r="QUN11" s="283"/>
      <c r="QUO11" s="283"/>
      <c r="QUP11" s="283"/>
      <c r="QUQ11" s="283"/>
      <c r="QUR11" s="283"/>
      <c r="QUS11" s="283"/>
      <c r="QUT11" s="283"/>
      <c r="QUU11" s="283"/>
      <c r="QUV11" s="283"/>
      <c r="QUW11" s="283"/>
      <c r="QUX11" s="283"/>
      <c r="QUY11" s="283"/>
      <c r="QUZ11" s="283"/>
      <c r="QVA11" s="283"/>
      <c r="QVB11" s="283"/>
      <c r="QVC11" s="283"/>
      <c r="QVD11" s="283"/>
      <c r="QVE11" s="283"/>
      <c r="QVF11" s="283"/>
      <c r="QVG11" s="283"/>
      <c r="QVH11" s="283"/>
      <c r="QVI11" s="283"/>
      <c r="QVJ11" s="283"/>
      <c r="QVK11" s="283"/>
      <c r="QVL11" s="283"/>
      <c r="QVM11" s="283"/>
      <c r="QVN11" s="283"/>
      <c r="QVO11" s="283"/>
      <c r="QVP11" s="283"/>
      <c r="QVQ11" s="283"/>
      <c r="QVR11" s="283"/>
      <c r="QVS11" s="283"/>
      <c r="QVT11" s="283"/>
      <c r="QVU11" s="283"/>
      <c r="QVV11" s="283"/>
      <c r="QVW11" s="283"/>
      <c r="QVX11" s="283"/>
      <c r="QVY11" s="283"/>
      <c r="QVZ11" s="283"/>
      <c r="QWA11" s="283"/>
      <c r="QWB11" s="283"/>
      <c r="QWC11" s="283"/>
      <c r="QWD11" s="283"/>
      <c r="QWE11" s="283"/>
      <c r="QWF11" s="283"/>
      <c r="QWG11" s="283"/>
      <c r="QWH11" s="283"/>
      <c r="QWI11" s="283"/>
      <c r="QWJ11" s="283"/>
      <c r="QWK11" s="283"/>
      <c r="QWL11" s="283"/>
      <c r="QWM11" s="283"/>
      <c r="QWN11" s="283"/>
      <c r="QWO11" s="283"/>
      <c r="QWP11" s="283"/>
      <c r="QWQ11" s="283"/>
      <c r="QWR11" s="283"/>
      <c r="QWS11" s="283"/>
      <c r="QWT11" s="283"/>
      <c r="QWU11" s="283"/>
      <c r="QWV11" s="283"/>
      <c r="QWW11" s="283"/>
      <c r="QWX11" s="283"/>
      <c r="QWY11" s="283"/>
      <c r="QWZ11" s="283"/>
      <c r="QXA11" s="283"/>
      <c r="QXB11" s="283"/>
      <c r="QXC11" s="283"/>
      <c r="QXD11" s="283"/>
      <c r="QXE11" s="283"/>
      <c r="QXF11" s="283"/>
      <c r="QXG11" s="283"/>
      <c r="QXH11" s="283"/>
      <c r="QXI11" s="283"/>
      <c r="QXJ11" s="283"/>
      <c r="QXK11" s="283"/>
      <c r="QXL11" s="283"/>
      <c r="QXM11" s="283"/>
      <c r="QXN11" s="283"/>
      <c r="QXO11" s="283"/>
      <c r="QXP11" s="283"/>
      <c r="QXQ11" s="283"/>
      <c r="QXR11" s="283"/>
      <c r="QXS11" s="283"/>
      <c r="QXT11" s="283"/>
      <c r="QXU11" s="283"/>
      <c r="QXV11" s="283"/>
      <c r="QXW11" s="283"/>
      <c r="QXX11" s="283"/>
      <c r="QXY11" s="283"/>
      <c r="QXZ11" s="283"/>
      <c r="QYA11" s="283"/>
      <c r="QYB11" s="283"/>
      <c r="QYC11" s="283"/>
      <c r="QYD11" s="283"/>
      <c r="QYE11" s="283"/>
      <c r="QYF11" s="283"/>
      <c r="QYG11" s="283"/>
      <c r="QYH11" s="283"/>
      <c r="QYI11" s="283"/>
      <c r="QYJ11" s="283"/>
      <c r="QYK11" s="283"/>
      <c r="QYL11" s="283"/>
      <c r="QYM11" s="283"/>
      <c r="QYN11" s="283"/>
      <c r="QYO11" s="283"/>
      <c r="QYP11" s="283"/>
      <c r="QYQ11" s="283"/>
      <c r="QYR11" s="283"/>
      <c r="QYS11" s="283"/>
      <c r="QYT11" s="283"/>
      <c r="QYU11" s="283"/>
      <c r="QYV11" s="283"/>
      <c r="QYW11" s="283"/>
      <c r="QYX11" s="283"/>
      <c r="QYY11" s="283"/>
      <c r="QYZ11" s="283"/>
      <c r="QZA11" s="283"/>
      <c r="QZB11" s="283"/>
      <c r="QZC11" s="283"/>
      <c r="QZD11" s="283"/>
      <c r="QZE11" s="283"/>
      <c r="QZF11" s="283"/>
      <c r="QZG11" s="283"/>
      <c r="QZH11" s="283"/>
      <c r="QZI11" s="283"/>
      <c r="QZJ11" s="283"/>
      <c r="QZK11" s="283"/>
      <c r="QZL11" s="283"/>
      <c r="QZM11" s="283"/>
      <c r="QZN11" s="283"/>
      <c r="QZO11" s="283"/>
      <c r="QZP11" s="283"/>
      <c r="QZQ11" s="283"/>
      <c r="QZR11" s="283"/>
      <c r="QZS11" s="283"/>
      <c r="QZT11" s="283"/>
      <c r="QZU11" s="283"/>
      <c r="QZV11" s="283"/>
      <c r="QZW11" s="283"/>
      <c r="QZX11" s="283"/>
      <c r="QZY11" s="283"/>
      <c r="QZZ11" s="283"/>
      <c r="RAA11" s="283"/>
      <c r="RAB11" s="283"/>
      <c r="RAC11" s="283"/>
      <c r="RAD11" s="283"/>
      <c r="RAE11" s="283"/>
      <c r="RAF11" s="283"/>
      <c r="RAG11" s="283"/>
      <c r="RAH11" s="283"/>
      <c r="RAI11" s="283"/>
      <c r="RAJ11" s="283"/>
      <c r="RAK11" s="283"/>
      <c r="RAL11" s="283"/>
      <c r="RAM11" s="283"/>
      <c r="RAN11" s="283"/>
      <c r="RAO11" s="283"/>
      <c r="RAP11" s="283"/>
      <c r="RAQ11" s="283"/>
      <c r="RAR11" s="283"/>
      <c r="RAS11" s="283"/>
      <c r="RAT11" s="283"/>
      <c r="RAU11" s="283"/>
      <c r="RAV11" s="283"/>
      <c r="RAW11" s="283"/>
      <c r="RAX11" s="283"/>
      <c r="RAY11" s="283"/>
      <c r="RAZ11" s="283"/>
      <c r="RBA11" s="283"/>
      <c r="RBB11" s="283"/>
      <c r="RBC11" s="283"/>
      <c r="RBD11" s="283"/>
      <c r="RBE11" s="283"/>
      <c r="RBF11" s="283"/>
      <c r="RBG11" s="283"/>
      <c r="RBH11" s="283"/>
      <c r="RBI11" s="283"/>
      <c r="RBJ11" s="283"/>
      <c r="RBK11" s="283"/>
      <c r="RBL11" s="283"/>
      <c r="RBM11" s="283"/>
      <c r="RBN11" s="283"/>
      <c r="RBO11" s="283"/>
      <c r="RBP11" s="283"/>
      <c r="RBQ11" s="283"/>
      <c r="RBR11" s="283"/>
      <c r="RBS11" s="283"/>
      <c r="RBT11" s="283"/>
      <c r="RBU11" s="283"/>
      <c r="RBV11" s="283"/>
      <c r="RBW11" s="283"/>
      <c r="RBX11" s="283"/>
      <c r="RBY11" s="283"/>
      <c r="RBZ11" s="283"/>
      <c r="RCA11" s="283"/>
      <c r="RCB11" s="283"/>
      <c r="RCC11" s="283"/>
      <c r="RCD11" s="283"/>
      <c r="RCE11" s="283"/>
      <c r="RCF11" s="283"/>
      <c r="RCG11" s="283"/>
      <c r="RCH11" s="283"/>
      <c r="RCI11" s="283"/>
      <c r="RCJ11" s="283"/>
      <c r="RCK11" s="283"/>
      <c r="RCL11" s="283"/>
      <c r="RCM11" s="283"/>
      <c r="RCN11" s="283"/>
      <c r="RCO11" s="283"/>
      <c r="RCP11" s="283"/>
      <c r="RCQ11" s="283"/>
      <c r="RCR11" s="283"/>
      <c r="RCS11" s="283"/>
      <c r="RCT11" s="283"/>
      <c r="RCU11" s="283"/>
      <c r="RCV11" s="283"/>
      <c r="RCW11" s="283"/>
      <c r="RCX11" s="283"/>
      <c r="RCY11" s="283"/>
      <c r="RCZ11" s="283"/>
      <c r="RDA11" s="283"/>
      <c r="RDB11" s="283"/>
      <c r="RDC11" s="283"/>
      <c r="RDD11" s="283"/>
      <c r="RDE11" s="283"/>
      <c r="RDF11" s="283"/>
      <c r="RDG11" s="283"/>
      <c r="RDH11" s="283"/>
      <c r="RDI11" s="283"/>
      <c r="RDJ11" s="283"/>
      <c r="RDK11" s="283"/>
      <c r="RDL11" s="283"/>
      <c r="RDM11" s="283"/>
      <c r="RDN11" s="283"/>
      <c r="RDO11" s="283"/>
      <c r="RDP11" s="283"/>
      <c r="RDQ11" s="283"/>
      <c r="RDR11" s="283"/>
      <c r="RDS11" s="283"/>
      <c r="RDT11" s="283"/>
      <c r="RDU11" s="283"/>
      <c r="RDV11" s="283"/>
      <c r="RDW11" s="283"/>
      <c r="RDX11" s="283"/>
      <c r="RDY11" s="283"/>
      <c r="RDZ11" s="283"/>
      <c r="REA11" s="283"/>
      <c r="REB11" s="283"/>
      <c r="REC11" s="283"/>
      <c r="RED11" s="283"/>
      <c r="REE11" s="283"/>
      <c r="REF11" s="283"/>
      <c r="REG11" s="283"/>
      <c r="REH11" s="283"/>
      <c r="REI11" s="283"/>
      <c r="REJ11" s="283"/>
      <c r="REK11" s="283"/>
      <c r="REL11" s="283"/>
      <c r="REM11" s="283"/>
      <c r="REN11" s="283"/>
      <c r="REO11" s="283"/>
      <c r="REP11" s="283"/>
      <c r="REQ11" s="283"/>
      <c r="RER11" s="283"/>
      <c r="RES11" s="283"/>
      <c r="RET11" s="283"/>
      <c r="REU11" s="283"/>
      <c r="REV11" s="283"/>
      <c r="REW11" s="283"/>
      <c r="REX11" s="283"/>
      <c r="REY11" s="283"/>
      <c r="REZ11" s="283"/>
      <c r="RFA11" s="283"/>
      <c r="RFB11" s="283"/>
      <c r="RFC11" s="283"/>
      <c r="RFD11" s="283"/>
      <c r="RFE11" s="283"/>
      <c r="RFF11" s="283"/>
      <c r="RFG11" s="283"/>
      <c r="RFH11" s="283"/>
      <c r="RFI11" s="283"/>
      <c r="RFJ11" s="283"/>
      <c r="RFK11" s="283"/>
      <c r="RFL11" s="283"/>
      <c r="RFM11" s="283"/>
      <c r="RFN11" s="283"/>
      <c r="RFO11" s="283"/>
      <c r="RFP11" s="283"/>
      <c r="RFQ11" s="283"/>
      <c r="RFR11" s="283"/>
      <c r="RFS11" s="283"/>
      <c r="RFT11" s="283"/>
      <c r="RFU11" s="283"/>
      <c r="RFV11" s="283"/>
      <c r="RFW11" s="283"/>
      <c r="RFX11" s="283"/>
      <c r="RFY11" s="283"/>
      <c r="RFZ11" s="283"/>
      <c r="RGA11" s="283"/>
      <c r="RGB11" s="283"/>
      <c r="RGC11" s="283"/>
      <c r="RGD11" s="283"/>
      <c r="RGE11" s="283"/>
      <c r="RGF11" s="283"/>
      <c r="RGG11" s="283"/>
      <c r="RGH11" s="283"/>
      <c r="RGI11" s="283"/>
      <c r="RGJ11" s="283"/>
      <c r="RGK11" s="283"/>
      <c r="RGL11" s="283"/>
      <c r="RGM11" s="283"/>
      <c r="RGN11" s="283"/>
      <c r="RGO11" s="283"/>
      <c r="RGP11" s="283"/>
      <c r="RGQ11" s="283"/>
      <c r="RGR11" s="283"/>
      <c r="RGS11" s="283"/>
      <c r="RGT11" s="283"/>
      <c r="RGU11" s="283"/>
      <c r="RGV11" s="283"/>
      <c r="RGW11" s="283"/>
      <c r="RGX11" s="283"/>
      <c r="RGY11" s="283"/>
      <c r="RGZ11" s="283"/>
      <c r="RHA11" s="283"/>
      <c r="RHB11" s="283"/>
      <c r="RHC11" s="283"/>
      <c r="RHD11" s="283"/>
      <c r="RHE11" s="283"/>
      <c r="RHF11" s="283"/>
      <c r="RHG11" s="283"/>
      <c r="RHH11" s="283"/>
      <c r="RHI11" s="283"/>
      <c r="RHJ11" s="283"/>
      <c r="RHK11" s="283"/>
      <c r="RHL11" s="283"/>
      <c r="RHM11" s="283"/>
      <c r="RHN11" s="283"/>
      <c r="RHO11" s="283"/>
      <c r="RHP11" s="283"/>
      <c r="RHQ11" s="283"/>
      <c r="RHR11" s="283"/>
      <c r="RHS11" s="283"/>
      <c r="RHT11" s="283"/>
      <c r="RHU11" s="283"/>
      <c r="RHV11" s="283"/>
      <c r="RHW11" s="283"/>
      <c r="RHX11" s="283"/>
      <c r="RHY11" s="283"/>
      <c r="RHZ11" s="283"/>
      <c r="RIA11" s="283"/>
      <c r="RIB11" s="283"/>
      <c r="RIC11" s="283"/>
      <c r="RID11" s="283"/>
      <c r="RIE11" s="283"/>
      <c r="RIF11" s="283"/>
      <c r="RIG11" s="283"/>
      <c r="RIH11" s="283"/>
      <c r="RII11" s="283"/>
      <c r="RIJ11" s="283"/>
      <c r="RIK11" s="283"/>
      <c r="RIL11" s="283"/>
      <c r="RIM11" s="283"/>
      <c r="RIN11" s="283"/>
      <c r="RIO11" s="283"/>
      <c r="RIP11" s="283"/>
      <c r="RIQ11" s="283"/>
      <c r="RIR11" s="283"/>
      <c r="RIS11" s="283"/>
      <c r="RIT11" s="283"/>
      <c r="RIU11" s="283"/>
      <c r="RIV11" s="283"/>
      <c r="RIW11" s="283"/>
      <c r="RIX11" s="283"/>
      <c r="RIY11" s="283"/>
      <c r="RIZ11" s="283"/>
      <c r="RJA11" s="283"/>
      <c r="RJB11" s="283"/>
      <c r="RJC11" s="283"/>
      <c r="RJD11" s="283"/>
      <c r="RJE11" s="283"/>
      <c r="RJF11" s="283"/>
      <c r="RJG11" s="283"/>
      <c r="RJH11" s="283"/>
      <c r="RJI11" s="283"/>
      <c r="RJJ11" s="283"/>
      <c r="RJK11" s="283"/>
      <c r="RJL11" s="283"/>
      <c r="RJM11" s="283"/>
      <c r="RJN11" s="283"/>
      <c r="RJO11" s="283"/>
      <c r="RJP11" s="283"/>
      <c r="RJQ11" s="283"/>
      <c r="RJR11" s="283"/>
      <c r="RJS11" s="283"/>
      <c r="RJT11" s="283"/>
      <c r="RJU11" s="283"/>
      <c r="RJV11" s="283"/>
      <c r="RJW11" s="283"/>
      <c r="RJX11" s="283"/>
      <c r="RJY11" s="283"/>
      <c r="RJZ11" s="283"/>
      <c r="RKA11" s="283"/>
      <c r="RKB11" s="283"/>
      <c r="RKC11" s="283"/>
      <c r="RKD11" s="283"/>
      <c r="RKE11" s="283"/>
      <c r="RKF11" s="283"/>
      <c r="RKG11" s="283"/>
      <c r="RKH11" s="283"/>
      <c r="RKI11" s="283"/>
      <c r="RKJ11" s="283"/>
      <c r="RKK11" s="283"/>
      <c r="RKL11" s="283"/>
      <c r="RKM11" s="283"/>
      <c r="RKN11" s="283"/>
      <c r="RKO11" s="283"/>
      <c r="RKP11" s="283"/>
      <c r="RKQ11" s="283"/>
      <c r="RKR11" s="283"/>
      <c r="RKS11" s="283"/>
      <c r="RKT11" s="283"/>
      <c r="RKU11" s="283"/>
      <c r="RKV11" s="283"/>
      <c r="RKW11" s="283"/>
      <c r="RKX11" s="283"/>
      <c r="RKY11" s="283"/>
      <c r="RKZ11" s="283"/>
      <c r="RLA11" s="283"/>
      <c r="RLB11" s="283"/>
      <c r="RLC11" s="283"/>
      <c r="RLD11" s="283"/>
      <c r="RLE11" s="283"/>
      <c r="RLF11" s="283"/>
      <c r="RLG11" s="283"/>
      <c r="RLH11" s="283"/>
      <c r="RLI11" s="283"/>
      <c r="RLJ11" s="283"/>
      <c r="RLK11" s="283"/>
      <c r="RLL11" s="283"/>
      <c r="RLM11" s="283"/>
      <c r="RLN11" s="283"/>
      <c r="RLO11" s="283"/>
      <c r="RLP11" s="283"/>
      <c r="RLQ11" s="283"/>
      <c r="RLR11" s="283"/>
      <c r="RLS11" s="283"/>
      <c r="RLT11" s="283"/>
      <c r="RLU11" s="283"/>
      <c r="RLV11" s="283"/>
      <c r="RLW11" s="283"/>
      <c r="RLX11" s="283"/>
      <c r="RLY11" s="283"/>
      <c r="RLZ11" s="283"/>
      <c r="RMA11" s="283"/>
      <c r="RMB11" s="283"/>
      <c r="RMC11" s="283"/>
      <c r="RMD11" s="283"/>
      <c r="RME11" s="283"/>
      <c r="RMF11" s="283"/>
      <c r="RMG11" s="283"/>
      <c r="RMH11" s="283"/>
      <c r="RMI11" s="283"/>
      <c r="RMJ11" s="283"/>
      <c r="RMK11" s="283"/>
      <c r="RML11" s="283"/>
      <c r="RMM11" s="283"/>
      <c r="RMN11" s="283"/>
      <c r="RMO11" s="283"/>
      <c r="RMP11" s="283"/>
      <c r="RMQ11" s="283"/>
      <c r="RMR11" s="283"/>
      <c r="RMS11" s="283"/>
      <c r="RMT11" s="283"/>
      <c r="RMU11" s="283"/>
      <c r="RMV11" s="283"/>
      <c r="RMW11" s="283"/>
      <c r="RMX11" s="283"/>
      <c r="RMY11" s="283"/>
      <c r="RMZ11" s="283"/>
      <c r="RNA11" s="283"/>
      <c r="RNB11" s="283"/>
      <c r="RNC11" s="283"/>
      <c r="RND11" s="283"/>
      <c r="RNE11" s="283"/>
      <c r="RNF11" s="283"/>
      <c r="RNG11" s="283"/>
      <c r="RNH11" s="283"/>
      <c r="RNI11" s="283"/>
      <c r="RNJ11" s="283"/>
      <c r="RNK11" s="283"/>
      <c r="RNL11" s="283"/>
      <c r="RNM11" s="283"/>
      <c r="RNN11" s="283"/>
      <c r="RNO11" s="283"/>
      <c r="RNP11" s="283"/>
      <c r="RNQ11" s="283"/>
      <c r="RNR11" s="283"/>
      <c r="RNS11" s="283"/>
      <c r="RNT11" s="283"/>
      <c r="RNU11" s="283"/>
      <c r="RNV11" s="283"/>
      <c r="RNW11" s="283"/>
      <c r="RNX11" s="283"/>
      <c r="RNY11" s="283"/>
      <c r="RNZ11" s="283"/>
      <c r="ROA11" s="283"/>
      <c r="ROB11" s="283"/>
      <c r="ROC11" s="283"/>
      <c r="ROD11" s="283"/>
      <c r="ROE11" s="283"/>
      <c r="ROF11" s="283"/>
      <c r="ROG11" s="283"/>
      <c r="ROH11" s="283"/>
      <c r="ROI11" s="283"/>
      <c r="ROJ11" s="283"/>
      <c r="ROK11" s="283"/>
      <c r="ROL11" s="283"/>
      <c r="ROM11" s="283"/>
      <c r="RON11" s="283"/>
      <c r="ROO11" s="283"/>
      <c r="ROP11" s="283"/>
      <c r="ROQ11" s="283"/>
      <c r="ROR11" s="283"/>
      <c r="ROS11" s="283"/>
      <c r="ROT11" s="283"/>
      <c r="ROU11" s="283"/>
      <c r="ROV11" s="283"/>
      <c r="ROW11" s="283"/>
      <c r="ROX11" s="283"/>
      <c r="ROY11" s="283"/>
      <c r="ROZ11" s="283"/>
      <c r="RPA11" s="283"/>
      <c r="RPB11" s="283"/>
      <c r="RPC11" s="283"/>
      <c r="RPD11" s="283"/>
      <c r="RPE11" s="283"/>
      <c r="RPF11" s="283"/>
      <c r="RPG11" s="283"/>
      <c r="RPH11" s="283"/>
      <c r="RPI11" s="283"/>
      <c r="RPJ11" s="283"/>
      <c r="RPK11" s="283"/>
      <c r="RPL11" s="283"/>
      <c r="RPM11" s="283"/>
      <c r="RPN11" s="283"/>
      <c r="RPO11" s="283"/>
      <c r="RPP11" s="283"/>
      <c r="RPQ11" s="283"/>
      <c r="RPR11" s="283"/>
      <c r="RPS11" s="283"/>
      <c r="RPT11" s="283"/>
      <c r="RPU11" s="283"/>
      <c r="RPV11" s="283"/>
      <c r="RPW11" s="283"/>
      <c r="RPX11" s="283"/>
      <c r="RPY11" s="283"/>
      <c r="RPZ11" s="283"/>
      <c r="RQA11" s="283"/>
      <c r="RQB11" s="283"/>
      <c r="RQC11" s="283"/>
      <c r="RQD11" s="283"/>
      <c r="RQE11" s="283"/>
      <c r="RQF11" s="283"/>
      <c r="RQG11" s="283"/>
      <c r="RQH11" s="283"/>
      <c r="RQI11" s="283"/>
      <c r="RQJ11" s="283"/>
      <c r="RQK11" s="283"/>
      <c r="RQL11" s="283"/>
      <c r="RQM11" s="283"/>
      <c r="RQN11" s="283"/>
      <c r="RQO11" s="283"/>
      <c r="RQP11" s="283"/>
      <c r="RQQ11" s="283"/>
      <c r="RQR11" s="283"/>
      <c r="RQS11" s="283"/>
      <c r="RQT11" s="283"/>
      <c r="RQU11" s="283"/>
      <c r="RQV11" s="283"/>
      <c r="RQW11" s="283"/>
      <c r="RQX11" s="283"/>
      <c r="RQY11" s="283"/>
      <c r="RQZ11" s="283"/>
      <c r="RRA11" s="283"/>
      <c r="RRB11" s="283"/>
      <c r="RRC11" s="283"/>
      <c r="RRD11" s="283"/>
      <c r="RRE11" s="283"/>
      <c r="RRF11" s="283"/>
      <c r="RRG11" s="283"/>
      <c r="RRH11" s="283"/>
      <c r="RRI11" s="283"/>
      <c r="RRJ11" s="283"/>
      <c r="RRK11" s="283"/>
      <c r="RRL11" s="283"/>
      <c r="RRM11" s="283"/>
      <c r="RRN11" s="283"/>
      <c r="RRO11" s="283"/>
      <c r="RRP11" s="283"/>
      <c r="RRQ11" s="283"/>
      <c r="RRR11" s="283"/>
      <c r="RRS11" s="283"/>
      <c r="RRT11" s="283"/>
      <c r="RRU11" s="283"/>
      <c r="RRV11" s="283"/>
      <c r="RRW11" s="283"/>
      <c r="RRX11" s="283"/>
      <c r="RRY11" s="283"/>
      <c r="RRZ11" s="283"/>
      <c r="RSA11" s="283"/>
      <c r="RSB11" s="283"/>
      <c r="RSC11" s="283"/>
      <c r="RSD11" s="283"/>
      <c r="RSE11" s="283"/>
      <c r="RSF11" s="283"/>
      <c r="RSG11" s="283"/>
      <c r="RSH11" s="283"/>
      <c r="RSI11" s="283"/>
      <c r="RSJ11" s="283"/>
      <c r="RSK11" s="283"/>
      <c r="RSL11" s="283"/>
      <c r="RSM11" s="283"/>
      <c r="RSN11" s="283"/>
      <c r="RSO11" s="283"/>
      <c r="RSP11" s="283"/>
      <c r="RSQ11" s="283"/>
      <c r="RSR11" s="283"/>
      <c r="RSS11" s="283"/>
      <c r="RST11" s="283"/>
      <c r="RSU11" s="283"/>
      <c r="RSV11" s="283"/>
      <c r="RSW11" s="283"/>
      <c r="RSX11" s="283"/>
      <c r="RSY11" s="283"/>
      <c r="RSZ11" s="283"/>
      <c r="RTA11" s="283"/>
      <c r="RTB11" s="283"/>
      <c r="RTC11" s="283"/>
      <c r="RTD11" s="283"/>
      <c r="RTE11" s="283"/>
      <c r="RTF11" s="283"/>
      <c r="RTG11" s="283"/>
      <c r="RTH11" s="283"/>
      <c r="RTI11" s="283"/>
      <c r="RTJ11" s="283"/>
      <c r="RTK11" s="283"/>
      <c r="RTL11" s="283"/>
      <c r="RTM11" s="283"/>
      <c r="RTN11" s="283"/>
      <c r="RTO11" s="283"/>
      <c r="RTP11" s="283"/>
      <c r="RTQ11" s="283"/>
      <c r="RTR11" s="283"/>
      <c r="RTS11" s="283"/>
      <c r="RTT11" s="283"/>
      <c r="RTU11" s="283"/>
      <c r="RTV11" s="283"/>
      <c r="RTW11" s="283"/>
      <c r="RTX11" s="283"/>
      <c r="RTY11" s="283"/>
      <c r="RTZ11" s="283"/>
      <c r="RUA11" s="283"/>
      <c r="RUB11" s="283"/>
      <c r="RUC11" s="283"/>
      <c r="RUD11" s="283"/>
      <c r="RUE11" s="283"/>
      <c r="RUF11" s="283"/>
      <c r="RUG11" s="283"/>
      <c r="RUH11" s="283"/>
      <c r="RUI11" s="283"/>
      <c r="RUJ11" s="283"/>
      <c r="RUK11" s="283"/>
      <c r="RUL11" s="283"/>
      <c r="RUM11" s="283"/>
      <c r="RUN11" s="283"/>
      <c r="RUO11" s="283"/>
      <c r="RUP11" s="283"/>
      <c r="RUQ11" s="283"/>
      <c r="RUR11" s="283"/>
      <c r="RUS11" s="283"/>
      <c r="RUT11" s="283"/>
      <c r="RUU11" s="283"/>
      <c r="RUV11" s="283"/>
      <c r="RUW11" s="283"/>
      <c r="RUX11" s="283"/>
      <c r="RUY11" s="283"/>
      <c r="RUZ11" s="283"/>
      <c r="RVA11" s="283"/>
      <c r="RVB11" s="283"/>
      <c r="RVC11" s="283"/>
      <c r="RVD11" s="283"/>
      <c r="RVE11" s="283"/>
      <c r="RVF11" s="283"/>
      <c r="RVG11" s="283"/>
      <c r="RVH11" s="283"/>
      <c r="RVI11" s="283"/>
      <c r="RVJ11" s="283"/>
      <c r="RVK11" s="283"/>
      <c r="RVL11" s="283"/>
      <c r="RVM11" s="283"/>
      <c r="RVN11" s="283"/>
      <c r="RVO11" s="283"/>
      <c r="RVP11" s="283"/>
      <c r="RVQ11" s="283"/>
      <c r="RVR11" s="283"/>
      <c r="RVS11" s="283"/>
      <c r="RVT11" s="283"/>
      <c r="RVU11" s="283"/>
      <c r="RVV11" s="283"/>
      <c r="RVW11" s="283"/>
      <c r="RVX11" s="283"/>
      <c r="RVY11" s="283"/>
      <c r="RVZ11" s="283"/>
      <c r="RWA11" s="283"/>
      <c r="RWB11" s="283"/>
      <c r="RWC11" s="283"/>
      <c r="RWD11" s="283"/>
      <c r="RWE11" s="283"/>
      <c r="RWF11" s="283"/>
      <c r="RWG11" s="283"/>
      <c r="RWH11" s="283"/>
      <c r="RWI11" s="283"/>
      <c r="RWJ11" s="283"/>
      <c r="RWK11" s="283"/>
      <c r="RWL11" s="283"/>
      <c r="RWM11" s="283"/>
      <c r="RWN11" s="283"/>
      <c r="RWO11" s="283"/>
      <c r="RWP11" s="283"/>
      <c r="RWQ11" s="283"/>
      <c r="RWR11" s="283"/>
      <c r="RWS11" s="283"/>
      <c r="RWT11" s="283"/>
      <c r="RWU11" s="283"/>
      <c r="RWV11" s="283"/>
      <c r="RWW11" s="283"/>
      <c r="RWX11" s="283"/>
      <c r="RWY11" s="283"/>
      <c r="RWZ11" s="283"/>
      <c r="RXA11" s="283"/>
      <c r="RXB11" s="283"/>
      <c r="RXC11" s="283"/>
      <c r="RXD11" s="283"/>
      <c r="RXE11" s="283"/>
      <c r="RXF11" s="283"/>
      <c r="RXG11" s="283"/>
      <c r="RXH11" s="283"/>
      <c r="RXI11" s="283"/>
      <c r="RXJ11" s="283"/>
      <c r="RXK11" s="283"/>
      <c r="RXL11" s="283"/>
      <c r="RXM11" s="283"/>
      <c r="RXN11" s="283"/>
      <c r="RXO11" s="283"/>
      <c r="RXP11" s="283"/>
      <c r="RXQ11" s="283"/>
      <c r="RXR11" s="283"/>
      <c r="RXS11" s="283"/>
      <c r="RXT11" s="283"/>
      <c r="RXU11" s="283"/>
      <c r="RXV11" s="283"/>
      <c r="RXW11" s="283"/>
      <c r="RXX11" s="283"/>
      <c r="RXY11" s="283"/>
      <c r="RXZ11" s="283"/>
      <c r="RYA11" s="283"/>
      <c r="RYB11" s="283"/>
      <c r="RYC11" s="283"/>
      <c r="RYD11" s="283"/>
      <c r="RYE11" s="283"/>
      <c r="RYF11" s="283"/>
      <c r="RYG11" s="283"/>
      <c r="RYH11" s="283"/>
      <c r="RYI11" s="283"/>
      <c r="RYJ11" s="283"/>
      <c r="RYK11" s="283"/>
      <c r="RYL11" s="283"/>
      <c r="RYM11" s="283"/>
      <c r="RYN11" s="283"/>
      <c r="RYO11" s="283"/>
      <c r="RYP11" s="283"/>
      <c r="RYQ11" s="283"/>
      <c r="RYR11" s="283"/>
      <c r="RYS11" s="283"/>
      <c r="RYT11" s="283"/>
      <c r="RYU11" s="283"/>
      <c r="RYV11" s="283"/>
      <c r="RYW11" s="283"/>
      <c r="RYX11" s="283"/>
      <c r="RYY11" s="283"/>
      <c r="RYZ11" s="283"/>
      <c r="RZA11" s="283"/>
      <c r="RZB11" s="283"/>
      <c r="RZC11" s="283"/>
      <c r="RZD11" s="283"/>
      <c r="RZE11" s="283"/>
      <c r="RZF11" s="283"/>
      <c r="RZG11" s="283"/>
      <c r="RZH11" s="283"/>
      <c r="RZI11" s="283"/>
      <c r="RZJ11" s="283"/>
      <c r="RZK11" s="283"/>
      <c r="RZL11" s="283"/>
      <c r="RZM11" s="283"/>
      <c r="RZN11" s="283"/>
      <c r="RZO11" s="283"/>
      <c r="RZP11" s="283"/>
      <c r="RZQ11" s="283"/>
      <c r="RZR11" s="283"/>
      <c r="RZS11" s="283"/>
      <c r="RZT11" s="283"/>
      <c r="RZU11" s="283"/>
      <c r="RZV11" s="283"/>
      <c r="RZW11" s="283"/>
      <c r="RZX11" s="283"/>
      <c r="RZY11" s="283"/>
      <c r="RZZ11" s="283"/>
      <c r="SAA11" s="283"/>
      <c r="SAB11" s="283"/>
      <c r="SAC11" s="283"/>
      <c r="SAD11" s="283"/>
      <c r="SAE11" s="283"/>
      <c r="SAF11" s="283"/>
      <c r="SAG11" s="283"/>
      <c r="SAH11" s="283"/>
      <c r="SAI11" s="283"/>
      <c r="SAJ11" s="283"/>
      <c r="SAK11" s="283"/>
      <c r="SAL11" s="283"/>
      <c r="SAM11" s="283"/>
      <c r="SAN11" s="283"/>
      <c r="SAO11" s="283"/>
      <c r="SAP11" s="283"/>
      <c r="SAQ11" s="283"/>
      <c r="SAR11" s="283"/>
      <c r="SAS11" s="283"/>
      <c r="SAT11" s="283"/>
      <c r="SAU11" s="283"/>
      <c r="SAV11" s="283"/>
      <c r="SAW11" s="283"/>
      <c r="SAX11" s="283"/>
      <c r="SAY11" s="283"/>
      <c r="SAZ11" s="283"/>
      <c r="SBA11" s="283"/>
      <c r="SBB11" s="283"/>
      <c r="SBC11" s="283"/>
      <c r="SBD11" s="283"/>
      <c r="SBE11" s="283"/>
      <c r="SBF11" s="283"/>
      <c r="SBG11" s="283"/>
      <c r="SBH11" s="283"/>
      <c r="SBI11" s="283"/>
      <c r="SBJ11" s="283"/>
      <c r="SBK11" s="283"/>
      <c r="SBL11" s="283"/>
      <c r="SBM11" s="283"/>
      <c r="SBN11" s="283"/>
      <c r="SBO11" s="283"/>
      <c r="SBP11" s="283"/>
      <c r="SBQ11" s="283"/>
      <c r="SBR11" s="283"/>
      <c r="SBS11" s="283"/>
      <c r="SBT11" s="283"/>
      <c r="SBU11" s="283"/>
      <c r="SBV11" s="283"/>
      <c r="SBW11" s="283"/>
      <c r="SBX11" s="283"/>
      <c r="SBY11" s="283"/>
      <c r="SBZ11" s="283"/>
      <c r="SCA11" s="283"/>
      <c r="SCB11" s="283"/>
      <c r="SCC11" s="283"/>
      <c r="SCD11" s="283"/>
      <c r="SCE11" s="283"/>
      <c r="SCF11" s="283"/>
      <c r="SCG11" s="283"/>
      <c r="SCH11" s="283"/>
      <c r="SCI11" s="283"/>
      <c r="SCJ11" s="283"/>
      <c r="SCK11" s="283"/>
      <c r="SCL11" s="283"/>
      <c r="SCM11" s="283"/>
      <c r="SCN11" s="283"/>
      <c r="SCO11" s="283"/>
      <c r="SCP11" s="283"/>
      <c r="SCQ11" s="283"/>
      <c r="SCR11" s="283"/>
      <c r="SCS11" s="283"/>
      <c r="SCT11" s="283"/>
      <c r="SCU11" s="283"/>
      <c r="SCV11" s="283"/>
      <c r="SCW11" s="283"/>
      <c r="SCX11" s="283"/>
      <c r="SCY11" s="283"/>
      <c r="SCZ11" s="283"/>
      <c r="SDA11" s="283"/>
      <c r="SDB11" s="283"/>
      <c r="SDC11" s="283"/>
      <c r="SDD11" s="283"/>
      <c r="SDE11" s="283"/>
      <c r="SDF11" s="283"/>
      <c r="SDG11" s="283"/>
      <c r="SDH11" s="283"/>
      <c r="SDI11" s="283"/>
      <c r="SDJ11" s="283"/>
      <c r="SDK11" s="283"/>
      <c r="SDL11" s="283"/>
      <c r="SDM11" s="283"/>
      <c r="SDN11" s="283"/>
      <c r="SDO11" s="283"/>
      <c r="SDP11" s="283"/>
      <c r="SDQ11" s="283"/>
      <c r="SDR11" s="283"/>
      <c r="SDS11" s="283"/>
      <c r="SDT11" s="283"/>
      <c r="SDU11" s="283"/>
      <c r="SDV11" s="283"/>
      <c r="SDW11" s="283"/>
      <c r="SDX11" s="283"/>
      <c r="SDY11" s="283"/>
      <c r="SDZ11" s="283"/>
      <c r="SEA11" s="283"/>
      <c r="SEB11" s="283"/>
      <c r="SEC11" s="283"/>
      <c r="SED11" s="283"/>
      <c r="SEE11" s="283"/>
      <c r="SEF11" s="283"/>
      <c r="SEG11" s="283"/>
      <c r="SEH11" s="283"/>
      <c r="SEI11" s="283"/>
      <c r="SEJ11" s="283"/>
      <c r="SEK11" s="283"/>
      <c r="SEL11" s="283"/>
      <c r="SEM11" s="283"/>
      <c r="SEN11" s="283"/>
      <c r="SEO11" s="283"/>
      <c r="SEP11" s="283"/>
      <c r="SEQ11" s="283"/>
      <c r="SER11" s="283"/>
      <c r="SES11" s="283"/>
      <c r="SET11" s="283"/>
      <c r="SEU11" s="283"/>
      <c r="SEV11" s="283"/>
      <c r="SEW11" s="283"/>
      <c r="SEX11" s="283"/>
      <c r="SEY11" s="283"/>
      <c r="SEZ11" s="283"/>
      <c r="SFA11" s="283"/>
      <c r="SFB11" s="283"/>
      <c r="SFC11" s="283"/>
      <c r="SFD11" s="283"/>
      <c r="SFE11" s="283"/>
      <c r="SFF11" s="283"/>
      <c r="SFG11" s="283"/>
      <c r="SFH11" s="283"/>
      <c r="SFI11" s="283"/>
      <c r="SFJ11" s="283"/>
      <c r="SFK11" s="283"/>
      <c r="SFL11" s="283"/>
      <c r="SFM11" s="283"/>
      <c r="SFN11" s="283"/>
      <c r="SFO11" s="283"/>
      <c r="SFP11" s="283"/>
      <c r="SFQ11" s="283"/>
      <c r="SFR11" s="283"/>
      <c r="SFS11" s="283"/>
      <c r="SFT11" s="283"/>
      <c r="SFU11" s="283"/>
      <c r="SFV11" s="283"/>
      <c r="SFW11" s="283"/>
      <c r="SFX11" s="283"/>
      <c r="SFY11" s="283"/>
      <c r="SFZ11" s="283"/>
      <c r="SGA11" s="283"/>
      <c r="SGB11" s="283"/>
      <c r="SGC11" s="283"/>
      <c r="SGD11" s="283"/>
      <c r="SGE11" s="283"/>
      <c r="SGF11" s="283"/>
      <c r="SGG11" s="283"/>
      <c r="SGH11" s="283"/>
      <c r="SGI11" s="283"/>
      <c r="SGJ11" s="283"/>
      <c r="SGK11" s="283"/>
      <c r="SGL11" s="283"/>
      <c r="SGM11" s="283"/>
      <c r="SGN11" s="283"/>
      <c r="SGO11" s="283"/>
      <c r="SGP11" s="283"/>
      <c r="SGQ11" s="283"/>
      <c r="SGR11" s="283"/>
      <c r="SGS11" s="283"/>
      <c r="SGT11" s="283"/>
      <c r="SGU11" s="283"/>
      <c r="SGV11" s="283"/>
      <c r="SGW11" s="283"/>
      <c r="SGX11" s="283"/>
      <c r="SGY11" s="283"/>
      <c r="SGZ11" s="283"/>
      <c r="SHA11" s="283"/>
      <c r="SHB11" s="283"/>
      <c r="SHC11" s="283"/>
      <c r="SHD11" s="283"/>
      <c r="SHE11" s="283"/>
      <c r="SHF11" s="283"/>
      <c r="SHG11" s="283"/>
      <c r="SHH11" s="283"/>
      <c r="SHI11" s="283"/>
      <c r="SHJ11" s="283"/>
      <c r="SHK11" s="283"/>
      <c r="SHL11" s="283"/>
      <c r="SHM11" s="283"/>
      <c r="SHN11" s="283"/>
      <c r="SHO11" s="283"/>
      <c r="SHP11" s="283"/>
      <c r="SHQ11" s="283"/>
      <c r="SHR11" s="283"/>
      <c r="SHS11" s="283"/>
      <c r="SHT11" s="283"/>
      <c r="SHU11" s="283"/>
      <c r="SHV11" s="283"/>
      <c r="SHW11" s="283"/>
      <c r="SHX11" s="283"/>
      <c r="SHY11" s="283"/>
      <c r="SHZ11" s="283"/>
      <c r="SIA11" s="283"/>
      <c r="SIB11" s="283"/>
      <c r="SIC11" s="283"/>
      <c r="SID11" s="283"/>
      <c r="SIE11" s="283"/>
      <c r="SIF11" s="283"/>
      <c r="SIG11" s="283"/>
      <c r="SIH11" s="283"/>
      <c r="SII11" s="283"/>
      <c r="SIJ11" s="283"/>
      <c r="SIK11" s="283"/>
      <c r="SIL11" s="283"/>
      <c r="SIM11" s="283"/>
      <c r="SIN11" s="283"/>
      <c r="SIO11" s="283"/>
      <c r="SIP11" s="283"/>
      <c r="SIQ11" s="283"/>
      <c r="SIR11" s="283"/>
      <c r="SIS11" s="283"/>
      <c r="SIT11" s="283"/>
      <c r="SIU11" s="283"/>
      <c r="SIV11" s="283"/>
      <c r="SIW11" s="283"/>
      <c r="SIX11" s="283"/>
      <c r="SIY11" s="283"/>
      <c r="SIZ11" s="283"/>
      <c r="SJA11" s="283"/>
      <c r="SJB11" s="283"/>
      <c r="SJC11" s="283"/>
      <c r="SJD11" s="283"/>
      <c r="SJE11" s="283"/>
      <c r="SJF11" s="283"/>
      <c r="SJG11" s="283"/>
      <c r="SJH11" s="283"/>
      <c r="SJI11" s="283"/>
      <c r="SJJ11" s="283"/>
      <c r="SJK11" s="283"/>
      <c r="SJL11" s="283"/>
      <c r="SJM11" s="283"/>
      <c r="SJN11" s="283"/>
      <c r="SJO11" s="283"/>
      <c r="SJP11" s="283"/>
      <c r="SJQ11" s="283"/>
      <c r="SJR11" s="283"/>
      <c r="SJS11" s="283"/>
      <c r="SJT11" s="283"/>
      <c r="SJU11" s="283"/>
      <c r="SJV11" s="283"/>
      <c r="SJW11" s="283"/>
      <c r="SJX11" s="283"/>
      <c r="SJY11" s="283"/>
      <c r="SJZ11" s="283"/>
      <c r="SKA11" s="283"/>
      <c r="SKB11" s="283"/>
      <c r="SKC11" s="283"/>
      <c r="SKD11" s="283"/>
      <c r="SKE11" s="283"/>
      <c r="SKF11" s="283"/>
      <c r="SKG11" s="283"/>
      <c r="SKH11" s="283"/>
      <c r="SKI11" s="283"/>
      <c r="SKJ11" s="283"/>
      <c r="SKK11" s="283"/>
      <c r="SKL11" s="283"/>
      <c r="SKM11" s="283"/>
      <c r="SKN11" s="283"/>
      <c r="SKO11" s="283"/>
      <c r="SKP11" s="283"/>
      <c r="SKQ11" s="283"/>
      <c r="SKR11" s="283"/>
      <c r="SKS11" s="283"/>
      <c r="SKT11" s="283"/>
      <c r="SKU11" s="283"/>
      <c r="SKV11" s="283"/>
      <c r="SKW11" s="283"/>
      <c r="SKX11" s="283"/>
      <c r="SKY11" s="283"/>
      <c r="SKZ11" s="283"/>
      <c r="SLA11" s="283"/>
      <c r="SLB11" s="283"/>
      <c r="SLC11" s="283"/>
      <c r="SLD11" s="283"/>
      <c r="SLE11" s="283"/>
      <c r="SLF11" s="283"/>
      <c r="SLG11" s="283"/>
      <c r="SLH11" s="283"/>
      <c r="SLI11" s="283"/>
      <c r="SLJ11" s="283"/>
      <c r="SLK11" s="283"/>
      <c r="SLL11" s="283"/>
      <c r="SLM11" s="283"/>
      <c r="SLN11" s="283"/>
      <c r="SLO11" s="283"/>
      <c r="SLP11" s="283"/>
      <c r="SLQ11" s="283"/>
      <c r="SLR11" s="283"/>
      <c r="SLS11" s="283"/>
      <c r="SLT11" s="283"/>
      <c r="SLU11" s="283"/>
      <c r="SLV11" s="283"/>
      <c r="SLW11" s="283"/>
      <c r="SLX11" s="283"/>
      <c r="SLY11" s="283"/>
      <c r="SLZ11" s="283"/>
      <c r="SMA11" s="283"/>
      <c r="SMB11" s="283"/>
      <c r="SMC11" s="283"/>
      <c r="SMD11" s="283"/>
      <c r="SME11" s="283"/>
      <c r="SMF11" s="283"/>
      <c r="SMG11" s="283"/>
      <c r="SMH11" s="283"/>
      <c r="SMI11" s="283"/>
      <c r="SMJ11" s="283"/>
      <c r="SMK11" s="283"/>
      <c r="SML11" s="283"/>
      <c r="SMM11" s="283"/>
      <c r="SMN11" s="283"/>
      <c r="SMO11" s="283"/>
      <c r="SMP11" s="283"/>
      <c r="SMQ11" s="283"/>
      <c r="SMR11" s="283"/>
      <c r="SMS11" s="283"/>
      <c r="SMT11" s="283"/>
      <c r="SMU11" s="283"/>
      <c r="SMV11" s="283"/>
      <c r="SMW11" s="283"/>
      <c r="SMX11" s="283"/>
      <c r="SMY11" s="283"/>
      <c r="SMZ11" s="283"/>
      <c r="SNA11" s="283"/>
      <c r="SNB11" s="283"/>
      <c r="SNC11" s="283"/>
      <c r="SND11" s="283"/>
      <c r="SNE11" s="283"/>
      <c r="SNF11" s="283"/>
      <c r="SNG11" s="283"/>
      <c r="SNH11" s="283"/>
      <c r="SNI11" s="283"/>
      <c r="SNJ11" s="283"/>
      <c r="SNK11" s="283"/>
      <c r="SNL11" s="283"/>
      <c r="SNM11" s="283"/>
      <c r="SNN11" s="283"/>
      <c r="SNO11" s="283"/>
      <c r="SNP11" s="283"/>
      <c r="SNQ11" s="283"/>
      <c r="SNR11" s="283"/>
      <c r="SNS11" s="283"/>
      <c r="SNT11" s="283"/>
      <c r="SNU11" s="283"/>
      <c r="SNV11" s="283"/>
      <c r="SNW11" s="283"/>
      <c r="SNX11" s="283"/>
      <c r="SNY11" s="283"/>
      <c r="SNZ11" s="283"/>
      <c r="SOA11" s="283"/>
      <c r="SOB11" s="283"/>
      <c r="SOC11" s="283"/>
      <c r="SOD11" s="283"/>
      <c r="SOE11" s="283"/>
      <c r="SOF11" s="283"/>
      <c r="SOG11" s="283"/>
      <c r="SOH11" s="283"/>
      <c r="SOI11" s="283"/>
      <c r="SOJ11" s="283"/>
      <c r="SOK11" s="283"/>
      <c r="SOL11" s="283"/>
      <c r="SOM11" s="283"/>
      <c r="SON11" s="283"/>
      <c r="SOO11" s="283"/>
      <c r="SOP11" s="283"/>
      <c r="SOQ11" s="283"/>
      <c r="SOR11" s="283"/>
      <c r="SOS11" s="283"/>
      <c r="SOT11" s="283"/>
      <c r="SOU11" s="283"/>
      <c r="SOV11" s="283"/>
      <c r="SOW11" s="283"/>
      <c r="SOX11" s="283"/>
      <c r="SOY11" s="283"/>
      <c r="SOZ11" s="283"/>
      <c r="SPA11" s="283"/>
      <c r="SPB11" s="283"/>
      <c r="SPC11" s="283"/>
      <c r="SPD11" s="283"/>
      <c r="SPE11" s="283"/>
      <c r="SPF11" s="283"/>
      <c r="SPG11" s="283"/>
      <c r="SPH11" s="283"/>
      <c r="SPI11" s="283"/>
      <c r="SPJ11" s="283"/>
      <c r="SPK11" s="283"/>
      <c r="SPL11" s="283"/>
      <c r="SPM11" s="283"/>
      <c r="SPN11" s="283"/>
      <c r="SPO11" s="283"/>
      <c r="SPP11" s="283"/>
      <c r="SPQ11" s="283"/>
      <c r="SPR11" s="283"/>
      <c r="SPS11" s="283"/>
      <c r="SPT11" s="283"/>
      <c r="SPU11" s="283"/>
      <c r="SPV11" s="283"/>
      <c r="SPW11" s="283"/>
      <c r="SPX11" s="283"/>
      <c r="SPY11" s="283"/>
      <c r="SPZ11" s="283"/>
      <c r="SQA11" s="283"/>
      <c r="SQB11" s="283"/>
      <c r="SQC11" s="283"/>
      <c r="SQD11" s="283"/>
      <c r="SQE11" s="283"/>
      <c r="SQF11" s="283"/>
      <c r="SQG11" s="283"/>
      <c r="SQH11" s="283"/>
      <c r="SQI11" s="283"/>
      <c r="SQJ11" s="283"/>
      <c r="SQK11" s="283"/>
      <c r="SQL11" s="283"/>
      <c r="SQM11" s="283"/>
      <c r="SQN11" s="283"/>
      <c r="SQO11" s="283"/>
      <c r="SQP11" s="283"/>
      <c r="SQQ11" s="283"/>
      <c r="SQR11" s="283"/>
      <c r="SQS11" s="283"/>
      <c r="SQT11" s="283"/>
      <c r="SQU11" s="283"/>
      <c r="SQV11" s="283"/>
      <c r="SQW11" s="283"/>
      <c r="SQX11" s="283"/>
      <c r="SQY11" s="283"/>
      <c r="SQZ11" s="283"/>
      <c r="SRA11" s="283"/>
      <c r="SRB11" s="283"/>
      <c r="SRC11" s="283"/>
      <c r="SRD11" s="283"/>
      <c r="SRE11" s="283"/>
      <c r="SRF11" s="283"/>
      <c r="SRG11" s="283"/>
      <c r="SRH11" s="283"/>
      <c r="SRI11" s="283"/>
      <c r="SRJ11" s="283"/>
      <c r="SRK11" s="283"/>
      <c r="SRL11" s="283"/>
      <c r="SRM11" s="283"/>
      <c r="SRN11" s="283"/>
      <c r="SRO11" s="283"/>
      <c r="SRP11" s="283"/>
      <c r="SRQ11" s="283"/>
      <c r="SRR11" s="283"/>
      <c r="SRS11" s="283"/>
      <c r="SRT11" s="283"/>
      <c r="SRU11" s="283"/>
      <c r="SRV11" s="283"/>
      <c r="SRW11" s="283"/>
      <c r="SRX11" s="283"/>
      <c r="SRY11" s="283"/>
      <c r="SRZ11" s="283"/>
      <c r="SSA11" s="283"/>
      <c r="SSB11" s="283"/>
      <c r="SSC11" s="283"/>
      <c r="SSD11" s="283"/>
      <c r="SSE11" s="283"/>
      <c r="SSF11" s="283"/>
      <c r="SSG11" s="283"/>
      <c r="SSH11" s="283"/>
      <c r="SSI11" s="283"/>
      <c r="SSJ11" s="283"/>
      <c r="SSK11" s="283"/>
      <c r="SSL11" s="283"/>
      <c r="SSM11" s="283"/>
      <c r="SSN11" s="283"/>
      <c r="SSO11" s="283"/>
      <c r="SSP11" s="283"/>
      <c r="SSQ11" s="283"/>
      <c r="SSR11" s="283"/>
      <c r="SSS11" s="283"/>
      <c r="SST11" s="283"/>
      <c r="SSU11" s="283"/>
      <c r="SSV11" s="283"/>
      <c r="SSW11" s="283"/>
      <c r="SSX11" s="283"/>
      <c r="SSY11" s="283"/>
      <c r="SSZ11" s="283"/>
      <c r="STA11" s="283"/>
      <c r="STB11" s="283"/>
      <c r="STC11" s="283"/>
      <c r="STD11" s="283"/>
      <c r="STE11" s="283"/>
      <c r="STF11" s="283"/>
      <c r="STG11" s="283"/>
      <c r="STH11" s="283"/>
      <c r="STI11" s="283"/>
      <c r="STJ11" s="283"/>
      <c r="STK11" s="283"/>
      <c r="STL11" s="283"/>
      <c r="STM11" s="283"/>
      <c r="STN11" s="283"/>
      <c r="STO11" s="283"/>
      <c r="STP11" s="283"/>
      <c r="STQ11" s="283"/>
      <c r="STR11" s="283"/>
      <c r="STS11" s="283"/>
      <c r="STT11" s="283"/>
      <c r="STU11" s="283"/>
      <c r="STV11" s="283"/>
      <c r="STW11" s="283"/>
      <c r="STX11" s="283"/>
      <c r="STY11" s="283"/>
      <c r="STZ11" s="283"/>
      <c r="SUA11" s="283"/>
      <c r="SUB11" s="283"/>
      <c r="SUC11" s="283"/>
      <c r="SUD11" s="283"/>
      <c r="SUE11" s="283"/>
      <c r="SUF11" s="283"/>
      <c r="SUG11" s="283"/>
      <c r="SUH11" s="283"/>
      <c r="SUI11" s="283"/>
      <c r="SUJ11" s="283"/>
      <c r="SUK11" s="283"/>
      <c r="SUL11" s="283"/>
      <c r="SUM11" s="283"/>
      <c r="SUN11" s="283"/>
      <c r="SUO11" s="283"/>
      <c r="SUP11" s="283"/>
      <c r="SUQ11" s="283"/>
      <c r="SUR11" s="283"/>
      <c r="SUS11" s="283"/>
      <c r="SUT11" s="283"/>
      <c r="SUU11" s="283"/>
      <c r="SUV11" s="283"/>
      <c r="SUW11" s="283"/>
      <c r="SUX11" s="283"/>
      <c r="SUY11" s="283"/>
      <c r="SUZ11" s="283"/>
      <c r="SVA11" s="283"/>
      <c r="SVB11" s="283"/>
      <c r="SVC11" s="283"/>
      <c r="SVD11" s="283"/>
      <c r="SVE11" s="283"/>
      <c r="SVF11" s="283"/>
      <c r="SVG11" s="283"/>
      <c r="SVH11" s="283"/>
      <c r="SVI11" s="283"/>
      <c r="SVJ11" s="283"/>
      <c r="SVK11" s="283"/>
      <c r="SVL11" s="283"/>
      <c r="SVM11" s="283"/>
      <c r="SVN11" s="283"/>
      <c r="SVO11" s="283"/>
      <c r="SVP11" s="283"/>
      <c r="SVQ11" s="283"/>
      <c r="SVR11" s="283"/>
      <c r="SVS11" s="283"/>
      <c r="SVT11" s="283"/>
      <c r="SVU11" s="283"/>
      <c r="SVV11" s="283"/>
      <c r="SVW11" s="283"/>
      <c r="SVX11" s="283"/>
      <c r="SVY11" s="283"/>
      <c r="SVZ11" s="283"/>
      <c r="SWA11" s="283"/>
      <c r="SWB11" s="283"/>
      <c r="SWC11" s="283"/>
      <c r="SWD11" s="283"/>
      <c r="SWE11" s="283"/>
      <c r="SWF11" s="283"/>
      <c r="SWG11" s="283"/>
      <c r="SWH11" s="283"/>
      <c r="SWI11" s="283"/>
      <c r="SWJ11" s="283"/>
      <c r="SWK11" s="283"/>
      <c r="SWL11" s="283"/>
      <c r="SWM11" s="283"/>
      <c r="SWN11" s="283"/>
      <c r="SWO11" s="283"/>
      <c r="SWP11" s="283"/>
      <c r="SWQ11" s="283"/>
      <c r="SWR11" s="283"/>
      <c r="SWS11" s="283"/>
      <c r="SWT11" s="283"/>
      <c r="SWU11" s="283"/>
      <c r="SWV11" s="283"/>
      <c r="SWW11" s="283"/>
      <c r="SWX11" s="283"/>
      <c r="SWY11" s="283"/>
      <c r="SWZ11" s="283"/>
      <c r="SXA11" s="283"/>
      <c r="SXB11" s="283"/>
      <c r="SXC11" s="283"/>
      <c r="SXD11" s="283"/>
      <c r="SXE11" s="283"/>
      <c r="SXF11" s="283"/>
      <c r="SXG11" s="283"/>
      <c r="SXH11" s="283"/>
      <c r="SXI11" s="283"/>
      <c r="SXJ11" s="283"/>
      <c r="SXK11" s="283"/>
      <c r="SXL11" s="283"/>
      <c r="SXM11" s="283"/>
      <c r="SXN11" s="283"/>
      <c r="SXO11" s="283"/>
      <c r="SXP11" s="283"/>
      <c r="SXQ11" s="283"/>
      <c r="SXR11" s="283"/>
      <c r="SXS11" s="283"/>
      <c r="SXT11" s="283"/>
      <c r="SXU11" s="283"/>
      <c r="SXV11" s="283"/>
      <c r="SXW11" s="283"/>
      <c r="SXX11" s="283"/>
      <c r="SXY11" s="283"/>
      <c r="SXZ11" s="283"/>
      <c r="SYA11" s="283"/>
      <c r="SYB11" s="283"/>
      <c r="SYC11" s="283"/>
      <c r="SYD11" s="283"/>
      <c r="SYE11" s="283"/>
      <c r="SYF11" s="283"/>
      <c r="SYG11" s="283"/>
      <c r="SYH11" s="283"/>
      <c r="SYI11" s="283"/>
      <c r="SYJ11" s="283"/>
      <c r="SYK11" s="283"/>
      <c r="SYL11" s="283"/>
      <c r="SYM11" s="283"/>
      <c r="SYN11" s="283"/>
      <c r="SYO11" s="283"/>
      <c r="SYP11" s="283"/>
      <c r="SYQ11" s="283"/>
      <c r="SYR11" s="283"/>
      <c r="SYS11" s="283"/>
      <c r="SYT11" s="283"/>
      <c r="SYU11" s="283"/>
      <c r="SYV11" s="283"/>
      <c r="SYW11" s="283"/>
      <c r="SYX11" s="283"/>
      <c r="SYY11" s="283"/>
      <c r="SYZ11" s="283"/>
      <c r="SZA11" s="283"/>
      <c r="SZB11" s="283"/>
      <c r="SZC11" s="283"/>
      <c r="SZD11" s="283"/>
      <c r="SZE11" s="283"/>
      <c r="SZF11" s="283"/>
      <c r="SZG11" s="283"/>
      <c r="SZH11" s="283"/>
      <c r="SZI11" s="283"/>
      <c r="SZJ11" s="283"/>
      <c r="SZK11" s="283"/>
      <c r="SZL11" s="283"/>
      <c r="SZM11" s="283"/>
      <c r="SZN11" s="283"/>
      <c r="SZO11" s="283"/>
      <c r="SZP11" s="283"/>
      <c r="SZQ11" s="283"/>
      <c r="SZR11" s="283"/>
      <c r="SZS11" s="283"/>
      <c r="SZT11" s="283"/>
      <c r="SZU11" s="283"/>
      <c r="SZV11" s="283"/>
      <c r="SZW11" s="283"/>
      <c r="SZX11" s="283"/>
      <c r="SZY11" s="283"/>
      <c r="SZZ11" s="283"/>
      <c r="TAA11" s="283"/>
      <c r="TAB11" s="283"/>
      <c r="TAC11" s="283"/>
      <c r="TAD11" s="283"/>
      <c r="TAE11" s="283"/>
      <c r="TAF11" s="283"/>
      <c r="TAG11" s="283"/>
      <c r="TAH11" s="283"/>
      <c r="TAI11" s="283"/>
      <c r="TAJ11" s="283"/>
      <c r="TAK11" s="283"/>
      <c r="TAL11" s="283"/>
      <c r="TAM11" s="283"/>
      <c r="TAN11" s="283"/>
      <c r="TAO11" s="283"/>
      <c r="TAP11" s="283"/>
      <c r="TAQ11" s="283"/>
      <c r="TAR11" s="283"/>
      <c r="TAS11" s="283"/>
      <c r="TAT11" s="283"/>
      <c r="TAU11" s="283"/>
      <c r="TAV11" s="283"/>
      <c r="TAW11" s="283"/>
      <c r="TAX11" s="283"/>
      <c r="TAY11" s="283"/>
      <c r="TAZ11" s="283"/>
      <c r="TBA11" s="283"/>
      <c r="TBB11" s="283"/>
      <c r="TBC11" s="283"/>
      <c r="TBD11" s="283"/>
      <c r="TBE11" s="283"/>
      <c r="TBF11" s="283"/>
      <c r="TBG11" s="283"/>
      <c r="TBH11" s="283"/>
      <c r="TBI11" s="283"/>
      <c r="TBJ11" s="283"/>
      <c r="TBK11" s="283"/>
      <c r="TBL11" s="283"/>
      <c r="TBM11" s="283"/>
      <c r="TBN11" s="283"/>
      <c r="TBO11" s="283"/>
      <c r="TBP11" s="283"/>
      <c r="TBQ11" s="283"/>
      <c r="TBR11" s="283"/>
      <c r="TBS11" s="283"/>
      <c r="TBT11" s="283"/>
      <c r="TBU11" s="283"/>
      <c r="TBV11" s="283"/>
      <c r="TBW11" s="283"/>
      <c r="TBX11" s="283"/>
      <c r="TBY11" s="283"/>
      <c r="TBZ11" s="283"/>
      <c r="TCA11" s="283"/>
      <c r="TCB11" s="283"/>
      <c r="TCC11" s="283"/>
      <c r="TCD11" s="283"/>
      <c r="TCE11" s="283"/>
      <c r="TCF11" s="283"/>
      <c r="TCG11" s="283"/>
      <c r="TCH11" s="283"/>
      <c r="TCI11" s="283"/>
      <c r="TCJ11" s="283"/>
      <c r="TCK11" s="283"/>
      <c r="TCL11" s="283"/>
      <c r="TCM11" s="283"/>
      <c r="TCN11" s="283"/>
      <c r="TCO11" s="283"/>
      <c r="TCP11" s="283"/>
      <c r="TCQ11" s="283"/>
      <c r="TCR11" s="283"/>
      <c r="TCS11" s="283"/>
      <c r="TCT11" s="283"/>
      <c r="TCU11" s="283"/>
      <c r="TCV11" s="283"/>
      <c r="TCW11" s="283"/>
      <c r="TCX11" s="283"/>
      <c r="TCY11" s="283"/>
      <c r="TCZ11" s="283"/>
      <c r="TDA11" s="283"/>
      <c r="TDB11" s="283"/>
      <c r="TDC11" s="283"/>
      <c r="TDD11" s="283"/>
      <c r="TDE11" s="283"/>
      <c r="TDF11" s="283"/>
      <c r="TDG11" s="283"/>
      <c r="TDH11" s="283"/>
      <c r="TDI11" s="283"/>
      <c r="TDJ11" s="283"/>
      <c r="TDK11" s="283"/>
      <c r="TDL11" s="283"/>
      <c r="TDM11" s="283"/>
      <c r="TDN11" s="283"/>
      <c r="TDO11" s="283"/>
      <c r="TDP11" s="283"/>
      <c r="TDQ11" s="283"/>
      <c r="TDR11" s="283"/>
      <c r="TDS11" s="283"/>
      <c r="TDT11" s="283"/>
      <c r="TDU11" s="283"/>
      <c r="TDV11" s="283"/>
      <c r="TDW11" s="283"/>
      <c r="TDX11" s="283"/>
      <c r="TDY11" s="283"/>
      <c r="TDZ11" s="283"/>
      <c r="TEA11" s="283"/>
      <c r="TEB11" s="283"/>
      <c r="TEC11" s="283"/>
      <c r="TED11" s="283"/>
      <c r="TEE11" s="283"/>
      <c r="TEF11" s="283"/>
      <c r="TEG11" s="283"/>
      <c r="TEH11" s="283"/>
      <c r="TEI11" s="283"/>
      <c r="TEJ11" s="283"/>
      <c r="TEK11" s="283"/>
      <c r="TEL11" s="283"/>
      <c r="TEM11" s="283"/>
      <c r="TEN11" s="283"/>
      <c r="TEO11" s="283"/>
      <c r="TEP11" s="283"/>
      <c r="TEQ11" s="283"/>
      <c r="TER11" s="283"/>
      <c r="TES11" s="283"/>
      <c r="TET11" s="283"/>
      <c r="TEU11" s="283"/>
      <c r="TEV11" s="283"/>
      <c r="TEW11" s="283"/>
      <c r="TEX11" s="283"/>
      <c r="TEY11" s="283"/>
      <c r="TEZ11" s="283"/>
      <c r="TFA11" s="283"/>
      <c r="TFB11" s="283"/>
      <c r="TFC11" s="283"/>
      <c r="TFD11" s="283"/>
      <c r="TFE11" s="283"/>
      <c r="TFF11" s="283"/>
      <c r="TFG11" s="283"/>
      <c r="TFH11" s="283"/>
      <c r="TFI11" s="283"/>
      <c r="TFJ11" s="283"/>
      <c r="TFK11" s="283"/>
      <c r="TFL11" s="283"/>
      <c r="TFM11" s="283"/>
      <c r="TFN11" s="283"/>
      <c r="TFO11" s="283"/>
      <c r="TFP11" s="283"/>
      <c r="TFQ11" s="283"/>
      <c r="TFR11" s="283"/>
      <c r="TFS11" s="283"/>
      <c r="TFT11" s="283"/>
      <c r="TFU11" s="283"/>
      <c r="TFV11" s="283"/>
      <c r="TFW11" s="283"/>
      <c r="TFX11" s="283"/>
      <c r="TFY11" s="283"/>
      <c r="TFZ11" s="283"/>
      <c r="TGA11" s="283"/>
      <c r="TGB11" s="283"/>
      <c r="TGC11" s="283"/>
      <c r="TGD11" s="283"/>
      <c r="TGE11" s="283"/>
      <c r="TGF11" s="283"/>
      <c r="TGG11" s="283"/>
      <c r="TGH11" s="283"/>
      <c r="TGI11" s="283"/>
      <c r="TGJ11" s="283"/>
      <c r="TGK11" s="283"/>
      <c r="TGL11" s="283"/>
      <c r="TGM11" s="283"/>
      <c r="TGN11" s="283"/>
      <c r="TGO11" s="283"/>
      <c r="TGP11" s="283"/>
      <c r="TGQ11" s="283"/>
      <c r="TGR11" s="283"/>
      <c r="TGS11" s="283"/>
      <c r="TGT11" s="283"/>
      <c r="TGU11" s="283"/>
      <c r="TGV11" s="283"/>
      <c r="TGW11" s="283"/>
      <c r="TGX11" s="283"/>
      <c r="TGY11" s="283"/>
      <c r="TGZ11" s="283"/>
      <c r="THA11" s="283"/>
      <c r="THB11" s="283"/>
      <c r="THC11" s="283"/>
      <c r="THD11" s="283"/>
      <c r="THE11" s="283"/>
      <c r="THF11" s="283"/>
      <c r="THG11" s="283"/>
      <c r="THH11" s="283"/>
      <c r="THI11" s="283"/>
      <c r="THJ11" s="283"/>
      <c r="THK11" s="283"/>
      <c r="THL11" s="283"/>
      <c r="THM11" s="283"/>
      <c r="THN11" s="283"/>
      <c r="THO11" s="283"/>
      <c r="THP11" s="283"/>
      <c r="THQ11" s="283"/>
      <c r="THR11" s="283"/>
      <c r="THS11" s="283"/>
      <c r="THT11" s="283"/>
      <c r="THU11" s="283"/>
      <c r="THV11" s="283"/>
      <c r="THW11" s="283"/>
      <c r="THX11" s="283"/>
      <c r="THY11" s="283"/>
      <c r="THZ11" s="283"/>
      <c r="TIA11" s="283"/>
      <c r="TIB11" s="283"/>
      <c r="TIC11" s="283"/>
      <c r="TID11" s="283"/>
      <c r="TIE11" s="283"/>
      <c r="TIF11" s="283"/>
      <c r="TIG11" s="283"/>
      <c r="TIH11" s="283"/>
      <c r="TII11" s="283"/>
      <c r="TIJ11" s="283"/>
      <c r="TIK11" s="283"/>
      <c r="TIL11" s="283"/>
      <c r="TIM11" s="283"/>
      <c r="TIN11" s="283"/>
      <c r="TIO11" s="283"/>
      <c r="TIP11" s="283"/>
      <c r="TIQ11" s="283"/>
      <c r="TIR11" s="283"/>
      <c r="TIS11" s="283"/>
      <c r="TIT11" s="283"/>
      <c r="TIU11" s="283"/>
      <c r="TIV11" s="283"/>
      <c r="TIW11" s="283"/>
      <c r="TIX11" s="283"/>
      <c r="TIY11" s="283"/>
      <c r="TIZ11" s="283"/>
      <c r="TJA11" s="283"/>
      <c r="TJB11" s="283"/>
      <c r="TJC11" s="283"/>
      <c r="TJD11" s="283"/>
      <c r="TJE11" s="283"/>
      <c r="TJF11" s="283"/>
      <c r="TJG11" s="283"/>
      <c r="TJH11" s="283"/>
      <c r="TJI11" s="283"/>
      <c r="TJJ11" s="283"/>
      <c r="TJK11" s="283"/>
      <c r="TJL11" s="283"/>
      <c r="TJM11" s="283"/>
      <c r="TJN11" s="283"/>
      <c r="TJO11" s="283"/>
      <c r="TJP11" s="283"/>
      <c r="TJQ11" s="283"/>
      <c r="TJR11" s="283"/>
      <c r="TJS11" s="283"/>
      <c r="TJT11" s="283"/>
      <c r="TJU11" s="283"/>
      <c r="TJV11" s="283"/>
      <c r="TJW11" s="283"/>
      <c r="TJX11" s="283"/>
      <c r="TJY11" s="283"/>
      <c r="TJZ11" s="283"/>
      <c r="TKA11" s="283"/>
      <c r="TKB11" s="283"/>
      <c r="TKC11" s="283"/>
      <c r="TKD11" s="283"/>
      <c r="TKE11" s="283"/>
      <c r="TKF11" s="283"/>
      <c r="TKG11" s="283"/>
      <c r="TKH11" s="283"/>
      <c r="TKI11" s="283"/>
      <c r="TKJ11" s="283"/>
      <c r="TKK11" s="283"/>
      <c r="TKL11" s="283"/>
      <c r="TKM11" s="283"/>
      <c r="TKN11" s="283"/>
      <c r="TKO11" s="283"/>
      <c r="TKP11" s="283"/>
      <c r="TKQ11" s="283"/>
      <c r="TKR11" s="283"/>
      <c r="TKS11" s="283"/>
      <c r="TKT11" s="283"/>
      <c r="TKU11" s="283"/>
      <c r="TKV11" s="283"/>
      <c r="TKW11" s="283"/>
      <c r="TKX11" s="283"/>
      <c r="TKY11" s="283"/>
      <c r="TKZ11" s="283"/>
      <c r="TLA11" s="283"/>
      <c r="TLB11" s="283"/>
      <c r="TLC11" s="283"/>
      <c r="TLD11" s="283"/>
      <c r="TLE11" s="283"/>
      <c r="TLF11" s="283"/>
      <c r="TLG11" s="283"/>
      <c r="TLH11" s="283"/>
      <c r="TLI11" s="283"/>
      <c r="TLJ11" s="283"/>
      <c r="TLK11" s="283"/>
      <c r="TLL11" s="283"/>
      <c r="TLM11" s="283"/>
      <c r="TLN11" s="283"/>
      <c r="TLO11" s="283"/>
      <c r="TLP11" s="283"/>
      <c r="TLQ11" s="283"/>
      <c r="TLR11" s="283"/>
      <c r="TLS11" s="283"/>
      <c r="TLT11" s="283"/>
      <c r="TLU11" s="283"/>
      <c r="TLV11" s="283"/>
      <c r="TLW11" s="283"/>
      <c r="TLX11" s="283"/>
      <c r="TLY11" s="283"/>
      <c r="TLZ11" s="283"/>
      <c r="TMA11" s="283"/>
      <c r="TMB11" s="283"/>
      <c r="TMC11" s="283"/>
      <c r="TMD11" s="283"/>
      <c r="TME11" s="283"/>
      <c r="TMF11" s="283"/>
      <c r="TMG11" s="283"/>
      <c r="TMH11" s="283"/>
      <c r="TMI11" s="283"/>
      <c r="TMJ11" s="283"/>
      <c r="TMK11" s="283"/>
      <c r="TML11" s="283"/>
      <c r="TMM11" s="283"/>
      <c r="TMN11" s="283"/>
      <c r="TMO11" s="283"/>
      <c r="TMP11" s="283"/>
      <c r="TMQ11" s="283"/>
      <c r="TMR11" s="283"/>
      <c r="TMS11" s="283"/>
      <c r="TMT11" s="283"/>
      <c r="TMU11" s="283"/>
      <c r="TMV11" s="283"/>
      <c r="TMW11" s="283"/>
      <c r="TMX11" s="283"/>
      <c r="TMY11" s="283"/>
      <c r="TMZ11" s="283"/>
      <c r="TNA11" s="283"/>
      <c r="TNB11" s="283"/>
      <c r="TNC11" s="283"/>
      <c r="TND11" s="283"/>
      <c r="TNE11" s="283"/>
      <c r="TNF11" s="283"/>
      <c r="TNG11" s="283"/>
      <c r="TNH11" s="283"/>
      <c r="TNI11" s="283"/>
      <c r="TNJ11" s="283"/>
      <c r="TNK11" s="283"/>
      <c r="TNL11" s="283"/>
      <c r="TNM11" s="283"/>
      <c r="TNN11" s="283"/>
      <c r="TNO11" s="283"/>
      <c r="TNP11" s="283"/>
      <c r="TNQ11" s="283"/>
      <c r="TNR11" s="283"/>
      <c r="TNS11" s="283"/>
      <c r="TNT11" s="283"/>
      <c r="TNU11" s="283"/>
      <c r="TNV11" s="283"/>
      <c r="TNW11" s="283"/>
      <c r="TNX11" s="283"/>
      <c r="TNY11" s="283"/>
      <c r="TNZ11" s="283"/>
      <c r="TOA11" s="283"/>
      <c r="TOB11" s="283"/>
      <c r="TOC11" s="283"/>
      <c r="TOD11" s="283"/>
      <c r="TOE11" s="283"/>
      <c r="TOF11" s="283"/>
      <c r="TOG11" s="283"/>
      <c r="TOH11" s="283"/>
      <c r="TOI11" s="283"/>
      <c r="TOJ11" s="283"/>
      <c r="TOK11" s="283"/>
      <c r="TOL11" s="283"/>
      <c r="TOM11" s="283"/>
      <c r="TON11" s="283"/>
      <c r="TOO11" s="283"/>
      <c r="TOP11" s="283"/>
      <c r="TOQ11" s="283"/>
      <c r="TOR11" s="283"/>
      <c r="TOS11" s="283"/>
      <c r="TOT11" s="283"/>
      <c r="TOU11" s="283"/>
      <c r="TOV11" s="283"/>
      <c r="TOW11" s="283"/>
      <c r="TOX11" s="283"/>
      <c r="TOY11" s="283"/>
      <c r="TOZ11" s="283"/>
      <c r="TPA11" s="283"/>
      <c r="TPB11" s="283"/>
      <c r="TPC11" s="283"/>
      <c r="TPD11" s="283"/>
      <c r="TPE11" s="283"/>
      <c r="TPF11" s="283"/>
      <c r="TPG11" s="283"/>
      <c r="TPH11" s="283"/>
      <c r="TPI11" s="283"/>
      <c r="TPJ11" s="283"/>
      <c r="TPK11" s="283"/>
      <c r="TPL11" s="283"/>
      <c r="TPM11" s="283"/>
      <c r="TPN11" s="283"/>
      <c r="TPO11" s="283"/>
      <c r="TPP11" s="283"/>
      <c r="TPQ11" s="283"/>
      <c r="TPR11" s="283"/>
      <c r="TPS11" s="283"/>
      <c r="TPT11" s="283"/>
      <c r="TPU11" s="283"/>
      <c r="TPV11" s="283"/>
      <c r="TPW11" s="283"/>
      <c r="TPX11" s="283"/>
      <c r="TPY11" s="283"/>
      <c r="TPZ11" s="283"/>
      <c r="TQA11" s="283"/>
      <c r="TQB11" s="283"/>
      <c r="TQC11" s="283"/>
      <c r="TQD11" s="283"/>
      <c r="TQE11" s="283"/>
      <c r="TQF11" s="283"/>
      <c r="TQG11" s="283"/>
      <c r="TQH11" s="283"/>
      <c r="TQI11" s="283"/>
      <c r="TQJ11" s="283"/>
      <c r="TQK11" s="283"/>
      <c r="TQL11" s="283"/>
      <c r="TQM11" s="283"/>
      <c r="TQN11" s="283"/>
      <c r="TQO11" s="283"/>
      <c r="TQP11" s="283"/>
      <c r="TQQ11" s="283"/>
      <c r="TQR11" s="283"/>
      <c r="TQS11" s="283"/>
      <c r="TQT11" s="283"/>
      <c r="TQU11" s="283"/>
      <c r="TQV11" s="283"/>
      <c r="TQW11" s="283"/>
      <c r="TQX11" s="283"/>
      <c r="TQY11" s="283"/>
      <c r="TQZ11" s="283"/>
      <c r="TRA11" s="283"/>
      <c r="TRB11" s="283"/>
      <c r="TRC11" s="283"/>
      <c r="TRD11" s="283"/>
      <c r="TRE11" s="283"/>
      <c r="TRF11" s="283"/>
      <c r="TRG11" s="283"/>
      <c r="TRH11" s="283"/>
      <c r="TRI11" s="283"/>
      <c r="TRJ11" s="283"/>
      <c r="TRK11" s="283"/>
      <c r="TRL11" s="283"/>
      <c r="TRM11" s="283"/>
      <c r="TRN11" s="283"/>
      <c r="TRO11" s="283"/>
      <c r="TRP11" s="283"/>
      <c r="TRQ11" s="283"/>
      <c r="TRR11" s="283"/>
      <c r="TRS11" s="283"/>
      <c r="TRT11" s="283"/>
      <c r="TRU11" s="283"/>
      <c r="TRV11" s="283"/>
      <c r="TRW11" s="283"/>
      <c r="TRX11" s="283"/>
      <c r="TRY11" s="283"/>
      <c r="TRZ11" s="283"/>
      <c r="TSA11" s="283"/>
      <c r="TSB11" s="283"/>
      <c r="TSC11" s="283"/>
      <c r="TSD11" s="283"/>
      <c r="TSE11" s="283"/>
      <c r="TSF11" s="283"/>
      <c r="TSG11" s="283"/>
      <c r="TSH11" s="283"/>
      <c r="TSI11" s="283"/>
      <c r="TSJ11" s="283"/>
      <c r="TSK11" s="283"/>
      <c r="TSL11" s="283"/>
      <c r="TSM11" s="283"/>
      <c r="TSN11" s="283"/>
      <c r="TSO11" s="283"/>
      <c r="TSP11" s="283"/>
      <c r="TSQ11" s="283"/>
      <c r="TSR11" s="283"/>
      <c r="TSS11" s="283"/>
      <c r="TST11" s="283"/>
      <c r="TSU11" s="283"/>
      <c r="TSV11" s="283"/>
      <c r="TSW11" s="283"/>
      <c r="TSX11" s="283"/>
      <c r="TSY11" s="283"/>
      <c r="TSZ11" s="283"/>
      <c r="TTA11" s="283"/>
      <c r="TTB11" s="283"/>
      <c r="TTC11" s="283"/>
      <c r="TTD11" s="283"/>
      <c r="TTE11" s="283"/>
      <c r="TTF11" s="283"/>
      <c r="TTG11" s="283"/>
      <c r="TTH11" s="283"/>
      <c r="TTI11" s="283"/>
      <c r="TTJ11" s="283"/>
      <c r="TTK11" s="283"/>
      <c r="TTL11" s="283"/>
      <c r="TTM11" s="283"/>
      <c r="TTN11" s="283"/>
      <c r="TTO11" s="283"/>
      <c r="TTP11" s="283"/>
      <c r="TTQ11" s="283"/>
      <c r="TTR11" s="283"/>
      <c r="TTS11" s="283"/>
      <c r="TTT11" s="283"/>
      <c r="TTU11" s="283"/>
      <c r="TTV11" s="283"/>
      <c r="TTW11" s="283"/>
      <c r="TTX11" s="283"/>
      <c r="TTY11" s="283"/>
      <c r="TTZ11" s="283"/>
      <c r="TUA11" s="283"/>
      <c r="TUB11" s="283"/>
      <c r="TUC11" s="283"/>
      <c r="TUD11" s="283"/>
      <c r="TUE11" s="283"/>
      <c r="TUF11" s="283"/>
      <c r="TUG11" s="283"/>
      <c r="TUH11" s="283"/>
      <c r="TUI11" s="283"/>
      <c r="TUJ11" s="283"/>
      <c r="TUK11" s="283"/>
      <c r="TUL11" s="283"/>
      <c r="TUM11" s="283"/>
      <c r="TUN11" s="283"/>
      <c r="TUO11" s="283"/>
      <c r="TUP11" s="283"/>
      <c r="TUQ11" s="283"/>
      <c r="TUR11" s="283"/>
      <c r="TUS11" s="283"/>
      <c r="TUT11" s="283"/>
      <c r="TUU11" s="283"/>
      <c r="TUV11" s="283"/>
      <c r="TUW11" s="283"/>
      <c r="TUX11" s="283"/>
      <c r="TUY11" s="283"/>
      <c r="TUZ11" s="283"/>
      <c r="TVA11" s="283"/>
      <c r="TVB11" s="283"/>
      <c r="TVC11" s="283"/>
      <c r="TVD11" s="283"/>
      <c r="TVE11" s="283"/>
      <c r="TVF11" s="283"/>
      <c r="TVG11" s="283"/>
      <c r="TVH11" s="283"/>
      <c r="TVI11" s="283"/>
      <c r="TVJ11" s="283"/>
      <c r="TVK11" s="283"/>
      <c r="TVL11" s="283"/>
      <c r="TVM11" s="283"/>
      <c r="TVN11" s="283"/>
      <c r="TVO11" s="283"/>
      <c r="TVP11" s="283"/>
      <c r="TVQ11" s="283"/>
      <c r="TVR11" s="283"/>
      <c r="TVS11" s="283"/>
      <c r="TVT11" s="283"/>
      <c r="TVU11" s="283"/>
      <c r="TVV11" s="283"/>
      <c r="TVW11" s="283"/>
      <c r="TVX11" s="283"/>
      <c r="TVY11" s="283"/>
      <c r="TVZ11" s="283"/>
      <c r="TWA11" s="283"/>
      <c r="TWB11" s="283"/>
      <c r="TWC11" s="283"/>
      <c r="TWD11" s="283"/>
      <c r="TWE11" s="283"/>
      <c r="TWF11" s="283"/>
      <c r="TWG11" s="283"/>
      <c r="TWH11" s="283"/>
      <c r="TWI11" s="283"/>
      <c r="TWJ11" s="283"/>
      <c r="TWK11" s="283"/>
      <c r="TWL11" s="283"/>
      <c r="TWM11" s="283"/>
      <c r="TWN11" s="283"/>
      <c r="TWO11" s="283"/>
      <c r="TWP11" s="283"/>
      <c r="TWQ11" s="283"/>
      <c r="TWR11" s="283"/>
      <c r="TWS11" s="283"/>
      <c r="TWT11" s="283"/>
      <c r="TWU11" s="283"/>
      <c r="TWV11" s="283"/>
      <c r="TWW11" s="283"/>
      <c r="TWX11" s="283"/>
      <c r="TWY11" s="283"/>
      <c r="TWZ11" s="283"/>
      <c r="TXA11" s="283"/>
      <c r="TXB11" s="283"/>
      <c r="TXC11" s="283"/>
      <c r="TXD11" s="283"/>
      <c r="TXE11" s="283"/>
      <c r="TXF11" s="283"/>
      <c r="TXG11" s="283"/>
      <c r="TXH11" s="283"/>
      <c r="TXI11" s="283"/>
      <c r="TXJ11" s="283"/>
      <c r="TXK11" s="283"/>
      <c r="TXL11" s="283"/>
      <c r="TXM11" s="283"/>
      <c r="TXN11" s="283"/>
      <c r="TXO11" s="283"/>
      <c r="TXP11" s="283"/>
      <c r="TXQ11" s="283"/>
      <c r="TXR11" s="283"/>
      <c r="TXS11" s="283"/>
      <c r="TXT11" s="283"/>
      <c r="TXU11" s="283"/>
      <c r="TXV11" s="283"/>
      <c r="TXW11" s="283"/>
      <c r="TXX11" s="283"/>
      <c r="TXY11" s="283"/>
      <c r="TXZ11" s="283"/>
      <c r="TYA11" s="283"/>
      <c r="TYB11" s="283"/>
      <c r="TYC11" s="283"/>
      <c r="TYD11" s="283"/>
      <c r="TYE11" s="283"/>
      <c r="TYF11" s="283"/>
      <c r="TYG11" s="283"/>
      <c r="TYH11" s="283"/>
      <c r="TYI11" s="283"/>
      <c r="TYJ11" s="283"/>
      <c r="TYK11" s="283"/>
      <c r="TYL11" s="283"/>
      <c r="TYM11" s="283"/>
      <c r="TYN11" s="283"/>
      <c r="TYO11" s="283"/>
      <c r="TYP11" s="283"/>
      <c r="TYQ11" s="283"/>
      <c r="TYR11" s="283"/>
      <c r="TYS11" s="283"/>
      <c r="TYT11" s="283"/>
      <c r="TYU11" s="283"/>
      <c r="TYV11" s="283"/>
      <c r="TYW11" s="283"/>
      <c r="TYX11" s="283"/>
      <c r="TYY11" s="283"/>
      <c r="TYZ11" s="283"/>
      <c r="TZA11" s="283"/>
      <c r="TZB11" s="283"/>
      <c r="TZC11" s="283"/>
      <c r="TZD11" s="283"/>
      <c r="TZE11" s="283"/>
      <c r="TZF11" s="283"/>
      <c r="TZG11" s="283"/>
      <c r="TZH11" s="283"/>
      <c r="TZI11" s="283"/>
      <c r="TZJ11" s="283"/>
      <c r="TZK11" s="283"/>
      <c r="TZL11" s="283"/>
      <c r="TZM11" s="283"/>
      <c r="TZN11" s="283"/>
      <c r="TZO11" s="283"/>
      <c r="TZP11" s="283"/>
      <c r="TZQ11" s="283"/>
      <c r="TZR11" s="283"/>
      <c r="TZS11" s="283"/>
      <c r="TZT11" s="283"/>
      <c r="TZU11" s="283"/>
      <c r="TZV11" s="283"/>
      <c r="TZW11" s="283"/>
      <c r="TZX11" s="283"/>
      <c r="TZY11" s="283"/>
      <c r="TZZ11" s="283"/>
      <c r="UAA11" s="283"/>
      <c r="UAB11" s="283"/>
      <c r="UAC11" s="283"/>
      <c r="UAD11" s="283"/>
      <c r="UAE11" s="283"/>
      <c r="UAF11" s="283"/>
      <c r="UAG11" s="283"/>
      <c r="UAH11" s="283"/>
      <c r="UAI11" s="283"/>
      <c r="UAJ11" s="283"/>
      <c r="UAK11" s="283"/>
      <c r="UAL11" s="283"/>
      <c r="UAM11" s="283"/>
      <c r="UAN11" s="283"/>
      <c r="UAO11" s="283"/>
      <c r="UAP11" s="283"/>
      <c r="UAQ11" s="283"/>
      <c r="UAR11" s="283"/>
      <c r="UAS11" s="283"/>
      <c r="UAT11" s="283"/>
      <c r="UAU11" s="283"/>
      <c r="UAV11" s="283"/>
      <c r="UAW11" s="283"/>
      <c r="UAX11" s="283"/>
      <c r="UAY11" s="283"/>
      <c r="UAZ11" s="283"/>
      <c r="UBA11" s="283"/>
      <c r="UBB11" s="283"/>
      <c r="UBC11" s="283"/>
      <c r="UBD11" s="283"/>
      <c r="UBE11" s="283"/>
      <c r="UBF11" s="283"/>
      <c r="UBG11" s="283"/>
      <c r="UBH11" s="283"/>
      <c r="UBI11" s="283"/>
      <c r="UBJ11" s="283"/>
      <c r="UBK11" s="283"/>
      <c r="UBL11" s="283"/>
      <c r="UBM11" s="283"/>
      <c r="UBN11" s="283"/>
      <c r="UBO11" s="283"/>
      <c r="UBP11" s="283"/>
      <c r="UBQ11" s="283"/>
      <c r="UBR11" s="283"/>
      <c r="UBS11" s="283"/>
      <c r="UBT11" s="283"/>
      <c r="UBU11" s="283"/>
      <c r="UBV11" s="283"/>
      <c r="UBW11" s="283"/>
      <c r="UBX11" s="283"/>
      <c r="UBY11" s="283"/>
      <c r="UBZ11" s="283"/>
      <c r="UCA11" s="283"/>
      <c r="UCB11" s="283"/>
      <c r="UCC11" s="283"/>
      <c r="UCD11" s="283"/>
      <c r="UCE11" s="283"/>
      <c r="UCF11" s="283"/>
      <c r="UCG11" s="283"/>
      <c r="UCH11" s="283"/>
      <c r="UCI11" s="283"/>
      <c r="UCJ11" s="283"/>
      <c r="UCK11" s="283"/>
      <c r="UCL11" s="283"/>
      <c r="UCM11" s="283"/>
      <c r="UCN11" s="283"/>
      <c r="UCO11" s="283"/>
      <c r="UCP11" s="283"/>
      <c r="UCQ11" s="283"/>
      <c r="UCR11" s="283"/>
      <c r="UCS11" s="283"/>
      <c r="UCT11" s="283"/>
      <c r="UCU11" s="283"/>
      <c r="UCV11" s="283"/>
      <c r="UCW11" s="283"/>
      <c r="UCX11" s="283"/>
      <c r="UCY11" s="283"/>
      <c r="UCZ11" s="283"/>
      <c r="UDA11" s="283"/>
      <c r="UDB11" s="283"/>
      <c r="UDC11" s="283"/>
      <c r="UDD11" s="283"/>
      <c r="UDE11" s="283"/>
      <c r="UDF11" s="283"/>
      <c r="UDG11" s="283"/>
      <c r="UDH11" s="283"/>
      <c r="UDI11" s="283"/>
      <c r="UDJ11" s="283"/>
      <c r="UDK11" s="283"/>
      <c r="UDL11" s="283"/>
      <c r="UDM11" s="283"/>
      <c r="UDN11" s="283"/>
      <c r="UDO11" s="283"/>
      <c r="UDP11" s="283"/>
      <c r="UDQ11" s="283"/>
      <c r="UDR11" s="283"/>
      <c r="UDS11" s="283"/>
      <c r="UDT11" s="283"/>
      <c r="UDU11" s="283"/>
      <c r="UDV11" s="283"/>
      <c r="UDW11" s="283"/>
      <c r="UDX11" s="283"/>
      <c r="UDY11" s="283"/>
      <c r="UDZ11" s="283"/>
      <c r="UEA11" s="283"/>
      <c r="UEB11" s="283"/>
      <c r="UEC11" s="283"/>
      <c r="UED11" s="283"/>
      <c r="UEE11" s="283"/>
      <c r="UEF11" s="283"/>
      <c r="UEG11" s="283"/>
      <c r="UEH11" s="283"/>
      <c r="UEI11" s="283"/>
      <c r="UEJ11" s="283"/>
      <c r="UEK11" s="283"/>
      <c r="UEL11" s="283"/>
      <c r="UEM11" s="283"/>
      <c r="UEN11" s="283"/>
      <c r="UEO11" s="283"/>
      <c r="UEP11" s="283"/>
      <c r="UEQ11" s="283"/>
      <c r="UER11" s="283"/>
      <c r="UES11" s="283"/>
      <c r="UET11" s="283"/>
      <c r="UEU11" s="283"/>
      <c r="UEV11" s="283"/>
      <c r="UEW11" s="283"/>
      <c r="UEX11" s="283"/>
      <c r="UEY11" s="283"/>
      <c r="UEZ11" s="283"/>
      <c r="UFA11" s="283"/>
      <c r="UFB11" s="283"/>
      <c r="UFC11" s="283"/>
      <c r="UFD11" s="283"/>
      <c r="UFE11" s="283"/>
      <c r="UFF11" s="283"/>
      <c r="UFG11" s="283"/>
      <c r="UFH11" s="283"/>
      <c r="UFI11" s="283"/>
      <c r="UFJ11" s="283"/>
      <c r="UFK11" s="283"/>
      <c r="UFL11" s="283"/>
      <c r="UFM11" s="283"/>
      <c r="UFN11" s="283"/>
      <c r="UFO11" s="283"/>
      <c r="UFP11" s="283"/>
      <c r="UFQ11" s="283"/>
      <c r="UFR11" s="283"/>
      <c r="UFS11" s="283"/>
      <c r="UFT11" s="283"/>
      <c r="UFU11" s="283"/>
      <c r="UFV11" s="283"/>
      <c r="UFW11" s="283"/>
      <c r="UFX11" s="283"/>
      <c r="UFY11" s="283"/>
      <c r="UFZ11" s="283"/>
      <c r="UGA11" s="283"/>
      <c r="UGB11" s="283"/>
      <c r="UGC11" s="283"/>
      <c r="UGD11" s="283"/>
      <c r="UGE11" s="283"/>
      <c r="UGF11" s="283"/>
      <c r="UGG11" s="283"/>
      <c r="UGH11" s="283"/>
      <c r="UGI11" s="283"/>
      <c r="UGJ11" s="283"/>
      <c r="UGK11" s="283"/>
      <c r="UGL11" s="283"/>
      <c r="UGM11" s="283"/>
      <c r="UGN11" s="283"/>
      <c r="UGO11" s="283"/>
      <c r="UGP11" s="283"/>
      <c r="UGQ11" s="283"/>
      <c r="UGR11" s="283"/>
      <c r="UGS11" s="283"/>
      <c r="UGT11" s="283"/>
      <c r="UGU11" s="283"/>
      <c r="UGV11" s="283"/>
      <c r="UGW11" s="283"/>
      <c r="UGX11" s="283"/>
      <c r="UGY11" s="283"/>
      <c r="UGZ11" s="283"/>
      <c r="UHA11" s="283"/>
      <c r="UHB11" s="283"/>
      <c r="UHC11" s="283"/>
      <c r="UHD11" s="283"/>
      <c r="UHE11" s="283"/>
      <c r="UHF11" s="283"/>
      <c r="UHG11" s="283"/>
      <c r="UHH11" s="283"/>
      <c r="UHI11" s="283"/>
      <c r="UHJ11" s="283"/>
      <c r="UHK11" s="283"/>
      <c r="UHL11" s="283"/>
      <c r="UHM11" s="283"/>
      <c r="UHN11" s="283"/>
      <c r="UHO11" s="283"/>
      <c r="UHP11" s="283"/>
      <c r="UHQ11" s="283"/>
      <c r="UHR11" s="283"/>
      <c r="UHS11" s="283"/>
      <c r="UHT11" s="283"/>
      <c r="UHU11" s="283"/>
      <c r="UHV11" s="283"/>
      <c r="UHW11" s="283"/>
      <c r="UHX11" s="283"/>
      <c r="UHY11" s="283"/>
      <c r="UHZ11" s="283"/>
      <c r="UIA11" s="283"/>
      <c r="UIB11" s="283"/>
      <c r="UIC11" s="283"/>
      <c r="UID11" s="283"/>
      <c r="UIE11" s="283"/>
      <c r="UIF11" s="283"/>
      <c r="UIG11" s="283"/>
      <c r="UIH11" s="283"/>
      <c r="UII11" s="283"/>
      <c r="UIJ11" s="283"/>
      <c r="UIK11" s="283"/>
      <c r="UIL11" s="283"/>
      <c r="UIM11" s="283"/>
      <c r="UIN11" s="283"/>
      <c r="UIO11" s="283"/>
      <c r="UIP11" s="283"/>
      <c r="UIQ11" s="283"/>
      <c r="UIR11" s="283"/>
      <c r="UIS11" s="283"/>
      <c r="UIT11" s="283"/>
      <c r="UIU11" s="283"/>
      <c r="UIV11" s="283"/>
      <c r="UIW11" s="283"/>
      <c r="UIX11" s="283"/>
      <c r="UIY11" s="283"/>
      <c r="UIZ11" s="283"/>
      <c r="UJA11" s="283"/>
      <c r="UJB11" s="283"/>
      <c r="UJC11" s="283"/>
      <c r="UJD11" s="283"/>
      <c r="UJE11" s="283"/>
      <c r="UJF11" s="283"/>
      <c r="UJG11" s="283"/>
      <c r="UJH11" s="283"/>
      <c r="UJI11" s="283"/>
      <c r="UJJ11" s="283"/>
      <c r="UJK11" s="283"/>
      <c r="UJL11" s="283"/>
      <c r="UJM11" s="283"/>
      <c r="UJN11" s="283"/>
      <c r="UJO11" s="283"/>
      <c r="UJP11" s="283"/>
      <c r="UJQ11" s="283"/>
      <c r="UJR11" s="283"/>
      <c r="UJS11" s="283"/>
      <c r="UJT11" s="283"/>
      <c r="UJU11" s="283"/>
      <c r="UJV11" s="283"/>
      <c r="UJW11" s="283"/>
      <c r="UJX11" s="283"/>
      <c r="UJY11" s="283"/>
      <c r="UJZ11" s="283"/>
      <c r="UKA11" s="283"/>
      <c r="UKB11" s="283"/>
      <c r="UKC11" s="283"/>
      <c r="UKD11" s="283"/>
      <c r="UKE11" s="283"/>
      <c r="UKF11" s="283"/>
      <c r="UKG11" s="283"/>
      <c r="UKH11" s="283"/>
      <c r="UKI11" s="283"/>
      <c r="UKJ11" s="283"/>
      <c r="UKK11" s="283"/>
      <c r="UKL11" s="283"/>
      <c r="UKM11" s="283"/>
      <c r="UKN11" s="283"/>
      <c r="UKO11" s="283"/>
      <c r="UKP11" s="283"/>
      <c r="UKQ11" s="283"/>
      <c r="UKR11" s="283"/>
      <c r="UKS11" s="283"/>
      <c r="UKT11" s="283"/>
      <c r="UKU11" s="283"/>
      <c r="UKV11" s="283"/>
      <c r="UKW11" s="283"/>
      <c r="UKX11" s="283"/>
      <c r="UKY11" s="283"/>
      <c r="UKZ11" s="283"/>
      <c r="ULA11" s="283"/>
      <c r="ULB11" s="283"/>
      <c r="ULC11" s="283"/>
      <c r="ULD11" s="283"/>
      <c r="ULE11" s="283"/>
      <c r="ULF11" s="283"/>
      <c r="ULG11" s="283"/>
      <c r="ULH11" s="283"/>
      <c r="ULI11" s="283"/>
      <c r="ULJ11" s="283"/>
      <c r="ULK11" s="283"/>
      <c r="ULL11" s="283"/>
      <c r="ULM11" s="283"/>
      <c r="ULN11" s="283"/>
      <c r="ULO11" s="283"/>
      <c r="ULP11" s="283"/>
      <c r="ULQ11" s="283"/>
      <c r="ULR11" s="283"/>
      <c r="ULS11" s="283"/>
      <c r="ULT11" s="283"/>
      <c r="ULU11" s="283"/>
      <c r="ULV11" s="283"/>
      <c r="ULW11" s="283"/>
      <c r="ULX11" s="283"/>
      <c r="ULY11" s="283"/>
      <c r="ULZ11" s="283"/>
      <c r="UMA11" s="283"/>
      <c r="UMB11" s="283"/>
      <c r="UMC11" s="283"/>
      <c r="UMD11" s="283"/>
      <c r="UME11" s="283"/>
      <c r="UMF11" s="283"/>
      <c r="UMG11" s="283"/>
      <c r="UMH11" s="283"/>
      <c r="UMI11" s="283"/>
      <c r="UMJ11" s="283"/>
      <c r="UMK11" s="283"/>
      <c r="UML11" s="283"/>
      <c r="UMM11" s="283"/>
      <c r="UMN11" s="283"/>
      <c r="UMO11" s="283"/>
      <c r="UMP11" s="283"/>
      <c r="UMQ11" s="283"/>
      <c r="UMR11" s="283"/>
      <c r="UMS11" s="283"/>
      <c r="UMT11" s="283"/>
      <c r="UMU11" s="283"/>
      <c r="UMV11" s="283"/>
      <c r="UMW11" s="283"/>
      <c r="UMX11" s="283"/>
      <c r="UMY11" s="283"/>
      <c r="UMZ11" s="283"/>
      <c r="UNA11" s="283"/>
      <c r="UNB11" s="283"/>
      <c r="UNC11" s="283"/>
      <c r="UND11" s="283"/>
      <c r="UNE11" s="283"/>
      <c r="UNF11" s="283"/>
      <c r="UNG11" s="283"/>
      <c r="UNH11" s="283"/>
      <c r="UNI11" s="283"/>
      <c r="UNJ11" s="283"/>
      <c r="UNK11" s="283"/>
      <c r="UNL11" s="283"/>
      <c r="UNM11" s="283"/>
      <c r="UNN11" s="283"/>
      <c r="UNO11" s="283"/>
      <c r="UNP11" s="283"/>
      <c r="UNQ11" s="283"/>
      <c r="UNR11" s="283"/>
      <c r="UNS11" s="283"/>
      <c r="UNT11" s="283"/>
      <c r="UNU11" s="283"/>
      <c r="UNV11" s="283"/>
      <c r="UNW11" s="283"/>
      <c r="UNX11" s="283"/>
      <c r="UNY11" s="283"/>
      <c r="UNZ11" s="283"/>
      <c r="UOA11" s="283"/>
      <c r="UOB11" s="283"/>
      <c r="UOC11" s="283"/>
      <c r="UOD11" s="283"/>
      <c r="UOE11" s="283"/>
      <c r="UOF11" s="283"/>
      <c r="UOG11" s="283"/>
      <c r="UOH11" s="283"/>
      <c r="UOI11" s="283"/>
      <c r="UOJ11" s="283"/>
      <c r="UOK11" s="283"/>
      <c r="UOL11" s="283"/>
      <c r="UOM11" s="283"/>
      <c r="UON11" s="283"/>
      <c r="UOO11" s="283"/>
      <c r="UOP11" s="283"/>
      <c r="UOQ11" s="283"/>
      <c r="UOR11" s="283"/>
      <c r="UOS11" s="283"/>
      <c r="UOT11" s="283"/>
      <c r="UOU11" s="283"/>
      <c r="UOV11" s="283"/>
      <c r="UOW11" s="283"/>
      <c r="UOX11" s="283"/>
      <c r="UOY11" s="283"/>
      <c r="UOZ11" s="283"/>
      <c r="UPA11" s="283"/>
      <c r="UPB11" s="283"/>
      <c r="UPC11" s="283"/>
      <c r="UPD11" s="283"/>
      <c r="UPE11" s="283"/>
      <c r="UPF11" s="283"/>
      <c r="UPG11" s="283"/>
      <c r="UPH11" s="283"/>
      <c r="UPI11" s="283"/>
      <c r="UPJ11" s="283"/>
      <c r="UPK11" s="283"/>
      <c r="UPL11" s="283"/>
      <c r="UPM11" s="283"/>
      <c r="UPN11" s="283"/>
      <c r="UPO11" s="283"/>
      <c r="UPP11" s="283"/>
      <c r="UPQ11" s="283"/>
      <c r="UPR11" s="283"/>
      <c r="UPS11" s="283"/>
      <c r="UPT11" s="283"/>
      <c r="UPU11" s="283"/>
      <c r="UPV11" s="283"/>
      <c r="UPW11" s="283"/>
      <c r="UPX11" s="283"/>
      <c r="UPY11" s="283"/>
      <c r="UPZ11" s="283"/>
      <c r="UQA11" s="283"/>
      <c r="UQB11" s="283"/>
      <c r="UQC11" s="283"/>
      <c r="UQD11" s="283"/>
      <c r="UQE11" s="283"/>
      <c r="UQF11" s="283"/>
      <c r="UQG11" s="283"/>
      <c r="UQH11" s="283"/>
      <c r="UQI11" s="283"/>
      <c r="UQJ11" s="283"/>
      <c r="UQK11" s="283"/>
      <c r="UQL11" s="283"/>
      <c r="UQM11" s="283"/>
      <c r="UQN11" s="283"/>
      <c r="UQO11" s="283"/>
      <c r="UQP11" s="283"/>
      <c r="UQQ11" s="283"/>
      <c r="UQR11" s="283"/>
      <c r="UQS11" s="283"/>
      <c r="UQT11" s="283"/>
      <c r="UQU11" s="283"/>
      <c r="UQV11" s="283"/>
      <c r="UQW11" s="283"/>
      <c r="UQX11" s="283"/>
      <c r="UQY11" s="283"/>
      <c r="UQZ11" s="283"/>
      <c r="URA11" s="283"/>
      <c r="URB11" s="283"/>
      <c r="URC11" s="283"/>
      <c r="URD11" s="283"/>
      <c r="URE11" s="283"/>
      <c r="URF11" s="283"/>
      <c r="URG11" s="283"/>
      <c r="URH11" s="283"/>
      <c r="URI11" s="283"/>
      <c r="URJ11" s="283"/>
      <c r="URK11" s="283"/>
      <c r="URL11" s="283"/>
      <c r="URM11" s="283"/>
      <c r="URN11" s="283"/>
      <c r="URO11" s="283"/>
      <c r="URP11" s="283"/>
      <c r="URQ11" s="283"/>
      <c r="URR11" s="283"/>
      <c r="URS11" s="283"/>
      <c r="URT11" s="283"/>
      <c r="URU11" s="283"/>
      <c r="URV11" s="283"/>
      <c r="URW11" s="283"/>
      <c r="URX11" s="283"/>
      <c r="URY11" s="283"/>
      <c r="URZ11" s="283"/>
      <c r="USA11" s="283"/>
      <c r="USB11" s="283"/>
      <c r="USC11" s="283"/>
      <c r="USD11" s="283"/>
      <c r="USE11" s="283"/>
      <c r="USF11" s="283"/>
      <c r="USG11" s="283"/>
      <c r="USH11" s="283"/>
      <c r="USI11" s="283"/>
      <c r="USJ11" s="283"/>
      <c r="USK11" s="283"/>
      <c r="USL11" s="283"/>
      <c r="USM11" s="283"/>
      <c r="USN11" s="283"/>
      <c r="USO11" s="283"/>
      <c r="USP11" s="283"/>
      <c r="USQ11" s="283"/>
      <c r="USR11" s="283"/>
      <c r="USS11" s="283"/>
      <c r="UST11" s="283"/>
      <c r="USU11" s="283"/>
      <c r="USV11" s="283"/>
      <c r="USW11" s="283"/>
      <c r="USX11" s="283"/>
      <c r="USY11" s="283"/>
      <c r="USZ11" s="283"/>
      <c r="UTA11" s="283"/>
      <c r="UTB11" s="283"/>
      <c r="UTC11" s="283"/>
      <c r="UTD11" s="283"/>
      <c r="UTE11" s="283"/>
      <c r="UTF11" s="283"/>
      <c r="UTG11" s="283"/>
      <c r="UTH11" s="283"/>
      <c r="UTI11" s="283"/>
      <c r="UTJ11" s="283"/>
      <c r="UTK11" s="283"/>
      <c r="UTL11" s="283"/>
      <c r="UTM11" s="283"/>
      <c r="UTN11" s="283"/>
      <c r="UTO11" s="283"/>
      <c r="UTP11" s="283"/>
      <c r="UTQ11" s="283"/>
      <c r="UTR11" s="283"/>
      <c r="UTS11" s="283"/>
      <c r="UTT11" s="283"/>
      <c r="UTU11" s="283"/>
      <c r="UTV11" s="283"/>
      <c r="UTW11" s="283"/>
      <c r="UTX11" s="283"/>
      <c r="UTY11" s="283"/>
      <c r="UTZ11" s="283"/>
      <c r="UUA11" s="283"/>
      <c r="UUB11" s="283"/>
      <c r="UUC11" s="283"/>
      <c r="UUD11" s="283"/>
      <c r="UUE11" s="283"/>
      <c r="UUF11" s="283"/>
      <c r="UUG11" s="283"/>
      <c r="UUH11" s="283"/>
      <c r="UUI11" s="283"/>
      <c r="UUJ11" s="283"/>
      <c r="UUK11" s="283"/>
      <c r="UUL11" s="283"/>
      <c r="UUM11" s="283"/>
      <c r="UUN11" s="283"/>
      <c r="UUO11" s="283"/>
      <c r="UUP11" s="283"/>
      <c r="UUQ11" s="283"/>
      <c r="UUR11" s="283"/>
      <c r="UUS11" s="283"/>
      <c r="UUT11" s="283"/>
      <c r="UUU11" s="283"/>
      <c r="UUV11" s="283"/>
      <c r="UUW11" s="283"/>
      <c r="UUX11" s="283"/>
      <c r="UUY11" s="283"/>
      <c r="UUZ11" s="283"/>
      <c r="UVA11" s="283"/>
      <c r="UVB11" s="283"/>
      <c r="UVC11" s="283"/>
      <c r="UVD11" s="283"/>
      <c r="UVE11" s="283"/>
      <c r="UVF11" s="283"/>
      <c r="UVG11" s="283"/>
      <c r="UVH11" s="283"/>
      <c r="UVI11" s="283"/>
      <c r="UVJ11" s="283"/>
      <c r="UVK11" s="283"/>
      <c r="UVL11" s="283"/>
      <c r="UVM11" s="283"/>
      <c r="UVN11" s="283"/>
      <c r="UVO11" s="283"/>
      <c r="UVP11" s="283"/>
      <c r="UVQ11" s="283"/>
      <c r="UVR11" s="283"/>
      <c r="UVS11" s="283"/>
      <c r="UVT11" s="283"/>
      <c r="UVU11" s="283"/>
      <c r="UVV11" s="283"/>
      <c r="UVW11" s="283"/>
      <c r="UVX11" s="283"/>
      <c r="UVY11" s="283"/>
      <c r="UVZ11" s="283"/>
      <c r="UWA11" s="283"/>
      <c r="UWB11" s="283"/>
      <c r="UWC11" s="283"/>
      <c r="UWD11" s="283"/>
      <c r="UWE11" s="283"/>
      <c r="UWF11" s="283"/>
      <c r="UWG11" s="283"/>
      <c r="UWH11" s="283"/>
      <c r="UWI11" s="283"/>
      <c r="UWJ11" s="283"/>
      <c r="UWK11" s="283"/>
      <c r="UWL11" s="283"/>
      <c r="UWM11" s="283"/>
      <c r="UWN11" s="283"/>
      <c r="UWO11" s="283"/>
      <c r="UWP11" s="283"/>
      <c r="UWQ11" s="283"/>
      <c r="UWR11" s="283"/>
      <c r="UWS11" s="283"/>
      <c r="UWT11" s="283"/>
      <c r="UWU11" s="283"/>
      <c r="UWV11" s="283"/>
      <c r="UWW11" s="283"/>
      <c r="UWX11" s="283"/>
      <c r="UWY11" s="283"/>
      <c r="UWZ11" s="283"/>
      <c r="UXA11" s="283"/>
      <c r="UXB11" s="283"/>
      <c r="UXC11" s="283"/>
      <c r="UXD11" s="283"/>
      <c r="UXE11" s="283"/>
      <c r="UXF11" s="283"/>
      <c r="UXG11" s="283"/>
      <c r="UXH11" s="283"/>
      <c r="UXI11" s="283"/>
      <c r="UXJ11" s="283"/>
      <c r="UXK11" s="283"/>
      <c r="UXL11" s="283"/>
      <c r="UXM11" s="283"/>
      <c r="UXN11" s="283"/>
      <c r="UXO11" s="283"/>
      <c r="UXP11" s="283"/>
      <c r="UXQ11" s="283"/>
      <c r="UXR11" s="283"/>
      <c r="UXS11" s="283"/>
      <c r="UXT11" s="283"/>
      <c r="UXU11" s="283"/>
      <c r="UXV11" s="283"/>
      <c r="UXW11" s="283"/>
      <c r="UXX11" s="283"/>
      <c r="UXY11" s="283"/>
      <c r="UXZ11" s="283"/>
      <c r="UYA11" s="283"/>
      <c r="UYB11" s="283"/>
      <c r="UYC11" s="283"/>
      <c r="UYD11" s="283"/>
      <c r="UYE11" s="283"/>
      <c r="UYF11" s="283"/>
      <c r="UYG11" s="283"/>
      <c r="UYH11" s="283"/>
      <c r="UYI11" s="283"/>
      <c r="UYJ11" s="283"/>
      <c r="UYK11" s="283"/>
      <c r="UYL11" s="283"/>
      <c r="UYM11" s="283"/>
      <c r="UYN11" s="283"/>
      <c r="UYO11" s="283"/>
      <c r="UYP11" s="283"/>
      <c r="UYQ11" s="283"/>
      <c r="UYR11" s="283"/>
      <c r="UYS11" s="283"/>
      <c r="UYT11" s="283"/>
      <c r="UYU11" s="283"/>
      <c r="UYV11" s="283"/>
      <c r="UYW11" s="283"/>
      <c r="UYX11" s="283"/>
      <c r="UYY11" s="283"/>
      <c r="UYZ11" s="283"/>
      <c r="UZA11" s="283"/>
      <c r="UZB11" s="283"/>
      <c r="UZC11" s="283"/>
      <c r="UZD11" s="283"/>
      <c r="UZE11" s="283"/>
      <c r="UZF11" s="283"/>
      <c r="UZG11" s="283"/>
      <c r="UZH11" s="283"/>
      <c r="UZI11" s="283"/>
      <c r="UZJ11" s="283"/>
      <c r="UZK11" s="283"/>
      <c r="UZL11" s="283"/>
      <c r="UZM11" s="283"/>
      <c r="UZN11" s="283"/>
      <c r="UZO11" s="283"/>
      <c r="UZP11" s="283"/>
      <c r="UZQ11" s="283"/>
      <c r="UZR11" s="283"/>
      <c r="UZS11" s="283"/>
      <c r="UZT11" s="283"/>
      <c r="UZU11" s="283"/>
      <c r="UZV11" s="283"/>
      <c r="UZW11" s="283"/>
      <c r="UZX11" s="283"/>
      <c r="UZY11" s="283"/>
      <c r="UZZ11" s="283"/>
      <c r="VAA11" s="283"/>
      <c r="VAB11" s="283"/>
      <c r="VAC11" s="283"/>
      <c r="VAD11" s="283"/>
      <c r="VAE11" s="283"/>
      <c r="VAF11" s="283"/>
      <c r="VAG11" s="283"/>
      <c r="VAH11" s="283"/>
      <c r="VAI11" s="283"/>
      <c r="VAJ11" s="283"/>
      <c r="VAK11" s="283"/>
      <c r="VAL11" s="283"/>
      <c r="VAM11" s="283"/>
      <c r="VAN11" s="283"/>
      <c r="VAO11" s="283"/>
      <c r="VAP11" s="283"/>
      <c r="VAQ11" s="283"/>
      <c r="VAR11" s="283"/>
      <c r="VAS11" s="283"/>
      <c r="VAT11" s="283"/>
      <c r="VAU11" s="283"/>
      <c r="VAV11" s="283"/>
      <c r="VAW11" s="283"/>
      <c r="VAX11" s="283"/>
      <c r="VAY11" s="283"/>
      <c r="VAZ11" s="283"/>
      <c r="VBA11" s="283"/>
      <c r="VBB11" s="283"/>
      <c r="VBC11" s="283"/>
      <c r="VBD11" s="283"/>
      <c r="VBE11" s="283"/>
      <c r="VBF11" s="283"/>
      <c r="VBG11" s="283"/>
      <c r="VBH11" s="283"/>
      <c r="VBI11" s="283"/>
      <c r="VBJ11" s="283"/>
      <c r="VBK11" s="283"/>
      <c r="VBL11" s="283"/>
      <c r="VBM11" s="283"/>
      <c r="VBN11" s="283"/>
      <c r="VBO11" s="283"/>
      <c r="VBP11" s="283"/>
      <c r="VBQ11" s="283"/>
      <c r="VBR11" s="283"/>
      <c r="VBS11" s="283"/>
      <c r="VBT11" s="283"/>
      <c r="VBU11" s="283"/>
      <c r="VBV11" s="283"/>
      <c r="VBW11" s="283"/>
      <c r="VBX11" s="283"/>
      <c r="VBY11" s="283"/>
      <c r="VBZ11" s="283"/>
      <c r="VCA11" s="283"/>
      <c r="VCB11" s="283"/>
      <c r="VCC11" s="283"/>
      <c r="VCD11" s="283"/>
      <c r="VCE11" s="283"/>
      <c r="VCF11" s="283"/>
      <c r="VCG11" s="283"/>
      <c r="VCH11" s="283"/>
      <c r="VCI11" s="283"/>
      <c r="VCJ11" s="283"/>
      <c r="VCK11" s="283"/>
      <c r="VCL11" s="283"/>
      <c r="VCM11" s="283"/>
      <c r="VCN11" s="283"/>
      <c r="VCO11" s="283"/>
      <c r="VCP11" s="283"/>
      <c r="VCQ11" s="283"/>
      <c r="VCR11" s="283"/>
      <c r="VCS11" s="283"/>
      <c r="VCT11" s="283"/>
      <c r="VCU11" s="283"/>
      <c r="VCV11" s="283"/>
      <c r="VCW11" s="283"/>
      <c r="VCX11" s="283"/>
      <c r="VCY11" s="283"/>
      <c r="VCZ11" s="283"/>
      <c r="VDA11" s="283"/>
      <c r="VDB11" s="283"/>
      <c r="VDC11" s="283"/>
      <c r="VDD11" s="283"/>
      <c r="VDE11" s="283"/>
      <c r="VDF11" s="283"/>
      <c r="VDG11" s="283"/>
      <c r="VDH11" s="283"/>
      <c r="VDI11" s="283"/>
      <c r="VDJ11" s="283"/>
      <c r="VDK11" s="283"/>
      <c r="VDL11" s="283"/>
      <c r="VDM11" s="283"/>
      <c r="VDN11" s="283"/>
      <c r="VDO11" s="283"/>
      <c r="VDP11" s="283"/>
      <c r="VDQ11" s="283"/>
      <c r="VDR11" s="283"/>
      <c r="VDS11" s="283"/>
      <c r="VDT11" s="283"/>
      <c r="VDU11" s="283"/>
      <c r="VDV11" s="283"/>
      <c r="VDW11" s="283"/>
      <c r="VDX11" s="283"/>
      <c r="VDY11" s="283"/>
      <c r="VDZ11" s="283"/>
      <c r="VEA11" s="283"/>
      <c r="VEB11" s="283"/>
      <c r="VEC11" s="283"/>
      <c r="VED11" s="283"/>
      <c r="VEE11" s="283"/>
      <c r="VEF11" s="283"/>
      <c r="VEG11" s="283"/>
      <c r="VEH11" s="283"/>
      <c r="VEI11" s="283"/>
      <c r="VEJ11" s="283"/>
      <c r="VEK11" s="283"/>
      <c r="VEL11" s="283"/>
      <c r="VEM11" s="283"/>
      <c r="VEN11" s="283"/>
      <c r="VEO11" s="283"/>
      <c r="VEP11" s="283"/>
      <c r="VEQ11" s="283"/>
      <c r="VER11" s="283"/>
      <c r="VES11" s="283"/>
      <c r="VET11" s="283"/>
      <c r="VEU11" s="283"/>
      <c r="VEV11" s="283"/>
      <c r="VEW11" s="283"/>
      <c r="VEX11" s="283"/>
      <c r="VEY11" s="283"/>
      <c r="VEZ11" s="283"/>
      <c r="VFA11" s="283"/>
      <c r="VFB11" s="283"/>
      <c r="VFC11" s="283"/>
      <c r="VFD11" s="283"/>
      <c r="VFE11" s="283"/>
      <c r="VFF11" s="283"/>
      <c r="VFG11" s="283"/>
      <c r="VFH11" s="283"/>
      <c r="VFI11" s="283"/>
      <c r="VFJ11" s="283"/>
      <c r="VFK11" s="283"/>
      <c r="VFL11" s="283"/>
      <c r="VFM11" s="283"/>
      <c r="VFN11" s="283"/>
      <c r="VFO11" s="283"/>
      <c r="VFP11" s="283"/>
      <c r="VFQ11" s="283"/>
      <c r="VFR11" s="283"/>
      <c r="VFS11" s="283"/>
      <c r="VFT11" s="283"/>
      <c r="VFU11" s="283"/>
      <c r="VFV11" s="283"/>
      <c r="VFW11" s="283"/>
      <c r="VFX11" s="283"/>
      <c r="VFY11" s="283"/>
      <c r="VFZ11" s="283"/>
      <c r="VGA11" s="283"/>
      <c r="VGB11" s="283"/>
      <c r="VGC11" s="283"/>
      <c r="VGD11" s="283"/>
      <c r="VGE11" s="283"/>
      <c r="VGF11" s="283"/>
      <c r="VGG11" s="283"/>
      <c r="VGH11" s="283"/>
      <c r="VGI11" s="283"/>
      <c r="VGJ11" s="283"/>
      <c r="VGK11" s="283"/>
      <c r="VGL11" s="283"/>
      <c r="VGM11" s="283"/>
      <c r="VGN11" s="283"/>
      <c r="VGO11" s="283"/>
      <c r="VGP11" s="283"/>
      <c r="VGQ11" s="283"/>
      <c r="VGR11" s="283"/>
      <c r="VGS11" s="283"/>
      <c r="VGT11" s="283"/>
      <c r="VGU11" s="283"/>
      <c r="VGV11" s="283"/>
      <c r="VGW11" s="283"/>
      <c r="VGX11" s="283"/>
      <c r="VGY11" s="283"/>
      <c r="VGZ11" s="283"/>
      <c r="VHA11" s="283"/>
      <c r="VHB11" s="283"/>
      <c r="VHC11" s="283"/>
      <c r="VHD11" s="283"/>
      <c r="VHE11" s="283"/>
      <c r="VHF11" s="283"/>
      <c r="VHG11" s="283"/>
      <c r="VHH11" s="283"/>
      <c r="VHI11" s="283"/>
      <c r="VHJ11" s="283"/>
      <c r="VHK11" s="283"/>
      <c r="VHL11" s="283"/>
      <c r="VHM11" s="283"/>
      <c r="VHN11" s="283"/>
      <c r="VHO11" s="283"/>
      <c r="VHP11" s="283"/>
      <c r="VHQ11" s="283"/>
      <c r="VHR11" s="283"/>
      <c r="VHS11" s="283"/>
      <c r="VHT11" s="283"/>
      <c r="VHU11" s="283"/>
      <c r="VHV11" s="283"/>
      <c r="VHW11" s="283"/>
      <c r="VHX11" s="283"/>
      <c r="VHY11" s="283"/>
      <c r="VHZ11" s="283"/>
      <c r="VIA11" s="283"/>
      <c r="VIB11" s="283"/>
      <c r="VIC11" s="283"/>
      <c r="VID11" s="283"/>
      <c r="VIE11" s="283"/>
      <c r="VIF11" s="283"/>
      <c r="VIG11" s="283"/>
      <c r="VIH11" s="283"/>
      <c r="VII11" s="283"/>
      <c r="VIJ11" s="283"/>
      <c r="VIK11" s="283"/>
      <c r="VIL11" s="283"/>
      <c r="VIM11" s="283"/>
      <c r="VIN11" s="283"/>
      <c r="VIO11" s="283"/>
      <c r="VIP11" s="283"/>
      <c r="VIQ11" s="283"/>
      <c r="VIR11" s="283"/>
      <c r="VIS11" s="283"/>
      <c r="VIT11" s="283"/>
      <c r="VIU11" s="283"/>
      <c r="VIV11" s="283"/>
      <c r="VIW11" s="283"/>
      <c r="VIX11" s="283"/>
      <c r="VIY11" s="283"/>
      <c r="VIZ11" s="283"/>
      <c r="VJA11" s="283"/>
      <c r="VJB11" s="283"/>
      <c r="VJC11" s="283"/>
      <c r="VJD11" s="283"/>
      <c r="VJE11" s="283"/>
      <c r="VJF11" s="283"/>
      <c r="VJG11" s="283"/>
      <c r="VJH11" s="283"/>
      <c r="VJI11" s="283"/>
      <c r="VJJ11" s="283"/>
      <c r="VJK11" s="283"/>
      <c r="VJL11" s="283"/>
      <c r="VJM11" s="283"/>
      <c r="VJN11" s="283"/>
      <c r="VJO11" s="283"/>
      <c r="VJP11" s="283"/>
      <c r="VJQ11" s="283"/>
      <c r="VJR11" s="283"/>
      <c r="VJS11" s="283"/>
      <c r="VJT11" s="283"/>
      <c r="VJU11" s="283"/>
      <c r="VJV11" s="283"/>
      <c r="VJW11" s="283"/>
      <c r="VJX11" s="283"/>
      <c r="VJY11" s="283"/>
      <c r="VJZ11" s="283"/>
      <c r="VKA11" s="283"/>
      <c r="VKB11" s="283"/>
      <c r="VKC11" s="283"/>
      <c r="VKD11" s="283"/>
      <c r="VKE11" s="283"/>
      <c r="VKF11" s="283"/>
      <c r="VKG11" s="283"/>
      <c r="VKH11" s="283"/>
      <c r="VKI11" s="283"/>
      <c r="VKJ11" s="283"/>
      <c r="VKK11" s="283"/>
      <c r="VKL11" s="283"/>
      <c r="VKM11" s="283"/>
      <c r="VKN11" s="283"/>
      <c r="VKO11" s="283"/>
      <c r="VKP11" s="283"/>
      <c r="VKQ11" s="283"/>
      <c r="VKR11" s="283"/>
      <c r="VKS11" s="283"/>
      <c r="VKT11" s="283"/>
      <c r="VKU11" s="283"/>
      <c r="VKV11" s="283"/>
      <c r="VKW11" s="283"/>
      <c r="VKX11" s="283"/>
      <c r="VKY11" s="283"/>
      <c r="VKZ11" s="283"/>
      <c r="VLA11" s="283"/>
      <c r="VLB11" s="283"/>
      <c r="VLC11" s="283"/>
      <c r="VLD11" s="283"/>
      <c r="VLE11" s="283"/>
      <c r="VLF11" s="283"/>
      <c r="VLG11" s="283"/>
      <c r="VLH11" s="283"/>
      <c r="VLI11" s="283"/>
      <c r="VLJ11" s="283"/>
      <c r="VLK11" s="283"/>
      <c r="VLL11" s="283"/>
      <c r="VLM11" s="283"/>
      <c r="VLN11" s="283"/>
      <c r="VLO11" s="283"/>
      <c r="VLP11" s="283"/>
      <c r="VLQ11" s="283"/>
      <c r="VLR11" s="283"/>
      <c r="VLS11" s="283"/>
      <c r="VLT11" s="283"/>
      <c r="VLU11" s="283"/>
      <c r="VLV11" s="283"/>
      <c r="VLW11" s="283"/>
      <c r="VLX11" s="283"/>
      <c r="VLY11" s="283"/>
      <c r="VLZ11" s="283"/>
      <c r="VMA11" s="283"/>
      <c r="VMB11" s="283"/>
      <c r="VMC11" s="283"/>
      <c r="VMD11" s="283"/>
      <c r="VME11" s="283"/>
      <c r="VMF11" s="283"/>
      <c r="VMG11" s="283"/>
      <c r="VMH11" s="283"/>
      <c r="VMI11" s="283"/>
      <c r="VMJ11" s="283"/>
      <c r="VMK11" s="283"/>
      <c r="VML11" s="283"/>
      <c r="VMM11" s="283"/>
      <c r="VMN11" s="283"/>
      <c r="VMO11" s="283"/>
      <c r="VMP11" s="283"/>
      <c r="VMQ11" s="283"/>
      <c r="VMR11" s="283"/>
      <c r="VMS11" s="283"/>
      <c r="VMT11" s="283"/>
      <c r="VMU11" s="283"/>
      <c r="VMV11" s="283"/>
      <c r="VMW11" s="283"/>
      <c r="VMX11" s="283"/>
      <c r="VMY11" s="283"/>
      <c r="VMZ11" s="283"/>
      <c r="VNA11" s="283"/>
      <c r="VNB11" s="283"/>
      <c r="VNC11" s="283"/>
      <c r="VND11" s="283"/>
      <c r="VNE11" s="283"/>
      <c r="VNF11" s="283"/>
      <c r="VNG11" s="283"/>
      <c r="VNH11" s="283"/>
      <c r="VNI11" s="283"/>
      <c r="VNJ11" s="283"/>
      <c r="VNK11" s="283"/>
      <c r="VNL11" s="283"/>
      <c r="VNM11" s="283"/>
      <c r="VNN11" s="283"/>
      <c r="VNO11" s="283"/>
      <c r="VNP11" s="283"/>
      <c r="VNQ11" s="283"/>
      <c r="VNR11" s="283"/>
      <c r="VNS11" s="283"/>
      <c r="VNT11" s="283"/>
      <c r="VNU11" s="283"/>
      <c r="VNV11" s="283"/>
      <c r="VNW11" s="283"/>
      <c r="VNX11" s="283"/>
      <c r="VNY11" s="283"/>
      <c r="VNZ11" s="283"/>
      <c r="VOA11" s="283"/>
      <c r="VOB11" s="283"/>
      <c r="VOC11" s="283"/>
      <c r="VOD11" s="283"/>
      <c r="VOE11" s="283"/>
      <c r="VOF11" s="283"/>
      <c r="VOG11" s="283"/>
      <c r="VOH11" s="283"/>
      <c r="VOI11" s="283"/>
      <c r="VOJ11" s="283"/>
      <c r="VOK11" s="283"/>
      <c r="VOL11" s="283"/>
      <c r="VOM11" s="283"/>
      <c r="VON11" s="283"/>
      <c r="VOO11" s="283"/>
      <c r="VOP11" s="283"/>
      <c r="VOQ11" s="283"/>
      <c r="VOR11" s="283"/>
      <c r="VOS11" s="283"/>
      <c r="VOT11" s="283"/>
      <c r="VOU11" s="283"/>
      <c r="VOV11" s="283"/>
      <c r="VOW11" s="283"/>
      <c r="VOX11" s="283"/>
      <c r="VOY11" s="283"/>
      <c r="VOZ11" s="283"/>
      <c r="VPA11" s="283"/>
      <c r="VPB11" s="283"/>
      <c r="VPC11" s="283"/>
      <c r="VPD11" s="283"/>
      <c r="VPE11" s="283"/>
      <c r="VPF11" s="283"/>
      <c r="VPG11" s="283"/>
      <c r="VPH11" s="283"/>
      <c r="VPI11" s="283"/>
      <c r="VPJ11" s="283"/>
      <c r="VPK11" s="283"/>
      <c r="VPL11" s="283"/>
      <c r="VPM11" s="283"/>
      <c r="VPN11" s="283"/>
      <c r="VPO11" s="283"/>
      <c r="VPP11" s="283"/>
      <c r="VPQ11" s="283"/>
      <c r="VPR11" s="283"/>
      <c r="VPS11" s="283"/>
      <c r="VPT11" s="283"/>
      <c r="VPU11" s="283"/>
      <c r="VPV11" s="283"/>
      <c r="VPW11" s="283"/>
      <c r="VPX11" s="283"/>
      <c r="VPY11" s="283"/>
      <c r="VPZ11" s="283"/>
      <c r="VQA11" s="283"/>
      <c r="VQB11" s="283"/>
      <c r="VQC11" s="283"/>
      <c r="VQD11" s="283"/>
      <c r="VQE11" s="283"/>
      <c r="VQF11" s="283"/>
      <c r="VQG11" s="283"/>
      <c r="VQH11" s="283"/>
      <c r="VQI11" s="283"/>
      <c r="VQJ11" s="283"/>
      <c r="VQK11" s="283"/>
      <c r="VQL11" s="283"/>
      <c r="VQM11" s="283"/>
      <c r="VQN11" s="283"/>
      <c r="VQO11" s="283"/>
      <c r="VQP11" s="283"/>
      <c r="VQQ11" s="283"/>
      <c r="VQR11" s="283"/>
      <c r="VQS11" s="283"/>
      <c r="VQT11" s="283"/>
      <c r="VQU11" s="283"/>
      <c r="VQV11" s="283"/>
      <c r="VQW11" s="283"/>
      <c r="VQX11" s="283"/>
      <c r="VQY11" s="283"/>
      <c r="VQZ11" s="283"/>
      <c r="VRA11" s="283"/>
      <c r="VRB11" s="283"/>
      <c r="VRC11" s="283"/>
      <c r="VRD11" s="283"/>
      <c r="VRE11" s="283"/>
      <c r="VRF11" s="283"/>
      <c r="VRG11" s="283"/>
      <c r="VRH11" s="283"/>
      <c r="VRI11" s="283"/>
      <c r="VRJ11" s="283"/>
      <c r="VRK11" s="283"/>
      <c r="VRL11" s="283"/>
      <c r="VRM11" s="283"/>
      <c r="VRN11" s="283"/>
      <c r="VRO11" s="283"/>
      <c r="VRP11" s="283"/>
      <c r="VRQ11" s="283"/>
      <c r="VRR11" s="283"/>
      <c r="VRS11" s="283"/>
      <c r="VRT11" s="283"/>
      <c r="VRU11" s="283"/>
      <c r="VRV11" s="283"/>
      <c r="VRW11" s="283"/>
      <c r="VRX11" s="283"/>
      <c r="VRY11" s="283"/>
      <c r="VRZ11" s="283"/>
      <c r="VSA11" s="283"/>
      <c r="VSB11" s="283"/>
      <c r="VSC11" s="283"/>
      <c r="VSD11" s="283"/>
      <c r="VSE11" s="283"/>
      <c r="VSF11" s="283"/>
      <c r="VSG11" s="283"/>
      <c r="VSH11" s="283"/>
      <c r="VSI11" s="283"/>
      <c r="VSJ11" s="283"/>
      <c r="VSK11" s="283"/>
      <c r="VSL11" s="283"/>
      <c r="VSM11" s="283"/>
      <c r="VSN11" s="283"/>
      <c r="VSO11" s="283"/>
      <c r="VSP11" s="283"/>
      <c r="VSQ11" s="283"/>
      <c r="VSR11" s="283"/>
      <c r="VSS11" s="283"/>
      <c r="VST11" s="283"/>
      <c r="VSU11" s="283"/>
      <c r="VSV11" s="283"/>
      <c r="VSW11" s="283"/>
      <c r="VSX11" s="283"/>
      <c r="VSY11" s="283"/>
      <c r="VSZ11" s="283"/>
      <c r="VTA11" s="283"/>
      <c r="VTB11" s="283"/>
      <c r="VTC11" s="283"/>
      <c r="VTD11" s="283"/>
      <c r="VTE11" s="283"/>
      <c r="VTF11" s="283"/>
      <c r="VTG11" s="283"/>
      <c r="VTH11" s="283"/>
      <c r="VTI11" s="283"/>
      <c r="VTJ11" s="283"/>
      <c r="VTK11" s="283"/>
      <c r="VTL11" s="283"/>
      <c r="VTM11" s="283"/>
      <c r="VTN11" s="283"/>
      <c r="VTO11" s="283"/>
      <c r="VTP11" s="283"/>
      <c r="VTQ11" s="283"/>
      <c r="VTR11" s="283"/>
      <c r="VTS11" s="283"/>
      <c r="VTT11" s="283"/>
      <c r="VTU11" s="283"/>
      <c r="VTV11" s="283"/>
      <c r="VTW11" s="283"/>
      <c r="VTX11" s="283"/>
      <c r="VTY11" s="283"/>
      <c r="VTZ11" s="283"/>
      <c r="VUA11" s="283"/>
      <c r="VUB11" s="283"/>
      <c r="VUC11" s="283"/>
      <c r="VUD11" s="283"/>
      <c r="VUE11" s="283"/>
      <c r="VUF11" s="283"/>
      <c r="VUG11" s="283"/>
      <c r="VUH11" s="283"/>
      <c r="VUI11" s="283"/>
      <c r="VUJ11" s="283"/>
      <c r="VUK11" s="283"/>
      <c r="VUL11" s="283"/>
      <c r="VUM11" s="283"/>
      <c r="VUN11" s="283"/>
      <c r="VUO11" s="283"/>
      <c r="VUP11" s="283"/>
      <c r="VUQ11" s="283"/>
      <c r="VUR11" s="283"/>
      <c r="VUS11" s="283"/>
      <c r="VUT11" s="283"/>
      <c r="VUU11" s="283"/>
      <c r="VUV11" s="283"/>
      <c r="VUW11" s="283"/>
      <c r="VUX11" s="283"/>
      <c r="VUY11" s="283"/>
      <c r="VUZ11" s="283"/>
      <c r="VVA11" s="283"/>
      <c r="VVB11" s="283"/>
      <c r="VVC11" s="283"/>
      <c r="VVD11" s="283"/>
      <c r="VVE11" s="283"/>
      <c r="VVF11" s="283"/>
      <c r="VVG11" s="283"/>
      <c r="VVH11" s="283"/>
      <c r="VVI11" s="283"/>
      <c r="VVJ11" s="283"/>
      <c r="VVK11" s="283"/>
      <c r="VVL11" s="283"/>
      <c r="VVM11" s="283"/>
      <c r="VVN11" s="283"/>
      <c r="VVO11" s="283"/>
      <c r="VVP11" s="283"/>
      <c r="VVQ11" s="283"/>
      <c r="VVR11" s="283"/>
      <c r="VVS11" s="283"/>
      <c r="VVT11" s="283"/>
      <c r="VVU11" s="283"/>
      <c r="VVV11" s="283"/>
      <c r="VVW11" s="283"/>
      <c r="VVX11" s="283"/>
      <c r="VVY11" s="283"/>
      <c r="VVZ11" s="283"/>
      <c r="VWA11" s="283"/>
      <c r="VWB11" s="283"/>
      <c r="VWC11" s="283"/>
      <c r="VWD11" s="283"/>
      <c r="VWE11" s="283"/>
      <c r="VWF11" s="283"/>
      <c r="VWG11" s="283"/>
      <c r="VWH11" s="283"/>
      <c r="VWI11" s="283"/>
      <c r="VWJ11" s="283"/>
      <c r="VWK11" s="283"/>
      <c r="VWL11" s="283"/>
      <c r="VWM11" s="283"/>
      <c r="VWN11" s="283"/>
      <c r="VWO11" s="283"/>
      <c r="VWP11" s="283"/>
      <c r="VWQ11" s="283"/>
      <c r="VWR11" s="283"/>
      <c r="VWS11" s="283"/>
      <c r="VWT11" s="283"/>
      <c r="VWU11" s="283"/>
      <c r="VWV11" s="283"/>
      <c r="VWW11" s="283"/>
      <c r="VWX11" s="283"/>
      <c r="VWY11" s="283"/>
      <c r="VWZ11" s="283"/>
      <c r="VXA11" s="283"/>
      <c r="VXB11" s="283"/>
      <c r="VXC11" s="283"/>
      <c r="VXD11" s="283"/>
      <c r="VXE11" s="283"/>
      <c r="VXF11" s="283"/>
      <c r="VXG11" s="283"/>
      <c r="VXH11" s="283"/>
      <c r="VXI11" s="283"/>
      <c r="VXJ11" s="283"/>
      <c r="VXK11" s="283"/>
      <c r="VXL11" s="283"/>
      <c r="VXM11" s="283"/>
      <c r="VXN11" s="283"/>
      <c r="VXO11" s="283"/>
      <c r="VXP11" s="283"/>
      <c r="VXQ11" s="283"/>
      <c r="VXR11" s="283"/>
      <c r="VXS11" s="283"/>
      <c r="VXT11" s="283"/>
      <c r="VXU11" s="283"/>
      <c r="VXV11" s="283"/>
      <c r="VXW11" s="283"/>
      <c r="VXX11" s="283"/>
      <c r="VXY11" s="283"/>
      <c r="VXZ11" s="283"/>
      <c r="VYA11" s="283"/>
      <c r="VYB11" s="283"/>
      <c r="VYC11" s="283"/>
      <c r="VYD11" s="283"/>
      <c r="VYE11" s="283"/>
      <c r="VYF11" s="283"/>
      <c r="VYG11" s="283"/>
      <c r="VYH11" s="283"/>
      <c r="VYI11" s="283"/>
      <c r="VYJ11" s="283"/>
      <c r="VYK11" s="283"/>
      <c r="VYL11" s="283"/>
      <c r="VYM11" s="283"/>
      <c r="VYN11" s="283"/>
      <c r="VYO11" s="283"/>
      <c r="VYP11" s="283"/>
      <c r="VYQ11" s="283"/>
      <c r="VYR11" s="283"/>
      <c r="VYS11" s="283"/>
      <c r="VYT11" s="283"/>
      <c r="VYU11" s="283"/>
      <c r="VYV11" s="283"/>
      <c r="VYW11" s="283"/>
      <c r="VYX11" s="283"/>
      <c r="VYY11" s="283"/>
      <c r="VYZ11" s="283"/>
      <c r="VZA11" s="283"/>
      <c r="VZB11" s="283"/>
      <c r="VZC11" s="283"/>
      <c r="VZD11" s="283"/>
      <c r="VZE11" s="283"/>
      <c r="VZF11" s="283"/>
      <c r="VZG11" s="283"/>
      <c r="VZH11" s="283"/>
      <c r="VZI11" s="283"/>
      <c r="VZJ11" s="283"/>
      <c r="VZK11" s="283"/>
      <c r="VZL11" s="283"/>
      <c r="VZM11" s="283"/>
      <c r="VZN11" s="283"/>
      <c r="VZO11" s="283"/>
      <c r="VZP11" s="283"/>
      <c r="VZQ11" s="283"/>
      <c r="VZR11" s="283"/>
      <c r="VZS11" s="283"/>
      <c r="VZT11" s="283"/>
      <c r="VZU11" s="283"/>
      <c r="VZV11" s="283"/>
      <c r="VZW11" s="283"/>
      <c r="VZX11" s="283"/>
      <c r="VZY11" s="283"/>
      <c r="VZZ11" s="283"/>
      <c r="WAA11" s="283"/>
      <c r="WAB11" s="283"/>
      <c r="WAC11" s="283"/>
      <c r="WAD11" s="283"/>
      <c r="WAE11" s="283"/>
      <c r="WAF11" s="283"/>
      <c r="WAG11" s="283"/>
      <c r="WAH11" s="283"/>
      <c r="WAI11" s="283"/>
      <c r="WAJ11" s="283"/>
      <c r="WAK11" s="283"/>
      <c r="WAL11" s="283"/>
      <c r="WAM11" s="283"/>
      <c r="WAN11" s="283"/>
      <c r="WAO11" s="283"/>
      <c r="WAP11" s="283"/>
      <c r="WAQ11" s="283"/>
      <c r="WAR11" s="283"/>
      <c r="WAS11" s="283"/>
      <c r="WAT11" s="283"/>
      <c r="WAU11" s="283"/>
      <c r="WAV11" s="283"/>
      <c r="WAW11" s="283"/>
      <c r="WAX11" s="283"/>
      <c r="WAY11" s="283"/>
      <c r="WAZ11" s="283"/>
      <c r="WBA11" s="283"/>
      <c r="WBB11" s="283"/>
      <c r="WBC11" s="283"/>
      <c r="WBD11" s="283"/>
      <c r="WBE11" s="283"/>
      <c r="WBF11" s="283"/>
      <c r="WBG11" s="283"/>
      <c r="WBH11" s="283"/>
      <c r="WBI11" s="283"/>
      <c r="WBJ11" s="283"/>
      <c r="WBK11" s="283"/>
      <c r="WBL11" s="283"/>
      <c r="WBM11" s="283"/>
      <c r="WBN11" s="283"/>
      <c r="WBO11" s="283"/>
      <c r="WBP11" s="283"/>
      <c r="WBQ11" s="283"/>
      <c r="WBR11" s="283"/>
      <c r="WBS11" s="283"/>
      <c r="WBT11" s="283"/>
      <c r="WBU11" s="283"/>
      <c r="WBV11" s="283"/>
      <c r="WBW11" s="283"/>
      <c r="WBX11" s="283"/>
      <c r="WBY11" s="283"/>
      <c r="WBZ11" s="283"/>
      <c r="WCA11" s="283"/>
      <c r="WCB11" s="283"/>
      <c r="WCC11" s="283"/>
      <c r="WCD11" s="283"/>
      <c r="WCE11" s="283"/>
      <c r="WCF11" s="283"/>
      <c r="WCG11" s="283"/>
      <c r="WCH11" s="283"/>
      <c r="WCI11" s="283"/>
      <c r="WCJ11" s="283"/>
      <c r="WCK11" s="283"/>
      <c r="WCL11" s="283"/>
      <c r="WCM11" s="283"/>
      <c r="WCN11" s="283"/>
      <c r="WCO11" s="283"/>
      <c r="WCP11" s="283"/>
      <c r="WCQ11" s="283"/>
      <c r="WCR11" s="283"/>
      <c r="WCS11" s="283"/>
      <c r="WCT11" s="283"/>
      <c r="WCU11" s="283"/>
      <c r="WCV11" s="283"/>
      <c r="WCW11" s="283"/>
      <c r="WCX11" s="283"/>
      <c r="WCY11" s="283"/>
      <c r="WCZ11" s="283"/>
      <c r="WDA11" s="283"/>
      <c r="WDB11" s="283"/>
      <c r="WDC11" s="283"/>
      <c r="WDD11" s="283"/>
      <c r="WDE11" s="283"/>
      <c r="WDF11" s="283"/>
      <c r="WDG11" s="283"/>
      <c r="WDH11" s="283"/>
      <c r="WDI11" s="283"/>
      <c r="WDJ11" s="283"/>
      <c r="WDK11" s="283"/>
      <c r="WDL11" s="283"/>
      <c r="WDM11" s="283"/>
      <c r="WDN11" s="283"/>
      <c r="WDO11" s="283"/>
      <c r="WDP11" s="283"/>
      <c r="WDQ11" s="283"/>
      <c r="WDR11" s="283"/>
      <c r="WDS11" s="283"/>
      <c r="WDT11" s="283"/>
      <c r="WDU11" s="283"/>
      <c r="WDV11" s="283"/>
      <c r="WDW11" s="283"/>
      <c r="WDX11" s="283"/>
      <c r="WDY11" s="283"/>
      <c r="WDZ11" s="283"/>
      <c r="WEA11" s="283"/>
      <c r="WEB11" s="283"/>
      <c r="WEC11" s="283"/>
      <c r="WED11" s="283"/>
      <c r="WEE11" s="283"/>
      <c r="WEF11" s="283"/>
      <c r="WEG11" s="283"/>
      <c r="WEH11" s="283"/>
      <c r="WEI11" s="283"/>
      <c r="WEJ11" s="283"/>
      <c r="WEK11" s="283"/>
      <c r="WEL11" s="283"/>
      <c r="WEM11" s="283"/>
      <c r="WEN11" s="283"/>
      <c r="WEO11" s="283"/>
      <c r="WEP11" s="283"/>
      <c r="WEQ11" s="283"/>
      <c r="WER11" s="283"/>
      <c r="WES11" s="283"/>
      <c r="WET11" s="283"/>
      <c r="WEU11" s="283"/>
      <c r="WEV11" s="283"/>
      <c r="WEW11" s="283"/>
      <c r="WEX11" s="283"/>
      <c r="WEY11" s="283"/>
      <c r="WEZ11" s="283"/>
      <c r="WFA11" s="283"/>
      <c r="WFB11" s="283"/>
      <c r="WFC11" s="283"/>
      <c r="WFD11" s="283"/>
      <c r="WFE11" s="283"/>
      <c r="WFF11" s="283"/>
      <c r="WFG11" s="283"/>
      <c r="WFH11" s="283"/>
      <c r="WFI11" s="283"/>
      <c r="WFJ11" s="283"/>
      <c r="WFK11" s="283"/>
      <c r="WFL11" s="283"/>
      <c r="WFM11" s="283"/>
      <c r="WFN11" s="283"/>
      <c r="WFO11" s="283"/>
      <c r="WFP11" s="283"/>
      <c r="WFQ11" s="283"/>
      <c r="WFR11" s="283"/>
      <c r="WFS11" s="283"/>
      <c r="WFT11" s="283"/>
      <c r="WFU11" s="283"/>
      <c r="WFV11" s="283"/>
      <c r="WFW11" s="283"/>
      <c r="WFX11" s="283"/>
      <c r="WFY11" s="283"/>
      <c r="WFZ11" s="283"/>
      <c r="WGA11" s="283"/>
      <c r="WGB11" s="283"/>
      <c r="WGC11" s="283"/>
      <c r="WGD11" s="283"/>
      <c r="WGE11" s="283"/>
      <c r="WGF11" s="283"/>
      <c r="WGG11" s="283"/>
      <c r="WGH11" s="283"/>
      <c r="WGI11" s="283"/>
      <c r="WGJ11" s="283"/>
      <c r="WGK11" s="283"/>
      <c r="WGL11" s="283"/>
      <c r="WGM11" s="283"/>
      <c r="WGN11" s="283"/>
      <c r="WGO11" s="283"/>
      <c r="WGP11" s="283"/>
      <c r="WGQ11" s="283"/>
      <c r="WGR11" s="283"/>
      <c r="WGS11" s="283"/>
      <c r="WGT11" s="283"/>
      <c r="WGU11" s="283"/>
      <c r="WGV11" s="283"/>
      <c r="WGW11" s="283"/>
      <c r="WGX11" s="283"/>
      <c r="WGY11" s="283"/>
      <c r="WGZ11" s="283"/>
      <c r="WHA11" s="283"/>
      <c r="WHB11" s="283"/>
      <c r="WHC11" s="283"/>
      <c r="WHD11" s="283"/>
      <c r="WHE11" s="283"/>
      <c r="WHF11" s="283"/>
      <c r="WHG11" s="283"/>
      <c r="WHH11" s="283"/>
      <c r="WHI11" s="283"/>
      <c r="WHJ11" s="283"/>
      <c r="WHK11" s="283"/>
      <c r="WHL11" s="283"/>
      <c r="WHM11" s="283"/>
      <c r="WHN11" s="283"/>
      <c r="WHO11" s="283"/>
      <c r="WHP11" s="283"/>
      <c r="WHQ11" s="283"/>
      <c r="WHR11" s="283"/>
      <c r="WHS11" s="283"/>
      <c r="WHT11" s="283"/>
      <c r="WHU11" s="283"/>
      <c r="WHV11" s="283"/>
      <c r="WHW11" s="283"/>
      <c r="WHX11" s="283"/>
      <c r="WHY11" s="283"/>
      <c r="WHZ11" s="283"/>
      <c r="WIA11" s="283"/>
      <c r="WIB11" s="283"/>
      <c r="WIC11" s="283"/>
      <c r="WID11" s="283"/>
      <c r="WIE11" s="283"/>
      <c r="WIF11" s="283"/>
      <c r="WIG11" s="283"/>
      <c r="WIH11" s="283"/>
      <c r="WII11" s="283"/>
      <c r="WIJ11" s="283"/>
      <c r="WIK11" s="283"/>
      <c r="WIL11" s="283"/>
      <c r="WIM11" s="283"/>
      <c r="WIN11" s="283"/>
      <c r="WIO11" s="283"/>
      <c r="WIP11" s="283"/>
      <c r="WIQ11" s="283"/>
      <c r="WIR11" s="283"/>
      <c r="WIS11" s="283"/>
      <c r="WIT11" s="283"/>
      <c r="WIU11" s="283"/>
      <c r="WIV11" s="283"/>
      <c r="WIW11" s="283"/>
      <c r="WIX11" s="283"/>
      <c r="WIY11" s="283"/>
      <c r="WIZ11" s="283"/>
      <c r="WJA11" s="283"/>
      <c r="WJB11" s="283"/>
      <c r="WJC11" s="283"/>
      <c r="WJD11" s="283"/>
      <c r="WJE11" s="283"/>
      <c r="WJF11" s="283"/>
      <c r="WJG11" s="283"/>
      <c r="WJH11" s="283"/>
      <c r="WJI11" s="283"/>
      <c r="WJJ11" s="283"/>
      <c r="WJK11" s="283"/>
      <c r="WJL11" s="283"/>
      <c r="WJM11" s="283"/>
      <c r="WJN11" s="283"/>
      <c r="WJO11" s="283"/>
      <c r="WJP11" s="283"/>
      <c r="WJQ11" s="283"/>
      <c r="WJR11" s="283"/>
      <c r="WJS11" s="283"/>
      <c r="WJT11" s="283"/>
      <c r="WJU11" s="283"/>
      <c r="WJV11" s="283"/>
      <c r="WJW11" s="283"/>
      <c r="WJX11" s="283"/>
      <c r="WJY11" s="283"/>
      <c r="WJZ11" s="283"/>
      <c r="WKA11" s="283"/>
      <c r="WKB11" s="283"/>
      <c r="WKC11" s="283"/>
      <c r="WKD11" s="283"/>
      <c r="WKE11" s="283"/>
      <c r="WKF11" s="283"/>
      <c r="WKG11" s="283"/>
      <c r="WKH11" s="283"/>
      <c r="WKI11" s="283"/>
      <c r="WKJ11" s="283"/>
      <c r="WKK11" s="283"/>
      <c r="WKL11" s="283"/>
      <c r="WKM11" s="283"/>
      <c r="WKN11" s="283"/>
      <c r="WKO11" s="283"/>
      <c r="WKP11" s="283"/>
      <c r="WKQ11" s="283"/>
      <c r="WKR11" s="283"/>
      <c r="WKS11" s="283"/>
      <c r="WKT11" s="283"/>
      <c r="WKU11" s="283"/>
      <c r="WKV11" s="283"/>
      <c r="WKW11" s="283"/>
      <c r="WKX11" s="283"/>
      <c r="WKY11" s="283"/>
      <c r="WKZ11" s="283"/>
      <c r="WLA11" s="283"/>
      <c r="WLB11" s="283"/>
      <c r="WLC11" s="283"/>
      <c r="WLD11" s="283"/>
      <c r="WLE11" s="283"/>
      <c r="WLF11" s="283"/>
      <c r="WLG11" s="283"/>
      <c r="WLH11" s="283"/>
      <c r="WLI11" s="283"/>
      <c r="WLJ11" s="283"/>
      <c r="WLK11" s="283"/>
      <c r="WLL11" s="283"/>
      <c r="WLM11" s="283"/>
      <c r="WLN11" s="283"/>
      <c r="WLO11" s="283"/>
      <c r="WLP11" s="283"/>
      <c r="WLQ11" s="283"/>
      <c r="WLR11" s="283"/>
      <c r="WLS11" s="283"/>
      <c r="WLT11" s="283"/>
      <c r="WLU11" s="283"/>
      <c r="WLV11" s="283"/>
      <c r="WLW11" s="283"/>
      <c r="WLX11" s="283"/>
      <c r="WLY11" s="283"/>
      <c r="WLZ11" s="283"/>
      <c r="WMA11" s="283"/>
      <c r="WMB11" s="283"/>
      <c r="WMC11" s="283"/>
      <c r="WMD11" s="283"/>
      <c r="WME11" s="283"/>
      <c r="WMF11" s="283"/>
      <c r="WMG11" s="283"/>
      <c r="WMH11" s="283"/>
      <c r="WMI11" s="283"/>
      <c r="WMJ11" s="283"/>
      <c r="WMK11" s="283"/>
      <c r="WML11" s="283"/>
      <c r="WMM11" s="283"/>
      <c r="WMN11" s="283"/>
      <c r="WMO11" s="283"/>
      <c r="WMP11" s="283"/>
      <c r="WMQ11" s="283"/>
      <c r="WMR11" s="283"/>
      <c r="WMS11" s="283"/>
      <c r="WMT11" s="283"/>
      <c r="WMU11" s="283"/>
      <c r="WMV11" s="283"/>
      <c r="WMW11" s="283"/>
      <c r="WMX11" s="283"/>
      <c r="WMY11" s="283"/>
      <c r="WMZ11" s="283"/>
      <c r="WNA11" s="283"/>
      <c r="WNB11" s="283"/>
      <c r="WNC11" s="283"/>
      <c r="WND11" s="283"/>
      <c r="WNE11" s="283"/>
      <c r="WNF11" s="283"/>
      <c r="WNG11" s="283"/>
      <c r="WNH11" s="283"/>
      <c r="WNI11" s="283"/>
      <c r="WNJ11" s="283"/>
      <c r="WNK11" s="283"/>
      <c r="WNL11" s="283"/>
      <c r="WNM11" s="283"/>
      <c r="WNN11" s="283"/>
      <c r="WNO11" s="283"/>
      <c r="WNP11" s="283"/>
      <c r="WNQ11" s="283"/>
      <c r="WNR11" s="283"/>
      <c r="WNS11" s="283"/>
      <c r="WNT11" s="283"/>
      <c r="WNU11" s="283"/>
      <c r="WNV11" s="283"/>
      <c r="WNW11" s="283"/>
      <c r="WNX11" s="283"/>
      <c r="WNY11" s="283"/>
      <c r="WNZ11" s="283"/>
      <c r="WOA11" s="283"/>
      <c r="WOB11" s="283"/>
      <c r="WOC11" s="283"/>
      <c r="WOD11" s="283"/>
      <c r="WOE11" s="283"/>
      <c r="WOF11" s="283"/>
      <c r="WOG11" s="283"/>
      <c r="WOH11" s="283"/>
      <c r="WOI11" s="283"/>
      <c r="WOJ11" s="283"/>
      <c r="WOK11" s="283"/>
      <c r="WOL11" s="283"/>
      <c r="WOM11" s="283"/>
      <c r="WON11" s="283"/>
      <c r="WOO11" s="283"/>
      <c r="WOP11" s="283"/>
      <c r="WOQ11" s="283"/>
      <c r="WOR11" s="283"/>
      <c r="WOS11" s="283"/>
      <c r="WOT11" s="283"/>
      <c r="WOU11" s="283"/>
      <c r="WOV11" s="283"/>
      <c r="WOW11" s="283"/>
      <c r="WOX11" s="283"/>
      <c r="WOY11" s="283"/>
      <c r="WOZ11" s="283"/>
      <c r="WPA11" s="283"/>
      <c r="WPB11" s="283"/>
      <c r="WPC11" s="283"/>
      <c r="WPD11" s="283"/>
      <c r="WPE11" s="283"/>
      <c r="WPF11" s="283"/>
      <c r="WPG11" s="283"/>
      <c r="WPH11" s="283"/>
      <c r="WPI11" s="283"/>
      <c r="WPJ11" s="283"/>
      <c r="WPK11" s="283"/>
      <c r="WPL11" s="283"/>
      <c r="WPM11" s="283"/>
      <c r="WPN11" s="283"/>
      <c r="WPO11" s="283"/>
      <c r="WPP11" s="283"/>
      <c r="WPQ11" s="283"/>
      <c r="WPR11" s="283"/>
      <c r="WPS11" s="283"/>
      <c r="WPT11" s="283"/>
      <c r="WPU11" s="283"/>
      <c r="WPV11" s="283"/>
      <c r="WPW11" s="283"/>
      <c r="WPX11" s="283"/>
      <c r="WPY11" s="283"/>
      <c r="WPZ11" s="283"/>
      <c r="WQA11" s="283"/>
      <c r="WQB11" s="283"/>
      <c r="WQC11" s="283"/>
      <c r="WQD11" s="283"/>
      <c r="WQE11" s="283"/>
      <c r="WQF11" s="283"/>
      <c r="WQG11" s="283"/>
      <c r="WQH11" s="283"/>
      <c r="WQI11" s="283"/>
      <c r="WQJ11" s="283"/>
      <c r="WQK11" s="283"/>
      <c r="WQL11" s="283"/>
      <c r="WQM11" s="283"/>
      <c r="WQN11" s="283"/>
      <c r="WQO11" s="283"/>
      <c r="WQP11" s="283"/>
      <c r="WQQ11" s="283"/>
      <c r="WQR11" s="283"/>
      <c r="WQS11" s="283"/>
      <c r="WQT11" s="283"/>
      <c r="WQU11" s="283"/>
      <c r="WQV11" s="283"/>
      <c r="WQW11" s="283"/>
      <c r="WQX11" s="283"/>
      <c r="WQY11" s="283"/>
      <c r="WQZ11" s="283"/>
      <c r="WRA11" s="283"/>
      <c r="WRB11" s="283"/>
      <c r="WRC11" s="283"/>
      <c r="WRD11" s="283"/>
      <c r="WRE11" s="283"/>
      <c r="WRF11" s="283"/>
      <c r="WRG11" s="283"/>
      <c r="WRH11" s="283"/>
      <c r="WRI11" s="283"/>
      <c r="WRJ11" s="283"/>
      <c r="WRK11" s="283"/>
      <c r="WRL11" s="283"/>
      <c r="WRM11" s="283"/>
      <c r="WRN11" s="283"/>
      <c r="WRO11" s="283"/>
      <c r="WRP11" s="283"/>
      <c r="WRQ11" s="283"/>
      <c r="WRR11" s="283"/>
      <c r="WRS11" s="283"/>
      <c r="WRT11" s="283"/>
      <c r="WRU11" s="283"/>
      <c r="WRV11" s="283"/>
      <c r="WRW11" s="283"/>
      <c r="WRX11" s="283"/>
      <c r="WRY11" s="283"/>
      <c r="WRZ11" s="283"/>
      <c r="WSA11" s="283"/>
      <c r="WSB11" s="283"/>
      <c r="WSC11" s="283"/>
      <c r="WSD11" s="283"/>
      <c r="WSE11" s="283"/>
      <c r="WSF11" s="283"/>
      <c r="WSG11" s="283"/>
      <c r="WSH11" s="283"/>
      <c r="WSI11" s="283"/>
      <c r="WSJ11" s="283"/>
      <c r="WSK11" s="283"/>
      <c r="WSL11" s="283"/>
      <c r="WSM11" s="283"/>
      <c r="WSN11" s="283"/>
      <c r="WSO11" s="283"/>
      <c r="WSP11" s="283"/>
      <c r="WSQ11" s="283"/>
      <c r="WSR11" s="283"/>
      <c r="WSS11" s="283"/>
      <c r="WST11" s="283"/>
      <c r="WSU11" s="283"/>
      <c r="WSV11" s="283"/>
      <c r="WSW11" s="283"/>
      <c r="WSX11" s="283"/>
      <c r="WSY11" s="283"/>
      <c r="WSZ11" s="283"/>
      <c r="WTA11" s="283"/>
      <c r="WTB11" s="283"/>
      <c r="WTC11" s="283"/>
      <c r="WTD11" s="283"/>
      <c r="WTE11" s="283"/>
      <c r="WTF11" s="283"/>
      <c r="WTG11" s="283"/>
      <c r="WTH11" s="283"/>
      <c r="WTI11" s="283"/>
      <c r="WTJ11" s="283"/>
      <c r="WTK11" s="283"/>
      <c r="WTL11" s="283"/>
      <c r="WTM11" s="283"/>
      <c r="WTN11" s="283"/>
      <c r="WTO11" s="283"/>
      <c r="WTP11" s="283"/>
      <c r="WTQ11" s="283"/>
      <c r="WTR11" s="283"/>
      <c r="WTS11" s="283"/>
      <c r="WTT11" s="283"/>
      <c r="WTU11" s="283"/>
      <c r="WTV11" s="283"/>
      <c r="WTW11" s="283"/>
      <c r="WTX11" s="283"/>
      <c r="WTY11" s="283"/>
      <c r="WTZ11" s="283"/>
      <c r="WUA11" s="283"/>
      <c r="WUB11" s="283"/>
      <c r="WUC11" s="283"/>
      <c r="WUD11" s="283"/>
      <c r="WUE11" s="283"/>
      <c r="WUF11" s="283"/>
      <c r="WUG11" s="283"/>
      <c r="WUH11" s="283"/>
      <c r="WUI11" s="283"/>
      <c r="WUJ11" s="283"/>
      <c r="WUK11" s="283"/>
      <c r="WUL11" s="283"/>
      <c r="WUM11" s="283"/>
      <c r="WUN11" s="283"/>
      <c r="WUO11" s="283"/>
      <c r="WUP11" s="283"/>
      <c r="WUQ11" s="283"/>
      <c r="WUR11" s="283"/>
      <c r="WUS11" s="283"/>
      <c r="WUT11" s="283"/>
      <c r="WUU11" s="283"/>
      <c r="WUV11" s="283"/>
      <c r="WUW11" s="283"/>
      <c r="WUX11" s="283"/>
      <c r="WUY11" s="283"/>
      <c r="WUZ11" s="283"/>
      <c r="WVA11" s="283"/>
      <c r="WVB11" s="283"/>
      <c r="WVC11" s="283"/>
      <c r="WVD11" s="283"/>
      <c r="WVE11" s="283"/>
      <c r="WVF11" s="283"/>
      <c r="WVG11" s="283"/>
      <c r="WVH11" s="283"/>
      <c r="WVI11" s="283"/>
      <c r="WVJ11" s="283"/>
      <c r="WVK11" s="283"/>
      <c r="WVL11" s="283"/>
      <c r="WVM11" s="283"/>
      <c r="WVN11" s="283"/>
      <c r="WVO11" s="283"/>
      <c r="WVP11" s="283"/>
      <c r="WVQ11" s="283"/>
      <c r="WVR11" s="283"/>
      <c r="WVS11" s="283"/>
      <c r="WVT11" s="283"/>
      <c r="WVU11" s="283"/>
      <c r="WVV11" s="283"/>
      <c r="WVW11" s="283"/>
      <c r="WVX11" s="283"/>
      <c r="WVY11" s="283"/>
      <c r="WVZ11" s="283"/>
      <c r="WWA11" s="283"/>
      <c r="WWB11" s="283"/>
      <c r="WWC11" s="283"/>
      <c r="WWD11" s="283"/>
      <c r="WWE11" s="283"/>
      <c r="WWF11" s="283"/>
      <c r="WWG11" s="283"/>
      <c r="WWH11" s="283"/>
      <c r="WWI11" s="283"/>
      <c r="WWJ11" s="283"/>
      <c r="WWK11" s="283"/>
      <c r="WWL11" s="283"/>
      <c r="WWM11" s="283"/>
      <c r="WWN11" s="283"/>
      <c r="WWO11" s="283"/>
      <c r="WWP11" s="283"/>
      <c r="WWQ11" s="283"/>
      <c r="WWR11" s="283"/>
      <c r="WWS11" s="283"/>
      <c r="WWT11" s="283"/>
      <c r="WWU11" s="283"/>
      <c r="WWV11" s="283"/>
      <c r="WWW11" s="283"/>
      <c r="WWX11" s="283"/>
      <c r="WWY11" s="283"/>
      <c r="WWZ11" s="283"/>
      <c r="WXA11" s="283"/>
      <c r="WXB11" s="283"/>
      <c r="WXC11" s="283"/>
      <c r="WXD11" s="283"/>
      <c r="WXE11" s="283"/>
      <c r="WXF11" s="283"/>
      <c r="WXG11" s="283"/>
      <c r="WXH11" s="283"/>
      <c r="WXI11" s="283"/>
      <c r="WXJ11" s="283"/>
      <c r="WXK11" s="283"/>
      <c r="WXL11" s="283"/>
      <c r="WXM11" s="283"/>
      <c r="WXN11" s="283"/>
      <c r="WXO11" s="283"/>
      <c r="WXP11" s="283"/>
      <c r="WXQ11" s="283"/>
      <c r="WXR11" s="283"/>
      <c r="WXS11" s="283"/>
      <c r="WXT11" s="283"/>
      <c r="WXU11" s="283"/>
      <c r="WXV11" s="283"/>
      <c r="WXW11" s="283"/>
      <c r="WXX11" s="283"/>
      <c r="WXY11" s="283"/>
      <c r="WXZ11" s="283"/>
      <c r="WYA11" s="283"/>
      <c r="WYB11" s="283"/>
      <c r="WYC11" s="283"/>
      <c r="WYD11" s="283"/>
      <c r="WYE11" s="283"/>
      <c r="WYF11" s="283"/>
      <c r="WYG11" s="283"/>
      <c r="WYH11" s="283"/>
      <c r="WYI11" s="283"/>
      <c r="WYJ11" s="283"/>
      <c r="WYK11" s="283"/>
      <c r="WYL11" s="283"/>
      <c r="WYM11" s="283"/>
      <c r="WYN11" s="283"/>
      <c r="WYO11" s="283"/>
      <c r="WYP11" s="283"/>
      <c r="WYQ11" s="283"/>
      <c r="WYR11" s="283"/>
      <c r="WYS11" s="283"/>
      <c r="WYT11" s="283"/>
      <c r="WYU11" s="283"/>
      <c r="WYV11" s="283"/>
      <c r="WYW11" s="283"/>
      <c r="WYX11" s="283"/>
      <c r="WYY11" s="283"/>
      <c r="WYZ11" s="283"/>
      <c r="WZA11" s="283"/>
      <c r="WZB11" s="283"/>
      <c r="WZC11" s="283"/>
      <c r="WZD11" s="283"/>
      <c r="WZE11" s="283"/>
      <c r="WZF11" s="283"/>
      <c r="WZG11" s="283"/>
      <c r="WZH11" s="283"/>
      <c r="WZI11" s="283"/>
      <c r="WZJ11" s="283"/>
      <c r="WZK11" s="283"/>
      <c r="WZL11" s="283"/>
      <c r="WZM11" s="283"/>
      <c r="WZN11" s="283"/>
      <c r="WZO11" s="283"/>
      <c r="WZP11" s="283"/>
      <c r="WZQ11" s="283"/>
      <c r="WZR11" s="283"/>
      <c r="WZS11" s="283"/>
      <c r="WZT11" s="283"/>
      <c r="WZU11" s="283"/>
      <c r="WZV11" s="283"/>
      <c r="WZW11" s="283"/>
      <c r="WZX11" s="283"/>
      <c r="WZY11" s="283"/>
      <c r="WZZ11" s="283"/>
      <c r="XAA11" s="283"/>
      <c r="XAB11" s="283"/>
      <c r="XAC11" s="283"/>
      <c r="XAD11" s="283"/>
      <c r="XAE11" s="283"/>
      <c r="XAF11" s="283"/>
      <c r="XAG11" s="283"/>
      <c r="XAH11" s="283"/>
      <c r="XAI11" s="283"/>
      <c r="XAJ11" s="283"/>
      <c r="XAK11" s="283"/>
      <c r="XAL11" s="283"/>
      <c r="XAM11" s="283"/>
      <c r="XAN11" s="283"/>
      <c r="XAO11" s="283"/>
      <c r="XAP11" s="283"/>
      <c r="XAQ11" s="283"/>
      <c r="XAR11" s="283"/>
      <c r="XAS11" s="283"/>
      <c r="XAT11" s="283"/>
      <c r="XAU11" s="283"/>
      <c r="XAV11" s="283"/>
      <c r="XAW11" s="283"/>
      <c r="XAX11" s="283"/>
      <c r="XAY11" s="283"/>
      <c r="XAZ11" s="283"/>
      <c r="XBA11" s="283"/>
      <c r="XBB11" s="283"/>
      <c r="XBC11" s="283"/>
      <c r="XBD11" s="283"/>
      <c r="XBE11" s="283"/>
      <c r="XBF11" s="283"/>
      <c r="XBG11" s="283"/>
      <c r="XBH11" s="283"/>
      <c r="XBI11" s="283"/>
      <c r="XBJ11" s="283"/>
      <c r="XBK11" s="283"/>
      <c r="XBL11" s="283"/>
      <c r="XBM11" s="283"/>
      <c r="XBN11" s="283"/>
      <c r="XBO11" s="283"/>
      <c r="XBP11" s="283"/>
      <c r="XBQ11" s="283"/>
      <c r="XBR11" s="283"/>
      <c r="XBS11" s="283"/>
      <c r="XBT11" s="283"/>
      <c r="XBU11" s="283"/>
      <c r="XBV11" s="283"/>
      <c r="XBW11" s="283"/>
      <c r="XBX11" s="283"/>
      <c r="XBY11" s="283"/>
      <c r="XBZ11" s="283"/>
      <c r="XCA11" s="283"/>
      <c r="XCB11" s="283"/>
      <c r="XCC11" s="283"/>
      <c r="XCD11" s="283"/>
      <c r="XCE11" s="283"/>
      <c r="XCF11" s="283"/>
      <c r="XCG11" s="283"/>
      <c r="XCH11" s="283"/>
      <c r="XCI11" s="283"/>
      <c r="XCJ11" s="283"/>
      <c r="XCK11" s="283"/>
      <c r="XCL11" s="283"/>
      <c r="XCM11" s="283"/>
      <c r="XCN11" s="283"/>
      <c r="XCO11" s="283"/>
      <c r="XCP11" s="283"/>
      <c r="XCQ11" s="283"/>
      <c r="XCR11" s="283"/>
      <c r="XCS11" s="283"/>
      <c r="XCT11" s="283"/>
      <c r="XCU11" s="283"/>
      <c r="XCV11" s="283"/>
      <c r="XCW11" s="283"/>
      <c r="XCX11" s="283"/>
      <c r="XCY11" s="283"/>
      <c r="XCZ11" s="283"/>
      <c r="XDA11" s="283"/>
      <c r="XDB11" s="283"/>
      <c r="XDC11" s="283"/>
      <c r="XDD11" s="283"/>
      <c r="XDE11" s="283"/>
      <c r="XDF11" s="283"/>
      <c r="XDG11" s="283"/>
      <c r="XDH11" s="283"/>
      <c r="XDI11" s="283"/>
      <c r="XDJ11" s="283"/>
      <c r="XDK11" s="283"/>
      <c r="XDL11" s="283"/>
      <c r="XDM11" s="283"/>
      <c r="XDN11" s="283"/>
      <c r="XDO11" s="283"/>
      <c r="XDP11" s="283"/>
      <c r="XDQ11" s="283"/>
      <c r="XDR11" s="283"/>
      <c r="XDS11" s="283"/>
      <c r="XDT11" s="283"/>
      <c r="XDU11" s="283"/>
      <c r="XDV11" s="283"/>
      <c r="XDW11" s="283"/>
      <c r="XDX11" s="283"/>
      <c r="XDY11" s="283"/>
      <c r="XDZ11" s="283"/>
      <c r="XEA11" s="283"/>
      <c r="XEB11" s="283"/>
      <c r="XEC11" s="283"/>
      <c r="XED11" s="283"/>
      <c r="XEE11" s="283"/>
      <c r="XEF11" s="283"/>
      <c r="XEG11" s="283"/>
      <c r="XEH11" s="283"/>
      <c r="XEI11" s="283"/>
      <c r="XEJ11" s="283"/>
      <c r="XEK11" s="283"/>
      <c r="XEL11" s="283"/>
      <c r="XEM11" s="283"/>
      <c r="XEN11" s="283"/>
      <c r="XEO11" s="283"/>
      <c r="XEP11" s="283"/>
      <c r="XEQ11" s="283"/>
      <c r="XER11" s="283"/>
      <c r="XES11" s="283"/>
      <c r="XET11" s="283"/>
      <c r="XEU11" s="283"/>
      <c r="XEV11" s="283"/>
      <c r="XEW11" s="283"/>
      <c r="XEX11" s="283"/>
      <c r="XEY11" s="283"/>
      <c r="XEZ11" s="283"/>
      <c r="XFA11" s="283"/>
      <c r="XFB11" s="283"/>
      <c r="XFC11" s="283"/>
    </row>
    <row r="12" s="1" customFormat="1" customHeight="1" spans="4:16">
      <c r="D12" s="283" t="s">
        <v>36</v>
      </c>
      <c r="E12" s="310" t="str">
        <f>合同执行情况明细汇总!CJ5</f>
        <v>数据正确</v>
      </c>
      <c r="F12" s="287"/>
      <c r="G12" s="287"/>
      <c r="H12" s="287"/>
      <c r="I12" s="287"/>
      <c r="J12" s="287"/>
      <c r="K12" s="287"/>
      <c r="L12" s="287"/>
      <c r="M12" s="288"/>
      <c r="P12" s="283"/>
    </row>
    <row r="13" s="283" customFormat="1" ht="48" customHeight="1" spans="1:16383">
      <c r="A13" s="1"/>
      <c r="B13" s="311" t="s">
        <v>37</v>
      </c>
      <c r="C13" s="311"/>
      <c r="D13" s="311"/>
      <c r="E13" s="311"/>
      <c r="F13" s="311"/>
      <c r="G13" s="311"/>
      <c r="H13" s="311"/>
      <c r="I13" s="311"/>
      <c r="J13" s="311"/>
      <c r="K13" s="311"/>
      <c r="L13" s="311"/>
      <c r="M13" s="311"/>
      <c r="N13" s="311"/>
      <c r="O13" s="31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row>
    <row r="14" s="1" customFormat="1" customHeight="1" spans="5:17">
      <c r="E14" s="287"/>
      <c r="F14" s="287"/>
      <c r="G14" s="287"/>
      <c r="H14" s="287"/>
      <c r="I14" s="287"/>
      <c r="J14" s="287"/>
      <c r="K14" s="287"/>
      <c r="L14" s="287"/>
      <c r="M14" s="288"/>
      <c r="P14" s="283"/>
      <c r="Q14" s="283"/>
    </row>
    <row r="15" s="1" customFormat="1" customHeight="1" spans="5:16">
      <c r="E15" s="287"/>
      <c r="F15" s="287"/>
      <c r="G15" s="287"/>
      <c r="H15" s="287"/>
      <c r="I15" s="287"/>
      <c r="J15" s="287"/>
      <c r="K15" s="287"/>
      <c r="L15" s="287"/>
      <c r="M15" s="288"/>
      <c r="P15" s="283"/>
    </row>
    <row r="16" s="1" customFormat="1" customHeight="1" spans="5:16">
      <c r="E16" s="287"/>
      <c r="F16" s="287"/>
      <c r="G16" s="287"/>
      <c r="H16" s="287"/>
      <c r="I16" s="287"/>
      <c r="J16" s="287"/>
      <c r="K16" s="287"/>
      <c r="L16" s="287"/>
      <c r="M16" s="288"/>
      <c r="P16" s="283"/>
    </row>
    <row r="17" s="1" customFormat="1" customHeight="1" spans="5:16">
      <c r="E17" s="287"/>
      <c r="F17" s="287"/>
      <c r="G17" s="287"/>
      <c r="H17" s="287"/>
      <c r="I17" s="287"/>
      <c r="J17" s="287"/>
      <c r="K17" s="287"/>
      <c r="L17" s="287"/>
      <c r="M17" s="288"/>
      <c r="P17" s="283"/>
    </row>
    <row r="18" s="1" customFormat="1" customHeight="1" spans="5:16">
      <c r="E18" s="287"/>
      <c r="F18" s="287"/>
      <c r="G18" s="287"/>
      <c r="H18" s="287"/>
      <c r="I18" s="287"/>
      <c r="J18" s="287"/>
      <c r="K18" s="287"/>
      <c r="L18" s="287"/>
      <c r="M18" s="288"/>
      <c r="P18" s="283"/>
    </row>
    <row r="19" s="1" customFormat="1" customHeight="1" spans="5:16">
      <c r="E19" s="287"/>
      <c r="F19" s="287"/>
      <c r="G19" s="287"/>
      <c r="H19" s="287"/>
      <c r="I19" s="287"/>
      <c r="J19" s="287"/>
      <c r="K19" s="287"/>
      <c r="L19" s="287"/>
      <c r="M19" s="288"/>
      <c r="P19" s="283"/>
    </row>
    <row r="20" s="1" customFormat="1" customHeight="1" spans="5:16">
      <c r="E20" s="287"/>
      <c r="F20" s="287"/>
      <c r="G20" s="287"/>
      <c r="H20" s="287"/>
      <c r="I20" s="287"/>
      <c r="J20" s="287"/>
      <c r="K20" s="287"/>
      <c r="L20" s="287"/>
      <c r="M20" s="288"/>
      <c r="P20" s="283"/>
    </row>
    <row r="21" s="1" customFormat="1" customHeight="1" spans="5:16">
      <c r="E21" s="287"/>
      <c r="F21" s="287"/>
      <c r="G21" s="287"/>
      <c r="H21" s="287"/>
      <c r="I21" s="287"/>
      <c r="J21" s="287"/>
      <c r="K21" s="287"/>
      <c r="L21" s="287"/>
      <c r="M21" s="288"/>
      <c r="P21" s="283"/>
    </row>
    <row r="22" s="1" customFormat="1" customHeight="1" spans="5:16">
      <c r="E22" s="287"/>
      <c r="F22" s="287"/>
      <c r="G22" s="287"/>
      <c r="H22" s="287"/>
      <c r="I22" s="287"/>
      <c r="J22" s="287"/>
      <c r="K22" s="287"/>
      <c r="L22" s="287"/>
      <c r="M22" s="288"/>
      <c r="P22" s="283"/>
    </row>
    <row r="23" s="1" customFormat="1" customHeight="1" spans="5:16">
      <c r="E23" s="287"/>
      <c r="F23" s="287"/>
      <c r="G23" s="287"/>
      <c r="H23" s="287"/>
      <c r="I23" s="287"/>
      <c r="J23" s="287"/>
      <c r="K23" s="287"/>
      <c r="L23" s="287"/>
      <c r="M23" s="288"/>
      <c r="P23" s="283"/>
    </row>
    <row r="24" s="1" customFormat="1" customHeight="1" spans="5:16">
      <c r="E24" s="287"/>
      <c r="F24" s="287"/>
      <c r="G24" s="287"/>
      <c r="H24" s="287"/>
      <c r="I24" s="287"/>
      <c r="J24" s="287"/>
      <c r="K24" s="287"/>
      <c r="L24" s="287"/>
      <c r="M24" s="288"/>
      <c r="P24" s="283"/>
    </row>
    <row r="25" s="1" customFormat="1" customHeight="1" spans="5:16">
      <c r="E25" s="287"/>
      <c r="F25" s="287"/>
      <c r="G25" s="287"/>
      <c r="H25" s="287"/>
      <c r="I25" s="287"/>
      <c r="J25" s="287"/>
      <c r="K25" s="287"/>
      <c r="L25" s="287"/>
      <c r="M25" s="288"/>
      <c r="P25" s="283"/>
    </row>
    <row r="26" s="1" customFormat="1" customHeight="1" spans="5:16">
      <c r="E26" s="287"/>
      <c r="F26" s="287"/>
      <c r="G26" s="287"/>
      <c r="H26" s="287"/>
      <c r="I26" s="287"/>
      <c r="J26" s="287"/>
      <c r="K26" s="287"/>
      <c r="L26" s="287"/>
      <c r="M26" s="288"/>
      <c r="P26" s="283"/>
    </row>
    <row r="27" s="1" customFormat="1" customHeight="1" spans="5:16">
      <c r="E27" s="287"/>
      <c r="F27" s="287"/>
      <c r="G27" s="287"/>
      <c r="H27" s="287"/>
      <c r="I27" s="287"/>
      <c r="J27" s="287"/>
      <c r="K27" s="287"/>
      <c r="L27" s="287"/>
      <c r="M27" s="288"/>
      <c r="P27" s="283"/>
    </row>
    <row r="28" s="1" customFormat="1" customHeight="1" spans="5:16">
      <c r="E28" s="287"/>
      <c r="F28" s="287"/>
      <c r="G28" s="287"/>
      <c r="H28" s="287"/>
      <c r="I28" s="287"/>
      <c r="J28" s="287"/>
      <c r="K28" s="287"/>
      <c r="L28" s="287"/>
      <c r="M28" s="288"/>
      <c r="P28" s="283"/>
    </row>
    <row r="29" s="1" customFormat="1" customHeight="1" spans="5:16">
      <c r="E29" s="287"/>
      <c r="F29" s="287"/>
      <c r="G29" s="287"/>
      <c r="H29" s="287"/>
      <c r="I29" s="287"/>
      <c r="J29" s="287"/>
      <c r="K29" s="287"/>
      <c r="L29" s="287"/>
      <c r="M29" s="288"/>
      <c r="P29" s="283"/>
    </row>
    <row r="30" s="1" customFormat="1" customHeight="1" spans="5:16">
      <c r="E30" s="287"/>
      <c r="F30" s="287"/>
      <c r="G30" s="287"/>
      <c r="H30" s="287"/>
      <c r="I30" s="287"/>
      <c r="J30" s="287"/>
      <c r="K30" s="287"/>
      <c r="L30" s="287"/>
      <c r="M30" s="288"/>
      <c r="P30" s="283"/>
    </row>
    <row r="31" s="1" customFormat="1" customHeight="1" spans="5:16">
      <c r="E31" s="287"/>
      <c r="F31" s="287"/>
      <c r="G31" s="287"/>
      <c r="H31" s="287"/>
      <c r="I31" s="287"/>
      <c r="J31" s="287"/>
      <c r="K31" s="287"/>
      <c r="L31" s="287"/>
      <c r="M31" s="288"/>
      <c r="P31" s="283"/>
    </row>
    <row r="32" s="1" customFormat="1" customHeight="1" spans="5:16">
      <c r="E32" s="287"/>
      <c r="F32" s="287"/>
      <c r="G32" s="287"/>
      <c r="H32" s="287"/>
      <c r="I32" s="287"/>
      <c r="J32" s="287"/>
      <c r="K32" s="287"/>
      <c r="L32" s="287"/>
      <c r="M32" s="288"/>
      <c r="P32" s="283"/>
    </row>
    <row r="33" s="1" customFormat="1" customHeight="1" spans="5:16">
      <c r="E33" s="287"/>
      <c r="F33" s="287"/>
      <c r="G33" s="287"/>
      <c r="H33" s="287"/>
      <c r="I33" s="287"/>
      <c r="J33" s="287"/>
      <c r="K33" s="287"/>
      <c r="L33" s="287"/>
      <c r="M33" s="288"/>
      <c r="P33" s="283"/>
    </row>
    <row r="34" s="1" customFormat="1" customHeight="1" spans="5:16">
      <c r="E34" s="287"/>
      <c r="F34" s="287"/>
      <c r="G34" s="287"/>
      <c r="H34" s="287"/>
      <c r="I34" s="287"/>
      <c r="J34" s="287"/>
      <c r="K34" s="287"/>
      <c r="L34" s="287"/>
      <c r="M34" s="288"/>
      <c r="P34" s="283"/>
    </row>
    <row r="35" s="1" customFormat="1" customHeight="1" spans="5:16">
      <c r="E35" s="287"/>
      <c r="F35" s="287"/>
      <c r="G35" s="287"/>
      <c r="H35" s="287"/>
      <c r="I35" s="287"/>
      <c r="J35" s="287"/>
      <c r="K35" s="287"/>
      <c r="L35" s="287"/>
      <c r="M35" s="288"/>
      <c r="P35" s="283"/>
    </row>
    <row r="36" s="1" customFormat="1" customHeight="1" spans="5:16">
      <c r="E36" s="287"/>
      <c r="F36" s="287"/>
      <c r="G36" s="287"/>
      <c r="H36" s="287"/>
      <c r="I36" s="287"/>
      <c r="J36" s="287"/>
      <c r="K36" s="287"/>
      <c r="L36" s="287"/>
      <c r="M36" s="288"/>
      <c r="P36" s="283"/>
    </row>
    <row r="37" s="1" customFormat="1" customHeight="1" spans="5:16">
      <c r="E37" s="287"/>
      <c r="F37" s="287"/>
      <c r="G37" s="287"/>
      <c r="H37" s="287"/>
      <c r="I37" s="287"/>
      <c r="J37" s="287"/>
      <c r="K37" s="287"/>
      <c r="L37" s="287"/>
      <c r="M37" s="288"/>
      <c r="P37" s="283"/>
    </row>
    <row r="38" s="1" customFormat="1" customHeight="1" spans="5:16">
      <c r="E38" s="287"/>
      <c r="F38" s="287"/>
      <c r="G38" s="287"/>
      <c r="H38" s="287"/>
      <c r="I38" s="287"/>
      <c r="J38" s="287"/>
      <c r="K38" s="287"/>
      <c r="L38" s="287"/>
      <c r="M38" s="288"/>
      <c r="P38" s="283"/>
    </row>
    <row r="39" s="1" customFormat="1" customHeight="1" spans="5:16">
      <c r="E39" s="287"/>
      <c r="F39" s="287"/>
      <c r="G39" s="287"/>
      <c r="H39" s="287"/>
      <c r="I39" s="287"/>
      <c r="J39" s="287"/>
      <c r="K39" s="287"/>
      <c r="L39" s="287"/>
      <c r="M39" s="288"/>
      <c r="P39" s="283"/>
    </row>
    <row r="40" s="1" customFormat="1" customHeight="1" spans="5:16">
      <c r="E40" s="287"/>
      <c r="F40" s="287"/>
      <c r="G40" s="287"/>
      <c r="H40" s="287"/>
      <c r="I40" s="287"/>
      <c r="J40" s="287"/>
      <c r="K40" s="287"/>
      <c r="L40" s="287"/>
      <c r="M40" s="288"/>
      <c r="P40" s="283"/>
    </row>
    <row r="41" s="1" customFormat="1" customHeight="1" spans="5:16">
      <c r="E41" s="287"/>
      <c r="F41" s="287"/>
      <c r="G41" s="287"/>
      <c r="H41" s="287"/>
      <c r="I41" s="287"/>
      <c r="J41" s="287"/>
      <c r="K41" s="287"/>
      <c r="L41" s="287"/>
      <c r="M41" s="288"/>
      <c r="P41" s="283"/>
    </row>
    <row r="42" s="1" customFormat="1" customHeight="1" spans="5:16">
      <c r="E42" s="287"/>
      <c r="F42" s="287"/>
      <c r="G42" s="287"/>
      <c r="H42" s="287"/>
      <c r="I42" s="287"/>
      <c r="J42" s="287"/>
      <c r="K42" s="287"/>
      <c r="L42" s="287"/>
      <c r="M42" s="288"/>
      <c r="P42" s="283"/>
    </row>
    <row r="43" s="1" customFormat="1" customHeight="1" spans="5:16">
      <c r="E43" s="287"/>
      <c r="F43" s="287"/>
      <c r="G43" s="287"/>
      <c r="H43" s="287"/>
      <c r="I43" s="287"/>
      <c r="J43" s="287"/>
      <c r="K43" s="287"/>
      <c r="L43" s="287"/>
      <c r="M43" s="288"/>
      <c r="P43" s="283"/>
    </row>
    <row r="44" s="1" customFormat="1" customHeight="1" spans="5:16">
      <c r="E44" s="287"/>
      <c r="F44" s="287"/>
      <c r="G44" s="287"/>
      <c r="H44" s="287"/>
      <c r="I44" s="287"/>
      <c r="J44" s="287"/>
      <c r="K44" s="287"/>
      <c r="L44" s="287"/>
      <c r="M44" s="288"/>
      <c r="P44" s="283"/>
    </row>
    <row r="45" s="1" customFormat="1" customHeight="1" spans="5:16">
      <c r="E45" s="287"/>
      <c r="F45" s="287"/>
      <c r="G45" s="287"/>
      <c r="H45" s="287"/>
      <c r="I45" s="287"/>
      <c r="J45" s="287"/>
      <c r="K45" s="287"/>
      <c r="L45" s="287"/>
      <c r="M45" s="288"/>
      <c r="P45" s="283"/>
    </row>
    <row r="46" s="1" customFormat="1" customHeight="1" spans="5:16">
      <c r="E46" s="287"/>
      <c r="F46" s="287"/>
      <c r="G46" s="287"/>
      <c r="H46" s="287"/>
      <c r="I46" s="287"/>
      <c r="J46" s="287"/>
      <c r="K46" s="287"/>
      <c r="L46" s="287"/>
      <c r="M46" s="288"/>
      <c r="P46" s="283"/>
    </row>
    <row r="47" s="1" customFormat="1" customHeight="1" spans="5:16">
      <c r="E47" s="287"/>
      <c r="F47" s="287"/>
      <c r="G47" s="287"/>
      <c r="H47" s="287"/>
      <c r="I47" s="287"/>
      <c r="J47" s="287"/>
      <c r="K47" s="287"/>
      <c r="L47" s="287"/>
      <c r="M47" s="288"/>
      <c r="P47" s="283"/>
    </row>
    <row r="48" s="1" customFormat="1" customHeight="1" spans="5:16">
      <c r="E48" s="287"/>
      <c r="F48" s="287"/>
      <c r="G48" s="287"/>
      <c r="H48" s="287"/>
      <c r="I48" s="287"/>
      <c r="J48" s="287"/>
      <c r="K48" s="287"/>
      <c r="L48" s="287"/>
      <c r="M48" s="288"/>
      <c r="P48" s="283"/>
    </row>
    <row r="49" s="1" customFormat="1" customHeight="1" spans="5:16">
      <c r="E49" s="287"/>
      <c r="F49" s="287"/>
      <c r="G49" s="287"/>
      <c r="H49" s="287"/>
      <c r="I49" s="287"/>
      <c r="J49" s="287"/>
      <c r="K49" s="287"/>
      <c r="L49" s="287"/>
      <c r="M49" s="288"/>
      <c r="P49" s="283"/>
    </row>
    <row r="50" s="1" customFormat="1" customHeight="1" spans="5:16">
      <c r="E50" s="287"/>
      <c r="F50" s="287"/>
      <c r="G50" s="287"/>
      <c r="H50" s="287"/>
      <c r="I50" s="287"/>
      <c r="J50" s="287"/>
      <c r="K50" s="287"/>
      <c r="L50" s="287"/>
      <c r="M50" s="288"/>
      <c r="P50" s="283"/>
    </row>
    <row r="51" s="1" customFormat="1" customHeight="1" spans="5:16">
      <c r="E51" s="287"/>
      <c r="F51" s="287"/>
      <c r="G51" s="287"/>
      <c r="H51" s="287"/>
      <c r="I51" s="287"/>
      <c r="J51" s="287"/>
      <c r="K51" s="287"/>
      <c r="L51" s="287"/>
      <c r="M51" s="288"/>
      <c r="P51" s="283"/>
    </row>
    <row r="52" s="56" customFormat="1" ht="20" customHeight="1" spans="2:16">
      <c r="B52" s="43" t="s">
        <v>38</v>
      </c>
      <c r="C52" s="43"/>
      <c r="D52" s="43"/>
      <c r="E52" s="43"/>
      <c r="F52" s="43"/>
      <c r="G52" s="43"/>
      <c r="H52" s="43"/>
      <c r="I52" s="43"/>
      <c r="J52" s="43"/>
      <c r="K52" s="43"/>
      <c r="L52" s="43"/>
      <c r="M52" s="43"/>
      <c r="N52" s="43"/>
      <c r="O52" s="43"/>
      <c r="P52" s="338"/>
    </row>
    <row r="53" s="286" customFormat="1" ht="20" customHeight="1" spans="1:16383">
      <c r="A53" s="312"/>
      <c r="B53" s="313" t="s">
        <v>39</v>
      </c>
      <c r="C53" s="313"/>
      <c r="D53" s="313"/>
      <c r="E53" s="313"/>
      <c r="F53" s="313"/>
      <c r="G53" s="313"/>
      <c r="H53" s="313"/>
      <c r="I53" s="313"/>
      <c r="J53" s="313"/>
      <c r="K53" s="313"/>
      <c r="L53" s="313"/>
      <c r="M53" s="313"/>
      <c r="N53" s="313"/>
      <c r="O53" s="313"/>
      <c r="P53" s="339"/>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c r="AS53" s="312"/>
      <c r="AT53" s="312"/>
      <c r="AU53" s="312"/>
      <c r="AV53" s="312"/>
      <c r="AW53" s="312"/>
      <c r="AX53" s="312"/>
      <c r="AY53" s="312"/>
      <c r="AZ53" s="312"/>
      <c r="BA53" s="312"/>
      <c r="BB53" s="312"/>
      <c r="BC53" s="312"/>
      <c r="BD53" s="312"/>
      <c r="BE53" s="312"/>
      <c r="BF53" s="312"/>
      <c r="BG53" s="312"/>
      <c r="BH53" s="312"/>
      <c r="BI53" s="312"/>
      <c r="BJ53" s="312"/>
      <c r="BK53" s="312"/>
      <c r="BL53" s="312"/>
      <c r="BM53" s="312"/>
      <c r="BN53" s="312"/>
      <c r="BO53" s="312"/>
      <c r="BP53" s="312"/>
      <c r="BQ53" s="312"/>
      <c r="BR53" s="312"/>
      <c r="BS53" s="312"/>
      <c r="BT53" s="312"/>
      <c r="BU53" s="312"/>
      <c r="BV53" s="312"/>
      <c r="BW53" s="312"/>
      <c r="BX53" s="312"/>
      <c r="BY53" s="312"/>
      <c r="BZ53" s="312"/>
      <c r="CA53" s="312"/>
      <c r="CB53" s="312"/>
      <c r="CC53" s="312"/>
      <c r="CD53" s="312"/>
      <c r="CE53" s="312"/>
      <c r="CF53" s="312"/>
      <c r="CG53" s="312"/>
      <c r="CH53" s="312"/>
      <c r="CI53" s="312"/>
      <c r="CJ53" s="312"/>
      <c r="CK53" s="312"/>
      <c r="CL53" s="312"/>
      <c r="CM53" s="312"/>
      <c r="CN53" s="312"/>
      <c r="CO53" s="312"/>
      <c r="CP53" s="312"/>
      <c r="CQ53" s="312"/>
      <c r="CR53" s="312"/>
      <c r="CS53" s="312"/>
      <c r="CT53" s="312"/>
      <c r="CU53" s="312"/>
      <c r="CV53" s="312"/>
      <c r="CW53" s="312"/>
      <c r="CX53" s="312"/>
      <c r="CY53" s="312"/>
      <c r="CZ53" s="312"/>
      <c r="DA53" s="312"/>
      <c r="DB53" s="312"/>
      <c r="DC53" s="312"/>
      <c r="DD53" s="312"/>
      <c r="DE53" s="312"/>
      <c r="DF53" s="312"/>
      <c r="DG53" s="312"/>
      <c r="DH53" s="312"/>
      <c r="DI53" s="312"/>
      <c r="DJ53" s="312"/>
      <c r="DK53" s="312"/>
      <c r="DL53" s="312"/>
      <c r="DM53" s="312"/>
      <c r="DN53" s="312"/>
      <c r="DO53" s="312"/>
      <c r="DP53" s="312"/>
      <c r="DQ53" s="312"/>
      <c r="DR53" s="312"/>
      <c r="DS53" s="312"/>
      <c r="DT53" s="312"/>
      <c r="DU53" s="312"/>
      <c r="DV53" s="312"/>
      <c r="DW53" s="312"/>
      <c r="DX53" s="312"/>
      <c r="DY53" s="312"/>
      <c r="DZ53" s="312"/>
      <c r="EA53" s="312"/>
      <c r="EB53" s="312"/>
      <c r="EC53" s="312"/>
      <c r="ED53" s="312"/>
      <c r="EE53" s="312"/>
      <c r="EF53" s="312"/>
      <c r="EG53" s="312"/>
      <c r="EH53" s="312"/>
      <c r="EI53" s="312"/>
      <c r="EJ53" s="312"/>
      <c r="EK53" s="312"/>
      <c r="EL53" s="312"/>
      <c r="EM53" s="312"/>
      <c r="EN53" s="312"/>
      <c r="EO53" s="312"/>
      <c r="EP53" s="312"/>
      <c r="EQ53" s="312"/>
      <c r="ER53" s="312"/>
      <c r="ES53" s="312"/>
      <c r="ET53" s="312"/>
      <c r="EU53" s="312"/>
      <c r="EV53" s="312"/>
      <c r="EW53" s="312"/>
      <c r="EX53" s="312"/>
      <c r="EY53" s="312"/>
      <c r="EZ53" s="312"/>
      <c r="FA53" s="312"/>
      <c r="FB53" s="312"/>
      <c r="FC53" s="312"/>
      <c r="FD53" s="312"/>
      <c r="FE53" s="312"/>
      <c r="FF53" s="312"/>
      <c r="FG53" s="312"/>
      <c r="FH53" s="312"/>
      <c r="FI53" s="312"/>
      <c r="FJ53" s="312"/>
      <c r="FK53" s="312"/>
      <c r="FL53" s="312"/>
      <c r="FM53" s="312"/>
      <c r="FN53" s="312"/>
      <c r="FO53" s="312"/>
      <c r="FP53" s="312"/>
      <c r="FQ53" s="312"/>
      <c r="FR53" s="312"/>
      <c r="FS53" s="312"/>
      <c r="FT53" s="312"/>
      <c r="FU53" s="312"/>
      <c r="FV53" s="312"/>
      <c r="FW53" s="312"/>
      <c r="FX53" s="312"/>
      <c r="FY53" s="312"/>
      <c r="FZ53" s="312"/>
      <c r="GA53" s="312"/>
      <c r="GB53" s="312"/>
      <c r="GC53" s="312"/>
      <c r="GD53" s="312"/>
      <c r="GE53" s="312"/>
      <c r="GF53" s="312"/>
      <c r="GG53" s="312"/>
      <c r="GH53" s="312"/>
      <c r="GI53" s="312"/>
      <c r="GJ53" s="312"/>
      <c r="GK53" s="312"/>
      <c r="GL53" s="312"/>
      <c r="GM53" s="312"/>
      <c r="GN53" s="312"/>
      <c r="GO53" s="312"/>
      <c r="GP53" s="312"/>
      <c r="GQ53" s="312"/>
      <c r="GR53" s="312"/>
      <c r="GS53" s="312"/>
      <c r="GT53" s="312"/>
      <c r="GU53" s="312"/>
      <c r="GV53" s="312"/>
      <c r="GW53" s="312"/>
      <c r="GX53" s="312"/>
      <c r="GY53" s="312"/>
      <c r="GZ53" s="312"/>
      <c r="HA53" s="312"/>
      <c r="HB53" s="312"/>
      <c r="HC53" s="312"/>
      <c r="HD53" s="312"/>
      <c r="HE53" s="312"/>
      <c r="HF53" s="312"/>
      <c r="HG53" s="312"/>
      <c r="HH53" s="312"/>
      <c r="HI53" s="312"/>
      <c r="HJ53" s="312"/>
      <c r="HK53" s="312"/>
      <c r="HL53" s="312"/>
      <c r="HM53" s="312"/>
      <c r="HN53" s="312"/>
      <c r="HO53" s="312"/>
      <c r="HP53" s="312"/>
      <c r="HQ53" s="312"/>
      <c r="HR53" s="312"/>
      <c r="HS53" s="312"/>
      <c r="HT53" s="312"/>
      <c r="HU53" s="312"/>
      <c r="HV53" s="312"/>
      <c r="HW53" s="312"/>
      <c r="HX53" s="312"/>
      <c r="HY53" s="312"/>
      <c r="HZ53" s="312"/>
      <c r="IA53" s="312"/>
      <c r="IB53" s="312"/>
      <c r="IC53" s="312"/>
      <c r="ID53" s="312"/>
      <c r="IE53" s="312"/>
      <c r="IF53" s="312"/>
      <c r="IG53" s="312"/>
      <c r="IH53" s="312"/>
      <c r="II53" s="312"/>
      <c r="IJ53" s="312"/>
      <c r="IK53" s="312"/>
      <c r="IL53" s="312"/>
      <c r="IM53" s="312"/>
      <c r="IN53" s="312"/>
      <c r="IO53" s="312"/>
      <c r="IP53" s="312"/>
      <c r="IQ53" s="312"/>
      <c r="IR53" s="312"/>
      <c r="IS53" s="312"/>
      <c r="IT53" s="312"/>
      <c r="IU53" s="312"/>
      <c r="IV53" s="312"/>
      <c r="IW53" s="312"/>
      <c r="IX53" s="312"/>
      <c r="IY53" s="312"/>
      <c r="IZ53" s="312"/>
      <c r="JA53" s="312"/>
      <c r="JB53" s="312"/>
      <c r="JC53" s="312"/>
      <c r="JD53" s="312"/>
      <c r="JE53" s="312"/>
      <c r="JF53" s="312"/>
      <c r="JG53" s="312"/>
      <c r="JH53" s="312"/>
      <c r="JI53" s="312"/>
      <c r="JJ53" s="312"/>
      <c r="JK53" s="312"/>
      <c r="JL53" s="312"/>
      <c r="JM53" s="312"/>
      <c r="JN53" s="312"/>
      <c r="JO53" s="312"/>
      <c r="JP53" s="312"/>
      <c r="JQ53" s="312"/>
      <c r="JR53" s="312"/>
      <c r="JS53" s="312"/>
      <c r="JT53" s="312"/>
      <c r="JU53" s="312"/>
      <c r="JV53" s="312"/>
      <c r="JW53" s="312"/>
      <c r="JX53" s="312"/>
      <c r="JY53" s="312"/>
      <c r="JZ53" s="312"/>
      <c r="KA53" s="312"/>
      <c r="KB53" s="312"/>
      <c r="KC53" s="312"/>
      <c r="KD53" s="312"/>
      <c r="KE53" s="312"/>
      <c r="KF53" s="312"/>
      <c r="KG53" s="312"/>
      <c r="KH53" s="312"/>
      <c r="KI53" s="312"/>
      <c r="KJ53" s="312"/>
      <c r="KK53" s="312"/>
      <c r="KL53" s="312"/>
      <c r="KM53" s="312"/>
      <c r="KN53" s="312"/>
      <c r="KO53" s="312"/>
      <c r="KP53" s="312"/>
      <c r="KQ53" s="312"/>
      <c r="KR53" s="312"/>
      <c r="KS53" s="312"/>
      <c r="KT53" s="312"/>
      <c r="KU53" s="312"/>
      <c r="KV53" s="312"/>
      <c r="KW53" s="312"/>
      <c r="KX53" s="312"/>
      <c r="KY53" s="312"/>
      <c r="KZ53" s="312"/>
      <c r="LA53" s="312"/>
      <c r="LB53" s="312"/>
      <c r="LC53" s="312"/>
      <c r="LD53" s="312"/>
      <c r="LE53" s="312"/>
      <c r="LF53" s="312"/>
      <c r="LG53" s="312"/>
      <c r="LH53" s="312"/>
      <c r="LI53" s="312"/>
      <c r="LJ53" s="312"/>
      <c r="LK53" s="312"/>
      <c r="LL53" s="312"/>
      <c r="LM53" s="312"/>
      <c r="LN53" s="312"/>
      <c r="LO53" s="312"/>
      <c r="LP53" s="312"/>
      <c r="LQ53" s="312"/>
      <c r="LR53" s="312"/>
      <c r="LS53" s="312"/>
      <c r="LT53" s="312"/>
      <c r="LU53" s="312"/>
      <c r="LV53" s="312"/>
      <c r="LW53" s="312"/>
      <c r="LX53" s="312"/>
      <c r="LY53" s="312"/>
      <c r="LZ53" s="312"/>
      <c r="MA53" s="312"/>
      <c r="MB53" s="312"/>
      <c r="MC53" s="312"/>
      <c r="MD53" s="312"/>
      <c r="ME53" s="312"/>
      <c r="MF53" s="312"/>
      <c r="MG53" s="312"/>
      <c r="MH53" s="312"/>
      <c r="MI53" s="312"/>
      <c r="MJ53" s="312"/>
      <c r="MK53" s="312"/>
      <c r="ML53" s="312"/>
      <c r="MM53" s="312"/>
      <c r="MN53" s="312"/>
      <c r="MO53" s="312"/>
      <c r="MP53" s="312"/>
      <c r="MQ53" s="312"/>
      <c r="MR53" s="312"/>
      <c r="MS53" s="312"/>
      <c r="MT53" s="312"/>
      <c r="MU53" s="312"/>
      <c r="MV53" s="312"/>
      <c r="MW53" s="312"/>
      <c r="MX53" s="312"/>
      <c r="MY53" s="312"/>
      <c r="MZ53" s="312"/>
      <c r="NA53" s="312"/>
      <c r="NB53" s="312"/>
      <c r="NC53" s="312"/>
      <c r="ND53" s="312"/>
      <c r="NE53" s="312"/>
      <c r="NF53" s="312"/>
      <c r="NG53" s="312"/>
      <c r="NH53" s="312"/>
      <c r="NI53" s="312"/>
      <c r="NJ53" s="312"/>
      <c r="NK53" s="312"/>
      <c r="NL53" s="312"/>
      <c r="NM53" s="312"/>
      <c r="NN53" s="312"/>
      <c r="NO53" s="312"/>
      <c r="NP53" s="312"/>
      <c r="NQ53" s="312"/>
      <c r="NR53" s="312"/>
      <c r="NS53" s="312"/>
      <c r="NT53" s="312"/>
      <c r="NU53" s="312"/>
      <c r="NV53" s="312"/>
      <c r="NW53" s="312"/>
      <c r="NX53" s="312"/>
      <c r="NY53" s="312"/>
      <c r="NZ53" s="312"/>
      <c r="OA53" s="312"/>
      <c r="OB53" s="312"/>
      <c r="OC53" s="312"/>
      <c r="OD53" s="312"/>
      <c r="OE53" s="312"/>
      <c r="OF53" s="312"/>
      <c r="OG53" s="312"/>
      <c r="OH53" s="312"/>
      <c r="OI53" s="312"/>
      <c r="OJ53" s="312"/>
      <c r="OK53" s="312"/>
      <c r="OL53" s="312"/>
      <c r="OM53" s="312"/>
      <c r="ON53" s="312"/>
      <c r="OO53" s="312"/>
      <c r="OP53" s="312"/>
      <c r="OQ53" s="312"/>
      <c r="OR53" s="312"/>
      <c r="OS53" s="312"/>
      <c r="OT53" s="312"/>
      <c r="OU53" s="312"/>
      <c r="OV53" s="312"/>
      <c r="OW53" s="312"/>
      <c r="OX53" s="312"/>
      <c r="OY53" s="312"/>
      <c r="OZ53" s="312"/>
      <c r="PA53" s="312"/>
      <c r="PB53" s="312"/>
      <c r="PC53" s="312"/>
      <c r="PD53" s="312"/>
      <c r="PE53" s="312"/>
      <c r="PF53" s="312"/>
      <c r="PG53" s="312"/>
      <c r="PH53" s="312"/>
      <c r="PI53" s="312"/>
      <c r="PJ53" s="312"/>
      <c r="PK53" s="312"/>
      <c r="PL53" s="312"/>
      <c r="PM53" s="312"/>
      <c r="PN53" s="312"/>
      <c r="PO53" s="312"/>
      <c r="PP53" s="312"/>
      <c r="PQ53" s="312"/>
      <c r="PR53" s="312"/>
      <c r="PS53" s="312"/>
      <c r="PT53" s="312"/>
      <c r="PU53" s="312"/>
      <c r="PV53" s="312"/>
      <c r="PW53" s="312"/>
      <c r="PX53" s="312"/>
      <c r="PY53" s="312"/>
      <c r="PZ53" s="312"/>
      <c r="QA53" s="312"/>
      <c r="QB53" s="312"/>
      <c r="QC53" s="312"/>
      <c r="QD53" s="312"/>
      <c r="QE53" s="312"/>
      <c r="QF53" s="312"/>
      <c r="QG53" s="312"/>
      <c r="QH53" s="312"/>
      <c r="QI53" s="312"/>
      <c r="QJ53" s="312"/>
      <c r="QK53" s="312"/>
      <c r="QL53" s="312"/>
      <c r="QM53" s="312"/>
      <c r="QN53" s="312"/>
      <c r="QO53" s="312"/>
      <c r="QP53" s="312"/>
      <c r="QQ53" s="312"/>
      <c r="QR53" s="312"/>
      <c r="QS53" s="312"/>
      <c r="QT53" s="312"/>
      <c r="QU53" s="312"/>
      <c r="QV53" s="312"/>
      <c r="QW53" s="312"/>
      <c r="QX53" s="312"/>
      <c r="QY53" s="312"/>
      <c r="QZ53" s="312"/>
      <c r="RA53" s="312"/>
      <c r="RB53" s="312"/>
      <c r="RC53" s="312"/>
      <c r="RD53" s="312"/>
      <c r="RE53" s="312"/>
      <c r="RF53" s="312"/>
      <c r="RG53" s="312"/>
      <c r="RH53" s="312"/>
      <c r="RI53" s="312"/>
      <c r="RJ53" s="312"/>
      <c r="RK53" s="312"/>
      <c r="RL53" s="312"/>
      <c r="RM53" s="312"/>
      <c r="RN53" s="312"/>
      <c r="RO53" s="312"/>
      <c r="RP53" s="312"/>
      <c r="RQ53" s="312"/>
      <c r="RR53" s="312"/>
      <c r="RS53" s="312"/>
      <c r="RT53" s="312"/>
      <c r="RU53" s="312"/>
      <c r="RV53" s="312"/>
      <c r="RW53" s="312"/>
      <c r="RX53" s="312"/>
      <c r="RY53" s="312"/>
      <c r="RZ53" s="312"/>
      <c r="SA53" s="312"/>
      <c r="SB53" s="312"/>
      <c r="SC53" s="312"/>
      <c r="SD53" s="312"/>
      <c r="SE53" s="312"/>
      <c r="SF53" s="312"/>
      <c r="SG53" s="312"/>
      <c r="SH53" s="312"/>
      <c r="SI53" s="312"/>
      <c r="SJ53" s="312"/>
      <c r="SK53" s="312"/>
      <c r="SL53" s="312"/>
      <c r="SM53" s="312"/>
      <c r="SN53" s="312"/>
      <c r="SO53" s="312"/>
      <c r="SP53" s="312"/>
      <c r="SQ53" s="312"/>
      <c r="SR53" s="312"/>
      <c r="SS53" s="312"/>
      <c r="ST53" s="312"/>
      <c r="SU53" s="312"/>
      <c r="SV53" s="312"/>
      <c r="SW53" s="312"/>
      <c r="SX53" s="312"/>
      <c r="SY53" s="312"/>
      <c r="SZ53" s="312"/>
      <c r="TA53" s="312"/>
      <c r="TB53" s="312"/>
      <c r="TC53" s="312"/>
      <c r="TD53" s="312"/>
      <c r="TE53" s="312"/>
      <c r="TF53" s="312"/>
      <c r="TG53" s="312"/>
      <c r="TH53" s="312"/>
      <c r="TI53" s="312"/>
      <c r="TJ53" s="312"/>
      <c r="TK53" s="312"/>
      <c r="TL53" s="312"/>
      <c r="TM53" s="312"/>
      <c r="TN53" s="312"/>
      <c r="TO53" s="312"/>
      <c r="TP53" s="312"/>
      <c r="TQ53" s="312"/>
      <c r="TR53" s="312"/>
      <c r="TS53" s="312"/>
      <c r="TT53" s="312"/>
      <c r="TU53" s="312"/>
      <c r="TV53" s="312"/>
      <c r="TW53" s="312"/>
      <c r="TX53" s="312"/>
      <c r="TY53" s="312"/>
      <c r="TZ53" s="312"/>
      <c r="UA53" s="312"/>
      <c r="UB53" s="312"/>
      <c r="UC53" s="312"/>
      <c r="UD53" s="312"/>
      <c r="UE53" s="312"/>
      <c r="UF53" s="312"/>
      <c r="UG53" s="312"/>
      <c r="UH53" s="312"/>
      <c r="UI53" s="312"/>
      <c r="UJ53" s="312"/>
      <c r="UK53" s="312"/>
      <c r="UL53" s="312"/>
      <c r="UM53" s="312"/>
      <c r="UN53" s="312"/>
      <c r="UO53" s="312"/>
      <c r="UP53" s="312"/>
      <c r="UQ53" s="312"/>
      <c r="UR53" s="312"/>
      <c r="US53" s="312"/>
      <c r="UT53" s="312"/>
      <c r="UU53" s="312"/>
      <c r="UV53" s="312"/>
      <c r="UW53" s="312"/>
      <c r="UX53" s="312"/>
      <c r="UY53" s="312"/>
      <c r="UZ53" s="312"/>
      <c r="VA53" s="312"/>
      <c r="VB53" s="312"/>
      <c r="VC53" s="312"/>
      <c r="VD53" s="312"/>
      <c r="VE53" s="312"/>
      <c r="VF53" s="312"/>
      <c r="VG53" s="312"/>
      <c r="VH53" s="312"/>
      <c r="VI53" s="312"/>
      <c r="VJ53" s="312"/>
      <c r="VK53" s="312"/>
      <c r="VL53" s="312"/>
      <c r="VM53" s="312"/>
      <c r="VN53" s="312"/>
      <c r="VO53" s="312"/>
      <c r="VP53" s="312"/>
      <c r="VQ53" s="312"/>
      <c r="VR53" s="312"/>
      <c r="VS53" s="312"/>
      <c r="VT53" s="312"/>
      <c r="VU53" s="312"/>
      <c r="VV53" s="312"/>
      <c r="VW53" s="312"/>
      <c r="VX53" s="312"/>
      <c r="VY53" s="312"/>
      <c r="VZ53" s="312"/>
      <c r="WA53" s="312"/>
      <c r="WB53" s="312"/>
      <c r="WC53" s="312"/>
      <c r="WD53" s="312"/>
      <c r="WE53" s="312"/>
      <c r="WF53" s="312"/>
      <c r="WG53" s="312"/>
      <c r="WH53" s="312"/>
      <c r="WI53" s="312"/>
      <c r="WJ53" s="312"/>
      <c r="WK53" s="312"/>
      <c r="WL53" s="312"/>
      <c r="WM53" s="312"/>
      <c r="WN53" s="312"/>
      <c r="WO53" s="312"/>
      <c r="WP53" s="312"/>
      <c r="WQ53" s="312"/>
      <c r="WR53" s="312"/>
      <c r="WS53" s="312"/>
      <c r="WT53" s="312"/>
      <c r="WU53" s="312"/>
      <c r="WV53" s="312"/>
      <c r="WW53" s="312"/>
      <c r="WX53" s="312"/>
      <c r="WY53" s="312"/>
      <c r="WZ53" s="312"/>
      <c r="XA53" s="312"/>
      <c r="XB53" s="312"/>
      <c r="XC53" s="312"/>
      <c r="XD53" s="312"/>
      <c r="XE53" s="312"/>
      <c r="XF53" s="312"/>
      <c r="XG53" s="312"/>
      <c r="XH53" s="312"/>
      <c r="XI53" s="312"/>
      <c r="XJ53" s="312"/>
      <c r="XK53" s="312"/>
      <c r="XL53" s="312"/>
      <c r="XM53" s="312"/>
      <c r="XN53" s="312"/>
      <c r="XO53" s="312"/>
      <c r="XP53" s="312"/>
      <c r="XQ53" s="312"/>
      <c r="XR53" s="312"/>
      <c r="XS53" s="312"/>
      <c r="XT53" s="312"/>
      <c r="XU53" s="312"/>
      <c r="XV53" s="312"/>
      <c r="XW53" s="312"/>
      <c r="XX53" s="312"/>
      <c r="XY53" s="312"/>
      <c r="XZ53" s="312"/>
      <c r="YA53" s="312"/>
      <c r="YB53" s="312"/>
      <c r="YC53" s="312"/>
      <c r="YD53" s="312"/>
      <c r="YE53" s="312"/>
      <c r="YF53" s="312"/>
      <c r="YG53" s="312"/>
      <c r="YH53" s="312"/>
      <c r="YI53" s="312"/>
      <c r="YJ53" s="312"/>
      <c r="YK53" s="312"/>
      <c r="YL53" s="312"/>
      <c r="YM53" s="312"/>
      <c r="YN53" s="312"/>
      <c r="YO53" s="312"/>
      <c r="YP53" s="312"/>
      <c r="YQ53" s="312"/>
      <c r="YR53" s="312"/>
      <c r="YS53" s="312"/>
      <c r="YT53" s="312"/>
      <c r="YU53" s="312"/>
      <c r="YV53" s="312"/>
      <c r="YW53" s="312"/>
      <c r="YX53" s="312"/>
      <c r="YY53" s="312"/>
      <c r="YZ53" s="312"/>
      <c r="ZA53" s="312"/>
      <c r="ZB53" s="312"/>
      <c r="ZC53" s="312"/>
      <c r="ZD53" s="312"/>
      <c r="ZE53" s="312"/>
      <c r="ZF53" s="312"/>
      <c r="ZG53" s="312"/>
      <c r="ZH53" s="312"/>
      <c r="ZI53" s="312"/>
      <c r="ZJ53" s="312"/>
      <c r="ZK53" s="312"/>
      <c r="ZL53" s="312"/>
      <c r="ZM53" s="312"/>
      <c r="ZN53" s="312"/>
      <c r="ZO53" s="312"/>
      <c r="ZP53" s="312"/>
      <c r="ZQ53" s="312"/>
      <c r="ZR53" s="312"/>
      <c r="ZS53" s="312"/>
      <c r="ZT53" s="312"/>
      <c r="ZU53" s="312"/>
      <c r="ZV53" s="312"/>
      <c r="ZW53" s="312"/>
      <c r="ZX53" s="312"/>
      <c r="ZY53" s="312"/>
      <c r="ZZ53" s="312"/>
      <c r="AAA53" s="312"/>
      <c r="AAB53" s="312"/>
      <c r="AAC53" s="312"/>
      <c r="AAD53" s="312"/>
      <c r="AAE53" s="312"/>
      <c r="AAF53" s="312"/>
      <c r="AAG53" s="312"/>
      <c r="AAH53" s="312"/>
      <c r="AAI53" s="312"/>
      <c r="AAJ53" s="312"/>
      <c r="AAK53" s="312"/>
      <c r="AAL53" s="312"/>
      <c r="AAM53" s="312"/>
      <c r="AAN53" s="312"/>
      <c r="AAO53" s="312"/>
      <c r="AAP53" s="312"/>
      <c r="AAQ53" s="312"/>
      <c r="AAR53" s="312"/>
      <c r="AAS53" s="312"/>
      <c r="AAT53" s="312"/>
      <c r="AAU53" s="312"/>
      <c r="AAV53" s="312"/>
      <c r="AAW53" s="312"/>
      <c r="AAX53" s="312"/>
      <c r="AAY53" s="312"/>
      <c r="AAZ53" s="312"/>
      <c r="ABA53" s="312"/>
      <c r="ABB53" s="312"/>
      <c r="ABC53" s="312"/>
      <c r="ABD53" s="312"/>
      <c r="ABE53" s="312"/>
      <c r="ABF53" s="312"/>
      <c r="ABG53" s="312"/>
      <c r="ABH53" s="312"/>
      <c r="ABI53" s="312"/>
      <c r="ABJ53" s="312"/>
      <c r="ABK53" s="312"/>
      <c r="ABL53" s="312"/>
      <c r="ABM53" s="312"/>
      <c r="ABN53" s="312"/>
      <c r="ABO53" s="312"/>
      <c r="ABP53" s="312"/>
      <c r="ABQ53" s="312"/>
      <c r="ABR53" s="312"/>
      <c r="ABS53" s="312"/>
      <c r="ABT53" s="312"/>
      <c r="ABU53" s="312"/>
      <c r="ABV53" s="312"/>
      <c r="ABW53" s="312"/>
      <c r="ABX53" s="312"/>
      <c r="ABY53" s="312"/>
      <c r="ABZ53" s="312"/>
      <c r="ACA53" s="312"/>
      <c r="ACB53" s="312"/>
      <c r="ACC53" s="312"/>
      <c r="ACD53" s="312"/>
      <c r="ACE53" s="312"/>
      <c r="ACF53" s="312"/>
      <c r="ACG53" s="312"/>
      <c r="ACH53" s="312"/>
      <c r="ACI53" s="312"/>
      <c r="ACJ53" s="312"/>
      <c r="ACK53" s="312"/>
      <c r="ACL53" s="312"/>
      <c r="ACM53" s="312"/>
      <c r="ACN53" s="312"/>
      <c r="ACO53" s="312"/>
      <c r="ACP53" s="312"/>
      <c r="ACQ53" s="312"/>
      <c r="ACR53" s="312"/>
      <c r="ACS53" s="312"/>
      <c r="ACT53" s="312"/>
      <c r="ACU53" s="312"/>
      <c r="ACV53" s="312"/>
      <c r="ACW53" s="312"/>
      <c r="ACX53" s="312"/>
      <c r="ACY53" s="312"/>
      <c r="ACZ53" s="312"/>
      <c r="ADA53" s="312"/>
      <c r="ADB53" s="312"/>
      <c r="ADC53" s="312"/>
      <c r="ADD53" s="312"/>
      <c r="ADE53" s="312"/>
      <c r="ADF53" s="312"/>
      <c r="ADG53" s="312"/>
      <c r="ADH53" s="312"/>
      <c r="ADI53" s="312"/>
      <c r="ADJ53" s="312"/>
      <c r="ADK53" s="312"/>
      <c r="ADL53" s="312"/>
      <c r="ADM53" s="312"/>
      <c r="ADN53" s="312"/>
      <c r="ADO53" s="312"/>
      <c r="ADP53" s="312"/>
      <c r="ADQ53" s="312"/>
      <c r="ADR53" s="312"/>
      <c r="ADS53" s="312"/>
      <c r="ADT53" s="312"/>
      <c r="ADU53" s="312"/>
      <c r="ADV53" s="312"/>
      <c r="ADW53" s="312"/>
      <c r="ADX53" s="312"/>
      <c r="ADY53" s="312"/>
      <c r="ADZ53" s="312"/>
      <c r="AEA53" s="312"/>
      <c r="AEB53" s="312"/>
      <c r="AEC53" s="312"/>
      <c r="AED53" s="312"/>
      <c r="AEE53" s="312"/>
      <c r="AEF53" s="312"/>
      <c r="AEG53" s="312"/>
      <c r="AEH53" s="312"/>
      <c r="AEI53" s="312"/>
      <c r="AEJ53" s="312"/>
      <c r="AEK53" s="312"/>
      <c r="AEL53" s="312"/>
      <c r="AEM53" s="312"/>
      <c r="AEN53" s="312"/>
      <c r="AEO53" s="312"/>
      <c r="AEP53" s="312"/>
      <c r="AEQ53" s="312"/>
      <c r="AER53" s="312"/>
      <c r="AES53" s="312"/>
      <c r="AET53" s="312"/>
      <c r="AEU53" s="312"/>
      <c r="AEV53" s="312"/>
      <c r="AEW53" s="312"/>
      <c r="AEX53" s="312"/>
      <c r="AEY53" s="312"/>
      <c r="AEZ53" s="312"/>
      <c r="AFA53" s="312"/>
      <c r="AFB53" s="312"/>
      <c r="AFC53" s="312"/>
      <c r="AFD53" s="312"/>
      <c r="AFE53" s="312"/>
      <c r="AFF53" s="312"/>
      <c r="AFG53" s="312"/>
      <c r="AFH53" s="312"/>
      <c r="AFI53" s="312"/>
      <c r="AFJ53" s="312"/>
      <c r="AFK53" s="312"/>
      <c r="AFL53" s="312"/>
      <c r="AFM53" s="312"/>
      <c r="AFN53" s="312"/>
      <c r="AFO53" s="312"/>
      <c r="AFP53" s="312"/>
      <c r="AFQ53" s="312"/>
      <c r="AFR53" s="312"/>
      <c r="AFS53" s="312"/>
      <c r="AFT53" s="312"/>
      <c r="AFU53" s="312"/>
      <c r="AFV53" s="312"/>
      <c r="AFW53" s="312"/>
      <c r="AFX53" s="312"/>
      <c r="AFY53" s="312"/>
      <c r="AFZ53" s="312"/>
      <c r="AGA53" s="312"/>
      <c r="AGB53" s="312"/>
      <c r="AGC53" s="312"/>
      <c r="AGD53" s="312"/>
      <c r="AGE53" s="312"/>
      <c r="AGF53" s="312"/>
      <c r="AGG53" s="312"/>
      <c r="AGH53" s="312"/>
      <c r="AGI53" s="312"/>
      <c r="AGJ53" s="312"/>
      <c r="AGK53" s="312"/>
      <c r="AGL53" s="312"/>
      <c r="AGM53" s="312"/>
      <c r="AGN53" s="312"/>
      <c r="AGO53" s="312"/>
      <c r="AGP53" s="312"/>
      <c r="AGQ53" s="312"/>
      <c r="AGR53" s="312"/>
      <c r="AGS53" s="312"/>
      <c r="AGT53" s="312"/>
      <c r="AGU53" s="312"/>
      <c r="AGV53" s="312"/>
      <c r="AGW53" s="312"/>
      <c r="AGX53" s="312"/>
      <c r="AGY53" s="312"/>
      <c r="AGZ53" s="312"/>
      <c r="AHA53" s="312"/>
      <c r="AHB53" s="312"/>
      <c r="AHC53" s="312"/>
      <c r="AHD53" s="312"/>
      <c r="AHE53" s="312"/>
      <c r="AHF53" s="312"/>
      <c r="AHG53" s="312"/>
      <c r="AHH53" s="312"/>
      <c r="AHI53" s="312"/>
      <c r="AHJ53" s="312"/>
      <c r="AHK53" s="312"/>
      <c r="AHL53" s="312"/>
      <c r="AHM53" s="312"/>
      <c r="AHN53" s="312"/>
      <c r="AHO53" s="312"/>
      <c r="AHP53" s="312"/>
      <c r="AHQ53" s="312"/>
      <c r="AHR53" s="312"/>
      <c r="AHS53" s="312"/>
      <c r="AHT53" s="312"/>
      <c r="AHU53" s="312"/>
      <c r="AHV53" s="312"/>
      <c r="AHW53" s="312"/>
      <c r="AHX53" s="312"/>
      <c r="AHY53" s="312"/>
      <c r="AHZ53" s="312"/>
      <c r="AIA53" s="312"/>
      <c r="AIB53" s="312"/>
      <c r="AIC53" s="312"/>
      <c r="AID53" s="312"/>
      <c r="AIE53" s="312"/>
      <c r="AIF53" s="312"/>
      <c r="AIG53" s="312"/>
      <c r="AIH53" s="312"/>
      <c r="AII53" s="312"/>
      <c r="AIJ53" s="312"/>
      <c r="AIK53" s="312"/>
      <c r="AIL53" s="312"/>
      <c r="AIM53" s="312"/>
      <c r="AIN53" s="312"/>
      <c r="AIO53" s="312"/>
      <c r="AIP53" s="312"/>
      <c r="AIQ53" s="312"/>
      <c r="AIR53" s="312"/>
      <c r="AIS53" s="312"/>
      <c r="AIT53" s="312"/>
      <c r="AIU53" s="312"/>
      <c r="AIV53" s="312"/>
      <c r="AIW53" s="312"/>
      <c r="AIX53" s="312"/>
      <c r="AIY53" s="312"/>
      <c r="AIZ53" s="312"/>
      <c r="AJA53" s="312"/>
      <c r="AJB53" s="312"/>
      <c r="AJC53" s="312"/>
      <c r="AJD53" s="312"/>
      <c r="AJE53" s="312"/>
      <c r="AJF53" s="312"/>
      <c r="AJG53" s="312"/>
      <c r="AJH53" s="312"/>
      <c r="AJI53" s="312"/>
      <c r="AJJ53" s="312"/>
      <c r="AJK53" s="312"/>
      <c r="AJL53" s="312"/>
      <c r="AJM53" s="312"/>
      <c r="AJN53" s="312"/>
      <c r="AJO53" s="312"/>
      <c r="AJP53" s="312"/>
      <c r="AJQ53" s="312"/>
      <c r="AJR53" s="312"/>
      <c r="AJS53" s="312"/>
      <c r="AJT53" s="312"/>
      <c r="AJU53" s="312"/>
      <c r="AJV53" s="312"/>
      <c r="AJW53" s="312"/>
      <c r="AJX53" s="312"/>
      <c r="AJY53" s="312"/>
      <c r="AJZ53" s="312"/>
      <c r="AKA53" s="312"/>
      <c r="AKB53" s="312"/>
      <c r="AKC53" s="312"/>
      <c r="AKD53" s="312"/>
      <c r="AKE53" s="312"/>
      <c r="AKF53" s="312"/>
      <c r="AKG53" s="312"/>
      <c r="AKH53" s="312"/>
      <c r="AKI53" s="312"/>
      <c r="AKJ53" s="312"/>
      <c r="AKK53" s="312"/>
      <c r="AKL53" s="312"/>
      <c r="AKM53" s="312"/>
      <c r="AKN53" s="312"/>
      <c r="AKO53" s="312"/>
      <c r="AKP53" s="312"/>
      <c r="AKQ53" s="312"/>
      <c r="AKR53" s="312"/>
      <c r="AKS53" s="312"/>
      <c r="AKT53" s="312"/>
      <c r="AKU53" s="312"/>
      <c r="AKV53" s="312"/>
      <c r="AKW53" s="312"/>
      <c r="AKX53" s="312"/>
      <c r="AKY53" s="312"/>
      <c r="AKZ53" s="312"/>
      <c r="ALA53" s="312"/>
      <c r="ALB53" s="312"/>
      <c r="ALC53" s="312"/>
      <c r="ALD53" s="312"/>
      <c r="ALE53" s="312"/>
      <c r="ALF53" s="312"/>
      <c r="ALG53" s="312"/>
      <c r="ALH53" s="312"/>
      <c r="ALI53" s="312"/>
      <c r="ALJ53" s="312"/>
      <c r="ALK53" s="312"/>
      <c r="ALL53" s="312"/>
      <c r="ALM53" s="312"/>
      <c r="ALN53" s="312"/>
      <c r="ALO53" s="312"/>
      <c r="ALP53" s="312"/>
      <c r="ALQ53" s="312"/>
      <c r="ALR53" s="312"/>
      <c r="ALS53" s="312"/>
      <c r="ALT53" s="312"/>
      <c r="ALU53" s="312"/>
      <c r="ALV53" s="312"/>
      <c r="ALW53" s="312"/>
      <c r="ALX53" s="312"/>
      <c r="ALY53" s="312"/>
      <c r="ALZ53" s="312"/>
      <c r="AMA53" s="312"/>
      <c r="AMB53" s="312"/>
      <c r="AMC53" s="312"/>
      <c r="AMD53" s="312"/>
      <c r="AME53" s="312"/>
      <c r="AMF53" s="312"/>
      <c r="AMG53" s="312"/>
      <c r="AMH53" s="312"/>
      <c r="AMI53" s="312"/>
      <c r="AMJ53" s="312"/>
      <c r="AMK53" s="312"/>
      <c r="AML53" s="312"/>
      <c r="AMM53" s="312"/>
      <c r="AMN53" s="312"/>
      <c r="AMO53" s="312"/>
      <c r="AMP53" s="312"/>
      <c r="AMQ53" s="312"/>
      <c r="AMR53" s="312"/>
      <c r="AMS53" s="312"/>
      <c r="AMT53" s="312"/>
      <c r="AMU53" s="312"/>
      <c r="AMV53" s="312"/>
      <c r="AMW53" s="312"/>
      <c r="AMX53" s="312"/>
      <c r="AMY53" s="312"/>
      <c r="AMZ53" s="312"/>
      <c r="ANA53" s="312"/>
      <c r="ANB53" s="312"/>
      <c r="ANC53" s="312"/>
      <c r="AND53" s="312"/>
      <c r="ANE53" s="312"/>
      <c r="ANF53" s="312"/>
      <c r="ANG53" s="312"/>
      <c r="ANH53" s="312"/>
      <c r="ANI53" s="312"/>
      <c r="ANJ53" s="312"/>
      <c r="ANK53" s="312"/>
      <c r="ANL53" s="312"/>
      <c r="ANM53" s="312"/>
      <c r="ANN53" s="312"/>
      <c r="ANO53" s="312"/>
      <c r="ANP53" s="312"/>
      <c r="ANQ53" s="312"/>
      <c r="ANR53" s="312"/>
      <c r="ANS53" s="312"/>
      <c r="ANT53" s="312"/>
      <c r="ANU53" s="312"/>
      <c r="ANV53" s="312"/>
      <c r="ANW53" s="312"/>
      <c r="ANX53" s="312"/>
      <c r="ANY53" s="312"/>
      <c r="ANZ53" s="312"/>
      <c r="AOA53" s="312"/>
      <c r="AOB53" s="312"/>
      <c r="AOC53" s="312"/>
      <c r="AOD53" s="312"/>
      <c r="AOE53" s="312"/>
      <c r="AOF53" s="312"/>
      <c r="AOG53" s="312"/>
      <c r="AOH53" s="312"/>
      <c r="AOI53" s="312"/>
      <c r="AOJ53" s="312"/>
      <c r="AOK53" s="312"/>
      <c r="AOL53" s="312"/>
      <c r="AOM53" s="312"/>
      <c r="AON53" s="312"/>
      <c r="AOO53" s="312"/>
      <c r="AOP53" s="312"/>
      <c r="AOQ53" s="312"/>
      <c r="AOR53" s="312"/>
      <c r="AOS53" s="312"/>
      <c r="AOT53" s="312"/>
      <c r="AOU53" s="312"/>
      <c r="AOV53" s="312"/>
      <c r="AOW53" s="312"/>
      <c r="AOX53" s="312"/>
      <c r="AOY53" s="312"/>
      <c r="AOZ53" s="312"/>
      <c r="APA53" s="312"/>
      <c r="APB53" s="312"/>
      <c r="APC53" s="312"/>
      <c r="APD53" s="312"/>
      <c r="APE53" s="312"/>
      <c r="APF53" s="312"/>
      <c r="APG53" s="312"/>
      <c r="APH53" s="312"/>
      <c r="API53" s="312"/>
      <c r="APJ53" s="312"/>
      <c r="APK53" s="312"/>
      <c r="APL53" s="312"/>
      <c r="APM53" s="312"/>
      <c r="APN53" s="312"/>
      <c r="APO53" s="312"/>
      <c r="APP53" s="312"/>
      <c r="APQ53" s="312"/>
      <c r="APR53" s="312"/>
      <c r="APS53" s="312"/>
      <c r="APT53" s="312"/>
      <c r="APU53" s="312"/>
      <c r="APV53" s="312"/>
      <c r="APW53" s="312"/>
      <c r="APX53" s="312"/>
      <c r="APY53" s="312"/>
      <c r="APZ53" s="312"/>
      <c r="AQA53" s="312"/>
      <c r="AQB53" s="312"/>
      <c r="AQC53" s="312"/>
      <c r="AQD53" s="312"/>
      <c r="AQE53" s="312"/>
      <c r="AQF53" s="312"/>
      <c r="AQG53" s="312"/>
      <c r="AQH53" s="312"/>
      <c r="AQI53" s="312"/>
      <c r="AQJ53" s="312"/>
      <c r="AQK53" s="312"/>
      <c r="AQL53" s="312"/>
      <c r="AQM53" s="312"/>
      <c r="AQN53" s="312"/>
      <c r="AQO53" s="312"/>
      <c r="AQP53" s="312"/>
      <c r="AQQ53" s="312"/>
      <c r="AQR53" s="312"/>
      <c r="AQS53" s="312"/>
      <c r="AQT53" s="312"/>
      <c r="AQU53" s="312"/>
      <c r="AQV53" s="312"/>
      <c r="AQW53" s="312"/>
      <c r="AQX53" s="312"/>
      <c r="AQY53" s="312"/>
      <c r="AQZ53" s="312"/>
      <c r="ARA53" s="312"/>
      <c r="ARB53" s="312"/>
      <c r="ARC53" s="312"/>
      <c r="ARD53" s="312"/>
      <c r="ARE53" s="312"/>
      <c r="ARF53" s="312"/>
      <c r="ARG53" s="312"/>
      <c r="ARH53" s="312"/>
      <c r="ARI53" s="312"/>
      <c r="ARJ53" s="312"/>
      <c r="ARK53" s="312"/>
      <c r="ARL53" s="312"/>
      <c r="ARM53" s="312"/>
      <c r="ARN53" s="312"/>
      <c r="ARO53" s="312"/>
      <c r="ARP53" s="312"/>
      <c r="ARQ53" s="312"/>
      <c r="ARR53" s="312"/>
      <c r="ARS53" s="312"/>
      <c r="ART53" s="312"/>
      <c r="ARU53" s="312"/>
      <c r="ARV53" s="312"/>
      <c r="ARW53" s="312"/>
      <c r="ARX53" s="312"/>
      <c r="ARY53" s="312"/>
      <c r="ARZ53" s="312"/>
      <c r="ASA53" s="312"/>
      <c r="ASB53" s="312"/>
      <c r="ASC53" s="312"/>
      <c r="ASD53" s="312"/>
      <c r="ASE53" s="312"/>
      <c r="ASF53" s="312"/>
      <c r="ASG53" s="312"/>
      <c r="ASH53" s="312"/>
      <c r="ASI53" s="312"/>
      <c r="ASJ53" s="312"/>
      <c r="ASK53" s="312"/>
      <c r="ASL53" s="312"/>
      <c r="ASM53" s="312"/>
      <c r="ASN53" s="312"/>
      <c r="ASO53" s="312"/>
      <c r="ASP53" s="312"/>
      <c r="ASQ53" s="312"/>
      <c r="ASR53" s="312"/>
      <c r="ASS53" s="312"/>
      <c r="AST53" s="312"/>
      <c r="ASU53" s="312"/>
      <c r="ASV53" s="312"/>
      <c r="ASW53" s="312"/>
      <c r="ASX53" s="312"/>
      <c r="ASY53" s="312"/>
      <c r="ASZ53" s="312"/>
      <c r="ATA53" s="312"/>
      <c r="ATB53" s="312"/>
      <c r="ATC53" s="312"/>
      <c r="ATD53" s="312"/>
      <c r="ATE53" s="312"/>
      <c r="ATF53" s="312"/>
      <c r="ATG53" s="312"/>
      <c r="ATH53" s="312"/>
      <c r="ATI53" s="312"/>
      <c r="ATJ53" s="312"/>
      <c r="ATK53" s="312"/>
      <c r="ATL53" s="312"/>
      <c r="ATM53" s="312"/>
      <c r="ATN53" s="312"/>
      <c r="ATO53" s="312"/>
      <c r="ATP53" s="312"/>
      <c r="ATQ53" s="312"/>
      <c r="ATR53" s="312"/>
      <c r="ATS53" s="312"/>
      <c r="ATT53" s="312"/>
      <c r="ATU53" s="312"/>
      <c r="ATV53" s="312"/>
      <c r="ATW53" s="312"/>
      <c r="ATX53" s="312"/>
      <c r="ATY53" s="312"/>
      <c r="ATZ53" s="312"/>
      <c r="AUA53" s="312"/>
      <c r="AUB53" s="312"/>
      <c r="AUC53" s="312"/>
      <c r="AUD53" s="312"/>
      <c r="AUE53" s="312"/>
      <c r="AUF53" s="312"/>
      <c r="AUG53" s="312"/>
      <c r="AUH53" s="312"/>
      <c r="AUI53" s="312"/>
      <c r="AUJ53" s="312"/>
      <c r="AUK53" s="312"/>
      <c r="AUL53" s="312"/>
      <c r="AUM53" s="312"/>
      <c r="AUN53" s="312"/>
      <c r="AUO53" s="312"/>
      <c r="AUP53" s="312"/>
      <c r="AUQ53" s="312"/>
      <c r="AUR53" s="312"/>
      <c r="AUS53" s="312"/>
      <c r="AUT53" s="312"/>
      <c r="AUU53" s="312"/>
      <c r="AUV53" s="312"/>
      <c r="AUW53" s="312"/>
      <c r="AUX53" s="312"/>
      <c r="AUY53" s="312"/>
      <c r="AUZ53" s="312"/>
      <c r="AVA53" s="312"/>
      <c r="AVB53" s="312"/>
      <c r="AVC53" s="312"/>
      <c r="AVD53" s="312"/>
      <c r="AVE53" s="312"/>
      <c r="AVF53" s="312"/>
      <c r="AVG53" s="312"/>
      <c r="AVH53" s="312"/>
      <c r="AVI53" s="312"/>
      <c r="AVJ53" s="312"/>
      <c r="AVK53" s="312"/>
      <c r="AVL53" s="312"/>
      <c r="AVM53" s="312"/>
      <c r="AVN53" s="312"/>
      <c r="AVO53" s="312"/>
      <c r="AVP53" s="312"/>
      <c r="AVQ53" s="312"/>
      <c r="AVR53" s="312"/>
      <c r="AVS53" s="312"/>
      <c r="AVT53" s="312"/>
      <c r="AVU53" s="312"/>
      <c r="AVV53" s="312"/>
      <c r="AVW53" s="312"/>
      <c r="AVX53" s="312"/>
      <c r="AVY53" s="312"/>
      <c r="AVZ53" s="312"/>
      <c r="AWA53" s="312"/>
      <c r="AWB53" s="312"/>
      <c r="AWC53" s="312"/>
      <c r="AWD53" s="312"/>
      <c r="AWE53" s="312"/>
      <c r="AWF53" s="312"/>
      <c r="AWG53" s="312"/>
      <c r="AWH53" s="312"/>
      <c r="AWI53" s="312"/>
      <c r="AWJ53" s="312"/>
      <c r="AWK53" s="312"/>
      <c r="AWL53" s="312"/>
      <c r="AWM53" s="312"/>
      <c r="AWN53" s="312"/>
      <c r="AWO53" s="312"/>
      <c r="AWP53" s="312"/>
      <c r="AWQ53" s="312"/>
      <c r="AWR53" s="312"/>
      <c r="AWS53" s="312"/>
      <c r="AWT53" s="312"/>
      <c r="AWU53" s="312"/>
      <c r="AWV53" s="312"/>
      <c r="AWW53" s="312"/>
      <c r="AWX53" s="312"/>
      <c r="AWY53" s="312"/>
      <c r="AWZ53" s="312"/>
      <c r="AXA53" s="312"/>
      <c r="AXB53" s="312"/>
      <c r="AXC53" s="312"/>
      <c r="AXD53" s="312"/>
      <c r="AXE53" s="312"/>
      <c r="AXF53" s="312"/>
      <c r="AXG53" s="312"/>
      <c r="AXH53" s="312"/>
      <c r="AXI53" s="312"/>
      <c r="AXJ53" s="312"/>
      <c r="AXK53" s="312"/>
      <c r="AXL53" s="312"/>
      <c r="AXM53" s="312"/>
      <c r="AXN53" s="312"/>
      <c r="AXO53" s="312"/>
      <c r="AXP53" s="312"/>
      <c r="AXQ53" s="312"/>
      <c r="AXR53" s="312"/>
      <c r="AXS53" s="312"/>
      <c r="AXT53" s="312"/>
      <c r="AXU53" s="312"/>
      <c r="AXV53" s="312"/>
      <c r="AXW53" s="312"/>
      <c r="AXX53" s="312"/>
      <c r="AXY53" s="312"/>
      <c r="AXZ53" s="312"/>
      <c r="AYA53" s="312"/>
      <c r="AYB53" s="312"/>
      <c r="AYC53" s="312"/>
      <c r="AYD53" s="312"/>
      <c r="AYE53" s="312"/>
      <c r="AYF53" s="312"/>
      <c r="AYG53" s="312"/>
      <c r="AYH53" s="312"/>
      <c r="AYI53" s="312"/>
      <c r="AYJ53" s="312"/>
      <c r="AYK53" s="312"/>
      <c r="AYL53" s="312"/>
      <c r="AYM53" s="312"/>
      <c r="AYN53" s="312"/>
      <c r="AYO53" s="312"/>
      <c r="AYP53" s="312"/>
      <c r="AYQ53" s="312"/>
      <c r="AYR53" s="312"/>
      <c r="AYS53" s="312"/>
      <c r="AYT53" s="312"/>
      <c r="AYU53" s="312"/>
      <c r="AYV53" s="312"/>
      <c r="AYW53" s="312"/>
      <c r="AYX53" s="312"/>
      <c r="AYY53" s="312"/>
      <c r="AYZ53" s="312"/>
      <c r="AZA53" s="312"/>
      <c r="AZB53" s="312"/>
      <c r="AZC53" s="312"/>
      <c r="AZD53" s="312"/>
      <c r="AZE53" s="312"/>
      <c r="AZF53" s="312"/>
      <c r="AZG53" s="312"/>
      <c r="AZH53" s="312"/>
      <c r="AZI53" s="312"/>
      <c r="AZJ53" s="312"/>
      <c r="AZK53" s="312"/>
      <c r="AZL53" s="312"/>
      <c r="AZM53" s="312"/>
      <c r="AZN53" s="312"/>
      <c r="AZO53" s="312"/>
      <c r="AZP53" s="312"/>
      <c r="AZQ53" s="312"/>
      <c r="AZR53" s="312"/>
      <c r="AZS53" s="312"/>
      <c r="AZT53" s="312"/>
      <c r="AZU53" s="312"/>
      <c r="AZV53" s="312"/>
      <c r="AZW53" s="312"/>
      <c r="AZX53" s="312"/>
      <c r="AZY53" s="312"/>
      <c r="AZZ53" s="312"/>
      <c r="BAA53" s="312"/>
      <c r="BAB53" s="312"/>
      <c r="BAC53" s="312"/>
      <c r="BAD53" s="312"/>
      <c r="BAE53" s="312"/>
      <c r="BAF53" s="312"/>
      <c r="BAG53" s="312"/>
      <c r="BAH53" s="312"/>
      <c r="BAI53" s="312"/>
      <c r="BAJ53" s="312"/>
      <c r="BAK53" s="312"/>
      <c r="BAL53" s="312"/>
      <c r="BAM53" s="312"/>
      <c r="BAN53" s="312"/>
      <c r="BAO53" s="312"/>
      <c r="BAP53" s="312"/>
      <c r="BAQ53" s="312"/>
      <c r="BAR53" s="312"/>
      <c r="BAS53" s="312"/>
      <c r="BAT53" s="312"/>
      <c r="BAU53" s="312"/>
      <c r="BAV53" s="312"/>
      <c r="BAW53" s="312"/>
      <c r="BAX53" s="312"/>
      <c r="BAY53" s="312"/>
      <c r="BAZ53" s="312"/>
      <c r="BBA53" s="312"/>
      <c r="BBB53" s="312"/>
      <c r="BBC53" s="312"/>
      <c r="BBD53" s="312"/>
      <c r="BBE53" s="312"/>
      <c r="BBF53" s="312"/>
      <c r="BBG53" s="312"/>
      <c r="BBH53" s="312"/>
      <c r="BBI53" s="312"/>
      <c r="BBJ53" s="312"/>
      <c r="BBK53" s="312"/>
      <c r="BBL53" s="312"/>
      <c r="BBM53" s="312"/>
      <c r="BBN53" s="312"/>
      <c r="BBO53" s="312"/>
      <c r="BBP53" s="312"/>
      <c r="BBQ53" s="312"/>
      <c r="BBR53" s="312"/>
      <c r="BBS53" s="312"/>
      <c r="BBT53" s="312"/>
      <c r="BBU53" s="312"/>
      <c r="BBV53" s="312"/>
      <c r="BBW53" s="312"/>
      <c r="BBX53" s="312"/>
      <c r="BBY53" s="312"/>
      <c r="BBZ53" s="312"/>
      <c r="BCA53" s="312"/>
      <c r="BCB53" s="312"/>
      <c r="BCC53" s="312"/>
      <c r="BCD53" s="312"/>
      <c r="BCE53" s="312"/>
      <c r="BCF53" s="312"/>
      <c r="BCG53" s="312"/>
      <c r="BCH53" s="312"/>
      <c r="BCI53" s="312"/>
      <c r="BCJ53" s="312"/>
      <c r="BCK53" s="312"/>
      <c r="BCL53" s="312"/>
      <c r="BCM53" s="312"/>
      <c r="BCN53" s="312"/>
      <c r="BCO53" s="312"/>
      <c r="BCP53" s="312"/>
      <c r="BCQ53" s="312"/>
      <c r="BCR53" s="312"/>
      <c r="BCS53" s="312"/>
      <c r="BCT53" s="312"/>
      <c r="BCU53" s="312"/>
      <c r="BCV53" s="312"/>
      <c r="BCW53" s="312"/>
      <c r="BCX53" s="312"/>
      <c r="BCY53" s="312"/>
      <c r="BCZ53" s="312"/>
      <c r="BDA53" s="312"/>
      <c r="BDB53" s="312"/>
      <c r="BDC53" s="312"/>
      <c r="BDD53" s="312"/>
      <c r="BDE53" s="312"/>
      <c r="BDF53" s="312"/>
      <c r="BDG53" s="312"/>
      <c r="BDH53" s="312"/>
      <c r="BDI53" s="312"/>
      <c r="BDJ53" s="312"/>
      <c r="BDK53" s="312"/>
      <c r="BDL53" s="312"/>
      <c r="BDM53" s="312"/>
      <c r="BDN53" s="312"/>
      <c r="BDO53" s="312"/>
      <c r="BDP53" s="312"/>
      <c r="BDQ53" s="312"/>
      <c r="BDR53" s="312"/>
      <c r="BDS53" s="312"/>
      <c r="BDT53" s="312"/>
      <c r="BDU53" s="312"/>
      <c r="BDV53" s="312"/>
      <c r="BDW53" s="312"/>
      <c r="BDX53" s="312"/>
      <c r="BDY53" s="312"/>
      <c r="BDZ53" s="312"/>
      <c r="BEA53" s="312"/>
      <c r="BEB53" s="312"/>
      <c r="BEC53" s="312"/>
      <c r="BED53" s="312"/>
      <c r="BEE53" s="312"/>
      <c r="BEF53" s="312"/>
      <c r="BEG53" s="312"/>
      <c r="BEH53" s="312"/>
      <c r="BEI53" s="312"/>
      <c r="BEJ53" s="312"/>
      <c r="BEK53" s="312"/>
      <c r="BEL53" s="312"/>
      <c r="BEM53" s="312"/>
      <c r="BEN53" s="312"/>
      <c r="BEO53" s="312"/>
      <c r="BEP53" s="312"/>
      <c r="BEQ53" s="312"/>
      <c r="BER53" s="312"/>
      <c r="BES53" s="312"/>
      <c r="BET53" s="312"/>
      <c r="BEU53" s="312"/>
      <c r="BEV53" s="312"/>
      <c r="BEW53" s="312"/>
      <c r="BEX53" s="312"/>
      <c r="BEY53" s="312"/>
      <c r="BEZ53" s="312"/>
      <c r="BFA53" s="312"/>
      <c r="BFB53" s="312"/>
      <c r="BFC53" s="312"/>
      <c r="BFD53" s="312"/>
      <c r="BFE53" s="312"/>
      <c r="BFF53" s="312"/>
      <c r="BFG53" s="312"/>
      <c r="BFH53" s="312"/>
      <c r="BFI53" s="312"/>
      <c r="BFJ53" s="312"/>
      <c r="BFK53" s="312"/>
      <c r="BFL53" s="312"/>
      <c r="BFM53" s="312"/>
      <c r="BFN53" s="312"/>
      <c r="BFO53" s="312"/>
      <c r="BFP53" s="312"/>
      <c r="BFQ53" s="312"/>
      <c r="BFR53" s="312"/>
      <c r="BFS53" s="312"/>
      <c r="BFT53" s="312"/>
      <c r="BFU53" s="312"/>
      <c r="BFV53" s="312"/>
      <c r="BFW53" s="312"/>
      <c r="BFX53" s="312"/>
      <c r="BFY53" s="312"/>
      <c r="BFZ53" s="312"/>
      <c r="BGA53" s="312"/>
      <c r="BGB53" s="312"/>
      <c r="BGC53" s="312"/>
      <c r="BGD53" s="312"/>
      <c r="BGE53" s="312"/>
      <c r="BGF53" s="312"/>
      <c r="BGG53" s="312"/>
      <c r="BGH53" s="312"/>
      <c r="BGI53" s="312"/>
      <c r="BGJ53" s="312"/>
      <c r="BGK53" s="312"/>
      <c r="BGL53" s="312"/>
      <c r="BGM53" s="312"/>
      <c r="BGN53" s="312"/>
      <c r="BGO53" s="312"/>
      <c r="BGP53" s="312"/>
      <c r="BGQ53" s="312"/>
      <c r="BGR53" s="312"/>
      <c r="BGS53" s="312"/>
      <c r="BGT53" s="312"/>
      <c r="BGU53" s="312"/>
      <c r="BGV53" s="312"/>
      <c r="BGW53" s="312"/>
      <c r="BGX53" s="312"/>
      <c r="BGY53" s="312"/>
      <c r="BGZ53" s="312"/>
      <c r="BHA53" s="312"/>
      <c r="BHB53" s="312"/>
      <c r="BHC53" s="312"/>
      <c r="BHD53" s="312"/>
      <c r="BHE53" s="312"/>
      <c r="BHF53" s="312"/>
      <c r="BHG53" s="312"/>
      <c r="BHH53" s="312"/>
      <c r="BHI53" s="312"/>
      <c r="BHJ53" s="312"/>
      <c r="BHK53" s="312"/>
      <c r="BHL53" s="312"/>
      <c r="BHM53" s="312"/>
      <c r="BHN53" s="312"/>
      <c r="BHO53" s="312"/>
      <c r="BHP53" s="312"/>
      <c r="BHQ53" s="312"/>
      <c r="BHR53" s="312"/>
      <c r="BHS53" s="312"/>
      <c r="BHT53" s="312"/>
      <c r="BHU53" s="312"/>
      <c r="BHV53" s="312"/>
      <c r="BHW53" s="312"/>
      <c r="BHX53" s="312"/>
      <c r="BHY53" s="312"/>
      <c r="BHZ53" s="312"/>
      <c r="BIA53" s="312"/>
      <c r="BIB53" s="312"/>
      <c r="BIC53" s="312"/>
      <c r="BID53" s="312"/>
      <c r="BIE53" s="312"/>
      <c r="BIF53" s="312"/>
      <c r="BIG53" s="312"/>
      <c r="BIH53" s="312"/>
      <c r="BII53" s="312"/>
      <c r="BIJ53" s="312"/>
      <c r="BIK53" s="312"/>
      <c r="BIL53" s="312"/>
      <c r="BIM53" s="312"/>
      <c r="BIN53" s="312"/>
      <c r="BIO53" s="312"/>
      <c r="BIP53" s="312"/>
      <c r="BIQ53" s="312"/>
      <c r="BIR53" s="312"/>
      <c r="BIS53" s="312"/>
      <c r="BIT53" s="312"/>
      <c r="BIU53" s="312"/>
      <c r="BIV53" s="312"/>
      <c r="BIW53" s="312"/>
      <c r="BIX53" s="312"/>
      <c r="BIY53" s="312"/>
      <c r="BIZ53" s="312"/>
      <c r="BJA53" s="312"/>
      <c r="BJB53" s="312"/>
      <c r="BJC53" s="312"/>
      <c r="BJD53" s="312"/>
      <c r="BJE53" s="312"/>
      <c r="BJF53" s="312"/>
      <c r="BJG53" s="312"/>
      <c r="BJH53" s="312"/>
      <c r="BJI53" s="312"/>
      <c r="BJJ53" s="312"/>
      <c r="BJK53" s="312"/>
      <c r="BJL53" s="312"/>
      <c r="BJM53" s="312"/>
      <c r="BJN53" s="312"/>
      <c r="BJO53" s="312"/>
      <c r="BJP53" s="312"/>
      <c r="BJQ53" s="312"/>
      <c r="BJR53" s="312"/>
      <c r="BJS53" s="312"/>
      <c r="BJT53" s="312"/>
      <c r="BJU53" s="312"/>
      <c r="BJV53" s="312"/>
      <c r="BJW53" s="312"/>
      <c r="BJX53" s="312"/>
      <c r="BJY53" s="312"/>
      <c r="BJZ53" s="312"/>
      <c r="BKA53" s="312"/>
      <c r="BKB53" s="312"/>
      <c r="BKC53" s="312"/>
      <c r="BKD53" s="312"/>
      <c r="BKE53" s="312"/>
      <c r="BKF53" s="312"/>
      <c r="BKG53" s="312"/>
      <c r="BKH53" s="312"/>
      <c r="BKI53" s="312"/>
      <c r="BKJ53" s="312"/>
      <c r="BKK53" s="312"/>
      <c r="BKL53" s="312"/>
      <c r="BKM53" s="312"/>
      <c r="BKN53" s="312"/>
      <c r="BKO53" s="312"/>
      <c r="BKP53" s="312"/>
      <c r="BKQ53" s="312"/>
      <c r="BKR53" s="312"/>
      <c r="BKS53" s="312"/>
      <c r="BKT53" s="312"/>
      <c r="BKU53" s="312"/>
      <c r="BKV53" s="312"/>
      <c r="BKW53" s="312"/>
      <c r="BKX53" s="312"/>
      <c r="BKY53" s="312"/>
      <c r="BKZ53" s="312"/>
      <c r="BLA53" s="312"/>
      <c r="BLB53" s="312"/>
      <c r="BLC53" s="312"/>
      <c r="BLD53" s="312"/>
      <c r="BLE53" s="312"/>
      <c r="BLF53" s="312"/>
      <c r="BLG53" s="312"/>
      <c r="BLH53" s="312"/>
      <c r="BLI53" s="312"/>
      <c r="BLJ53" s="312"/>
      <c r="BLK53" s="312"/>
      <c r="BLL53" s="312"/>
      <c r="BLM53" s="312"/>
      <c r="BLN53" s="312"/>
      <c r="BLO53" s="312"/>
      <c r="BLP53" s="312"/>
      <c r="BLQ53" s="312"/>
      <c r="BLR53" s="312"/>
      <c r="BLS53" s="312"/>
      <c r="BLT53" s="312"/>
      <c r="BLU53" s="312"/>
      <c r="BLV53" s="312"/>
      <c r="BLW53" s="312"/>
      <c r="BLX53" s="312"/>
      <c r="BLY53" s="312"/>
      <c r="BLZ53" s="312"/>
      <c r="BMA53" s="312"/>
      <c r="BMB53" s="312"/>
      <c r="BMC53" s="312"/>
      <c r="BMD53" s="312"/>
      <c r="BME53" s="312"/>
      <c r="BMF53" s="312"/>
      <c r="BMG53" s="312"/>
      <c r="BMH53" s="312"/>
      <c r="BMI53" s="312"/>
      <c r="BMJ53" s="312"/>
      <c r="BMK53" s="312"/>
      <c r="BML53" s="312"/>
      <c r="BMM53" s="312"/>
      <c r="BMN53" s="312"/>
      <c r="BMO53" s="312"/>
      <c r="BMP53" s="312"/>
      <c r="BMQ53" s="312"/>
      <c r="BMR53" s="312"/>
      <c r="BMS53" s="312"/>
      <c r="BMT53" s="312"/>
      <c r="BMU53" s="312"/>
      <c r="BMV53" s="312"/>
      <c r="BMW53" s="312"/>
      <c r="BMX53" s="312"/>
      <c r="BMY53" s="312"/>
      <c r="BMZ53" s="312"/>
      <c r="BNA53" s="312"/>
      <c r="BNB53" s="312"/>
      <c r="BNC53" s="312"/>
      <c r="BND53" s="312"/>
      <c r="BNE53" s="312"/>
      <c r="BNF53" s="312"/>
      <c r="BNG53" s="312"/>
      <c r="BNH53" s="312"/>
      <c r="BNI53" s="312"/>
      <c r="BNJ53" s="312"/>
      <c r="BNK53" s="312"/>
      <c r="BNL53" s="312"/>
      <c r="BNM53" s="312"/>
      <c r="BNN53" s="312"/>
      <c r="BNO53" s="312"/>
      <c r="BNP53" s="312"/>
      <c r="BNQ53" s="312"/>
      <c r="BNR53" s="312"/>
      <c r="BNS53" s="312"/>
      <c r="BNT53" s="312"/>
      <c r="BNU53" s="312"/>
      <c r="BNV53" s="312"/>
      <c r="BNW53" s="312"/>
      <c r="BNX53" s="312"/>
      <c r="BNY53" s="312"/>
      <c r="BNZ53" s="312"/>
      <c r="BOA53" s="312"/>
      <c r="BOB53" s="312"/>
      <c r="BOC53" s="312"/>
      <c r="BOD53" s="312"/>
      <c r="BOE53" s="312"/>
      <c r="BOF53" s="312"/>
      <c r="BOG53" s="312"/>
      <c r="BOH53" s="312"/>
      <c r="BOI53" s="312"/>
      <c r="BOJ53" s="312"/>
      <c r="BOK53" s="312"/>
      <c r="BOL53" s="312"/>
      <c r="BOM53" s="312"/>
      <c r="BON53" s="312"/>
      <c r="BOO53" s="312"/>
      <c r="BOP53" s="312"/>
      <c r="BOQ53" s="312"/>
      <c r="BOR53" s="312"/>
      <c r="BOS53" s="312"/>
      <c r="BOT53" s="312"/>
      <c r="BOU53" s="312"/>
      <c r="BOV53" s="312"/>
      <c r="BOW53" s="312"/>
      <c r="BOX53" s="312"/>
      <c r="BOY53" s="312"/>
      <c r="BOZ53" s="312"/>
      <c r="BPA53" s="312"/>
      <c r="BPB53" s="312"/>
      <c r="BPC53" s="312"/>
      <c r="BPD53" s="312"/>
      <c r="BPE53" s="312"/>
      <c r="BPF53" s="312"/>
      <c r="BPG53" s="312"/>
      <c r="BPH53" s="312"/>
      <c r="BPI53" s="312"/>
      <c r="BPJ53" s="312"/>
      <c r="BPK53" s="312"/>
      <c r="BPL53" s="312"/>
      <c r="BPM53" s="312"/>
      <c r="BPN53" s="312"/>
      <c r="BPO53" s="312"/>
      <c r="BPP53" s="312"/>
      <c r="BPQ53" s="312"/>
      <c r="BPR53" s="312"/>
      <c r="BPS53" s="312"/>
      <c r="BPT53" s="312"/>
      <c r="BPU53" s="312"/>
      <c r="BPV53" s="312"/>
      <c r="BPW53" s="312"/>
      <c r="BPX53" s="312"/>
      <c r="BPY53" s="312"/>
      <c r="BPZ53" s="312"/>
      <c r="BQA53" s="312"/>
      <c r="BQB53" s="312"/>
      <c r="BQC53" s="312"/>
      <c r="BQD53" s="312"/>
      <c r="BQE53" s="312"/>
      <c r="BQF53" s="312"/>
      <c r="BQG53" s="312"/>
      <c r="BQH53" s="312"/>
      <c r="BQI53" s="312"/>
      <c r="BQJ53" s="312"/>
      <c r="BQK53" s="312"/>
      <c r="BQL53" s="312"/>
      <c r="BQM53" s="312"/>
      <c r="BQN53" s="312"/>
      <c r="BQO53" s="312"/>
      <c r="BQP53" s="312"/>
      <c r="BQQ53" s="312"/>
      <c r="BQR53" s="312"/>
      <c r="BQS53" s="312"/>
      <c r="BQT53" s="312"/>
      <c r="BQU53" s="312"/>
      <c r="BQV53" s="312"/>
      <c r="BQW53" s="312"/>
      <c r="BQX53" s="312"/>
      <c r="BQY53" s="312"/>
      <c r="BQZ53" s="312"/>
      <c r="BRA53" s="312"/>
      <c r="BRB53" s="312"/>
      <c r="BRC53" s="312"/>
      <c r="BRD53" s="312"/>
      <c r="BRE53" s="312"/>
      <c r="BRF53" s="312"/>
      <c r="BRG53" s="312"/>
      <c r="BRH53" s="312"/>
      <c r="BRI53" s="312"/>
      <c r="BRJ53" s="312"/>
      <c r="BRK53" s="312"/>
      <c r="BRL53" s="312"/>
      <c r="BRM53" s="312"/>
      <c r="BRN53" s="312"/>
      <c r="BRO53" s="312"/>
      <c r="BRP53" s="312"/>
      <c r="BRQ53" s="312"/>
      <c r="BRR53" s="312"/>
      <c r="BRS53" s="312"/>
      <c r="BRT53" s="312"/>
      <c r="BRU53" s="312"/>
      <c r="BRV53" s="312"/>
      <c r="BRW53" s="312"/>
      <c r="BRX53" s="312"/>
      <c r="BRY53" s="312"/>
      <c r="BRZ53" s="312"/>
      <c r="BSA53" s="312"/>
      <c r="BSB53" s="312"/>
      <c r="BSC53" s="312"/>
      <c r="BSD53" s="312"/>
      <c r="BSE53" s="312"/>
      <c r="BSF53" s="312"/>
      <c r="BSG53" s="312"/>
      <c r="BSH53" s="312"/>
      <c r="BSI53" s="312"/>
      <c r="BSJ53" s="312"/>
      <c r="BSK53" s="312"/>
      <c r="BSL53" s="312"/>
      <c r="BSM53" s="312"/>
      <c r="BSN53" s="312"/>
      <c r="BSO53" s="312"/>
      <c r="BSP53" s="312"/>
      <c r="BSQ53" s="312"/>
      <c r="BSR53" s="312"/>
      <c r="BSS53" s="312"/>
      <c r="BST53" s="312"/>
      <c r="BSU53" s="312"/>
      <c r="BSV53" s="312"/>
      <c r="BSW53" s="312"/>
      <c r="BSX53" s="312"/>
      <c r="BSY53" s="312"/>
      <c r="BSZ53" s="312"/>
      <c r="BTA53" s="312"/>
      <c r="BTB53" s="312"/>
      <c r="BTC53" s="312"/>
      <c r="BTD53" s="312"/>
      <c r="BTE53" s="312"/>
      <c r="BTF53" s="312"/>
      <c r="BTG53" s="312"/>
      <c r="BTH53" s="312"/>
      <c r="BTI53" s="312"/>
      <c r="BTJ53" s="312"/>
      <c r="BTK53" s="312"/>
      <c r="BTL53" s="312"/>
      <c r="BTM53" s="312"/>
      <c r="BTN53" s="312"/>
      <c r="BTO53" s="312"/>
      <c r="BTP53" s="312"/>
      <c r="BTQ53" s="312"/>
      <c r="BTR53" s="312"/>
      <c r="BTS53" s="312"/>
      <c r="BTT53" s="312"/>
      <c r="BTU53" s="312"/>
      <c r="BTV53" s="312"/>
      <c r="BTW53" s="312"/>
      <c r="BTX53" s="312"/>
      <c r="BTY53" s="312"/>
      <c r="BTZ53" s="312"/>
      <c r="BUA53" s="312"/>
      <c r="BUB53" s="312"/>
      <c r="BUC53" s="312"/>
      <c r="BUD53" s="312"/>
      <c r="BUE53" s="312"/>
      <c r="BUF53" s="312"/>
      <c r="BUG53" s="312"/>
      <c r="BUH53" s="312"/>
      <c r="BUI53" s="312"/>
      <c r="BUJ53" s="312"/>
      <c r="BUK53" s="312"/>
      <c r="BUL53" s="312"/>
      <c r="BUM53" s="312"/>
      <c r="BUN53" s="312"/>
      <c r="BUO53" s="312"/>
      <c r="BUP53" s="312"/>
      <c r="BUQ53" s="312"/>
      <c r="BUR53" s="312"/>
      <c r="BUS53" s="312"/>
      <c r="BUT53" s="312"/>
      <c r="BUU53" s="312"/>
      <c r="BUV53" s="312"/>
      <c r="BUW53" s="312"/>
      <c r="BUX53" s="312"/>
      <c r="BUY53" s="312"/>
      <c r="BUZ53" s="312"/>
      <c r="BVA53" s="312"/>
      <c r="BVB53" s="312"/>
      <c r="BVC53" s="312"/>
      <c r="BVD53" s="312"/>
      <c r="BVE53" s="312"/>
      <c r="BVF53" s="312"/>
      <c r="BVG53" s="312"/>
      <c r="BVH53" s="312"/>
      <c r="BVI53" s="312"/>
      <c r="BVJ53" s="312"/>
      <c r="BVK53" s="312"/>
      <c r="BVL53" s="312"/>
      <c r="BVM53" s="312"/>
      <c r="BVN53" s="312"/>
      <c r="BVO53" s="312"/>
      <c r="BVP53" s="312"/>
      <c r="BVQ53" s="312"/>
      <c r="BVR53" s="312"/>
      <c r="BVS53" s="312"/>
      <c r="BVT53" s="312"/>
      <c r="BVU53" s="312"/>
      <c r="BVV53" s="312"/>
      <c r="BVW53" s="312"/>
      <c r="BVX53" s="312"/>
      <c r="BVY53" s="312"/>
      <c r="BVZ53" s="312"/>
      <c r="BWA53" s="312"/>
      <c r="BWB53" s="312"/>
      <c r="BWC53" s="312"/>
      <c r="BWD53" s="312"/>
      <c r="BWE53" s="312"/>
      <c r="BWF53" s="312"/>
      <c r="BWG53" s="312"/>
      <c r="BWH53" s="312"/>
      <c r="BWI53" s="312"/>
      <c r="BWJ53" s="312"/>
      <c r="BWK53" s="312"/>
      <c r="BWL53" s="312"/>
      <c r="BWM53" s="312"/>
      <c r="BWN53" s="312"/>
      <c r="BWO53" s="312"/>
      <c r="BWP53" s="312"/>
      <c r="BWQ53" s="312"/>
      <c r="BWR53" s="312"/>
      <c r="BWS53" s="312"/>
      <c r="BWT53" s="312"/>
      <c r="BWU53" s="312"/>
      <c r="BWV53" s="312"/>
      <c r="BWW53" s="312"/>
      <c r="BWX53" s="312"/>
      <c r="BWY53" s="312"/>
      <c r="BWZ53" s="312"/>
      <c r="BXA53" s="312"/>
      <c r="BXB53" s="312"/>
      <c r="BXC53" s="312"/>
      <c r="BXD53" s="312"/>
      <c r="BXE53" s="312"/>
      <c r="BXF53" s="312"/>
      <c r="BXG53" s="312"/>
      <c r="BXH53" s="312"/>
      <c r="BXI53" s="312"/>
      <c r="BXJ53" s="312"/>
      <c r="BXK53" s="312"/>
      <c r="BXL53" s="312"/>
      <c r="BXM53" s="312"/>
      <c r="BXN53" s="312"/>
      <c r="BXO53" s="312"/>
      <c r="BXP53" s="312"/>
      <c r="BXQ53" s="312"/>
      <c r="BXR53" s="312"/>
      <c r="BXS53" s="312"/>
      <c r="BXT53" s="312"/>
      <c r="BXU53" s="312"/>
      <c r="BXV53" s="312"/>
      <c r="BXW53" s="312"/>
      <c r="BXX53" s="312"/>
      <c r="BXY53" s="312"/>
      <c r="BXZ53" s="312"/>
      <c r="BYA53" s="312"/>
      <c r="BYB53" s="312"/>
      <c r="BYC53" s="312"/>
      <c r="BYD53" s="312"/>
      <c r="BYE53" s="312"/>
      <c r="BYF53" s="312"/>
      <c r="BYG53" s="312"/>
      <c r="BYH53" s="312"/>
      <c r="BYI53" s="312"/>
      <c r="BYJ53" s="312"/>
      <c r="BYK53" s="312"/>
      <c r="BYL53" s="312"/>
      <c r="BYM53" s="312"/>
      <c r="BYN53" s="312"/>
      <c r="BYO53" s="312"/>
      <c r="BYP53" s="312"/>
      <c r="BYQ53" s="312"/>
      <c r="BYR53" s="312"/>
      <c r="BYS53" s="312"/>
      <c r="BYT53" s="312"/>
      <c r="BYU53" s="312"/>
      <c r="BYV53" s="312"/>
      <c r="BYW53" s="312"/>
      <c r="BYX53" s="312"/>
      <c r="BYY53" s="312"/>
      <c r="BYZ53" s="312"/>
      <c r="BZA53" s="312"/>
      <c r="BZB53" s="312"/>
      <c r="BZC53" s="312"/>
      <c r="BZD53" s="312"/>
      <c r="BZE53" s="312"/>
      <c r="BZF53" s="312"/>
      <c r="BZG53" s="312"/>
      <c r="BZH53" s="312"/>
      <c r="BZI53" s="312"/>
      <c r="BZJ53" s="312"/>
      <c r="BZK53" s="312"/>
      <c r="BZL53" s="312"/>
      <c r="BZM53" s="312"/>
      <c r="BZN53" s="312"/>
      <c r="BZO53" s="312"/>
      <c r="BZP53" s="312"/>
      <c r="BZQ53" s="312"/>
      <c r="BZR53" s="312"/>
      <c r="BZS53" s="312"/>
      <c r="BZT53" s="312"/>
      <c r="BZU53" s="312"/>
      <c r="BZV53" s="312"/>
      <c r="BZW53" s="312"/>
      <c r="BZX53" s="312"/>
      <c r="BZY53" s="312"/>
      <c r="BZZ53" s="312"/>
      <c r="CAA53" s="312"/>
      <c r="CAB53" s="312"/>
      <c r="CAC53" s="312"/>
      <c r="CAD53" s="312"/>
      <c r="CAE53" s="312"/>
      <c r="CAF53" s="312"/>
      <c r="CAG53" s="312"/>
      <c r="CAH53" s="312"/>
      <c r="CAI53" s="312"/>
      <c r="CAJ53" s="312"/>
      <c r="CAK53" s="312"/>
      <c r="CAL53" s="312"/>
      <c r="CAM53" s="312"/>
      <c r="CAN53" s="312"/>
      <c r="CAO53" s="312"/>
      <c r="CAP53" s="312"/>
      <c r="CAQ53" s="312"/>
      <c r="CAR53" s="312"/>
      <c r="CAS53" s="312"/>
      <c r="CAT53" s="312"/>
      <c r="CAU53" s="312"/>
      <c r="CAV53" s="312"/>
      <c r="CAW53" s="312"/>
      <c r="CAX53" s="312"/>
      <c r="CAY53" s="312"/>
      <c r="CAZ53" s="312"/>
      <c r="CBA53" s="312"/>
      <c r="CBB53" s="312"/>
      <c r="CBC53" s="312"/>
      <c r="CBD53" s="312"/>
      <c r="CBE53" s="312"/>
      <c r="CBF53" s="312"/>
      <c r="CBG53" s="312"/>
      <c r="CBH53" s="312"/>
      <c r="CBI53" s="312"/>
      <c r="CBJ53" s="312"/>
      <c r="CBK53" s="312"/>
      <c r="CBL53" s="312"/>
      <c r="CBM53" s="312"/>
      <c r="CBN53" s="312"/>
      <c r="CBO53" s="312"/>
      <c r="CBP53" s="312"/>
      <c r="CBQ53" s="312"/>
      <c r="CBR53" s="312"/>
      <c r="CBS53" s="312"/>
      <c r="CBT53" s="312"/>
      <c r="CBU53" s="312"/>
      <c r="CBV53" s="312"/>
      <c r="CBW53" s="312"/>
      <c r="CBX53" s="312"/>
      <c r="CBY53" s="312"/>
      <c r="CBZ53" s="312"/>
      <c r="CCA53" s="312"/>
      <c r="CCB53" s="312"/>
      <c r="CCC53" s="312"/>
      <c r="CCD53" s="312"/>
      <c r="CCE53" s="312"/>
      <c r="CCF53" s="312"/>
      <c r="CCG53" s="312"/>
      <c r="CCH53" s="312"/>
      <c r="CCI53" s="312"/>
      <c r="CCJ53" s="312"/>
      <c r="CCK53" s="312"/>
      <c r="CCL53" s="312"/>
      <c r="CCM53" s="312"/>
      <c r="CCN53" s="312"/>
      <c r="CCO53" s="312"/>
      <c r="CCP53" s="312"/>
      <c r="CCQ53" s="312"/>
      <c r="CCR53" s="312"/>
      <c r="CCS53" s="312"/>
      <c r="CCT53" s="312"/>
      <c r="CCU53" s="312"/>
      <c r="CCV53" s="312"/>
      <c r="CCW53" s="312"/>
      <c r="CCX53" s="312"/>
      <c r="CCY53" s="312"/>
      <c r="CCZ53" s="312"/>
      <c r="CDA53" s="312"/>
      <c r="CDB53" s="312"/>
      <c r="CDC53" s="312"/>
      <c r="CDD53" s="312"/>
      <c r="CDE53" s="312"/>
      <c r="CDF53" s="312"/>
      <c r="CDG53" s="312"/>
      <c r="CDH53" s="312"/>
      <c r="CDI53" s="312"/>
      <c r="CDJ53" s="312"/>
      <c r="CDK53" s="312"/>
      <c r="CDL53" s="312"/>
      <c r="CDM53" s="312"/>
      <c r="CDN53" s="312"/>
      <c r="CDO53" s="312"/>
      <c r="CDP53" s="312"/>
      <c r="CDQ53" s="312"/>
      <c r="CDR53" s="312"/>
      <c r="CDS53" s="312"/>
      <c r="CDT53" s="312"/>
      <c r="CDU53" s="312"/>
      <c r="CDV53" s="312"/>
      <c r="CDW53" s="312"/>
      <c r="CDX53" s="312"/>
      <c r="CDY53" s="312"/>
      <c r="CDZ53" s="312"/>
      <c r="CEA53" s="312"/>
      <c r="CEB53" s="312"/>
      <c r="CEC53" s="312"/>
      <c r="CED53" s="312"/>
      <c r="CEE53" s="312"/>
      <c r="CEF53" s="312"/>
      <c r="CEG53" s="312"/>
      <c r="CEH53" s="312"/>
      <c r="CEI53" s="312"/>
      <c r="CEJ53" s="312"/>
      <c r="CEK53" s="312"/>
      <c r="CEL53" s="312"/>
      <c r="CEM53" s="312"/>
      <c r="CEN53" s="312"/>
      <c r="CEO53" s="312"/>
      <c r="CEP53" s="312"/>
      <c r="CEQ53" s="312"/>
      <c r="CER53" s="312"/>
      <c r="CES53" s="312"/>
      <c r="CET53" s="312"/>
      <c r="CEU53" s="312"/>
      <c r="CEV53" s="312"/>
      <c r="CEW53" s="312"/>
      <c r="CEX53" s="312"/>
      <c r="CEY53" s="312"/>
      <c r="CEZ53" s="312"/>
      <c r="CFA53" s="312"/>
      <c r="CFB53" s="312"/>
      <c r="CFC53" s="312"/>
      <c r="CFD53" s="312"/>
      <c r="CFE53" s="312"/>
      <c r="CFF53" s="312"/>
      <c r="CFG53" s="312"/>
      <c r="CFH53" s="312"/>
      <c r="CFI53" s="312"/>
      <c r="CFJ53" s="312"/>
      <c r="CFK53" s="312"/>
      <c r="CFL53" s="312"/>
      <c r="CFM53" s="312"/>
      <c r="CFN53" s="312"/>
      <c r="CFO53" s="312"/>
      <c r="CFP53" s="312"/>
      <c r="CFQ53" s="312"/>
      <c r="CFR53" s="312"/>
      <c r="CFS53" s="312"/>
      <c r="CFT53" s="312"/>
      <c r="CFU53" s="312"/>
      <c r="CFV53" s="312"/>
      <c r="CFW53" s="312"/>
      <c r="CFX53" s="312"/>
      <c r="CFY53" s="312"/>
      <c r="CFZ53" s="312"/>
      <c r="CGA53" s="312"/>
      <c r="CGB53" s="312"/>
      <c r="CGC53" s="312"/>
      <c r="CGD53" s="312"/>
      <c r="CGE53" s="312"/>
      <c r="CGF53" s="312"/>
      <c r="CGG53" s="312"/>
      <c r="CGH53" s="312"/>
      <c r="CGI53" s="312"/>
      <c r="CGJ53" s="312"/>
      <c r="CGK53" s="312"/>
      <c r="CGL53" s="312"/>
      <c r="CGM53" s="312"/>
      <c r="CGN53" s="312"/>
      <c r="CGO53" s="312"/>
      <c r="CGP53" s="312"/>
      <c r="CGQ53" s="312"/>
      <c r="CGR53" s="312"/>
      <c r="CGS53" s="312"/>
      <c r="CGT53" s="312"/>
      <c r="CGU53" s="312"/>
      <c r="CGV53" s="312"/>
      <c r="CGW53" s="312"/>
      <c r="CGX53" s="312"/>
      <c r="CGY53" s="312"/>
      <c r="CGZ53" s="312"/>
      <c r="CHA53" s="312"/>
      <c r="CHB53" s="312"/>
      <c r="CHC53" s="312"/>
      <c r="CHD53" s="312"/>
      <c r="CHE53" s="312"/>
      <c r="CHF53" s="312"/>
      <c r="CHG53" s="312"/>
      <c r="CHH53" s="312"/>
      <c r="CHI53" s="312"/>
      <c r="CHJ53" s="312"/>
      <c r="CHK53" s="312"/>
      <c r="CHL53" s="312"/>
      <c r="CHM53" s="312"/>
      <c r="CHN53" s="312"/>
      <c r="CHO53" s="312"/>
      <c r="CHP53" s="312"/>
      <c r="CHQ53" s="312"/>
      <c r="CHR53" s="312"/>
      <c r="CHS53" s="312"/>
      <c r="CHT53" s="312"/>
      <c r="CHU53" s="312"/>
      <c r="CHV53" s="312"/>
      <c r="CHW53" s="312"/>
      <c r="CHX53" s="312"/>
      <c r="CHY53" s="312"/>
      <c r="CHZ53" s="312"/>
      <c r="CIA53" s="312"/>
      <c r="CIB53" s="312"/>
      <c r="CIC53" s="312"/>
      <c r="CID53" s="312"/>
      <c r="CIE53" s="312"/>
      <c r="CIF53" s="312"/>
      <c r="CIG53" s="312"/>
      <c r="CIH53" s="312"/>
      <c r="CII53" s="312"/>
      <c r="CIJ53" s="312"/>
      <c r="CIK53" s="312"/>
      <c r="CIL53" s="312"/>
      <c r="CIM53" s="312"/>
      <c r="CIN53" s="312"/>
      <c r="CIO53" s="312"/>
      <c r="CIP53" s="312"/>
      <c r="CIQ53" s="312"/>
      <c r="CIR53" s="312"/>
      <c r="CIS53" s="312"/>
      <c r="CIT53" s="312"/>
      <c r="CIU53" s="312"/>
      <c r="CIV53" s="312"/>
      <c r="CIW53" s="312"/>
      <c r="CIX53" s="312"/>
      <c r="CIY53" s="312"/>
      <c r="CIZ53" s="312"/>
      <c r="CJA53" s="312"/>
      <c r="CJB53" s="312"/>
      <c r="CJC53" s="312"/>
      <c r="CJD53" s="312"/>
      <c r="CJE53" s="312"/>
      <c r="CJF53" s="312"/>
      <c r="CJG53" s="312"/>
      <c r="CJH53" s="312"/>
      <c r="CJI53" s="312"/>
      <c r="CJJ53" s="312"/>
      <c r="CJK53" s="312"/>
      <c r="CJL53" s="312"/>
      <c r="CJM53" s="312"/>
      <c r="CJN53" s="312"/>
      <c r="CJO53" s="312"/>
      <c r="CJP53" s="312"/>
      <c r="CJQ53" s="312"/>
      <c r="CJR53" s="312"/>
      <c r="CJS53" s="312"/>
      <c r="CJT53" s="312"/>
      <c r="CJU53" s="312"/>
      <c r="CJV53" s="312"/>
      <c r="CJW53" s="312"/>
      <c r="CJX53" s="312"/>
      <c r="CJY53" s="312"/>
      <c r="CJZ53" s="312"/>
      <c r="CKA53" s="312"/>
      <c r="CKB53" s="312"/>
      <c r="CKC53" s="312"/>
      <c r="CKD53" s="312"/>
      <c r="CKE53" s="312"/>
      <c r="CKF53" s="312"/>
      <c r="CKG53" s="312"/>
      <c r="CKH53" s="312"/>
      <c r="CKI53" s="312"/>
      <c r="CKJ53" s="312"/>
      <c r="CKK53" s="312"/>
      <c r="CKL53" s="312"/>
      <c r="CKM53" s="312"/>
      <c r="CKN53" s="312"/>
      <c r="CKO53" s="312"/>
      <c r="CKP53" s="312"/>
      <c r="CKQ53" s="312"/>
      <c r="CKR53" s="312"/>
      <c r="CKS53" s="312"/>
      <c r="CKT53" s="312"/>
      <c r="CKU53" s="312"/>
      <c r="CKV53" s="312"/>
      <c r="CKW53" s="312"/>
      <c r="CKX53" s="312"/>
      <c r="CKY53" s="312"/>
      <c r="CKZ53" s="312"/>
      <c r="CLA53" s="312"/>
      <c r="CLB53" s="312"/>
      <c r="CLC53" s="312"/>
      <c r="CLD53" s="312"/>
      <c r="CLE53" s="312"/>
      <c r="CLF53" s="312"/>
      <c r="CLG53" s="312"/>
      <c r="CLH53" s="312"/>
      <c r="CLI53" s="312"/>
      <c r="CLJ53" s="312"/>
      <c r="CLK53" s="312"/>
      <c r="CLL53" s="312"/>
      <c r="CLM53" s="312"/>
      <c r="CLN53" s="312"/>
      <c r="CLO53" s="312"/>
      <c r="CLP53" s="312"/>
      <c r="CLQ53" s="312"/>
      <c r="CLR53" s="312"/>
      <c r="CLS53" s="312"/>
      <c r="CLT53" s="312"/>
      <c r="CLU53" s="312"/>
      <c r="CLV53" s="312"/>
      <c r="CLW53" s="312"/>
      <c r="CLX53" s="312"/>
      <c r="CLY53" s="312"/>
      <c r="CLZ53" s="312"/>
      <c r="CMA53" s="312"/>
      <c r="CMB53" s="312"/>
      <c r="CMC53" s="312"/>
      <c r="CMD53" s="312"/>
      <c r="CME53" s="312"/>
      <c r="CMF53" s="312"/>
      <c r="CMG53" s="312"/>
      <c r="CMH53" s="312"/>
      <c r="CMI53" s="312"/>
      <c r="CMJ53" s="312"/>
      <c r="CMK53" s="312"/>
      <c r="CML53" s="312"/>
      <c r="CMM53" s="312"/>
      <c r="CMN53" s="312"/>
      <c r="CMO53" s="312"/>
      <c r="CMP53" s="312"/>
      <c r="CMQ53" s="312"/>
      <c r="CMR53" s="312"/>
      <c r="CMS53" s="312"/>
      <c r="CMT53" s="312"/>
      <c r="CMU53" s="312"/>
      <c r="CMV53" s="312"/>
      <c r="CMW53" s="312"/>
      <c r="CMX53" s="312"/>
      <c r="CMY53" s="312"/>
      <c r="CMZ53" s="312"/>
      <c r="CNA53" s="312"/>
      <c r="CNB53" s="312"/>
      <c r="CNC53" s="312"/>
      <c r="CND53" s="312"/>
      <c r="CNE53" s="312"/>
      <c r="CNF53" s="312"/>
      <c r="CNG53" s="312"/>
      <c r="CNH53" s="312"/>
      <c r="CNI53" s="312"/>
      <c r="CNJ53" s="312"/>
      <c r="CNK53" s="312"/>
      <c r="CNL53" s="312"/>
      <c r="CNM53" s="312"/>
      <c r="CNN53" s="312"/>
      <c r="CNO53" s="312"/>
      <c r="CNP53" s="312"/>
      <c r="CNQ53" s="312"/>
      <c r="CNR53" s="312"/>
      <c r="CNS53" s="312"/>
      <c r="CNT53" s="312"/>
      <c r="CNU53" s="312"/>
      <c r="CNV53" s="312"/>
      <c r="CNW53" s="312"/>
      <c r="CNX53" s="312"/>
      <c r="CNY53" s="312"/>
      <c r="CNZ53" s="312"/>
      <c r="COA53" s="312"/>
      <c r="COB53" s="312"/>
      <c r="COC53" s="312"/>
      <c r="COD53" s="312"/>
      <c r="COE53" s="312"/>
      <c r="COF53" s="312"/>
      <c r="COG53" s="312"/>
      <c r="COH53" s="312"/>
      <c r="COI53" s="312"/>
      <c r="COJ53" s="312"/>
      <c r="COK53" s="312"/>
      <c r="COL53" s="312"/>
      <c r="COM53" s="312"/>
      <c r="CON53" s="312"/>
      <c r="COO53" s="312"/>
      <c r="COP53" s="312"/>
      <c r="COQ53" s="312"/>
      <c r="COR53" s="312"/>
      <c r="COS53" s="312"/>
      <c r="COT53" s="312"/>
      <c r="COU53" s="312"/>
      <c r="COV53" s="312"/>
      <c r="COW53" s="312"/>
      <c r="COX53" s="312"/>
      <c r="COY53" s="312"/>
      <c r="COZ53" s="312"/>
      <c r="CPA53" s="312"/>
      <c r="CPB53" s="312"/>
      <c r="CPC53" s="312"/>
      <c r="CPD53" s="312"/>
      <c r="CPE53" s="312"/>
      <c r="CPF53" s="312"/>
      <c r="CPG53" s="312"/>
      <c r="CPH53" s="312"/>
      <c r="CPI53" s="312"/>
      <c r="CPJ53" s="312"/>
      <c r="CPK53" s="312"/>
      <c r="CPL53" s="312"/>
      <c r="CPM53" s="312"/>
      <c r="CPN53" s="312"/>
      <c r="CPO53" s="312"/>
      <c r="CPP53" s="312"/>
      <c r="CPQ53" s="312"/>
      <c r="CPR53" s="312"/>
      <c r="CPS53" s="312"/>
      <c r="CPT53" s="312"/>
      <c r="CPU53" s="312"/>
      <c r="CPV53" s="312"/>
      <c r="CPW53" s="312"/>
      <c r="CPX53" s="312"/>
      <c r="CPY53" s="312"/>
      <c r="CPZ53" s="312"/>
      <c r="CQA53" s="312"/>
      <c r="CQB53" s="312"/>
      <c r="CQC53" s="312"/>
      <c r="CQD53" s="312"/>
      <c r="CQE53" s="312"/>
      <c r="CQF53" s="312"/>
      <c r="CQG53" s="312"/>
      <c r="CQH53" s="312"/>
      <c r="CQI53" s="312"/>
      <c r="CQJ53" s="312"/>
      <c r="CQK53" s="312"/>
      <c r="CQL53" s="312"/>
      <c r="CQM53" s="312"/>
      <c r="CQN53" s="312"/>
      <c r="CQO53" s="312"/>
      <c r="CQP53" s="312"/>
      <c r="CQQ53" s="312"/>
      <c r="CQR53" s="312"/>
      <c r="CQS53" s="312"/>
      <c r="CQT53" s="312"/>
      <c r="CQU53" s="312"/>
      <c r="CQV53" s="312"/>
      <c r="CQW53" s="312"/>
      <c r="CQX53" s="312"/>
      <c r="CQY53" s="312"/>
      <c r="CQZ53" s="312"/>
      <c r="CRA53" s="312"/>
      <c r="CRB53" s="312"/>
      <c r="CRC53" s="312"/>
      <c r="CRD53" s="312"/>
      <c r="CRE53" s="312"/>
      <c r="CRF53" s="312"/>
      <c r="CRG53" s="312"/>
      <c r="CRH53" s="312"/>
      <c r="CRI53" s="312"/>
      <c r="CRJ53" s="312"/>
      <c r="CRK53" s="312"/>
      <c r="CRL53" s="312"/>
      <c r="CRM53" s="312"/>
      <c r="CRN53" s="312"/>
      <c r="CRO53" s="312"/>
      <c r="CRP53" s="312"/>
      <c r="CRQ53" s="312"/>
      <c r="CRR53" s="312"/>
      <c r="CRS53" s="312"/>
      <c r="CRT53" s="312"/>
      <c r="CRU53" s="312"/>
      <c r="CRV53" s="312"/>
      <c r="CRW53" s="312"/>
      <c r="CRX53" s="312"/>
      <c r="CRY53" s="312"/>
      <c r="CRZ53" s="312"/>
      <c r="CSA53" s="312"/>
      <c r="CSB53" s="312"/>
      <c r="CSC53" s="312"/>
      <c r="CSD53" s="312"/>
      <c r="CSE53" s="312"/>
      <c r="CSF53" s="312"/>
      <c r="CSG53" s="312"/>
      <c r="CSH53" s="312"/>
      <c r="CSI53" s="312"/>
      <c r="CSJ53" s="312"/>
      <c r="CSK53" s="312"/>
      <c r="CSL53" s="312"/>
      <c r="CSM53" s="312"/>
      <c r="CSN53" s="312"/>
      <c r="CSO53" s="312"/>
      <c r="CSP53" s="312"/>
      <c r="CSQ53" s="312"/>
      <c r="CSR53" s="312"/>
      <c r="CSS53" s="312"/>
      <c r="CST53" s="312"/>
      <c r="CSU53" s="312"/>
      <c r="CSV53" s="312"/>
      <c r="CSW53" s="312"/>
      <c r="CSX53" s="312"/>
      <c r="CSY53" s="312"/>
      <c r="CSZ53" s="312"/>
      <c r="CTA53" s="312"/>
      <c r="CTB53" s="312"/>
      <c r="CTC53" s="312"/>
      <c r="CTD53" s="312"/>
      <c r="CTE53" s="312"/>
      <c r="CTF53" s="312"/>
      <c r="CTG53" s="312"/>
      <c r="CTH53" s="312"/>
      <c r="CTI53" s="312"/>
      <c r="CTJ53" s="312"/>
      <c r="CTK53" s="312"/>
      <c r="CTL53" s="312"/>
      <c r="CTM53" s="312"/>
      <c r="CTN53" s="312"/>
      <c r="CTO53" s="312"/>
      <c r="CTP53" s="312"/>
      <c r="CTQ53" s="312"/>
      <c r="CTR53" s="312"/>
      <c r="CTS53" s="312"/>
      <c r="CTT53" s="312"/>
      <c r="CTU53" s="312"/>
      <c r="CTV53" s="312"/>
      <c r="CTW53" s="312"/>
      <c r="CTX53" s="312"/>
      <c r="CTY53" s="312"/>
      <c r="CTZ53" s="312"/>
      <c r="CUA53" s="312"/>
      <c r="CUB53" s="312"/>
      <c r="CUC53" s="312"/>
      <c r="CUD53" s="312"/>
      <c r="CUE53" s="312"/>
      <c r="CUF53" s="312"/>
      <c r="CUG53" s="312"/>
      <c r="CUH53" s="312"/>
      <c r="CUI53" s="312"/>
      <c r="CUJ53" s="312"/>
      <c r="CUK53" s="312"/>
      <c r="CUL53" s="312"/>
      <c r="CUM53" s="312"/>
      <c r="CUN53" s="312"/>
      <c r="CUO53" s="312"/>
      <c r="CUP53" s="312"/>
      <c r="CUQ53" s="312"/>
      <c r="CUR53" s="312"/>
      <c r="CUS53" s="312"/>
      <c r="CUT53" s="312"/>
      <c r="CUU53" s="312"/>
      <c r="CUV53" s="312"/>
      <c r="CUW53" s="312"/>
      <c r="CUX53" s="312"/>
      <c r="CUY53" s="312"/>
      <c r="CUZ53" s="312"/>
      <c r="CVA53" s="312"/>
      <c r="CVB53" s="312"/>
      <c r="CVC53" s="312"/>
      <c r="CVD53" s="312"/>
      <c r="CVE53" s="312"/>
      <c r="CVF53" s="312"/>
      <c r="CVG53" s="312"/>
      <c r="CVH53" s="312"/>
      <c r="CVI53" s="312"/>
      <c r="CVJ53" s="312"/>
      <c r="CVK53" s="312"/>
      <c r="CVL53" s="312"/>
      <c r="CVM53" s="312"/>
      <c r="CVN53" s="312"/>
      <c r="CVO53" s="312"/>
      <c r="CVP53" s="312"/>
      <c r="CVQ53" s="312"/>
      <c r="CVR53" s="312"/>
      <c r="CVS53" s="312"/>
      <c r="CVT53" s="312"/>
      <c r="CVU53" s="312"/>
      <c r="CVV53" s="312"/>
      <c r="CVW53" s="312"/>
      <c r="CVX53" s="312"/>
      <c r="CVY53" s="312"/>
      <c r="CVZ53" s="312"/>
      <c r="CWA53" s="312"/>
      <c r="CWB53" s="312"/>
      <c r="CWC53" s="312"/>
      <c r="CWD53" s="312"/>
      <c r="CWE53" s="312"/>
      <c r="CWF53" s="312"/>
      <c r="CWG53" s="312"/>
      <c r="CWH53" s="312"/>
      <c r="CWI53" s="312"/>
      <c r="CWJ53" s="312"/>
      <c r="CWK53" s="312"/>
      <c r="CWL53" s="312"/>
      <c r="CWM53" s="312"/>
      <c r="CWN53" s="312"/>
      <c r="CWO53" s="312"/>
      <c r="CWP53" s="312"/>
      <c r="CWQ53" s="312"/>
      <c r="CWR53" s="312"/>
      <c r="CWS53" s="312"/>
      <c r="CWT53" s="312"/>
      <c r="CWU53" s="312"/>
      <c r="CWV53" s="312"/>
      <c r="CWW53" s="312"/>
      <c r="CWX53" s="312"/>
      <c r="CWY53" s="312"/>
      <c r="CWZ53" s="312"/>
      <c r="CXA53" s="312"/>
      <c r="CXB53" s="312"/>
      <c r="CXC53" s="312"/>
      <c r="CXD53" s="312"/>
      <c r="CXE53" s="312"/>
      <c r="CXF53" s="312"/>
      <c r="CXG53" s="312"/>
      <c r="CXH53" s="312"/>
      <c r="CXI53" s="312"/>
      <c r="CXJ53" s="312"/>
      <c r="CXK53" s="312"/>
      <c r="CXL53" s="312"/>
      <c r="CXM53" s="312"/>
      <c r="CXN53" s="312"/>
      <c r="CXO53" s="312"/>
      <c r="CXP53" s="312"/>
      <c r="CXQ53" s="312"/>
      <c r="CXR53" s="312"/>
      <c r="CXS53" s="312"/>
      <c r="CXT53" s="312"/>
      <c r="CXU53" s="312"/>
      <c r="CXV53" s="312"/>
      <c r="CXW53" s="312"/>
      <c r="CXX53" s="312"/>
      <c r="CXY53" s="312"/>
      <c r="CXZ53" s="312"/>
      <c r="CYA53" s="312"/>
      <c r="CYB53" s="312"/>
      <c r="CYC53" s="312"/>
      <c r="CYD53" s="312"/>
      <c r="CYE53" s="312"/>
      <c r="CYF53" s="312"/>
      <c r="CYG53" s="312"/>
      <c r="CYH53" s="312"/>
      <c r="CYI53" s="312"/>
      <c r="CYJ53" s="312"/>
      <c r="CYK53" s="312"/>
      <c r="CYL53" s="312"/>
      <c r="CYM53" s="312"/>
      <c r="CYN53" s="312"/>
      <c r="CYO53" s="312"/>
      <c r="CYP53" s="312"/>
      <c r="CYQ53" s="312"/>
      <c r="CYR53" s="312"/>
      <c r="CYS53" s="312"/>
      <c r="CYT53" s="312"/>
      <c r="CYU53" s="312"/>
      <c r="CYV53" s="312"/>
      <c r="CYW53" s="312"/>
      <c r="CYX53" s="312"/>
      <c r="CYY53" s="312"/>
      <c r="CYZ53" s="312"/>
      <c r="CZA53" s="312"/>
      <c r="CZB53" s="312"/>
      <c r="CZC53" s="312"/>
      <c r="CZD53" s="312"/>
      <c r="CZE53" s="312"/>
      <c r="CZF53" s="312"/>
      <c r="CZG53" s="312"/>
      <c r="CZH53" s="312"/>
      <c r="CZI53" s="312"/>
      <c r="CZJ53" s="312"/>
      <c r="CZK53" s="312"/>
      <c r="CZL53" s="312"/>
      <c r="CZM53" s="312"/>
      <c r="CZN53" s="312"/>
      <c r="CZO53" s="312"/>
      <c r="CZP53" s="312"/>
      <c r="CZQ53" s="312"/>
      <c r="CZR53" s="312"/>
      <c r="CZS53" s="312"/>
      <c r="CZT53" s="312"/>
      <c r="CZU53" s="312"/>
      <c r="CZV53" s="312"/>
      <c r="CZW53" s="312"/>
      <c r="CZX53" s="312"/>
      <c r="CZY53" s="312"/>
      <c r="CZZ53" s="312"/>
      <c r="DAA53" s="312"/>
      <c r="DAB53" s="312"/>
      <c r="DAC53" s="312"/>
      <c r="DAD53" s="312"/>
      <c r="DAE53" s="312"/>
      <c r="DAF53" s="312"/>
      <c r="DAG53" s="312"/>
      <c r="DAH53" s="312"/>
      <c r="DAI53" s="312"/>
      <c r="DAJ53" s="312"/>
      <c r="DAK53" s="312"/>
      <c r="DAL53" s="312"/>
      <c r="DAM53" s="312"/>
      <c r="DAN53" s="312"/>
      <c r="DAO53" s="312"/>
      <c r="DAP53" s="312"/>
      <c r="DAQ53" s="312"/>
      <c r="DAR53" s="312"/>
      <c r="DAS53" s="312"/>
      <c r="DAT53" s="312"/>
      <c r="DAU53" s="312"/>
      <c r="DAV53" s="312"/>
      <c r="DAW53" s="312"/>
      <c r="DAX53" s="312"/>
      <c r="DAY53" s="312"/>
      <c r="DAZ53" s="312"/>
      <c r="DBA53" s="312"/>
      <c r="DBB53" s="312"/>
      <c r="DBC53" s="312"/>
      <c r="DBD53" s="312"/>
      <c r="DBE53" s="312"/>
      <c r="DBF53" s="312"/>
      <c r="DBG53" s="312"/>
      <c r="DBH53" s="312"/>
      <c r="DBI53" s="312"/>
      <c r="DBJ53" s="312"/>
      <c r="DBK53" s="312"/>
      <c r="DBL53" s="312"/>
      <c r="DBM53" s="312"/>
      <c r="DBN53" s="312"/>
      <c r="DBO53" s="312"/>
      <c r="DBP53" s="312"/>
      <c r="DBQ53" s="312"/>
      <c r="DBR53" s="312"/>
      <c r="DBS53" s="312"/>
      <c r="DBT53" s="312"/>
      <c r="DBU53" s="312"/>
      <c r="DBV53" s="312"/>
      <c r="DBW53" s="312"/>
      <c r="DBX53" s="312"/>
      <c r="DBY53" s="312"/>
      <c r="DBZ53" s="312"/>
      <c r="DCA53" s="312"/>
      <c r="DCB53" s="312"/>
      <c r="DCC53" s="312"/>
      <c r="DCD53" s="312"/>
      <c r="DCE53" s="312"/>
      <c r="DCF53" s="312"/>
      <c r="DCG53" s="312"/>
      <c r="DCH53" s="312"/>
      <c r="DCI53" s="312"/>
      <c r="DCJ53" s="312"/>
      <c r="DCK53" s="312"/>
      <c r="DCL53" s="312"/>
      <c r="DCM53" s="312"/>
      <c r="DCN53" s="312"/>
      <c r="DCO53" s="312"/>
      <c r="DCP53" s="312"/>
      <c r="DCQ53" s="312"/>
      <c r="DCR53" s="312"/>
      <c r="DCS53" s="312"/>
      <c r="DCT53" s="312"/>
      <c r="DCU53" s="312"/>
      <c r="DCV53" s="312"/>
      <c r="DCW53" s="312"/>
      <c r="DCX53" s="312"/>
      <c r="DCY53" s="312"/>
      <c r="DCZ53" s="312"/>
      <c r="DDA53" s="312"/>
      <c r="DDB53" s="312"/>
      <c r="DDC53" s="312"/>
      <c r="DDD53" s="312"/>
      <c r="DDE53" s="312"/>
      <c r="DDF53" s="312"/>
      <c r="DDG53" s="312"/>
      <c r="DDH53" s="312"/>
      <c r="DDI53" s="312"/>
      <c r="DDJ53" s="312"/>
      <c r="DDK53" s="312"/>
      <c r="DDL53" s="312"/>
      <c r="DDM53" s="312"/>
      <c r="DDN53" s="312"/>
      <c r="DDO53" s="312"/>
      <c r="DDP53" s="312"/>
      <c r="DDQ53" s="312"/>
      <c r="DDR53" s="312"/>
      <c r="DDS53" s="312"/>
      <c r="DDT53" s="312"/>
      <c r="DDU53" s="312"/>
      <c r="DDV53" s="312"/>
      <c r="DDW53" s="312"/>
      <c r="DDX53" s="312"/>
      <c r="DDY53" s="312"/>
      <c r="DDZ53" s="312"/>
      <c r="DEA53" s="312"/>
      <c r="DEB53" s="312"/>
      <c r="DEC53" s="312"/>
      <c r="DED53" s="312"/>
      <c r="DEE53" s="312"/>
      <c r="DEF53" s="312"/>
      <c r="DEG53" s="312"/>
      <c r="DEH53" s="312"/>
      <c r="DEI53" s="312"/>
      <c r="DEJ53" s="312"/>
      <c r="DEK53" s="312"/>
      <c r="DEL53" s="312"/>
      <c r="DEM53" s="312"/>
      <c r="DEN53" s="312"/>
      <c r="DEO53" s="312"/>
      <c r="DEP53" s="312"/>
      <c r="DEQ53" s="312"/>
      <c r="DER53" s="312"/>
      <c r="DES53" s="312"/>
      <c r="DET53" s="312"/>
      <c r="DEU53" s="312"/>
      <c r="DEV53" s="312"/>
      <c r="DEW53" s="312"/>
      <c r="DEX53" s="312"/>
      <c r="DEY53" s="312"/>
      <c r="DEZ53" s="312"/>
      <c r="DFA53" s="312"/>
      <c r="DFB53" s="312"/>
      <c r="DFC53" s="312"/>
      <c r="DFD53" s="312"/>
      <c r="DFE53" s="312"/>
      <c r="DFF53" s="312"/>
      <c r="DFG53" s="312"/>
      <c r="DFH53" s="312"/>
      <c r="DFI53" s="312"/>
      <c r="DFJ53" s="312"/>
      <c r="DFK53" s="312"/>
      <c r="DFL53" s="312"/>
      <c r="DFM53" s="312"/>
      <c r="DFN53" s="312"/>
      <c r="DFO53" s="312"/>
      <c r="DFP53" s="312"/>
      <c r="DFQ53" s="312"/>
      <c r="DFR53" s="312"/>
      <c r="DFS53" s="312"/>
      <c r="DFT53" s="312"/>
      <c r="DFU53" s="312"/>
      <c r="DFV53" s="312"/>
      <c r="DFW53" s="312"/>
      <c r="DFX53" s="312"/>
      <c r="DFY53" s="312"/>
      <c r="DFZ53" s="312"/>
      <c r="DGA53" s="312"/>
      <c r="DGB53" s="312"/>
      <c r="DGC53" s="312"/>
      <c r="DGD53" s="312"/>
      <c r="DGE53" s="312"/>
      <c r="DGF53" s="312"/>
      <c r="DGG53" s="312"/>
      <c r="DGH53" s="312"/>
      <c r="DGI53" s="312"/>
      <c r="DGJ53" s="312"/>
      <c r="DGK53" s="312"/>
      <c r="DGL53" s="312"/>
      <c r="DGM53" s="312"/>
      <c r="DGN53" s="312"/>
      <c r="DGO53" s="312"/>
      <c r="DGP53" s="312"/>
      <c r="DGQ53" s="312"/>
      <c r="DGR53" s="312"/>
      <c r="DGS53" s="312"/>
      <c r="DGT53" s="312"/>
      <c r="DGU53" s="312"/>
      <c r="DGV53" s="312"/>
      <c r="DGW53" s="312"/>
      <c r="DGX53" s="312"/>
      <c r="DGY53" s="312"/>
      <c r="DGZ53" s="312"/>
      <c r="DHA53" s="312"/>
      <c r="DHB53" s="312"/>
      <c r="DHC53" s="312"/>
      <c r="DHD53" s="312"/>
      <c r="DHE53" s="312"/>
      <c r="DHF53" s="312"/>
      <c r="DHG53" s="312"/>
      <c r="DHH53" s="312"/>
      <c r="DHI53" s="312"/>
      <c r="DHJ53" s="312"/>
      <c r="DHK53" s="312"/>
      <c r="DHL53" s="312"/>
      <c r="DHM53" s="312"/>
      <c r="DHN53" s="312"/>
      <c r="DHO53" s="312"/>
      <c r="DHP53" s="312"/>
      <c r="DHQ53" s="312"/>
      <c r="DHR53" s="312"/>
      <c r="DHS53" s="312"/>
      <c r="DHT53" s="312"/>
      <c r="DHU53" s="312"/>
      <c r="DHV53" s="312"/>
      <c r="DHW53" s="312"/>
      <c r="DHX53" s="312"/>
      <c r="DHY53" s="312"/>
      <c r="DHZ53" s="312"/>
      <c r="DIA53" s="312"/>
      <c r="DIB53" s="312"/>
      <c r="DIC53" s="312"/>
      <c r="DID53" s="312"/>
      <c r="DIE53" s="312"/>
      <c r="DIF53" s="312"/>
      <c r="DIG53" s="312"/>
      <c r="DIH53" s="312"/>
      <c r="DII53" s="312"/>
      <c r="DIJ53" s="312"/>
      <c r="DIK53" s="312"/>
      <c r="DIL53" s="312"/>
      <c r="DIM53" s="312"/>
      <c r="DIN53" s="312"/>
      <c r="DIO53" s="312"/>
      <c r="DIP53" s="312"/>
      <c r="DIQ53" s="312"/>
      <c r="DIR53" s="312"/>
      <c r="DIS53" s="312"/>
      <c r="DIT53" s="312"/>
      <c r="DIU53" s="312"/>
      <c r="DIV53" s="312"/>
      <c r="DIW53" s="312"/>
      <c r="DIX53" s="312"/>
      <c r="DIY53" s="312"/>
      <c r="DIZ53" s="312"/>
      <c r="DJA53" s="312"/>
      <c r="DJB53" s="312"/>
      <c r="DJC53" s="312"/>
      <c r="DJD53" s="312"/>
      <c r="DJE53" s="312"/>
      <c r="DJF53" s="312"/>
      <c r="DJG53" s="312"/>
      <c r="DJH53" s="312"/>
      <c r="DJI53" s="312"/>
      <c r="DJJ53" s="312"/>
      <c r="DJK53" s="312"/>
      <c r="DJL53" s="312"/>
      <c r="DJM53" s="312"/>
      <c r="DJN53" s="312"/>
      <c r="DJO53" s="312"/>
      <c r="DJP53" s="312"/>
      <c r="DJQ53" s="312"/>
      <c r="DJR53" s="312"/>
      <c r="DJS53" s="312"/>
      <c r="DJT53" s="312"/>
      <c r="DJU53" s="312"/>
      <c r="DJV53" s="312"/>
      <c r="DJW53" s="312"/>
      <c r="DJX53" s="312"/>
      <c r="DJY53" s="312"/>
      <c r="DJZ53" s="312"/>
      <c r="DKA53" s="312"/>
      <c r="DKB53" s="312"/>
      <c r="DKC53" s="312"/>
      <c r="DKD53" s="312"/>
      <c r="DKE53" s="312"/>
      <c r="DKF53" s="312"/>
      <c r="DKG53" s="312"/>
      <c r="DKH53" s="312"/>
      <c r="DKI53" s="312"/>
      <c r="DKJ53" s="312"/>
      <c r="DKK53" s="312"/>
      <c r="DKL53" s="312"/>
      <c r="DKM53" s="312"/>
      <c r="DKN53" s="312"/>
      <c r="DKO53" s="312"/>
      <c r="DKP53" s="312"/>
      <c r="DKQ53" s="312"/>
      <c r="DKR53" s="312"/>
      <c r="DKS53" s="312"/>
      <c r="DKT53" s="312"/>
      <c r="DKU53" s="312"/>
      <c r="DKV53" s="312"/>
      <c r="DKW53" s="312"/>
      <c r="DKX53" s="312"/>
      <c r="DKY53" s="312"/>
      <c r="DKZ53" s="312"/>
      <c r="DLA53" s="312"/>
      <c r="DLB53" s="312"/>
      <c r="DLC53" s="312"/>
      <c r="DLD53" s="312"/>
      <c r="DLE53" s="312"/>
      <c r="DLF53" s="312"/>
      <c r="DLG53" s="312"/>
      <c r="DLH53" s="312"/>
      <c r="DLI53" s="312"/>
      <c r="DLJ53" s="312"/>
      <c r="DLK53" s="312"/>
      <c r="DLL53" s="312"/>
      <c r="DLM53" s="312"/>
      <c r="DLN53" s="312"/>
      <c r="DLO53" s="312"/>
      <c r="DLP53" s="312"/>
      <c r="DLQ53" s="312"/>
      <c r="DLR53" s="312"/>
      <c r="DLS53" s="312"/>
      <c r="DLT53" s="312"/>
      <c r="DLU53" s="312"/>
      <c r="DLV53" s="312"/>
      <c r="DLW53" s="312"/>
      <c r="DLX53" s="312"/>
      <c r="DLY53" s="312"/>
      <c r="DLZ53" s="312"/>
      <c r="DMA53" s="312"/>
      <c r="DMB53" s="312"/>
      <c r="DMC53" s="312"/>
      <c r="DMD53" s="312"/>
      <c r="DME53" s="312"/>
      <c r="DMF53" s="312"/>
      <c r="DMG53" s="312"/>
      <c r="DMH53" s="312"/>
      <c r="DMI53" s="312"/>
      <c r="DMJ53" s="312"/>
      <c r="DMK53" s="312"/>
      <c r="DML53" s="312"/>
      <c r="DMM53" s="312"/>
      <c r="DMN53" s="312"/>
      <c r="DMO53" s="312"/>
      <c r="DMP53" s="312"/>
      <c r="DMQ53" s="312"/>
      <c r="DMR53" s="312"/>
      <c r="DMS53" s="312"/>
      <c r="DMT53" s="312"/>
      <c r="DMU53" s="312"/>
      <c r="DMV53" s="312"/>
      <c r="DMW53" s="312"/>
      <c r="DMX53" s="312"/>
      <c r="DMY53" s="312"/>
      <c r="DMZ53" s="312"/>
      <c r="DNA53" s="312"/>
      <c r="DNB53" s="312"/>
      <c r="DNC53" s="312"/>
      <c r="DND53" s="312"/>
      <c r="DNE53" s="312"/>
      <c r="DNF53" s="312"/>
      <c r="DNG53" s="312"/>
      <c r="DNH53" s="312"/>
      <c r="DNI53" s="312"/>
      <c r="DNJ53" s="312"/>
      <c r="DNK53" s="312"/>
      <c r="DNL53" s="312"/>
      <c r="DNM53" s="312"/>
      <c r="DNN53" s="312"/>
      <c r="DNO53" s="312"/>
      <c r="DNP53" s="312"/>
      <c r="DNQ53" s="312"/>
      <c r="DNR53" s="312"/>
      <c r="DNS53" s="312"/>
      <c r="DNT53" s="312"/>
      <c r="DNU53" s="312"/>
      <c r="DNV53" s="312"/>
      <c r="DNW53" s="312"/>
      <c r="DNX53" s="312"/>
      <c r="DNY53" s="312"/>
      <c r="DNZ53" s="312"/>
      <c r="DOA53" s="312"/>
      <c r="DOB53" s="312"/>
      <c r="DOC53" s="312"/>
      <c r="DOD53" s="312"/>
      <c r="DOE53" s="312"/>
      <c r="DOF53" s="312"/>
      <c r="DOG53" s="312"/>
      <c r="DOH53" s="312"/>
      <c r="DOI53" s="312"/>
      <c r="DOJ53" s="312"/>
      <c r="DOK53" s="312"/>
      <c r="DOL53" s="312"/>
      <c r="DOM53" s="312"/>
      <c r="DON53" s="312"/>
      <c r="DOO53" s="312"/>
      <c r="DOP53" s="312"/>
      <c r="DOQ53" s="312"/>
      <c r="DOR53" s="312"/>
      <c r="DOS53" s="312"/>
      <c r="DOT53" s="312"/>
      <c r="DOU53" s="312"/>
      <c r="DOV53" s="312"/>
      <c r="DOW53" s="312"/>
      <c r="DOX53" s="312"/>
      <c r="DOY53" s="312"/>
      <c r="DOZ53" s="312"/>
      <c r="DPA53" s="312"/>
      <c r="DPB53" s="312"/>
      <c r="DPC53" s="312"/>
      <c r="DPD53" s="312"/>
      <c r="DPE53" s="312"/>
      <c r="DPF53" s="312"/>
      <c r="DPG53" s="312"/>
      <c r="DPH53" s="312"/>
      <c r="DPI53" s="312"/>
      <c r="DPJ53" s="312"/>
      <c r="DPK53" s="312"/>
      <c r="DPL53" s="312"/>
      <c r="DPM53" s="312"/>
      <c r="DPN53" s="312"/>
      <c r="DPO53" s="312"/>
      <c r="DPP53" s="312"/>
      <c r="DPQ53" s="312"/>
      <c r="DPR53" s="312"/>
      <c r="DPS53" s="312"/>
      <c r="DPT53" s="312"/>
      <c r="DPU53" s="312"/>
      <c r="DPV53" s="312"/>
      <c r="DPW53" s="312"/>
      <c r="DPX53" s="312"/>
      <c r="DPY53" s="312"/>
      <c r="DPZ53" s="312"/>
      <c r="DQA53" s="312"/>
      <c r="DQB53" s="312"/>
      <c r="DQC53" s="312"/>
      <c r="DQD53" s="312"/>
      <c r="DQE53" s="312"/>
      <c r="DQF53" s="312"/>
      <c r="DQG53" s="312"/>
      <c r="DQH53" s="312"/>
      <c r="DQI53" s="312"/>
      <c r="DQJ53" s="312"/>
      <c r="DQK53" s="312"/>
      <c r="DQL53" s="312"/>
      <c r="DQM53" s="312"/>
      <c r="DQN53" s="312"/>
      <c r="DQO53" s="312"/>
      <c r="DQP53" s="312"/>
      <c r="DQQ53" s="312"/>
      <c r="DQR53" s="312"/>
      <c r="DQS53" s="312"/>
      <c r="DQT53" s="312"/>
      <c r="DQU53" s="312"/>
      <c r="DQV53" s="312"/>
      <c r="DQW53" s="312"/>
      <c r="DQX53" s="312"/>
      <c r="DQY53" s="312"/>
      <c r="DQZ53" s="312"/>
      <c r="DRA53" s="312"/>
      <c r="DRB53" s="312"/>
      <c r="DRC53" s="312"/>
      <c r="DRD53" s="312"/>
      <c r="DRE53" s="312"/>
      <c r="DRF53" s="312"/>
      <c r="DRG53" s="312"/>
      <c r="DRH53" s="312"/>
      <c r="DRI53" s="312"/>
      <c r="DRJ53" s="312"/>
      <c r="DRK53" s="312"/>
      <c r="DRL53" s="312"/>
      <c r="DRM53" s="312"/>
      <c r="DRN53" s="312"/>
      <c r="DRO53" s="312"/>
      <c r="DRP53" s="312"/>
      <c r="DRQ53" s="312"/>
      <c r="DRR53" s="312"/>
      <c r="DRS53" s="312"/>
      <c r="DRT53" s="312"/>
      <c r="DRU53" s="312"/>
      <c r="DRV53" s="312"/>
      <c r="DRW53" s="312"/>
      <c r="DRX53" s="312"/>
      <c r="DRY53" s="312"/>
      <c r="DRZ53" s="312"/>
      <c r="DSA53" s="312"/>
      <c r="DSB53" s="312"/>
      <c r="DSC53" s="312"/>
      <c r="DSD53" s="312"/>
      <c r="DSE53" s="312"/>
      <c r="DSF53" s="312"/>
      <c r="DSG53" s="312"/>
      <c r="DSH53" s="312"/>
      <c r="DSI53" s="312"/>
      <c r="DSJ53" s="312"/>
      <c r="DSK53" s="312"/>
      <c r="DSL53" s="312"/>
      <c r="DSM53" s="312"/>
      <c r="DSN53" s="312"/>
      <c r="DSO53" s="312"/>
      <c r="DSP53" s="312"/>
      <c r="DSQ53" s="312"/>
      <c r="DSR53" s="312"/>
      <c r="DSS53" s="312"/>
      <c r="DST53" s="312"/>
      <c r="DSU53" s="312"/>
      <c r="DSV53" s="312"/>
      <c r="DSW53" s="312"/>
      <c r="DSX53" s="312"/>
      <c r="DSY53" s="312"/>
      <c r="DSZ53" s="312"/>
      <c r="DTA53" s="312"/>
      <c r="DTB53" s="312"/>
      <c r="DTC53" s="312"/>
      <c r="DTD53" s="312"/>
      <c r="DTE53" s="312"/>
      <c r="DTF53" s="312"/>
      <c r="DTG53" s="312"/>
      <c r="DTH53" s="312"/>
      <c r="DTI53" s="312"/>
      <c r="DTJ53" s="312"/>
      <c r="DTK53" s="312"/>
      <c r="DTL53" s="312"/>
      <c r="DTM53" s="312"/>
      <c r="DTN53" s="312"/>
      <c r="DTO53" s="312"/>
      <c r="DTP53" s="312"/>
      <c r="DTQ53" s="312"/>
      <c r="DTR53" s="312"/>
      <c r="DTS53" s="312"/>
      <c r="DTT53" s="312"/>
      <c r="DTU53" s="312"/>
      <c r="DTV53" s="312"/>
      <c r="DTW53" s="312"/>
      <c r="DTX53" s="312"/>
      <c r="DTY53" s="312"/>
      <c r="DTZ53" s="312"/>
      <c r="DUA53" s="312"/>
      <c r="DUB53" s="312"/>
      <c r="DUC53" s="312"/>
      <c r="DUD53" s="312"/>
      <c r="DUE53" s="312"/>
      <c r="DUF53" s="312"/>
      <c r="DUG53" s="312"/>
      <c r="DUH53" s="312"/>
      <c r="DUI53" s="312"/>
      <c r="DUJ53" s="312"/>
      <c r="DUK53" s="312"/>
      <c r="DUL53" s="312"/>
      <c r="DUM53" s="312"/>
      <c r="DUN53" s="312"/>
      <c r="DUO53" s="312"/>
      <c r="DUP53" s="312"/>
      <c r="DUQ53" s="312"/>
      <c r="DUR53" s="312"/>
      <c r="DUS53" s="312"/>
      <c r="DUT53" s="312"/>
      <c r="DUU53" s="312"/>
      <c r="DUV53" s="312"/>
      <c r="DUW53" s="312"/>
      <c r="DUX53" s="312"/>
      <c r="DUY53" s="312"/>
      <c r="DUZ53" s="312"/>
      <c r="DVA53" s="312"/>
      <c r="DVB53" s="312"/>
      <c r="DVC53" s="312"/>
      <c r="DVD53" s="312"/>
      <c r="DVE53" s="312"/>
      <c r="DVF53" s="312"/>
      <c r="DVG53" s="312"/>
      <c r="DVH53" s="312"/>
      <c r="DVI53" s="312"/>
      <c r="DVJ53" s="312"/>
      <c r="DVK53" s="312"/>
      <c r="DVL53" s="312"/>
      <c r="DVM53" s="312"/>
      <c r="DVN53" s="312"/>
      <c r="DVO53" s="312"/>
      <c r="DVP53" s="312"/>
      <c r="DVQ53" s="312"/>
      <c r="DVR53" s="312"/>
      <c r="DVS53" s="312"/>
      <c r="DVT53" s="312"/>
      <c r="DVU53" s="312"/>
      <c r="DVV53" s="312"/>
      <c r="DVW53" s="312"/>
      <c r="DVX53" s="312"/>
      <c r="DVY53" s="312"/>
      <c r="DVZ53" s="312"/>
      <c r="DWA53" s="312"/>
      <c r="DWB53" s="312"/>
      <c r="DWC53" s="312"/>
      <c r="DWD53" s="312"/>
      <c r="DWE53" s="312"/>
      <c r="DWF53" s="312"/>
      <c r="DWG53" s="312"/>
      <c r="DWH53" s="312"/>
      <c r="DWI53" s="312"/>
      <c r="DWJ53" s="312"/>
      <c r="DWK53" s="312"/>
      <c r="DWL53" s="312"/>
      <c r="DWM53" s="312"/>
      <c r="DWN53" s="312"/>
      <c r="DWO53" s="312"/>
      <c r="DWP53" s="312"/>
      <c r="DWQ53" s="312"/>
      <c r="DWR53" s="312"/>
      <c r="DWS53" s="312"/>
      <c r="DWT53" s="312"/>
      <c r="DWU53" s="312"/>
      <c r="DWV53" s="312"/>
      <c r="DWW53" s="312"/>
      <c r="DWX53" s="312"/>
      <c r="DWY53" s="312"/>
      <c r="DWZ53" s="312"/>
      <c r="DXA53" s="312"/>
      <c r="DXB53" s="312"/>
      <c r="DXC53" s="312"/>
      <c r="DXD53" s="312"/>
      <c r="DXE53" s="312"/>
      <c r="DXF53" s="312"/>
      <c r="DXG53" s="312"/>
      <c r="DXH53" s="312"/>
      <c r="DXI53" s="312"/>
      <c r="DXJ53" s="312"/>
      <c r="DXK53" s="312"/>
      <c r="DXL53" s="312"/>
      <c r="DXM53" s="312"/>
      <c r="DXN53" s="312"/>
      <c r="DXO53" s="312"/>
      <c r="DXP53" s="312"/>
      <c r="DXQ53" s="312"/>
      <c r="DXR53" s="312"/>
      <c r="DXS53" s="312"/>
      <c r="DXT53" s="312"/>
      <c r="DXU53" s="312"/>
      <c r="DXV53" s="312"/>
      <c r="DXW53" s="312"/>
      <c r="DXX53" s="312"/>
      <c r="DXY53" s="312"/>
      <c r="DXZ53" s="312"/>
      <c r="DYA53" s="312"/>
      <c r="DYB53" s="312"/>
      <c r="DYC53" s="312"/>
      <c r="DYD53" s="312"/>
      <c r="DYE53" s="312"/>
      <c r="DYF53" s="312"/>
      <c r="DYG53" s="312"/>
      <c r="DYH53" s="312"/>
      <c r="DYI53" s="312"/>
      <c r="DYJ53" s="312"/>
      <c r="DYK53" s="312"/>
      <c r="DYL53" s="312"/>
      <c r="DYM53" s="312"/>
      <c r="DYN53" s="312"/>
      <c r="DYO53" s="312"/>
      <c r="DYP53" s="312"/>
      <c r="DYQ53" s="312"/>
      <c r="DYR53" s="312"/>
      <c r="DYS53" s="312"/>
      <c r="DYT53" s="312"/>
      <c r="DYU53" s="312"/>
      <c r="DYV53" s="312"/>
      <c r="DYW53" s="312"/>
      <c r="DYX53" s="312"/>
      <c r="DYY53" s="312"/>
      <c r="DYZ53" s="312"/>
      <c r="DZA53" s="312"/>
      <c r="DZB53" s="312"/>
      <c r="DZC53" s="312"/>
      <c r="DZD53" s="312"/>
      <c r="DZE53" s="312"/>
      <c r="DZF53" s="312"/>
      <c r="DZG53" s="312"/>
      <c r="DZH53" s="312"/>
      <c r="DZI53" s="312"/>
      <c r="DZJ53" s="312"/>
      <c r="DZK53" s="312"/>
      <c r="DZL53" s="312"/>
      <c r="DZM53" s="312"/>
      <c r="DZN53" s="312"/>
      <c r="DZO53" s="312"/>
      <c r="DZP53" s="312"/>
      <c r="DZQ53" s="312"/>
      <c r="DZR53" s="312"/>
      <c r="DZS53" s="312"/>
      <c r="DZT53" s="312"/>
      <c r="DZU53" s="312"/>
      <c r="DZV53" s="312"/>
      <c r="DZW53" s="312"/>
      <c r="DZX53" s="312"/>
      <c r="DZY53" s="312"/>
      <c r="DZZ53" s="312"/>
      <c r="EAA53" s="312"/>
      <c r="EAB53" s="312"/>
      <c r="EAC53" s="312"/>
      <c r="EAD53" s="312"/>
      <c r="EAE53" s="312"/>
      <c r="EAF53" s="312"/>
      <c r="EAG53" s="312"/>
      <c r="EAH53" s="312"/>
      <c r="EAI53" s="312"/>
      <c r="EAJ53" s="312"/>
      <c r="EAK53" s="312"/>
      <c r="EAL53" s="312"/>
      <c r="EAM53" s="312"/>
      <c r="EAN53" s="312"/>
      <c r="EAO53" s="312"/>
      <c r="EAP53" s="312"/>
      <c r="EAQ53" s="312"/>
      <c r="EAR53" s="312"/>
      <c r="EAS53" s="312"/>
      <c r="EAT53" s="312"/>
      <c r="EAU53" s="312"/>
      <c r="EAV53" s="312"/>
      <c r="EAW53" s="312"/>
      <c r="EAX53" s="312"/>
      <c r="EAY53" s="312"/>
      <c r="EAZ53" s="312"/>
      <c r="EBA53" s="312"/>
      <c r="EBB53" s="312"/>
      <c r="EBC53" s="312"/>
      <c r="EBD53" s="312"/>
      <c r="EBE53" s="312"/>
      <c r="EBF53" s="312"/>
      <c r="EBG53" s="312"/>
      <c r="EBH53" s="312"/>
      <c r="EBI53" s="312"/>
      <c r="EBJ53" s="312"/>
      <c r="EBK53" s="312"/>
      <c r="EBL53" s="312"/>
      <c r="EBM53" s="312"/>
      <c r="EBN53" s="312"/>
      <c r="EBO53" s="312"/>
      <c r="EBP53" s="312"/>
      <c r="EBQ53" s="312"/>
      <c r="EBR53" s="312"/>
      <c r="EBS53" s="312"/>
      <c r="EBT53" s="312"/>
      <c r="EBU53" s="312"/>
      <c r="EBV53" s="312"/>
      <c r="EBW53" s="312"/>
      <c r="EBX53" s="312"/>
      <c r="EBY53" s="312"/>
      <c r="EBZ53" s="312"/>
      <c r="ECA53" s="312"/>
      <c r="ECB53" s="312"/>
      <c r="ECC53" s="312"/>
      <c r="ECD53" s="312"/>
      <c r="ECE53" s="312"/>
      <c r="ECF53" s="312"/>
      <c r="ECG53" s="312"/>
      <c r="ECH53" s="312"/>
      <c r="ECI53" s="312"/>
      <c r="ECJ53" s="312"/>
      <c r="ECK53" s="312"/>
      <c r="ECL53" s="312"/>
      <c r="ECM53" s="312"/>
      <c r="ECN53" s="312"/>
      <c r="ECO53" s="312"/>
      <c r="ECP53" s="312"/>
      <c r="ECQ53" s="312"/>
      <c r="ECR53" s="312"/>
      <c r="ECS53" s="312"/>
      <c r="ECT53" s="312"/>
      <c r="ECU53" s="312"/>
      <c r="ECV53" s="312"/>
      <c r="ECW53" s="312"/>
      <c r="ECX53" s="312"/>
      <c r="ECY53" s="312"/>
      <c r="ECZ53" s="312"/>
      <c r="EDA53" s="312"/>
      <c r="EDB53" s="312"/>
      <c r="EDC53" s="312"/>
      <c r="EDD53" s="312"/>
      <c r="EDE53" s="312"/>
      <c r="EDF53" s="312"/>
      <c r="EDG53" s="312"/>
      <c r="EDH53" s="312"/>
      <c r="EDI53" s="312"/>
      <c r="EDJ53" s="312"/>
      <c r="EDK53" s="312"/>
      <c r="EDL53" s="312"/>
      <c r="EDM53" s="312"/>
      <c r="EDN53" s="312"/>
      <c r="EDO53" s="312"/>
      <c r="EDP53" s="312"/>
      <c r="EDQ53" s="312"/>
      <c r="EDR53" s="312"/>
      <c r="EDS53" s="312"/>
      <c r="EDT53" s="312"/>
      <c r="EDU53" s="312"/>
      <c r="EDV53" s="312"/>
      <c r="EDW53" s="312"/>
      <c r="EDX53" s="312"/>
      <c r="EDY53" s="312"/>
      <c r="EDZ53" s="312"/>
      <c r="EEA53" s="312"/>
      <c r="EEB53" s="312"/>
      <c r="EEC53" s="312"/>
      <c r="EED53" s="312"/>
      <c r="EEE53" s="312"/>
      <c r="EEF53" s="312"/>
      <c r="EEG53" s="312"/>
      <c r="EEH53" s="312"/>
      <c r="EEI53" s="312"/>
      <c r="EEJ53" s="312"/>
      <c r="EEK53" s="312"/>
      <c r="EEL53" s="312"/>
      <c r="EEM53" s="312"/>
      <c r="EEN53" s="312"/>
      <c r="EEO53" s="312"/>
      <c r="EEP53" s="312"/>
      <c r="EEQ53" s="312"/>
      <c r="EER53" s="312"/>
      <c r="EES53" s="312"/>
      <c r="EET53" s="312"/>
      <c r="EEU53" s="312"/>
      <c r="EEV53" s="312"/>
      <c r="EEW53" s="312"/>
      <c r="EEX53" s="312"/>
      <c r="EEY53" s="312"/>
      <c r="EEZ53" s="312"/>
      <c r="EFA53" s="312"/>
      <c r="EFB53" s="312"/>
      <c r="EFC53" s="312"/>
      <c r="EFD53" s="312"/>
      <c r="EFE53" s="312"/>
      <c r="EFF53" s="312"/>
      <c r="EFG53" s="312"/>
      <c r="EFH53" s="312"/>
      <c r="EFI53" s="312"/>
      <c r="EFJ53" s="312"/>
      <c r="EFK53" s="312"/>
      <c r="EFL53" s="312"/>
      <c r="EFM53" s="312"/>
      <c r="EFN53" s="312"/>
      <c r="EFO53" s="312"/>
      <c r="EFP53" s="312"/>
      <c r="EFQ53" s="312"/>
      <c r="EFR53" s="312"/>
      <c r="EFS53" s="312"/>
      <c r="EFT53" s="312"/>
      <c r="EFU53" s="312"/>
      <c r="EFV53" s="312"/>
      <c r="EFW53" s="312"/>
      <c r="EFX53" s="312"/>
      <c r="EFY53" s="312"/>
      <c r="EFZ53" s="312"/>
      <c r="EGA53" s="312"/>
      <c r="EGB53" s="312"/>
      <c r="EGC53" s="312"/>
      <c r="EGD53" s="312"/>
      <c r="EGE53" s="312"/>
      <c r="EGF53" s="312"/>
      <c r="EGG53" s="312"/>
      <c r="EGH53" s="312"/>
      <c r="EGI53" s="312"/>
      <c r="EGJ53" s="312"/>
      <c r="EGK53" s="312"/>
      <c r="EGL53" s="312"/>
      <c r="EGM53" s="312"/>
      <c r="EGN53" s="312"/>
      <c r="EGO53" s="312"/>
      <c r="EGP53" s="312"/>
      <c r="EGQ53" s="312"/>
      <c r="EGR53" s="312"/>
      <c r="EGS53" s="312"/>
      <c r="EGT53" s="312"/>
      <c r="EGU53" s="312"/>
      <c r="EGV53" s="312"/>
      <c r="EGW53" s="312"/>
      <c r="EGX53" s="312"/>
      <c r="EGY53" s="312"/>
      <c r="EGZ53" s="312"/>
      <c r="EHA53" s="312"/>
      <c r="EHB53" s="312"/>
      <c r="EHC53" s="312"/>
      <c r="EHD53" s="312"/>
      <c r="EHE53" s="312"/>
      <c r="EHF53" s="312"/>
      <c r="EHG53" s="312"/>
      <c r="EHH53" s="312"/>
      <c r="EHI53" s="312"/>
      <c r="EHJ53" s="312"/>
      <c r="EHK53" s="312"/>
      <c r="EHL53" s="312"/>
      <c r="EHM53" s="312"/>
      <c r="EHN53" s="312"/>
      <c r="EHO53" s="312"/>
      <c r="EHP53" s="312"/>
      <c r="EHQ53" s="312"/>
      <c r="EHR53" s="312"/>
      <c r="EHS53" s="312"/>
      <c r="EHT53" s="312"/>
      <c r="EHU53" s="312"/>
      <c r="EHV53" s="312"/>
      <c r="EHW53" s="312"/>
      <c r="EHX53" s="312"/>
      <c r="EHY53" s="312"/>
      <c r="EHZ53" s="312"/>
      <c r="EIA53" s="312"/>
      <c r="EIB53" s="312"/>
      <c r="EIC53" s="312"/>
      <c r="EID53" s="312"/>
      <c r="EIE53" s="312"/>
      <c r="EIF53" s="312"/>
      <c r="EIG53" s="312"/>
      <c r="EIH53" s="312"/>
      <c r="EII53" s="312"/>
      <c r="EIJ53" s="312"/>
      <c r="EIK53" s="312"/>
      <c r="EIL53" s="312"/>
      <c r="EIM53" s="312"/>
      <c r="EIN53" s="312"/>
      <c r="EIO53" s="312"/>
      <c r="EIP53" s="312"/>
      <c r="EIQ53" s="312"/>
      <c r="EIR53" s="312"/>
      <c r="EIS53" s="312"/>
      <c r="EIT53" s="312"/>
      <c r="EIU53" s="312"/>
      <c r="EIV53" s="312"/>
      <c r="EIW53" s="312"/>
      <c r="EIX53" s="312"/>
      <c r="EIY53" s="312"/>
      <c r="EIZ53" s="312"/>
      <c r="EJA53" s="312"/>
      <c r="EJB53" s="312"/>
      <c r="EJC53" s="312"/>
      <c r="EJD53" s="312"/>
      <c r="EJE53" s="312"/>
      <c r="EJF53" s="312"/>
      <c r="EJG53" s="312"/>
      <c r="EJH53" s="312"/>
      <c r="EJI53" s="312"/>
      <c r="EJJ53" s="312"/>
      <c r="EJK53" s="312"/>
      <c r="EJL53" s="312"/>
      <c r="EJM53" s="312"/>
      <c r="EJN53" s="312"/>
      <c r="EJO53" s="312"/>
      <c r="EJP53" s="312"/>
      <c r="EJQ53" s="312"/>
      <c r="EJR53" s="312"/>
      <c r="EJS53" s="312"/>
      <c r="EJT53" s="312"/>
      <c r="EJU53" s="312"/>
      <c r="EJV53" s="312"/>
      <c r="EJW53" s="312"/>
      <c r="EJX53" s="312"/>
      <c r="EJY53" s="312"/>
      <c r="EJZ53" s="312"/>
      <c r="EKA53" s="312"/>
      <c r="EKB53" s="312"/>
      <c r="EKC53" s="312"/>
      <c r="EKD53" s="312"/>
      <c r="EKE53" s="312"/>
      <c r="EKF53" s="312"/>
      <c r="EKG53" s="312"/>
      <c r="EKH53" s="312"/>
      <c r="EKI53" s="312"/>
      <c r="EKJ53" s="312"/>
      <c r="EKK53" s="312"/>
      <c r="EKL53" s="312"/>
      <c r="EKM53" s="312"/>
      <c r="EKN53" s="312"/>
      <c r="EKO53" s="312"/>
      <c r="EKP53" s="312"/>
      <c r="EKQ53" s="312"/>
      <c r="EKR53" s="312"/>
      <c r="EKS53" s="312"/>
      <c r="EKT53" s="312"/>
      <c r="EKU53" s="312"/>
      <c r="EKV53" s="312"/>
      <c r="EKW53" s="312"/>
      <c r="EKX53" s="312"/>
      <c r="EKY53" s="312"/>
      <c r="EKZ53" s="312"/>
      <c r="ELA53" s="312"/>
      <c r="ELB53" s="312"/>
      <c r="ELC53" s="312"/>
      <c r="ELD53" s="312"/>
      <c r="ELE53" s="312"/>
      <c r="ELF53" s="312"/>
      <c r="ELG53" s="312"/>
      <c r="ELH53" s="312"/>
      <c r="ELI53" s="312"/>
      <c r="ELJ53" s="312"/>
      <c r="ELK53" s="312"/>
      <c r="ELL53" s="312"/>
      <c r="ELM53" s="312"/>
      <c r="ELN53" s="312"/>
      <c r="ELO53" s="312"/>
      <c r="ELP53" s="312"/>
      <c r="ELQ53" s="312"/>
      <c r="ELR53" s="312"/>
      <c r="ELS53" s="312"/>
      <c r="ELT53" s="312"/>
      <c r="ELU53" s="312"/>
      <c r="ELV53" s="312"/>
      <c r="ELW53" s="312"/>
      <c r="ELX53" s="312"/>
      <c r="ELY53" s="312"/>
      <c r="ELZ53" s="312"/>
      <c r="EMA53" s="312"/>
      <c r="EMB53" s="312"/>
      <c r="EMC53" s="312"/>
      <c r="EMD53" s="312"/>
      <c r="EME53" s="312"/>
      <c r="EMF53" s="312"/>
      <c r="EMG53" s="312"/>
      <c r="EMH53" s="312"/>
      <c r="EMI53" s="312"/>
      <c r="EMJ53" s="312"/>
      <c r="EMK53" s="312"/>
      <c r="EML53" s="312"/>
      <c r="EMM53" s="312"/>
      <c r="EMN53" s="312"/>
      <c r="EMO53" s="312"/>
      <c r="EMP53" s="312"/>
      <c r="EMQ53" s="312"/>
      <c r="EMR53" s="312"/>
      <c r="EMS53" s="312"/>
      <c r="EMT53" s="312"/>
      <c r="EMU53" s="312"/>
      <c r="EMV53" s="312"/>
      <c r="EMW53" s="312"/>
      <c r="EMX53" s="312"/>
      <c r="EMY53" s="312"/>
      <c r="EMZ53" s="312"/>
      <c r="ENA53" s="312"/>
      <c r="ENB53" s="312"/>
      <c r="ENC53" s="312"/>
      <c r="END53" s="312"/>
      <c r="ENE53" s="312"/>
      <c r="ENF53" s="312"/>
      <c r="ENG53" s="312"/>
      <c r="ENH53" s="312"/>
      <c r="ENI53" s="312"/>
      <c r="ENJ53" s="312"/>
      <c r="ENK53" s="312"/>
      <c r="ENL53" s="312"/>
      <c r="ENM53" s="312"/>
      <c r="ENN53" s="312"/>
      <c r="ENO53" s="312"/>
      <c r="ENP53" s="312"/>
      <c r="ENQ53" s="312"/>
      <c r="ENR53" s="312"/>
      <c r="ENS53" s="312"/>
      <c r="ENT53" s="312"/>
      <c r="ENU53" s="312"/>
      <c r="ENV53" s="312"/>
      <c r="ENW53" s="312"/>
      <c r="ENX53" s="312"/>
      <c r="ENY53" s="312"/>
      <c r="ENZ53" s="312"/>
      <c r="EOA53" s="312"/>
      <c r="EOB53" s="312"/>
      <c r="EOC53" s="312"/>
      <c r="EOD53" s="312"/>
      <c r="EOE53" s="312"/>
      <c r="EOF53" s="312"/>
      <c r="EOG53" s="312"/>
      <c r="EOH53" s="312"/>
      <c r="EOI53" s="312"/>
      <c r="EOJ53" s="312"/>
      <c r="EOK53" s="312"/>
      <c r="EOL53" s="312"/>
      <c r="EOM53" s="312"/>
      <c r="EON53" s="312"/>
      <c r="EOO53" s="312"/>
      <c r="EOP53" s="312"/>
      <c r="EOQ53" s="312"/>
      <c r="EOR53" s="312"/>
      <c r="EOS53" s="312"/>
      <c r="EOT53" s="312"/>
      <c r="EOU53" s="312"/>
      <c r="EOV53" s="312"/>
      <c r="EOW53" s="312"/>
      <c r="EOX53" s="312"/>
      <c r="EOY53" s="312"/>
      <c r="EOZ53" s="312"/>
      <c r="EPA53" s="312"/>
      <c r="EPB53" s="312"/>
      <c r="EPC53" s="312"/>
      <c r="EPD53" s="312"/>
      <c r="EPE53" s="312"/>
      <c r="EPF53" s="312"/>
      <c r="EPG53" s="312"/>
      <c r="EPH53" s="312"/>
      <c r="EPI53" s="312"/>
      <c r="EPJ53" s="312"/>
      <c r="EPK53" s="312"/>
      <c r="EPL53" s="312"/>
      <c r="EPM53" s="312"/>
      <c r="EPN53" s="312"/>
      <c r="EPO53" s="312"/>
      <c r="EPP53" s="312"/>
      <c r="EPQ53" s="312"/>
      <c r="EPR53" s="312"/>
      <c r="EPS53" s="312"/>
      <c r="EPT53" s="312"/>
      <c r="EPU53" s="312"/>
      <c r="EPV53" s="312"/>
      <c r="EPW53" s="312"/>
      <c r="EPX53" s="312"/>
      <c r="EPY53" s="312"/>
      <c r="EPZ53" s="312"/>
      <c r="EQA53" s="312"/>
      <c r="EQB53" s="312"/>
      <c r="EQC53" s="312"/>
      <c r="EQD53" s="312"/>
      <c r="EQE53" s="312"/>
      <c r="EQF53" s="312"/>
      <c r="EQG53" s="312"/>
      <c r="EQH53" s="312"/>
      <c r="EQI53" s="312"/>
      <c r="EQJ53" s="312"/>
      <c r="EQK53" s="312"/>
      <c r="EQL53" s="312"/>
      <c r="EQM53" s="312"/>
      <c r="EQN53" s="312"/>
      <c r="EQO53" s="312"/>
      <c r="EQP53" s="312"/>
      <c r="EQQ53" s="312"/>
      <c r="EQR53" s="312"/>
      <c r="EQS53" s="312"/>
      <c r="EQT53" s="312"/>
      <c r="EQU53" s="312"/>
      <c r="EQV53" s="312"/>
      <c r="EQW53" s="312"/>
      <c r="EQX53" s="312"/>
      <c r="EQY53" s="312"/>
      <c r="EQZ53" s="312"/>
      <c r="ERA53" s="312"/>
      <c r="ERB53" s="312"/>
      <c r="ERC53" s="312"/>
      <c r="ERD53" s="312"/>
      <c r="ERE53" s="312"/>
      <c r="ERF53" s="312"/>
      <c r="ERG53" s="312"/>
      <c r="ERH53" s="312"/>
      <c r="ERI53" s="312"/>
      <c r="ERJ53" s="312"/>
      <c r="ERK53" s="312"/>
      <c r="ERL53" s="312"/>
      <c r="ERM53" s="312"/>
      <c r="ERN53" s="312"/>
      <c r="ERO53" s="312"/>
      <c r="ERP53" s="312"/>
      <c r="ERQ53" s="312"/>
      <c r="ERR53" s="312"/>
      <c r="ERS53" s="312"/>
      <c r="ERT53" s="312"/>
      <c r="ERU53" s="312"/>
      <c r="ERV53" s="312"/>
      <c r="ERW53" s="312"/>
      <c r="ERX53" s="312"/>
      <c r="ERY53" s="312"/>
      <c r="ERZ53" s="312"/>
      <c r="ESA53" s="312"/>
      <c r="ESB53" s="312"/>
      <c r="ESC53" s="312"/>
      <c r="ESD53" s="312"/>
      <c r="ESE53" s="312"/>
      <c r="ESF53" s="312"/>
      <c r="ESG53" s="312"/>
      <c r="ESH53" s="312"/>
      <c r="ESI53" s="312"/>
      <c r="ESJ53" s="312"/>
      <c r="ESK53" s="312"/>
      <c r="ESL53" s="312"/>
      <c r="ESM53" s="312"/>
      <c r="ESN53" s="312"/>
      <c r="ESO53" s="312"/>
      <c r="ESP53" s="312"/>
      <c r="ESQ53" s="312"/>
      <c r="ESR53" s="312"/>
      <c r="ESS53" s="312"/>
      <c r="EST53" s="312"/>
      <c r="ESU53" s="312"/>
      <c r="ESV53" s="312"/>
      <c r="ESW53" s="312"/>
      <c r="ESX53" s="312"/>
      <c r="ESY53" s="312"/>
      <c r="ESZ53" s="312"/>
      <c r="ETA53" s="312"/>
      <c r="ETB53" s="312"/>
      <c r="ETC53" s="312"/>
      <c r="ETD53" s="312"/>
      <c r="ETE53" s="312"/>
      <c r="ETF53" s="312"/>
      <c r="ETG53" s="312"/>
      <c r="ETH53" s="312"/>
      <c r="ETI53" s="312"/>
      <c r="ETJ53" s="312"/>
      <c r="ETK53" s="312"/>
      <c r="ETL53" s="312"/>
      <c r="ETM53" s="312"/>
      <c r="ETN53" s="312"/>
      <c r="ETO53" s="312"/>
      <c r="ETP53" s="312"/>
      <c r="ETQ53" s="312"/>
      <c r="ETR53" s="312"/>
      <c r="ETS53" s="312"/>
      <c r="ETT53" s="312"/>
      <c r="ETU53" s="312"/>
      <c r="ETV53" s="312"/>
      <c r="ETW53" s="312"/>
      <c r="ETX53" s="312"/>
      <c r="ETY53" s="312"/>
      <c r="ETZ53" s="312"/>
      <c r="EUA53" s="312"/>
      <c r="EUB53" s="312"/>
      <c r="EUC53" s="312"/>
      <c r="EUD53" s="312"/>
      <c r="EUE53" s="312"/>
      <c r="EUF53" s="312"/>
      <c r="EUG53" s="312"/>
      <c r="EUH53" s="312"/>
      <c r="EUI53" s="312"/>
      <c r="EUJ53" s="312"/>
      <c r="EUK53" s="312"/>
      <c r="EUL53" s="312"/>
      <c r="EUM53" s="312"/>
      <c r="EUN53" s="312"/>
      <c r="EUO53" s="312"/>
      <c r="EUP53" s="312"/>
      <c r="EUQ53" s="312"/>
      <c r="EUR53" s="312"/>
      <c r="EUS53" s="312"/>
      <c r="EUT53" s="312"/>
      <c r="EUU53" s="312"/>
      <c r="EUV53" s="312"/>
      <c r="EUW53" s="312"/>
      <c r="EUX53" s="312"/>
      <c r="EUY53" s="312"/>
      <c r="EUZ53" s="312"/>
      <c r="EVA53" s="312"/>
      <c r="EVB53" s="312"/>
      <c r="EVC53" s="312"/>
      <c r="EVD53" s="312"/>
      <c r="EVE53" s="312"/>
      <c r="EVF53" s="312"/>
      <c r="EVG53" s="312"/>
      <c r="EVH53" s="312"/>
      <c r="EVI53" s="312"/>
      <c r="EVJ53" s="312"/>
      <c r="EVK53" s="312"/>
      <c r="EVL53" s="312"/>
      <c r="EVM53" s="312"/>
      <c r="EVN53" s="312"/>
      <c r="EVO53" s="312"/>
      <c r="EVP53" s="312"/>
      <c r="EVQ53" s="312"/>
      <c r="EVR53" s="312"/>
      <c r="EVS53" s="312"/>
      <c r="EVT53" s="312"/>
      <c r="EVU53" s="312"/>
      <c r="EVV53" s="312"/>
      <c r="EVW53" s="312"/>
      <c r="EVX53" s="312"/>
      <c r="EVY53" s="312"/>
      <c r="EVZ53" s="312"/>
      <c r="EWA53" s="312"/>
      <c r="EWB53" s="312"/>
      <c r="EWC53" s="312"/>
      <c r="EWD53" s="312"/>
      <c r="EWE53" s="312"/>
      <c r="EWF53" s="312"/>
      <c r="EWG53" s="312"/>
      <c r="EWH53" s="312"/>
      <c r="EWI53" s="312"/>
      <c r="EWJ53" s="312"/>
      <c r="EWK53" s="312"/>
      <c r="EWL53" s="312"/>
      <c r="EWM53" s="312"/>
      <c r="EWN53" s="312"/>
      <c r="EWO53" s="312"/>
      <c r="EWP53" s="312"/>
      <c r="EWQ53" s="312"/>
      <c r="EWR53" s="312"/>
      <c r="EWS53" s="312"/>
      <c r="EWT53" s="312"/>
      <c r="EWU53" s="312"/>
      <c r="EWV53" s="312"/>
      <c r="EWW53" s="312"/>
      <c r="EWX53" s="312"/>
      <c r="EWY53" s="312"/>
      <c r="EWZ53" s="312"/>
      <c r="EXA53" s="312"/>
      <c r="EXB53" s="312"/>
      <c r="EXC53" s="312"/>
      <c r="EXD53" s="312"/>
      <c r="EXE53" s="312"/>
      <c r="EXF53" s="312"/>
      <c r="EXG53" s="312"/>
      <c r="EXH53" s="312"/>
      <c r="EXI53" s="312"/>
      <c r="EXJ53" s="312"/>
      <c r="EXK53" s="312"/>
      <c r="EXL53" s="312"/>
      <c r="EXM53" s="312"/>
      <c r="EXN53" s="312"/>
      <c r="EXO53" s="312"/>
      <c r="EXP53" s="312"/>
      <c r="EXQ53" s="312"/>
      <c r="EXR53" s="312"/>
      <c r="EXS53" s="312"/>
      <c r="EXT53" s="312"/>
      <c r="EXU53" s="312"/>
      <c r="EXV53" s="312"/>
      <c r="EXW53" s="312"/>
      <c r="EXX53" s="312"/>
      <c r="EXY53" s="312"/>
      <c r="EXZ53" s="312"/>
      <c r="EYA53" s="312"/>
      <c r="EYB53" s="312"/>
      <c r="EYC53" s="312"/>
      <c r="EYD53" s="312"/>
      <c r="EYE53" s="312"/>
      <c r="EYF53" s="312"/>
      <c r="EYG53" s="312"/>
      <c r="EYH53" s="312"/>
      <c r="EYI53" s="312"/>
      <c r="EYJ53" s="312"/>
      <c r="EYK53" s="312"/>
      <c r="EYL53" s="312"/>
      <c r="EYM53" s="312"/>
      <c r="EYN53" s="312"/>
      <c r="EYO53" s="312"/>
      <c r="EYP53" s="312"/>
      <c r="EYQ53" s="312"/>
      <c r="EYR53" s="312"/>
      <c r="EYS53" s="312"/>
      <c r="EYT53" s="312"/>
      <c r="EYU53" s="312"/>
      <c r="EYV53" s="312"/>
      <c r="EYW53" s="312"/>
      <c r="EYX53" s="312"/>
      <c r="EYY53" s="312"/>
      <c r="EYZ53" s="312"/>
      <c r="EZA53" s="312"/>
      <c r="EZB53" s="312"/>
      <c r="EZC53" s="312"/>
      <c r="EZD53" s="312"/>
      <c r="EZE53" s="312"/>
      <c r="EZF53" s="312"/>
      <c r="EZG53" s="312"/>
      <c r="EZH53" s="312"/>
      <c r="EZI53" s="312"/>
      <c r="EZJ53" s="312"/>
      <c r="EZK53" s="312"/>
      <c r="EZL53" s="312"/>
      <c r="EZM53" s="312"/>
      <c r="EZN53" s="312"/>
      <c r="EZO53" s="312"/>
      <c r="EZP53" s="312"/>
      <c r="EZQ53" s="312"/>
      <c r="EZR53" s="312"/>
      <c r="EZS53" s="312"/>
      <c r="EZT53" s="312"/>
      <c r="EZU53" s="312"/>
      <c r="EZV53" s="312"/>
      <c r="EZW53" s="312"/>
      <c r="EZX53" s="312"/>
      <c r="EZY53" s="312"/>
      <c r="EZZ53" s="312"/>
      <c r="FAA53" s="312"/>
      <c r="FAB53" s="312"/>
      <c r="FAC53" s="312"/>
      <c r="FAD53" s="312"/>
      <c r="FAE53" s="312"/>
      <c r="FAF53" s="312"/>
      <c r="FAG53" s="312"/>
      <c r="FAH53" s="312"/>
      <c r="FAI53" s="312"/>
      <c r="FAJ53" s="312"/>
      <c r="FAK53" s="312"/>
      <c r="FAL53" s="312"/>
      <c r="FAM53" s="312"/>
      <c r="FAN53" s="312"/>
      <c r="FAO53" s="312"/>
      <c r="FAP53" s="312"/>
      <c r="FAQ53" s="312"/>
      <c r="FAR53" s="312"/>
      <c r="FAS53" s="312"/>
      <c r="FAT53" s="312"/>
      <c r="FAU53" s="312"/>
      <c r="FAV53" s="312"/>
      <c r="FAW53" s="312"/>
      <c r="FAX53" s="312"/>
      <c r="FAY53" s="312"/>
      <c r="FAZ53" s="312"/>
      <c r="FBA53" s="312"/>
      <c r="FBB53" s="312"/>
      <c r="FBC53" s="312"/>
      <c r="FBD53" s="312"/>
      <c r="FBE53" s="312"/>
      <c r="FBF53" s="312"/>
      <c r="FBG53" s="312"/>
      <c r="FBH53" s="312"/>
      <c r="FBI53" s="312"/>
      <c r="FBJ53" s="312"/>
      <c r="FBK53" s="312"/>
      <c r="FBL53" s="312"/>
      <c r="FBM53" s="312"/>
      <c r="FBN53" s="312"/>
      <c r="FBO53" s="312"/>
      <c r="FBP53" s="312"/>
      <c r="FBQ53" s="312"/>
      <c r="FBR53" s="312"/>
      <c r="FBS53" s="312"/>
      <c r="FBT53" s="312"/>
      <c r="FBU53" s="312"/>
      <c r="FBV53" s="312"/>
      <c r="FBW53" s="312"/>
      <c r="FBX53" s="312"/>
      <c r="FBY53" s="312"/>
      <c r="FBZ53" s="312"/>
      <c r="FCA53" s="312"/>
      <c r="FCB53" s="312"/>
      <c r="FCC53" s="312"/>
      <c r="FCD53" s="312"/>
      <c r="FCE53" s="312"/>
      <c r="FCF53" s="312"/>
      <c r="FCG53" s="312"/>
      <c r="FCH53" s="312"/>
      <c r="FCI53" s="312"/>
      <c r="FCJ53" s="312"/>
      <c r="FCK53" s="312"/>
      <c r="FCL53" s="312"/>
      <c r="FCM53" s="312"/>
      <c r="FCN53" s="312"/>
      <c r="FCO53" s="312"/>
      <c r="FCP53" s="312"/>
      <c r="FCQ53" s="312"/>
      <c r="FCR53" s="312"/>
      <c r="FCS53" s="312"/>
      <c r="FCT53" s="312"/>
      <c r="FCU53" s="312"/>
      <c r="FCV53" s="312"/>
      <c r="FCW53" s="312"/>
      <c r="FCX53" s="312"/>
      <c r="FCY53" s="312"/>
      <c r="FCZ53" s="312"/>
      <c r="FDA53" s="312"/>
      <c r="FDB53" s="312"/>
      <c r="FDC53" s="312"/>
      <c r="FDD53" s="312"/>
      <c r="FDE53" s="312"/>
      <c r="FDF53" s="312"/>
      <c r="FDG53" s="312"/>
      <c r="FDH53" s="312"/>
      <c r="FDI53" s="312"/>
      <c r="FDJ53" s="312"/>
      <c r="FDK53" s="312"/>
      <c r="FDL53" s="312"/>
      <c r="FDM53" s="312"/>
      <c r="FDN53" s="312"/>
      <c r="FDO53" s="312"/>
      <c r="FDP53" s="312"/>
      <c r="FDQ53" s="312"/>
      <c r="FDR53" s="312"/>
      <c r="FDS53" s="312"/>
      <c r="FDT53" s="312"/>
      <c r="FDU53" s="312"/>
      <c r="FDV53" s="312"/>
      <c r="FDW53" s="312"/>
      <c r="FDX53" s="312"/>
      <c r="FDY53" s="312"/>
      <c r="FDZ53" s="312"/>
      <c r="FEA53" s="312"/>
      <c r="FEB53" s="312"/>
      <c r="FEC53" s="312"/>
      <c r="FED53" s="312"/>
      <c r="FEE53" s="312"/>
      <c r="FEF53" s="312"/>
      <c r="FEG53" s="312"/>
      <c r="FEH53" s="312"/>
      <c r="FEI53" s="312"/>
      <c r="FEJ53" s="312"/>
      <c r="FEK53" s="312"/>
      <c r="FEL53" s="312"/>
      <c r="FEM53" s="312"/>
      <c r="FEN53" s="312"/>
      <c r="FEO53" s="312"/>
      <c r="FEP53" s="312"/>
      <c r="FEQ53" s="312"/>
      <c r="FER53" s="312"/>
      <c r="FES53" s="312"/>
      <c r="FET53" s="312"/>
      <c r="FEU53" s="312"/>
      <c r="FEV53" s="312"/>
      <c r="FEW53" s="312"/>
      <c r="FEX53" s="312"/>
      <c r="FEY53" s="312"/>
      <c r="FEZ53" s="312"/>
      <c r="FFA53" s="312"/>
      <c r="FFB53" s="312"/>
      <c r="FFC53" s="312"/>
      <c r="FFD53" s="312"/>
      <c r="FFE53" s="312"/>
      <c r="FFF53" s="312"/>
      <c r="FFG53" s="312"/>
      <c r="FFH53" s="312"/>
      <c r="FFI53" s="312"/>
      <c r="FFJ53" s="312"/>
      <c r="FFK53" s="312"/>
      <c r="FFL53" s="312"/>
      <c r="FFM53" s="312"/>
      <c r="FFN53" s="312"/>
      <c r="FFO53" s="312"/>
      <c r="FFP53" s="312"/>
      <c r="FFQ53" s="312"/>
      <c r="FFR53" s="312"/>
      <c r="FFS53" s="312"/>
      <c r="FFT53" s="312"/>
      <c r="FFU53" s="312"/>
      <c r="FFV53" s="312"/>
      <c r="FFW53" s="312"/>
      <c r="FFX53" s="312"/>
      <c r="FFY53" s="312"/>
      <c r="FFZ53" s="312"/>
      <c r="FGA53" s="312"/>
      <c r="FGB53" s="312"/>
      <c r="FGC53" s="312"/>
      <c r="FGD53" s="312"/>
      <c r="FGE53" s="312"/>
      <c r="FGF53" s="312"/>
      <c r="FGG53" s="312"/>
      <c r="FGH53" s="312"/>
      <c r="FGI53" s="312"/>
      <c r="FGJ53" s="312"/>
      <c r="FGK53" s="312"/>
      <c r="FGL53" s="312"/>
      <c r="FGM53" s="312"/>
      <c r="FGN53" s="312"/>
      <c r="FGO53" s="312"/>
      <c r="FGP53" s="312"/>
      <c r="FGQ53" s="312"/>
      <c r="FGR53" s="312"/>
      <c r="FGS53" s="312"/>
      <c r="FGT53" s="312"/>
      <c r="FGU53" s="312"/>
      <c r="FGV53" s="312"/>
      <c r="FGW53" s="312"/>
      <c r="FGX53" s="312"/>
      <c r="FGY53" s="312"/>
      <c r="FGZ53" s="312"/>
      <c r="FHA53" s="312"/>
      <c r="FHB53" s="312"/>
      <c r="FHC53" s="312"/>
      <c r="FHD53" s="312"/>
      <c r="FHE53" s="312"/>
      <c r="FHF53" s="312"/>
      <c r="FHG53" s="312"/>
      <c r="FHH53" s="312"/>
      <c r="FHI53" s="312"/>
      <c r="FHJ53" s="312"/>
      <c r="FHK53" s="312"/>
      <c r="FHL53" s="312"/>
      <c r="FHM53" s="312"/>
      <c r="FHN53" s="312"/>
      <c r="FHO53" s="312"/>
      <c r="FHP53" s="312"/>
      <c r="FHQ53" s="312"/>
      <c r="FHR53" s="312"/>
      <c r="FHS53" s="312"/>
      <c r="FHT53" s="312"/>
      <c r="FHU53" s="312"/>
      <c r="FHV53" s="312"/>
      <c r="FHW53" s="312"/>
      <c r="FHX53" s="312"/>
      <c r="FHY53" s="312"/>
      <c r="FHZ53" s="312"/>
      <c r="FIA53" s="312"/>
      <c r="FIB53" s="312"/>
      <c r="FIC53" s="312"/>
      <c r="FID53" s="312"/>
      <c r="FIE53" s="312"/>
      <c r="FIF53" s="312"/>
      <c r="FIG53" s="312"/>
      <c r="FIH53" s="312"/>
      <c r="FII53" s="312"/>
      <c r="FIJ53" s="312"/>
      <c r="FIK53" s="312"/>
      <c r="FIL53" s="312"/>
      <c r="FIM53" s="312"/>
      <c r="FIN53" s="312"/>
      <c r="FIO53" s="312"/>
      <c r="FIP53" s="312"/>
      <c r="FIQ53" s="312"/>
      <c r="FIR53" s="312"/>
      <c r="FIS53" s="312"/>
      <c r="FIT53" s="312"/>
      <c r="FIU53" s="312"/>
      <c r="FIV53" s="312"/>
      <c r="FIW53" s="312"/>
      <c r="FIX53" s="312"/>
      <c r="FIY53" s="312"/>
      <c r="FIZ53" s="312"/>
      <c r="FJA53" s="312"/>
      <c r="FJB53" s="312"/>
      <c r="FJC53" s="312"/>
      <c r="FJD53" s="312"/>
      <c r="FJE53" s="312"/>
      <c r="FJF53" s="312"/>
      <c r="FJG53" s="312"/>
      <c r="FJH53" s="312"/>
      <c r="FJI53" s="312"/>
      <c r="FJJ53" s="312"/>
      <c r="FJK53" s="312"/>
      <c r="FJL53" s="312"/>
      <c r="FJM53" s="312"/>
      <c r="FJN53" s="312"/>
      <c r="FJO53" s="312"/>
      <c r="FJP53" s="312"/>
      <c r="FJQ53" s="312"/>
      <c r="FJR53" s="312"/>
      <c r="FJS53" s="312"/>
      <c r="FJT53" s="312"/>
      <c r="FJU53" s="312"/>
      <c r="FJV53" s="312"/>
      <c r="FJW53" s="312"/>
      <c r="FJX53" s="312"/>
      <c r="FJY53" s="312"/>
      <c r="FJZ53" s="312"/>
      <c r="FKA53" s="312"/>
      <c r="FKB53" s="312"/>
      <c r="FKC53" s="312"/>
      <c r="FKD53" s="312"/>
      <c r="FKE53" s="312"/>
      <c r="FKF53" s="312"/>
      <c r="FKG53" s="312"/>
      <c r="FKH53" s="312"/>
      <c r="FKI53" s="312"/>
      <c r="FKJ53" s="312"/>
      <c r="FKK53" s="312"/>
      <c r="FKL53" s="312"/>
      <c r="FKM53" s="312"/>
      <c r="FKN53" s="312"/>
      <c r="FKO53" s="312"/>
      <c r="FKP53" s="312"/>
      <c r="FKQ53" s="312"/>
      <c r="FKR53" s="312"/>
      <c r="FKS53" s="312"/>
      <c r="FKT53" s="312"/>
      <c r="FKU53" s="312"/>
      <c r="FKV53" s="312"/>
      <c r="FKW53" s="312"/>
      <c r="FKX53" s="312"/>
      <c r="FKY53" s="312"/>
      <c r="FKZ53" s="312"/>
      <c r="FLA53" s="312"/>
      <c r="FLB53" s="312"/>
      <c r="FLC53" s="312"/>
      <c r="FLD53" s="312"/>
      <c r="FLE53" s="312"/>
      <c r="FLF53" s="312"/>
      <c r="FLG53" s="312"/>
      <c r="FLH53" s="312"/>
      <c r="FLI53" s="312"/>
      <c r="FLJ53" s="312"/>
      <c r="FLK53" s="312"/>
      <c r="FLL53" s="312"/>
      <c r="FLM53" s="312"/>
      <c r="FLN53" s="312"/>
      <c r="FLO53" s="312"/>
      <c r="FLP53" s="312"/>
      <c r="FLQ53" s="312"/>
      <c r="FLR53" s="312"/>
      <c r="FLS53" s="312"/>
      <c r="FLT53" s="312"/>
      <c r="FLU53" s="312"/>
      <c r="FLV53" s="312"/>
      <c r="FLW53" s="312"/>
      <c r="FLX53" s="312"/>
      <c r="FLY53" s="312"/>
      <c r="FLZ53" s="312"/>
      <c r="FMA53" s="312"/>
      <c r="FMB53" s="312"/>
      <c r="FMC53" s="312"/>
      <c r="FMD53" s="312"/>
      <c r="FME53" s="312"/>
      <c r="FMF53" s="312"/>
      <c r="FMG53" s="312"/>
      <c r="FMH53" s="312"/>
      <c r="FMI53" s="312"/>
      <c r="FMJ53" s="312"/>
      <c r="FMK53" s="312"/>
      <c r="FML53" s="312"/>
      <c r="FMM53" s="312"/>
      <c r="FMN53" s="312"/>
      <c r="FMO53" s="312"/>
      <c r="FMP53" s="312"/>
      <c r="FMQ53" s="312"/>
      <c r="FMR53" s="312"/>
      <c r="FMS53" s="312"/>
      <c r="FMT53" s="312"/>
      <c r="FMU53" s="312"/>
      <c r="FMV53" s="312"/>
      <c r="FMW53" s="312"/>
      <c r="FMX53" s="312"/>
      <c r="FMY53" s="312"/>
      <c r="FMZ53" s="312"/>
      <c r="FNA53" s="312"/>
      <c r="FNB53" s="312"/>
      <c r="FNC53" s="312"/>
      <c r="FND53" s="312"/>
      <c r="FNE53" s="312"/>
      <c r="FNF53" s="312"/>
      <c r="FNG53" s="312"/>
      <c r="FNH53" s="312"/>
      <c r="FNI53" s="312"/>
      <c r="FNJ53" s="312"/>
      <c r="FNK53" s="312"/>
      <c r="FNL53" s="312"/>
      <c r="FNM53" s="312"/>
      <c r="FNN53" s="312"/>
      <c r="FNO53" s="312"/>
      <c r="FNP53" s="312"/>
      <c r="FNQ53" s="312"/>
      <c r="FNR53" s="312"/>
      <c r="FNS53" s="312"/>
      <c r="FNT53" s="312"/>
      <c r="FNU53" s="312"/>
      <c r="FNV53" s="312"/>
      <c r="FNW53" s="312"/>
      <c r="FNX53" s="312"/>
      <c r="FNY53" s="312"/>
      <c r="FNZ53" s="312"/>
      <c r="FOA53" s="312"/>
      <c r="FOB53" s="312"/>
      <c r="FOC53" s="312"/>
      <c r="FOD53" s="312"/>
      <c r="FOE53" s="312"/>
      <c r="FOF53" s="312"/>
      <c r="FOG53" s="312"/>
      <c r="FOH53" s="312"/>
      <c r="FOI53" s="312"/>
      <c r="FOJ53" s="312"/>
      <c r="FOK53" s="312"/>
      <c r="FOL53" s="312"/>
      <c r="FOM53" s="312"/>
      <c r="FON53" s="312"/>
      <c r="FOO53" s="312"/>
      <c r="FOP53" s="312"/>
      <c r="FOQ53" s="312"/>
      <c r="FOR53" s="312"/>
      <c r="FOS53" s="312"/>
      <c r="FOT53" s="312"/>
      <c r="FOU53" s="312"/>
      <c r="FOV53" s="312"/>
      <c r="FOW53" s="312"/>
      <c r="FOX53" s="312"/>
      <c r="FOY53" s="312"/>
      <c r="FOZ53" s="312"/>
      <c r="FPA53" s="312"/>
      <c r="FPB53" s="312"/>
      <c r="FPC53" s="312"/>
      <c r="FPD53" s="312"/>
      <c r="FPE53" s="312"/>
      <c r="FPF53" s="312"/>
      <c r="FPG53" s="312"/>
      <c r="FPH53" s="312"/>
      <c r="FPI53" s="312"/>
      <c r="FPJ53" s="312"/>
      <c r="FPK53" s="312"/>
      <c r="FPL53" s="312"/>
      <c r="FPM53" s="312"/>
      <c r="FPN53" s="312"/>
      <c r="FPO53" s="312"/>
      <c r="FPP53" s="312"/>
      <c r="FPQ53" s="312"/>
      <c r="FPR53" s="312"/>
      <c r="FPS53" s="312"/>
      <c r="FPT53" s="312"/>
      <c r="FPU53" s="312"/>
      <c r="FPV53" s="312"/>
      <c r="FPW53" s="312"/>
      <c r="FPX53" s="312"/>
      <c r="FPY53" s="312"/>
      <c r="FPZ53" s="312"/>
      <c r="FQA53" s="312"/>
      <c r="FQB53" s="312"/>
      <c r="FQC53" s="312"/>
      <c r="FQD53" s="312"/>
      <c r="FQE53" s="312"/>
      <c r="FQF53" s="312"/>
      <c r="FQG53" s="312"/>
      <c r="FQH53" s="312"/>
      <c r="FQI53" s="312"/>
      <c r="FQJ53" s="312"/>
      <c r="FQK53" s="312"/>
      <c r="FQL53" s="312"/>
      <c r="FQM53" s="312"/>
      <c r="FQN53" s="312"/>
      <c r="FQO53" s="312"/>
      <c r="FQP53" s="312"/>
      <c r="FQQ53" s="312"/>
      <c r="FQR53" s="312"/>
      <c r="FQS53" s="312"/>
      <c r="FQT53" s="312"/>
      <c r="FQU53" s="312"/>
      <c r="FQV53" s="312"/>
      <c r="FQW53" s="312"/>
      <c r="FQX53" s="312"/>
      <c r="FQY53" s="312"/>
      <c r="FQZ53" s="312"/>
      <c r="FRA53" s="312"/>
      <c r="FRB53" s="312"/>
      <c r="FRC53" s="312"/>
      <c r="FRD53" s="312"/>
      <c r="FRE53" s="312"/>
      <c r="FRF53" s="312"/>
      <c r="FRG53" s="312"/>
      <c r="FRH53" s="312"/>
      <c r="FRI53" s="312"/>
      <c r="FRJ53" s="312"/>
      <c r="FRK53" s="312"/>
      <c r="FRL53" s="312"/>
      <c r="FRM53" s="312"/>
      <c r="FRN53" s="312"/>
      <c r="FRO53" s="312"/>
      <c r="FRP53" s="312"/>
      <c r="FRQ53" s="312"/>
      <c r="FRR53" s="312"/>
      <c r="FRS53" s="312"/>
      <c r="FRT53" s="312"/>
      <c r="FRU53" s="312"/>
      <c r="FRV53" s="312"/>
      <c r="FRW53" s="312"/>
      <c r="FRX53" s="312"/>
      <c r="FRY53" s="312"/>
      <c r="FRZ53" s="312"/>
      <c r="FSA53" s="312"/>
      <c r="FSB53" s="312"/>
      <c r="FSC53" s="312"/>
      <c r="FSD53" s="312"/>
      <c r="FSE53" s="312"/>
      <c r="FSF53" s="312"/>
      <c r="FSG53" s="312"/>
      <c r="FSH53" s="312"/>
      <c r="FSI53" s="312"/>
      <c r="FSJ53" s="312"/>
      <c r="FSK53" s="312"/>
      <c r="FSL53" s="312"/>
      <c r="FSM53" s="312"/>
      <c r="FSN53" s="312"/>
      <c r="FSO53" s="312"/>
      <c r="FSP53" s="312"/>
      <c r="FSQ53" s="312"/>
      <c r="FSR53" s="312"/>
      <c r="FSS53" s="312"/>
      <c r="FST53" s="312"/>
      <c r="FSU53" s="312"/>
      <c r="FSV53" s="312"/>
      <c r="FSW53" s="312"/>
      <c r="FSX53" s="312"/>
      <c r="FSY53" s="312"/>
      <c r="FSZ53" s="312"/>
      <c r="FTA53" s="312"/>
      <c r="FTB53" s="312"/>
      <c r="FTC53" s="312"/>
      <c r="FTD53" s="312"/>
      <c r="FTE53" s="312"/>
      <c r="FTF53" s="312"/>
      <c r="FTG53" s="312"/>
      <c r="FTH53" s="312"/>
      <c r="FTI53" s="312"/>
      <c r="FTJ53" s="312"/>
      <c r="FTK53" s="312"/>
      <c r="FTL53" s="312"/>
      <c r="FTM53" s="312"/>
      <c r="FTN53" s="312"/>
      <c r="FTO53" s="312"/>
      <c r="FTP53" s="312"/>
      <c r="FTQ53" s="312"/>
      <c r="FTR53" s="312"/>
      <c r="FTS53" s="312"/>
      <c r="FTT53" s="312"/>
      <c r="FTU53" s="312"/>
      <c r="FTV53" s="312"/>
      <c r="FTW53" s="312"/>
      <c r="FTX53" s="312"/>
      <c r="FTY53" s="312"/>
      <c r="FTZ53" s="312"/>
      <c r="FUA53" s="312"/>
      <c r="FUB53" s="312"/>
      <c r="FUC53" s="312"/>
      <c r="FUD53" s="312"/>
      <c r="FUE53" s="312"/>
      <c r="FUF53" s="312"/>
      <c r="FUG53" s="312"/>
      <c r="FUH53" s="312"/>
      <c r="FUI53" s="312"/>
      <c r="FUJ53" s="312"/>
      <c r="FUK53" s="312"/>
      <c r="FUL53" s="312"/>
      <c r="FUM53" s="312"/>
      <c r="FUN53" s="312"/>
      <c r="FUO53" s="312"/>
      <c r="FUP53" s="312"/>
      <c r="FUQ53" s="312"/>
      <c r="FUR53" s="312"/>
      <c r="FUS53" s="312"/>
      <c r="FUT53" s="312"/>
      <c r="FUU53" s="312"/>
      <c r="FUV53" s="312"/>
      <c r="FUW53" s="312"/>
      <c r="FUX53" s="312"/>
      <c r="FUY53" s="312"/>
      <c r="FUZ53" s="312"/>
      <c r="FVA53" s="312"/>
      <c r="FVB53" s="312"/>
      <c r="FVC53" s="312"/>
      <c r="FVD53" s="312"/>
      <c r="FVE53" s="312"/>
      <c r="FVF53" s="312"/>
      <c r="FVG53" s="312"/>
      <c r="FVH53" s="312"/>
      <c r="FVI53" s="312"/>
      <c r="FVJ53" s="312"/>
      <c r="FVK53" s="312"/>
      <c r="FVL53" s="312"/>
      <c r="FVM53" s="312"/>
      <c r="FVN53" s="312"/>
      <c r="FVO53" s="312"/>
      <c r="FVP53" s="312"/>
      <c r="FVQ53" s="312"/>
      <c r="FVR53" s="312"/>
      <c r="FVS53" s="312"/>
      <c r="FVT53" s="312"/>
      <c r="FVU53" s="312"/>
      <c r="FVV53" s="312"/>
      <c r="FVW53" s="312"/>
      <c r="FVX53" s="312"/>
      <c r="FVY53" s="312"/>
      <c r="FVZ53" s="312"/>
      <c r="FWA53" s="312"/>
      <c r="FWB53" s="312"/>
      <c r="FWC53" s="312"/>
      <c r="FWD53" s="312"/>
      <c r="FWE53" s="312"/>
      <c r="FWF53" s="312"/>
      <c r="FWG53" s="312"/>
      <c r="FWH53" s="312"/>
      <c r="FWI53" s="312"/>
      <c r="FWJ53" s="312"/>
      <c r="FWK53" s="312"/>
      <c r="FWL53" s="312"/>
      <c r="FWM53" s="312"/>
      <c r="FWN53" s="312"/>
      <c r="FWO53" s="312"/>
      <c r="FWP53" s="312"/>
      <c r="FWQ53" s="312"/>
      <c r="FWR53" s="312"/>
      <c r="FWS53" s="312"/>
      <c r="FWT53" s="312"/>
      <c r="FWU53" s="312"/>
      <c r="FWV53" s="312"/>
      <c r="FWW53" s="312"/>
      <c r="FWX53" s="312"/>
      <c r="FWY53" s="312"/>
      <c r="FWZ53" s="312"/>
      <c r="FXA53" s="312"/>
      <c r="FXB53" s="312"/>
      <c r="FXC53" s="312"/>
      <c r="FXD53" s="312"/>
      <c r="FXE53" s="312"/>
      <c r="FXF53" s="312"/>
      <c r="FXG53" s="312"/>
      <c r="FXH53" s="312"/>
      <c r="FXI53" s="312"/>
      <c r="FXJ53" s="312"/>
      <c r="FXK53" s="312"/>
      <c r="FXL53" s="312"/>
      <c r="FXM53" s="312"/>
      <c r="FXN53" s="312"/>
      <c r="FXO53" s="312"/>
      <c r="FXP53" s="312"/>
      <c r="FXQ53" s="312"/>
      <c r="FXR53" s="312"/>
      <c r="FXS53" s="312"/>
      <c r="FXT53" s="312"/>
      <c r="FXU53" s="312"/>
      <c r="FXV53" s="312"/>
      <c r="FXW53" s="312"/>
      <c r="FXX53" s="312"/>
      <c r="FXY53" s="312"/>
      <c r="FXZ53" s="312"/>
      <c r="FYA53" s="312"/>
      <c r="FYB53" s="312"/>
      <c r="FYC53" s="312"/>
      <c r="FYD53" s="312"/>
      <c r="FYE53" s="312"/>
      <c r="FYF53" s="312"/>
      <c r="FYG53" s="312"/>
      <c r="FYH53" s="312"/>
      <c r="FYI53" s="312"/>
      <c r="FYJ53" s="312"/>
      <c r="FYK53" s="312"/>
      <c r="FYL53" s="312"/>
      <c r="FYM53" s="312"/>
      <c r="FYN53" s="312"/>
      <c r="FYO53" s="312"/>
      <c r="FYP53" s="312"/>
      <c r="FYQ53" s="312"/>
      <c r="FYR53" s="312"/>
      <c r="FYS53" s="312"/>
      <c r="FYT53" s="312"/>
      <c r="FYU53" s="312"/>
      <c r="FYV53" s="312"/>
      <c r="FYW53" s="312"/>
      <c r="FYX53" s="312"/>
      <c r="FYY53" s="312"/>
      <c r="FYZ53" s="312"/>
      <c r="FZA53" s="312"/>
      <c r="FZB53" s="312"/>
      <c r="FZC53" s="312"/>
      <c r="FZD53" s="312"/>
      <c r="FZE53" s="312"/>
      <c r="FZF53" s="312"/>
      <c r="FZG53" s="312"/>
      <c r="FZH53" s="312"/>
      <c r="FZI53" s="312"/>
      <c r="FZJ53" s="312"/>
      <c r="FZK53" s="312"/>
      <c r="FZL53" s="312"/>
      <c r="FZM53" s="312"/>
      <c r="FZN53" s="312"/>
      <c r="FZO53" s="312"/>
      <c r="FZP53" s="312"/>
      <c r="FZQ53" s="312"/>
      <c r="FZR53" s="312"/>
      <c r="FZS53" s="312"/>
      <c r="FZT53" s="312"/>
      <c r="FZU53" s="312"/>
      <c r="FZV53" s="312"/>
      <c r="FZW53" s="312"/>
      <c r="FZX53" s="312"/>
      <c r="FZY53" s="312"/>
      <c r="FZZ53" s="312"/>
      <c r="GAA53" s="312"/>
      <c r="GAB53" s="312"/>
      <c r="GAC53" s="312"/>
      <c r="GAD53" s="312"/>
      <c r="GAE53" s="312"/>
      <c r="GAF53" s="312"/>
      <c r="GAG53" s="312"/>
      <c r="GAH53" s="312"/>
      <c r="GAI53" s="312"/>
      <c r="GAJ53" s="312"/>
      <c r="GAK53" s="312"/>
      <c r="GAL53" s="312"/>
      <c r="GAM53" s="312"/>
      <c r="GAN53" s="312"/>
      <c r="GAO53" s="312"/>
      <c r="GAP53" s="312"/>
      <c r="GAQ53" s="312"/>
      <c r="GAR53" s="312"/>
      <c r="GAS53" s="312"/>
      <c r="GAT53" s="312"/>
      <c r="GAU53" s="312"/>
      <c r="GAV53" s="312"/>
      <c r="GAW53" s="312"/>
      <c r="GAX53" s="312"/>
      <c r="GAY53" s="312"/>
      <c r="GAZ53" s="312"/>
      <c r="GBA53" s="312"/>
      <c r="GBB53" s="312"/>
      <c r="GBC53" s="312"/>
      <c r="GBD53" s="312"/>
      <c r="GBE53" s="312"/>
      <c r="GBF53" s="312"/>
      <c r="GBG53" s="312"/>
      <c r="GBH53" s="312"/>
      <c r="GBI53" s="312"/>
      <c r="GBJ53" s="312"/>
      <c r="GBK53" s="312"/>
      <c r="GBL53" s="312"/>
      <c r="GBM53" s="312"/>
      <c r="GBN53" s="312"/>
      <c r="GBO53" s="312"/>
      <c r="GBP53" s="312"/>
      <c r="GBQ53" s="312"/>
      <c r="GBR53" s="312"/>
      <c r="GBS53" s="312"/>
      <c r="GBT53" s="312"/>
      <c r="GBU53" s="312"/>
      <c r="GBV53" s="312"/>
      <c r="GBW53" s="312"/>
      <c r="GBX53" s="312"/>
      <c r="GBY53" s="312"/>
      <c r="GBZ53" s="312"/>
      <c r="GCA53" s="312"/>
      <c r="GCB53" s="312"/>
      <c r="GCC53" s="312"/>
      <c r="GCD53" s="312"/>
      <c r="GCE53" s="312"/>
      <c r="GCF53" s="312"/>
      <c r="GCG53" s="312"/>
      <c r="GCH53" s="312"/>
      <c r="GCI53" s="312"/>
      <c r="GCJ53" s="312"/>
      <c r="GCK53" s="312"/>
      <c r="GCL53" s="312"/>
      <c r="GCM53" s="312"/>
      <c r="GCN53" s="312"/>
      <c r="GCO53" s="312"/>
      <c r="GCP53" s="312"/>
      <c r="GCQ53" s="312"/>
      <c r="GCR53" s="312"/>
      <c r="GCS53" s="312"/>
      <c r="GCT53" s="312"/>
      <c r="GCU53" s="312"/>
      <c r="GCV53" s="312"/>
      <c r="GCW53" s="312"/>
      <c r="GCX53" s="312"/>
      <c r="GCY53" s="312"/>
      <c r="GCZ53" s="312"/>
      <c r="GDA53" s="312"/>
      <c r="GDB53" s="312"/>
      <c r="GDC53" s="312"/>
      <c r="GDD53" s="312"/>
      <c r="GDE53" s="312"/>
      <c r="GDF53" s="312"/>
      <c r="GDG53" s="312"/>
      <c r="GDH53" s="312"/>
      <c r="GDI53" s="312"/>
      <c r="GDJ53" s="312"/>
      <c r="GDK53" s="312"/>
      <c r="GDL53" s="312"/>
      <c r="GDM53" s="312"/>
      <c r="GDN53" s="312"/>
      <c r="GDO53" s="312"/>
      <c r="GDP53" s="312"/>
      <c r="GDQ53" s="312"/>
      <c r="GDR53" s="312"/>
      <c r="GDS53" s="312"/>
      <c r="GDT53" s="312"/>
      <c r="GDU53" s="312"/>
      <c r="GDV53" s="312"/>
      <c r="GDW53" s="312"/>
      <c r="GDX53" s="312"/>
      <c r="GDY53" s="312"/>
      <c r="GDZ53" s="312"/>
      <c r="GEA53" s="312"/>
      <c r="GEB53" s="312"/>
      <c r="GEC53" s="312"/>
      <c r="GED53" s="312"/>
      <c r="GEE53" s="312"/>
      <c r="GEF53" s="312"/>
      <c r="GEG53" s="312"/>
      <c r="GEH53" s="312"/>
      <c r="GEI53" s="312"/>
      <c r="GEJ53" s="312"/>
      <c r="GEK53" s="312"/>
      <c r="GEL53" s="312"/>
      <c r="GEM53" s="312"/>
      <c r="GEN53" s="312"/>
      <c r="GEO53" s="312"/>
      <c r="GEP53" s="312"/>
      <c r="GEQ53" s="312"/>
      <c r="GER53" s="312"/>
      <c r="GES53" s="312"/>
      <c r="GET53" s="312"/>
      <c r="GEU53" s="312"/>
      <c r="GEV53" s="312"/>
      <c r="GEW53" s="312"/>
      <c r="GEX53" s="312"/>
      <c r="GEY53" s="312"/>
      <c r="GEZ53" s="312"/>
      <c r="GFA53" s="312"/>
      <c r="GFB53" s="312"/>
      <c r="GFC53" s="312"/>
      <c r="GFD53" s="312"/>
      <c r="GFE53" s="312"/>
      <c r="GFF53" s="312"/>
      <c r="GFG53" s="312"/>
      <c r="GFH53" s="312"/>
      <c r="GFI53" s="312"/>
      <c r="GFJ53" s="312"/>
      <c r="GFK53" s="312"/>
      <c r="GFL53" s="312"/>
      <c r="GFM53" s="312"/>
      <c r="GFN53" s="312"/>
      <c r="GFO53" s="312"/>
      <c r="GFP53" s="312"/>
      <c r="GFQ53" s="312"/>
      <c r="GFR53" s="312"/>
      <c r="GFS53" s="312"/>
      <c r="GFT53" s="312"/>
      <c r="GFU53" s="312"/>
      <c r="GFV53" s="312"/>
      <c r="GFW53" s="312"/>
      <c r="GFX53" s="312"/>
      <c r="GFY53" s="312"/>
      <c r="GFZ53" s="312"/>
      <c r="GGA53" s="312"/>
      <c r="GGB53" s="312"/>
      <c r="GGC53" s="312"/>
      <c r="GGD53" s="312"/>
      <c r="GGE53" s="312"/>
      <c r="GGF53" s="312"/>
      <c r="GGG53" s="312"/>
      <c r="GGH53" s="312"/>
      <c r="GGI53" s="312"/>
      <c r="GGJ53" s="312"/>
      <c r="GGK53" s="312"/>
      <c r="GGL53" s="312"/>
      <c r="GGM53" s="312"/>
      <c r="GGN53" s="312"/>
      <c r="GGO53" s="312"/>
      <c r="GGP53" s="312"/>
      <c r="GGQ53" s="312"/>
      <c r="GGR53" s="312"/>
      <c r="GGS53" s="312"/>
      <c r="GGT53" s="312"/>
      <c r="GGU53" s="312"/>
      <c r="GGV53" s="312"/>
      <c r="GGW53" s="312"/>
      <c r="GGX53" s="312"/>
      <c r="GGY53" s="312"/>
      <c r="GGZ53" s="312"/>
      <c r="GHA53" s="312"/>
      <c r="GHB53" s="312"/>
      <c r="GHC53" s="312"/>
      <c r="GHD53" s="312"/>
      <c r="GHE53" s="312"/>
      <c r="GHF53" s="312"/>
      <c r="GHG53" s="312"/>
      <c r="GHH53" s="312"/>
      <c r="GHI53" s="312"/>
      <c r="GHJ53" s="312"/>
      <c r="GHK53" s="312"/>
      <c r="GHL53" s="312"/>
      <c r="GHM53" s="312"/>
      <c r="GHN53" s="312"/>
      <c r="GHO53" s="312"/>
      <c r="GHP53" s="312"/>
      <c r="GHQ53" s="312"/>
      <c r="GHR53" s="312"/>
      <c r="GHS53" s="312"/>
      <c r="GHT53" s="312"/>
      <c r="GHU53" s="312"/>
      <c r="GHV53" s="312"/>
      <c r="GHW53" s="312"/>
      <c r="GHX53" s="312"/>
      <c r="GHY53" s="312"/>
      <c r="GHZ53" s="312"/>
      <c r="GIA53" s="312"/>
      <c r="GIB53" s="312"/>
      <c r="GIC53" s="312"/>
      <c r="GID53" s="312"/>
      <c r="GIE53" s="312"/>
      <c r="GIF53" s="312"/>
      <c r="GIG53" s="312"/>
      <c r="GIH53" s="312"/>
      <c r="GII53" s="312"/>
      <c r="GIJ53" s="312"/>
      <c r="GIK53" s="312"/>
      <c r="GIL53" s="312"/>
      <c r="GIM53" s="312"/>
      <c r="GIN53" s="312"/>
      <c r="GIO53" s="312"/>
      <c r="GIP53" s="312"/>
      <c r="GIQ53" s="312"/>
      <c r="GIR53" s="312"/>
      <c r="GIS53" s="312"/>
      <c r="GIT53" s="312"/>
      <c r="GIU53" s="312"/>
      <c r="GIV53" s="312"/>
      <c r="GIW53" s="312"/>
      <c r="GIX53" s="312"/>
      <c r="GIY53" s="312"/>
      <c r="GIZ53" s="312"/>
      <c r="GJA53" s="312"/>
      <c r="GJB53" s="312"/>
      <c r="GJC53" s="312"/>
      <c r="GJD53" s="312"/>
      <c r="GJE53" s="312"/>
      <c r="GJF53" s="312"/>
      <c r="GJG53" s="312"/>
      <c r="GJH53" s="312"/>
      <c r="GJI53" s="312"/>
      <c r="GJJ53" s="312"/>
      <c r="GJK53" s="312"/>
      <c r="GJL53" s="312"/>
      <c r="GJM53" s="312"/>
      <c r="GJN53" s="312"/>
      <c r="GJO53" s="312"/>
      <c r="GJP53" s="312"/>
      <c r="GJQ53" s="312"/>
      <c r="GJR53" s="312"/>
      <c r="GJS53" s="312"/>
      <c r="GJT53" s="312"/>
      <c r="GJU53" s="312"/>
      <c r="GJV53" s="312"/>
      <c r="GJW53" s="312"/>
      <c r="GJX53" s="312"/>
      <c r="GJY53" s="312"/>
      <c r="GJZ53" s="312"/>
      <c r="GKA53" s="312"/>
      <c r="GKB53" s="312"/>
      <c r="GKC53" s="312"/>
      <c r="GKD53" s="312"/>
      <c r="GKE53" s="312"/>
      <c r="GKF53" s="312"/>
      <c r="GKG53" s="312"/>
      <c r="GKH53" s="312"/>
      <c r="GKI53" s="312"/>
      <c r="GKJ53" s="312"/>
      <c r="GKK53" s="312"/>
      <c r="GKL53" s="312"/>
      <c r="GKM53" s="312"/>
      <c r="GKN53" s="312"/>
      <c r="GKO53" s="312"/>
      <c r="GKP53" s="312"/>
      <c r="GKQ53" s="312"/>
      <c r="GKR53" s="312"/>
      <c r="GKS53" s="312"/>
      <c r="GKT53" s="312"/>
      <c r="GKU53" s="312"/>
      <c r="GKV53" s="312"/>
      <c r="GKW53" s="312"/>
      <c r="GKX53" s="312"/>
      <c r="GKY53" s="312"/>
      <c r="GKZ53" s="312"/>
      <c r="GLA53" s="312"/>
      <c r="GLB53" s="312"/>
      <c r="GLC53" s="312"/>
      <c r="GLD53" s="312"/>
      <c r="GLE53" s="312"/>
      <c r="GLF53" s="312"/>
      <c r="GLG53" s="312"/>
      <c r="GLH53" s="312"/>
      <c r="GLI53" s="312"/>
      <c r="GLJ53" s="312"/>
      <c r="GLK53" s="312"/>
      <c r="GLL53" s="312"/>
      <c r="GLM53" s="312"/>
      <c r="GLN53" s="312"/>
      <c r="GLO53" s="312"/>
      <c r="GLP53" s="312"/>
      <c r="GLQ53" s="312"/>
      <c r="GLR53" s="312"/>
      <c r="GLS53" s="312"/>
      <c r="GLT53" s="312"/>
      <c r="GLU53" s="312"/>
      <c r="GLV53" s="312"/>
      <c r="GLW53" s="312"/>
      <c r="GLX53" s="312"/>
      <c r="GLY53" s="312"/>
      <c r="GLZ53" s="312"/>
      <c r="GMA53" s="312"/>
      <c r="GMB53" s="312"/>
      <c r="GMC53" s="312"/>
      <c r="GMD53" s="312"/>
      <c r="GME53" s="312"/>
      <c r="GMF53" s="312"/>
      <c r="GMG53" s="312"/>
      <c r="GMH53" s="312"/>
      <c r="GMI53" s="312"/>
      <c r="GMJ53" s="312"/>
      <c r="GMK53" s="312"/>
      <c r="GML53" s="312"/>
      <c r="GMM53" s="312"/>
      <c r="GMN53" s="312"/>
      <c r="GMO53" s="312"/>
      <c r="GMP53" s="312"/>
      <c r="GMQ53" s="312"/>
      <c r="GMR53" s="312"/>
      <c r="GMS53" s="312"/>
      <c r="GMT53" s="312"/>
      <c r="GMU53" s="312"/>
      <c r="GMV53" s="312"/>
      <c r="GMW53" s="312"/>
      <c r="GMX53" s="312"/>
      <c r="GMY53" s="312"/>
      <c r="GMZ53" s="312"/>
      <c r="GNA53" s="312"/>
      <c r="GNB53" s="312"/>
      <c r="GNC53" s="312"/>
      <c r="GND53" s="312"/>
      <c r="GNE53" s="312"/>
      <c r="GNF53" s="312"/>
      <c r="GNG53" s="312"/>
      <c r="GNH53" s="312"/>
      <c r="GNI53" s="312"/>
      <c r="GNJ53" s="312"/>
      <c r="GNK53" s="312"/>
      <c r="GNL53" s="312"/>
      <c r="GNM53" s="312"/>
      <c r="GNN53" s="312"/>
      <c r="GNO53" s="312"/>
      <c r="GNP53" s="312"/>
      <c r="GNQ53" s="312"/>
      <c r="GNR53" s="312"/>
      <c r="GNS53" s="312"/>
      <c r="GNT53" s="312"/>
      <c r="GNU53" s="312"/>
      <c r="GNV53" s="312"/>
      <c r="GNW53" s="312"/>
      <c r="GNX53" s="312"/>
      <c r="GNY53" s="312"/>
      <c r="GNZ53" s="312"/>
      <c r="GOA53" s="312"/>
      <c r="GOB53" s="312"/>
      <c r="GOC53" s="312"/>
      <c r="GOD53" s="312"/>
      <c r="GOE53" s="312"/>
      <c r="GOF53" s="312"/>
      <c r="GOG53" s="312"/>
      <c r="GOH53" s="312"/>
      <c r="GOI53" s="312"/>
      <c r="GOJ53" s="312"/>
      <c r="GOK53" s="312"/>
      <c r="GOL53" s="312"/>
      <c r="GOM53" s="312"/>
      <c r="GON53" s="312"/>
      <c r="GOO53" s="312"/>
      <c r="GOP53" s="312"/>
      <c r="GOQ53" s="312"/>
      <c r="GOR53" s="312"/>
      <c r="GOS53" s="312"/>
      <c r="GOT53" s="312"/>
      <c r="GOU53" s="312"/>
      <c r="GOV53" s="312"/>
      <c r="GOW53" s="312"/>
      <c r="GOX53" s="312"/>
      <c r="GOY53" s="312"/>
      <c r="GOZ53" s="312"/>
      <c r="GPA53" s="312"/>
      <c r="GPB53" s="312"/>
      <c r="GPC53" s="312"/>
      <c r="GPD53" s="312"/>
      <c r="GPE53" s="312"/>
      <c r="GPF53" s="312"/>
      <c r="GPG53" s="312"/>
      <c r="GPH53" s="312"/>
      <c r="GPI53" s="312"/>
      <c r="GPJ53" s="312"/>
      <c r="GPK53" s="312"/>
      <c r="GPL53" s="312"/>
      <c r="GPM53" s="312"/>
      <c r="GPN53" s="312"/>
      <c r="GPO53" s="312"/>
      <c r="GPP53" s="312"/>
      <c r="GPQ53" s="312"/>
      <c r="GPR53" s="312"/>
      <c r="GPS53" s="312"/>
      <c r="GPT53" s="312"/>
      <c r="GPU53" s="312"/>
      <c r="GPV53" s="312"/>
      <c r="GPW53" s="312"/>
      <c r="GPX53" s="312"/>
      <c r="GPY53" s="312"/>
      <c r="GPZ53" s="312"/>
      <c r="GQA53" s="312"/>
      <c r="GQB53" s="312"/>
      <c r="GQC53" s="312"/>
      <c r="GQD53" s="312"/>
      <c r="GQE53" s="312"/>
      <c r="GQF53" s="312"/>
      <c r="GQG53" s="312"/>
      <c r="GQH53" s="312"/>
      <c r="GQI53" s="312"/>
      <c r="GQJ53" s="312"/>
      <c r="GQK53" s="312"/>
      <c r="GQL53" s="312"/>
      <c r="GQM53" s="312"/>
      <c r="GQN53" s="312"/>
      <c r="GQO53" s="312"/>
      <c r="GQP53" s="312"/>
      <c r="GQQ53" s="312"/>
      <c r="GQR53" s="312"/>
      <c r="GQS53" s="312"/>
      <c r="GQT53" s="312"/>
      <c r="GQU53" s="312"/>
      <c r="GQV53" s="312"/>
      <c r="GQW53" s="312"/>
      <c r="GQX53" s="312"/>
      <c r="GQY53" s="312"/>
      <c r="GQZ53" s="312"/>
      <c r="GRA53" s="312"/>
      <c r="GRB53" s="312"/>
      <c r="GRC53" s="312"/>
      <c r="GRD53" s="312"/>
      <c r="GRE53" s="312"/>
      <c r="GRF53" s="312"/>
      <c r="GRG53" s="312"/>
      <c r="GRH53" s="312"/>
      <c r="GRI53" s="312"/>
      <c r="GRJ53" s="312"/>
      <c r="GRK53" s="312"/>
      <c r="GRL53" s="312"/>
      <c r="GRM53" s="312"/>
      <c r="GRN53" s="312"/>
      <c r="GRO53" s="312"/>
      <c r="GRP53" s="312"/>
      <c r="GRQ53" s="312"/>
      <c r="GRR53" s="312"/>
      <c r="GRS53" s="312"/>
      <c r="GRT53" s="312"/>
      <c r="GRU53" s="312"/>
      <c r="GRV53" s="312"/>
      <c r="GRW53" s="312"/>
      <c r="GRX53" s="312"/>
      <c r="GRY53" s="312"/>
      <c r="GRZ53" s="312"/>
      <c r="GSA53" s="312"/>
      <c r="GSB53" s="312"/>
      <c r="GSC53" s="312"/>
      <c r="GSD53" s="312"/>
      <c r="GSE53" s="312"/>
      <c r="GSF53" s="312"/>
      <c r="GSG53" s="312"/>
      <c r="GSH53" s="312"/>
      <c r="GSI53" s="312"/>
      <c r="GSJ53" s="312"/>
      <c r="GSK53" s="312"/>
      <c r="GSL53" s="312"/>
      <c r="GSM53" s="312"/>
      <c r="GSN53" s="312"/>
      <c r="GSO53" s="312"/>
      <c r="GSP53" s="312"/>
      <c r="GSQ53" s="312"/>
      <c r="GSR53" s="312"/>
      <c r="GSS53" s="312"/>
      <c r="GST53" s="312"/>
      <c r="GSU53" s="312"/>
      <c r="GSV53" s="312"/>
      <c r="GSW53" s="312"/>
      <c r="GSX53" s="312"/>
      <c r="GSY53" s="312"/>
      <c r="GSZ53" s="312"/>
      <c r="GTA53" s="312"/>
      <c r="GTB53" s="312"/>
      <c r="GTC53" s="312"/>
      <c r="GTD53" s="312"/>
      <c r="GTE53" s="312"/>
      <c r="GTF53" s="312"/>
      <c r="GTG53" s="312"/>
      <c r="GTH53" s="312"/>
      <c r="GTI53" s="312"/>
      <c r="GTJ53" s="312"/>
      <c r="GTK53" s="312"/>
      <c r="GTL53" s="312"/>
      <c r="GTM53" s="312"/>
      <c r="GTN53" s="312"/>
      <c r="GTO53" s="312"/>
      <c r="GTP53" s="312"/>
      <c r="GTQ53" s="312"/>
      <c r="GTR53" s="312"/>
      <c r="GTS53" s="312"/>
      <c r="GTT53" s="312"/>
      <c r="GTU53" s="312"/>
      <c r="GTV53" s="312"/>
      <c r="GTW53" s="312"/>
      <c r="GTX53" s="312"/>
      <c r="GTY53" s="312"/>
      <c r="GTZ53" s="312"/>
      <c r="GUA53" s="312"/>
      <c r="GUB53" s="312"/>
      <c r="GUC53" s="312"/>
      <c r="GUD53" s="312"/>
      <c r="GUE53" s="312"/>
      <c r="GUF53" s="312"/>
      <c r="GUG53" s="312"/>
      <c r="GUH53" s="312"/>
      <c r="GUI53" s="312"/>
      <c r="GUJ53" s="312"/>
      <c r="GUK53" s="312"/>
      <c r="GUL53" s="312"/>
      <c r="GUM53" s="312"/>
      <c r="GUN53" s="312"/>
      <c r="GUO53" s="312"/>
      <c r="GUP53" s="312"/>
      <c r="GUQ53" s="312"/>
      <c r="GUR53" s="312"/>
      <c r="GUS53" s="312"/>
      <c r="GUT53" s="312"/>
      <c r="GUU53" s="312"/>
      <c r="GUV53" s="312"/>
      <c r="GUW53" s="312"/>
      <c r="GUX53" s="312"/>
      <c r="GUY53" s="312"/>
      <c r="GUZ53" s="312"/>
      <c r="GVA53" s="312"/>
      <c r="GVB53" s="312"/>
      <c r="GVC53" s="312"/>
      <c r="GVD53" s="312"/>
      <c r="GVE53" s="312"/>
      <c r="GVF53" s="312"/>
      <c r="GVG53" s="312"/>
      <c r="GVH53" s="312"/>
      <c r="GVI53" s="312"/>
      <c r="GVJ53" s="312"/>
      <c r="GVK53" s="312"/>
      <c r="GVL53" s="312"/>
      <c r="GVM53" s="312"/>
      <c r="GVN53" s="312"/>
      <c r="GVO53" s="312"/>
      <c r="GVP53" s="312"/>
      <c r="GVQ53" s="312"/>
      <c r="GVR53" s="312"/>
      <c r="GVS53" s="312"/>
      <c r="GVT53" s="312"/>
      <c r="GVU53" s="312"/>
      <c r="GVV53" s="312"/>
      <c r="GVW53" s="312"/>
      <c r="GVX53" s="312"/>
      <c r="GVY53" s="312"/>
      <c r="GVZ53" s="312"/>
      <c r="GWA53" s="312"/>
      <c r="GWB53" s="312"/>
      <c r="GWC53" s="312"/>
      <c r="GWD53" s="312"/>
      <c r="GWE53" s="312"/>
      <c r="GWF53" s="312"/>
      <c r="GWG53" s="312"/>
      <c r="GWH53" s="312"/>
      <c r="GWI53" s="312"/>
      <c r="GWJ53" s="312"/>
      <c r="GWK53" s="312"/>
      <c r="GWL53" s="312"/>
      <c r="GWM53" s="312"/>
      <c r="GWN53" s="312"/>
      <c r="GWO53" s="312"/>
      <c r="GWP53" s="312"/>
      <c r="GWQ53" s="312"/>
      <c r="GWR53" s="312"/>
      <c r="GWS53" s="312"/>
      <c r="GWT53" s="312"/>
      <c r="GWU53" s="312"/>
      <c r="GWV53" s="312"/>
      <c r="GWW53" s="312"/>
      <c r="GWX53" s="312"/>
      <c r="GWY53" s="312"/>
      <c r="GWZ53" s="312"/>
      <c r="GXA53" s="312"/>
      <c r="GXB53" s="312"/>
      <c r="GXC53" s="312"/>
      <c r="GXD53" s="312"/>
      <c r="GXE53" s="312"/>
      <c r="GXF53" s="312"/>
      <c r="GXG53" s="312"/>
      <c r="GXH53" s="312"/>
      <c r="GXI53" s="312"/>
      <c r="GXJ53" s="312"/>
      <c r="GXK53" s="312"/>
      <c r="GXL53" s="312"/>
      <c r="GXM53" s="312"/>
      <c r="GXN53" s="312"/>
      <c r="GXO53" s="312"/>
      <c r="GXP53" s="312"/>
      <c r="GXQ53" s="312"/>
      <c r="GXR53" s="312"/>
      <c r="GXS53" s="312"/>
      <c r="GXT53" s="312"/>
      <c r="GXU53" s="312"/>
      <c r="GXV53" s="312"/>
      <c r="GXW53" s="312"/>
      <c r="GXX53" s="312"/>
      <c r="GXY53" s="312"/>
      <c r="GXZ53" s="312"/>
      <c r="GYA53" s="312"/>
      <c r="GYB53" s="312"/>
      <c r="GYC53" s="312"/>
      <c r="GYD53" s="312"/>
      <c r="GYE53" s="312"/>
      <c r="GYF53" s="312"/>
      <c r="GYG53" s="312"/>
      <c r="GYH53" s="312"/>
      <c r="GYI53" s="312"/>
      <c r="GYJ53" s="312"/>
      <c r="GYK53" s="312"/>
      <c r="GYL53" s="312"/>
      <c r="GYM53" s="312"/>
      <c r="GYN53" s="312"/>
      <c r="GYO53" s="312"/>
      <c r="GYP53" s="312"/>
      <c r="GYQ53" s="312"/>
      <c r="GYR53" s="312"/>
      <c r="GYS53" s="312"/>
      <c r="GYT53" s="312"/>
      <c r="GYU53" s="312"/>
      <c r="GYV53" s="312"/>
      <c r="GYW53" s="312"/>
      <c r="GYX53" s="312"/>
      <c r="GYY53" s="312"/>
      <c r="GYZ53" s="312"/>
      <c r="GZA53" s="312"/>
      <c r="GZB53" s="312"/>
      <c r="GZC53" s="312"/>
      <c r="GZD53" s="312"/>
      <c r="GZE53" s="312"/>
      <c r="GZF53" s="312"/>
      <c r="GZG53" s="312"/>
      <c r="GZH53" s="312"/>
      <c r="GZI53" s="312"/>
      <c r="GZJ53" s="312"/>
      <c r="GZK53" s="312"/>
      <c r="GZL53" s="312"/>
      <c r="GZM53" s="312"/>
      <c r="GZN53" s="312"/>
      <c r="GZO53" s="312"/>
      <c r="GZP53" s="312"/>
      <c r="GZQ53" s="312"/>
      <c r="GZR53" s="312"/>
      <c r="GZS53" s="312"/>
      <c r="GZT53" s="312"/>
      <c r="GZU53" s="312"/>
      <c r="GZV53" s="312"/>
      <c r="GZW53" s="312"/>
      <c r="GZX53" s="312"/>
      <c r="GZY53" s="312"/>
      <c r="GZZ53" s="312"/>
      <c r="HAA53" s="312"/>
      <c r="HAB53" s="312"/>
      <c r="HAC53" s="312"/>
      <c r="HAD53" s="312"/>
      <c r="HAE53" s="312"/>
      <c r="HAF53" s="312"/>
      <c r="HAG53" s="312"/>
      <c r="HAH53" s="312"/>
      <c r="HAI53" s="312"/>
      <c r="HAJ53" s="312"/>
      <c r="HAK53" s="312"/>
      <c r="HAL53" s="312"/>
      <c r="HAM53" s="312"/>
      <c r="HAN53" s="312"/>
      <c r="HAO53" s="312"/>
      <c r="HAP53" s="312"/>
      <c r="HAQ53" s="312"/>
      <c r="HAR53" s="312"/>
      <c r="HAS53" s="312"/>
      <c r="HAT53" s="312"/>
      <c r="HAU53" s="312"/>
      <c r="HAV53" s="312"/>
      <c r="HAW53" s="312"/>
      <c r="HAX53" s="312"/>
      <c r="HAY53" s="312"/>
      <c r="HAZ53" s="312"/>
      <c r="HBA53" s="312"/>
      <c r="HBB53" s="312"/>
      <c r="HBC53" s="312"/>
      <c r="HBD53" s="312"/>
      <c r="HBE53" s="312"/>
      <c r="HBF53" s="312"/>
      <c r="HBG53" s="312"/>
      <c r="HBH53" s="312"/>
      <c r="HBI53" s="312"/>
      <c r="HBJ53" s="312"/>
      <c r="HBK53" s="312"/>
      <c r="HBL53" s="312"/>
      <c r="HBM53" s="312"/>
      <c r="HBN53" s="312"/>
      <c r="HBO53" s="312"/>
      <c r="HBP53" s="312"/>
      <c r="HBQ53" s="312"/>
      <c r="HBR53" s="312"/>
      <c r="HBS53" s="312"/>
      <c r="HBT53" s="312"/>
      <c r="HBU53" s="312"/>
      <c r="HBV53" s="312"/>
      <c r="HBW53" s="312"/>
      <c r="HBX53" s="312"/>
      <c r="HBY53" s="312"/>
      <c r="HBZ53" s="312"/>
      <c r="HCA53" s="312"/>
      <c r="HCB53" s="312"/>
      <c r="HCC53" s="312"/>
      <c r="HCD53" s="312"/>
      <c r="HCE53" s="312"/>
      <c r="HCF53" s="312"/>
      <c r="HCG53" s="312"/>
      <c r="HCH53" s="312"/>
      <c r="HCI53" s="312"/>
      <c r="HCJ53" s="312"/>
      <c r="HCK53" s="312"/>
      <c r="HCL53" s="312"/>
      <c r="HCM53" s="312"/>
      <c r="HCN53" s="312"/>
      <c r="HCO53" s="312"/>
      <c r="HCP53" s="312"/>
      <c r="HCQ53" s="312"/>
      <c r="HCR53" s="312"/>
      <c r="HCS53" s="312"/>
      <c r="HCT53" s="312"/>
      <c r="HCU53" s="312"/>
      <c r="HCV53" s="312"/>
      <c r="HCW53" s="312"/>
      <c r="HCX53" s="312"/>
      <c r="HCY53" s="312"/>
      <c r="HCZ53" s="312"/>
      <c r="HDA53" s="312"/>
      <c r="HDB53" s="312"/>
      <c r="HDC53" s="312"/>
      <c r="HDD53" s="312"/>
      <c r="HDE53" s="312"/>
      <c r="HDF53" s="312"/>
      <c r="HDG53" s="312"/>
      <c r="HDH53" s="312"/>
      <c r="HDI53" s="312"/>
      <c r="HDJ53" s="312"/>
      <c r="HDK53" s="312"/>
      <c r="HDL53" s="312"/>
      <c r="HDM53" s="312"/>
      <c r="HDN53" s="312"/>
      <c r="HDO53" s="312"/>
      <c r="HDP53" s="312"/>
      <c r="HDQ53" s="312"/>
      <c r="HDR53" s="312"/>
      <c r="HDS53" s="312"/>
      <c r="HDT53" s="312"/>
      <c r="HDU53" s="312"/>
      <c r="HDV53" s="312"/>
      <c r="HDW53" s="312"/>
      <c r="HDX53" s="312"/>
      <c r="HDY53" s="312"/>
      <c r="HDZ53" s="312"/>
      <c r="HEA53" s="312"/>
      <c r="HEB53" s="312"/>
      <c r="HEC53" s="312"/>
      <c r="HED53" s="312"/>
      <c r="HEE53" s="312"/>
      <c r="HEF53" s="312"/>
      <c r="HEG53" s="312"/>
      <c r="HEH53" s="312"/>
      <c r="HEI53" s="312"/>
      <c r="HEJ53" s="312"/>
      <c r="HEK53" s="312"/>
      <c r="HEL53" s="312"/>
      <c r="HEM53" s="312"/>
      <c r="HEN53" s="312"/>
      <c r="HEO53" s="312"/>
      <c r="HEP53" s="312"/>
      <c r="HEQ53" s="312"/>
      <c r="HER53" s="312"/>
      <c r="HES53" s="312"/>
      <c r="HET53" s="312"/>
      <c r="HEU53" s="312"/>
      <c r="HEV53" s="312"/>
      <c r="HEW53" s="312"/>
      <c r="HEX53" s="312"/>
      <c r="HEY53" s="312"/>
      <c r="HEZ53" s="312"/>
      <c r="HFA53" s="312"/>
      <c r="HFB53" s="312"/>
      <c r="HFC53" s="312"/>
      <c r="HFD53" s="312"/>
      <c r="HFE53" s="312"/>
      <c r="HFF53" s="312"/>
      <c r="HFG53" s="312"/>
      <c r="HFH53" s="312"/>
      <c r="HFI53" s="312"/>
      <c r="HFJ53" s="312"/>
      <c r="HFK53" s="312"/>
      <c r="HFL53" s="312"/>
      <c r="HFM53" s="312"/>
      <c r="HFN53" s="312"/>
      <c r="HFO53" s="312"/>
      <c r="HFP53" s="312"/>
      <c r="HFQ53" s="312"/>
      <c r="HFR53" s="312"/>
      <c r="HFS53" s="312"/>
      <c r="HFT53" s="312"/>
      <c r="HFU53" s="312"/>
      <c r="HFV53" s="312"/>
      <c r="HFW53" s="312"/>
      <c r="HFX53" s="312"/>
      <c r="HFY53" s="312"/>
      <c r="HFZ53" s="312"/>
      <c r="HGA53" s="312"/>
      <c r="HGB53" s="312"/>
      <c r="HGC53" s="312"/>
      <c r="HGD53" s="312"/>
      <c r="HGE53" s="312"/>
      <c r="HGF53" s="312"/>
      <c r="HGG53" s="312"/>
      <c r="HGH53" s="312"/>
      <c r="HGI53" s="312"/>
      <c r="HGJ53" s="312"/>
      <c r="HGK53" s="312"/>
      <c r="HGL53" s="312"/>
      <c r="HGM53" s="312"/>
      <c r="HGN53" s="312"/>
      <c r="HGO53" s="312"/>
      <c r="HGP53" s="312"/>
      <c r="HGQ53" s="312"/>
      <c r="HGR53" s="312"/>
      <c r="HGS53" s="312"/>
      <c r="HGT53" s="312"/>
      <c r="HGU53" s="312"/>
      <c r="HGV53" s="312"/>
      <c r="HGW53" s="312"/>
      <c r="HGX53" s="312"/>
      <c r="HGY53" s="312"/>
      <c r="HGZ53" s="312"/>
      <c r="HHA53" s="312"/>
      <c r="HHB53" s="312"/>
      <c r="HHC53" s="312"/>
      <c r="HHD53" s="312"/>
      <c r="HHE53" s="312"/>
      <c r="HHF53" s="312"/>
      <c r="HHG53" s="312"/>
      <c r="HHH53" s="312"/>
      <c r="HHI53" s="312"/>
      <c r="HHJ53" s="312"/>
      <c r="HHK53" s="312"/>
      <c r="HHL53" s="312"/>
      <c r="HHM53" s="312"/>
      <c r="HHN53" s="312"/>
      <c r="HHO53" s="312"/>
      <c r="HHP53" s="312"/>
      <c r="HHQ53" s="312"/>
      <c r="HHR53" s="312"/>
      <c r="HHS53" s="312"/>
      <c r="HHT53" s="312"/>
      <c r="HHU53" s="312"/>
      <c r="HHV53" s="312"/>
      <c r="HHW53" s="312"/>
      <c r="HHX53" s="312"/>
      <c r="HHY53" s="312"/>
      <c r="HHZ53" s="312"/>
      <c r="HIA53" s="312"/>
      <c r="HIB53" s="312"/>
      <c r="HIC53" s="312"/>
      <c r="HID53" s="312"/>
      <c r="HIE53" s="312"/>
      <c r="HIF53" s="312"/>
      <c r="HIG53" s="312"/>
      <c r="HIH53" s="312"/>
      <c r="HII53" s="312"/>
      <c r="HIJ53" s="312"/>
      <c r="HIK53" s="312"/>
      <c r="HIL53" s="312"/>
      <c r="HIM53" s="312"/>
      <c r="HIN53" s="312"/>
      <c r="HIO53" s="312"/>
      <c r="HIP53" s="312"/>
      <c r="HIQ53" s="312"/>
      <c r="HIR53" s="312"/>
      <c r="HIS53" s="312"/>
      <c r="HIT53" s="312"/>
      <c r="HIU53" s="312"/>
      <c r="HIV53" s="312"/>
      <c r="HIW53" s="312"/>
      <c r="HIX53" s="312"/>
      <c r="HIY53" s="312"/>
      <c r="HIZ53" s="312"/>
      <c r="HJA53" s="312"/>
      <c r="HJB53" s="312"/>
      <c r="HJC53" s="312"/>
      <c r="HJD53" s="312"/>
      <c r="HJE53" s="312"/>
      <c r="HJF53" s="312"/>
      <c r="HJG53" s="312"/>
      <c r="HJH53" s="312"/>
      <c r="HJI53" s="312"/>
      <c r="HJJ53" s="312"/>
      <c r="HJK53" s="312"/>
      <c r="HJL53" s="312"/>
      <c r="HJM53" s="312"/>
      <c r="HJN53" s="312"/>
      <c r="HJO53" s="312"/>
      <c r="HJP53" s="312"/>
      <c r="HJQ53" s="312"/>
      <c r="HJR53" s="312"/>
      <c r="HJS53" s="312"/>
      <c r="HJT53" s="312"/>
      <c r="HJU53" s="312"/>
      <c r="HJV53" s="312"/>
      <c r="HJW53" s="312"/>
      <c r="HJX53" s="312"/>
      <c r="HJY53" s="312"/>
      <c r="HJZ53" s="312"/>
      <c r="HKA53" s="312"/>
      <c r="HKB53" s="312"/>
      <c r="HKC53" s="312"/>
      <c r="HKD53" s="312"/>
      <c r="HKE53" s="312"/>
      <c r="HKF53" s="312"/>
      <c r="HKG53" s="312"/>
      <c r="HKH53" s="312"/>
      <c r="HKI53" s="312"/>
      <c r="HKJ53" s="312"/>
      <c r="HKK53" s="312"/>
      <c r="HKL53" s="312"/>
      <c r="HKM53" s="312"/>
      <c r="HKN53" s="312"/>
      <c r="HKO53" s="312"/>
      <c r="HKP53" s="312"/>
      <c r="HKQ53" s="312"/>
      <c r="HKR53" s="312"/>
      <c r="HKS53" s="312"/>
      <c r="HKT53" s="312"/>
      <c r="HKU53" s="312"/>
      <c r="HKV53" s="312"/>
      <c r="HKW53" s="312"/>
      <c r="HKX53" s="312"/>
      <c r="HKY53" s="312"/>
      <c r="HKZ53" s="312"/>
      <c r="HLA53" s="312"/>
      <c r="HLB53" s="312"/>
      <c r="HLC53" s="312"/>
      <c r="HLD53" s="312"/>
      <c r="HLE53" s="312"/>
      <c r="HLF53" s="312"/>
      <c r="HLG53" s="312"/>
      <c r="HLH53" s="312"/>
      <c r="HLI53" s="312"/>
      <c r="HLJ53" s="312"/>
      <c r="HLK53" s="312"/>
      <c r="HLL53" s="312"/>
      <c r="HLM53" s="312"/>
      <c r="HLN53" s="312"/>
      <c r="HLO53" s="312"/>
      <c r="HLP53" s="312"/>
      <c r="HLQ53" s="312"/>
      <c r="HLR53" s="312"/>
      <c r="HLS53" s="312"/>
      <c r="HLT53" s="312"/>
      <c r="HLU53" s="312"/>
      <c r="HLV53" s="312"/>
      <c r="HLW53" s="312"/>
      <c r="HLX53" s="312"/>
      <c r="HLY53" s="312"/>
      <c r="HLZ53" s="312"/>
      <c r="HMA53" s="312"/>
      <c r="HMB53" s="312"/>
      <c r="HMC53" s="312"/>
      <c r="HMD53" s="312"/>
      <c r="HME53" s="312"/>
      <c r="HMF53" s="312"/>
      <c r="HMG53" s="312"/>
      <c r="HMH53" s="312"/>
      <c r="HMI53" s="312"/>
      <c r="HMJ53" s="312"/>
      <c r="HMK53" s="312"/>
      <c r="HML53" s="312"/>
      <c r="HMM53" s="312"/>
      <c r="HMN53" s="312"/>
      <c r="HMO53" s="312"/>
      <c r="HMP53" s="312"/>
      <c r="HMQ53" s="312"/>
      <c r="HMR53" s="312"/>
      <c r="HMS53" s="312"/>
      <c r="HMT53" s="312"/>
      <c r="HMU53" s="312"/>
      <c r="HMV53" s="312"/>
      <c r="HMW53" s="312"/>
      <c r="HMX53" s="312"/>
      <c r="HMY53" s="312"/>
      <c r="HMZ53" s="312"/>
      <c r="HNA53" s="312"/>
      <c r="HNB53" s="312"/>
      <c r="HNC53" s="312"/>
      <c r="HND53" s="312"/>
      <c r="HNE53" s="312"/>
      <c r="HNF53" s="312"/>
      <c r="HNG53" s="312"/>
      <c r="HNH53" s="312"/>
      <c r="HNI53" s="312"/>
      <c r="HNJ53" s="312"/>
      <c r="HNK53" s="312"/>
      <c r="HNL53" s="312"/>
      <c r="HNM53" s="312"/>
      <c r="HNN53" s="312"/>
      <c r="HNO53" s="312"/>
      <c r="HNP53" s="312"/>
      <c r="HNQ53" s="312"/>
      <c r="HNR53" s="312"/>
      <c r="HNS53" s="312"/>
      <c r="HNT53" s="312"/>
      <c r="HNU53" s="312"/>
      <c r="HNV53" s="312"/>
      <c r="HNW53" s="312"/>
      <c r="HNX53" s="312"/>
      <c r="HNY53" s="312"/>
      <c r="HNZ53" s="312"/>
      <c r="HOA53" s="312"/>
      <c r="HOB53" s="312"/>
      <c r="HOC53" s="312"/>
      <c r="HOD53" s="312"/>
      <c r="HOE53" s="312"/>
      <c r="HOF53" s="312"/>
      <c r="HOG53" s="312"/>
      <c r="HOH53" s="312"/>
      <c r="HOI53" s="312"/>
      <c r="HOJ53" s="312"/>
      <c r="HOK53" s="312"/>
      <c r="HOL53" s="312"/>
      <c r="HOM53" s="312"/>
      <c r="HON53" s="312"/>
      <c r="HOO53" s="312"/>
      <c r="HOP53" s="312"/>
      <c r="HOQ53" s="312"/>
      <c r="HOR53" s="312"/>
      <c r="HOS53" s="312"/>
      <c r="HOT53" s="312"/>
      <c r="HOU53" s="312"/>
      <c r="HOV53" s="312"/>
      <c r="HOW53" s="312"/>
      <c r="HOX53" s="312"/>
      <c r="HOY53" s="312"/>
      <c r="HOZ53" s="312"/>
      <c r="HPA53" s="312"/>
      <c r="HPB53" s="312"/>
      <c r="HPC53" s="312"/>
      <c r="HPD53" s="312"/>
      <c r="HPE53" s="312"/>
      <c r="HPF53" s="312"/>
      <c r="HPG53" s="312"/>
      <c r="HPH53" s="312"/>
      <c r="HPI53" s="312"/>
      <c r="HPJ53" s="312"/>
      <c r="HPK53" s="312"/>
      <c r="HPL53" s="312"/>
      <c r="HPM53" s="312"/>
      <c r="HPN53" s="312"/>
      <c r="HPO53" s="312"/>
      <c r="HPP53" s="312"/>
      <c r="HPQ53" s="312"/>
      <c r="HPR53" s="312"/>
      <c r="HPS53" s="312"/>
      <c r="HPT53" s="312"/>
      <c r="HPU53" s="312"/>
      <c r="HPV53" s="312"/>
      <c r="HPW53" s="312"/>
      <c r="HPX53" s="312"/>
      <c r="HPY53" s="312"/>
      <c r="HPZ53" s="312"/>
      <c r="HQA53" s="312"/>
      <c r="HQB53" s="312"/>
      <c r="HQC53" s="312"/>
      <c r="HQD53" s="312"/>
      <c r="HQE53" s="312"/>
      <c r="HQF53" s="312"/>
      <c r="HQG53" s="312"/>
      <c r="HQH53" s="312"/>
      <c r="HQI53" s="312"/>
      <c r="HQJ53" s="312"/>
      <c r="HQK53" s="312"/>
      <c r="HQL53" s="312"/>
      <c r="HQM53" s="312"/>
      <c r="HQN53" s="312"/>
      <c r="HQO53" s="312"/>
      <c r="HQP53" s="312"/>
      <c r="HQQ53" s="312"/>
      <c r="HQR53" s="312"/>
      <c r="HQS53" s="312"/>
      <c r="HQT53" s="312"/>
      <c r="HQU53" s="312"/>
      <c r="HQV53" s="312"/>
      <c r="HQW53" s="312"/>
      <c r="HQX53" s="312"/>
      <c r="HQY53" s="312"/>
      <c r="HQZ53" s="312"/>
      <c r="HRA53" s="312"/>
      <c r="HRB53" s="312"/>
      <c r="HRC53" s="312"/>
      <c r="HRD53" s="312"/>
      <c r="HRE53" s="312"/>
      <c r="HRF53" s="312"/>
      <c r="HRG53" s="312"/>
      <c r="HRH53" s="312"/>
      <c r="HRI53" s="312"/>
      <c r="HRJ53" s="312"/>
      <c r="HRK53" s="312"/>
      <c r="HRL53" s="312"/>
      <c r="HRM53" s="312"/>
      <c r="HRN53" s="312"/>
      <c r="HRO53" s="312"/>
      <c r="HRP53" s="312"/>
      <c r="HRQ53" s="312"/>
      <c r="HRR53" s="312"/>
      <c r="HRS53" s="312"/>
      <c r="HRT53" s="312"/>
      <c r="HRU53" s="312"/>
      <c r="HRV53" s="312"/>
      <c r="HRW53" s="312"/>
      <c r="HRX53" s="312"/>
      <c r="HRY53" s="312"/>
      <c r="HRZ53" s="312"/>
      <c r="HSA53" s="312"/>
      <c r="HSB53" s="312"/>
      <c r="HSC53" s="312"/>
      <c r="HSD53" s="312"/>
      <c r="HSE53" s="312"/>
      <c r="HSF53" s="312"/>
      <c r="HSG53" s="312"/>
      <c r="HSH53" s="312"/>
      <c r="HSI53" s="312"/>
      <c r="HSJ53" s="312"/>
      <c r="HSK53" s="312"/>
      <c r="HSL53" s="312"/>
      <c r="HSM53" s="312"/>
      <c r="HSN53" s="312"/>
      <c r="HSO53" s="312"/>
      <c r="HSP53" s="312"/>
      <c r="HSQ53" s="312"/>
      <c r="HSR53" s="312"/>
      <c r="HSS53" s="312"/>
      <c r="HST53" s="312"/>
      <c r="HSU53" s="312"/>
      <c r="HSV53" s="312"/>
      <c r="HSW53" s="312"/>
      <c r="HSX53" s="312"/>
      <c r="HSY53" s="312"/>
      <c r="HSZ53" s="312"/>
      <c r="HTA53" s="312"/>
      <c r="HTB53" s="312"/>
      <c r="HTC53" s="312"/>
      <c r="HTD53" s="312"/>
      <c r="HTE53" s="312"/>
      <c r="HTF53" s="312"/>
      <c r="HTG53" s="312"/>
      <c r="HTH53" s="312"/>
      <c r="HTI53" s="312"/>
      <c r="HTJ53" s="312"/>
      <c r="HTK53" s="312"/>
      <c r="HTL53" s="312"/>
      <c r="HTM53" s="312"/>
      <c r="HTN53" s="312"/>
      <c r="HTO53" s="312"/>
      <c r="HTP53" s="312"/>
      <c r="HTQ53" s="312"/>
      <c r="HTR53" s="312"/>
      <c r="HTS53" s="312"/>
      <c r="HTT53" s="312"/>
      <c r="HTU53" s="312"/>
      <c r="HTV53" s="312"/>
      <c r="HTW53" s="312"/>
      <c r="HTX53" s="312"/>
      <c r="HTY53" s="312"/>
      <c r="HTZ53" s="312"/>
      <c r="HUA53" s="312"/>
      <c r="HUB53" s="312"/>
      <c r="HUC53" s="312"/>
      <c r="HUD53" s="312"/>
      <c r="HUE53" s="312"/>
      <c r="HUF53" s="312"/>
      <c r="HUG53" s="312"/>
      <c r="HUH53" s="312"/>
      <c r="HUI53" s="312"/>
      <c r="HUJ53" s="312"/>
      <c r="HUK53" s="312"/>
      <c r="HUL53" s="312"/>
      <c r="HUM53" s="312"/>
      <c r="HUN53" s="312"/>
      <c r="HUO53" s="312"/>
      <c r="HUP53" s="312"/>
      <c r="HUQ53" s="312"/>
      <c r="HUR53" s="312"/>
      <c r="HUS53" s="312"/>
      <c r="HUT53" s="312"/>
      <c r="HUU53" s="312"/>
      <c r="HUV53" s="312"/>
      <c r="HUW53" s="312"/>
      <c r="HUX53" s="312"/>
      <c r="HUY53" s="312"/>
      <c r="HUZ53" s="312"/>
      <c r="HVA53" s="312"/>
      <c r="HVB53" s="312"/>
      <c r="HVC53" s="312"/>
      <c r="HVD53" s="312"/>
      <c r="HVE53" s="312"/>
      <c r="HVF53" s="312"/>
      <c r="HVG53" s="312"/>
      <c r="HVH53" s="312"/>
      <c r="HVI53" s="312"/>
      <c r="HVJ53" s="312"/>
      <c r="HVK53" s="312"/>
      <c r="HVL53" s="312"/>
      <c r="HVM53" s="312"/>
      <c r="HVN53" s="312"/>
      <c r="HVO53" s="312"/>
      <c r="HVP53" s="312"/>
      <c r="HVQ53" s="312"/>
      <c r="HVR53" s="312"/>
      <c r="HVS53" s="312"/>
      <c r="HVT53" s="312"/>
      <c r="HVU53" s="312"/>
      <c r="HVV53" s="312"/>
      <c r="HVW53" s="312"/>
      <c r="HVX53" s="312"/>
      <c r="HVY53" s="312"/>
      <c r="HVZ53" s="312"/>
      <c r="HWA53" s="312"/>
      <c r="HWB53" s="312"/>
      <c r="HWC53" s="312"/>
      <c r="HWD53" s="312"/>
      <c r="HWE53" s="312"/>
      <c r="HWF53" s="312"/>
      <c r="HWG53" s="312"/>
      <c r="HWH53" s="312"/>
      <c r="HWI53" s="312"/>
      <c r="HWJ53" s="312"/>
      <c r="HWK53" s="312"/>
      <c r="HWL53" s="312"/>
      <c r="HWM53" s="312"/>
      <c r="HWN53" s="312"/>
      <c r="HWO53" s="312"/>
      <c r="HWP53" s="312"/>
      <c r="HWQ53" s="312"/>
      <c r="HWR53" s="312"/>
      <c r="HWS53" s="312"/>
      <c r="HWT53" s="312"/>
      <c r="HWU53" s="312"/>
      <c r="HWV53" s="312"/>
      <c r="HWW53" s="312"/>
      <c r="HWX53" s="312"/>
      <c r="HWY53" s="312"/>
      <c r="HWZ53" s="312"/>
      <c r="HXA53" s="312"/>
      <c r="HXB53" s="312"/>
      <c r="HXC53" s="312"/>
      <c r="HXD53" s="312"/>
      <c r="HXE53" s="312"/>
      <c r="HXF53" s="312"/>
      <c r="HXG53" s="312"/>
      <c r="HXH53" s="312"/>
      <c r="HXI53" s="312"/>
      <c r="HXJ53" s="312"/>
      <c r="HXK53" s="312"/>
      <c r="HXL53" s="312"/>
      <c r="HXM53" s="312"/>
      <c r="HXN53" s="312"/>
      <c r="HXO53" s="312"/>
      <c r="HXP53" s="312"/>
      <c r="HXQ53" s="312"/>
      <c r="HXR53" s="312"/>
      <c r="HXS53" s="312"/>
      <c r="HXT53" s="312"/>
      <c r="HXU53" s="312"/>
      <c r="HXV53" s="312"/>
      <c r="HXW53" s="312"/>
      <c r="HXX53" s="312"/>
      <c r="HXY53" s="312"/>
      <c r="HXZ53" s="312"/>
      <c r="HYA53" s="312"/>
      <c r="HYB53" s="312"/>
      <c r="HYC53" s="312"/>
      <c r="HYD53" s="312"/>
      <c r="HYE53" s="312"/>
      <c r="HYF53" s="312"/>
      <c r="HYG53" s="312"/>
      <c r="HYH53" s="312"/>
      <c r="HYI53" s="312"/>
      <c r="HYJ53" s="312"/>
      <c r="HYK53" s="312"/>
      <c r="HYL53" s="312"/>
      <c r="HYM53" s="312"/>
      <c r="HYN53" s="312"/>
      <c r="HYO53" s="312"/>
      <c r="HYP53" s="312"/>
      <c r="HYQ53" s="312"/>
      <c r="HYR53" s="312"/>
      <c r="HYS53" s="312"/>
      <c r="HYT53" s="312"/>
      <c r="HYU53" s="312"/>
      <c r="HYV53" s="312"/>
      <c r="HYW53" s="312"/>
      <c r="HYX53" s="312"/>
      <c r="HYY53" s="312"/>
      <c r="HYZ53" s="312"/>
      <c r="HZA53" s="312"/>
      <c r="HZB53" s="312"/>
      <c r="HZC53" s="312"/>
      <c r="HZD53" s="312"/>
      <c r="HZE53" s="312"/>
      <c r="HZF53" s="312"/>
      <c r="HZG53" s="312"/>
      <c r="HZH53" s="312"/>
      <c r="HZI53" s="312"/>
      <c r="HZJ53" s="312"/>
      <c r="HZK53" s="312"/>
      <c r="HZL53" s="312"/>
      <c r="HZM53" s="312"/>
      <c r="HZN53" s="312"/>
      <c r="HZO53" s="312"/>
      <c r="HZP53" s="312"/>
      <c r="HZQ53" s="312"/>
      <c r="HZR53" s="312"/>
      <c r="HZS53" s="312"/>
      <c r="HZT53" s="312"/>
      <c r="HZU53" s="312"/>
      <c r="HZV53" s="312"/>
      <c r="HZW53" s="312"/>
      <c r="HZX53" s="312"/>
      <c r="HZY53" s="312"/>
      <c r="HZZ53" s="312"/>
      <c r="IAA53" s="312"/>
      <c r="IAB53" s="312"/>
      <c r="IAC53" s="312"/>
      <c r="IAD53" s="312"/>
      <c r="IAE53" s="312"/>
      <c r="IAF53" s="312"/>
      <c r="IAG53" s="312"/>
      <c r="IAH53" s="312"/>
      <c r="IAI53" s="312"/>
      <c r="IAJ53" s="312"/>
      <c r="IAK53" s="312"/>
      <c r="IAL53" s="312"/>
      <c r="IAM53" s="312"/>
      <c r="IAN53" s="312"/>
      <c r="IAO53" s="312"/>
      <c r="IAP53" s="312"/>
      <c r="IAQ53" s="312"/>
      <c r="IAR53" s="312"/>
      <c r="IAS53" s="312"/>
      <c r="IAT53" s="312"/>
      <c r="IAU53" s="312"/>
      <c r="IAV53" s="312"/>
      <c r="IAW53" s="312"/>
      <c r="IAX53" s="312"/>
      <c r="IAY53" s="312"/>
      <c r="IAZ53" s="312"/>
      <c r="IBA53" s="312"/>
      <c r="IBB53" s="312"/>
      <c r="IBC53" s="312"/>
      <c r="IBD53" s="312"/>
      <c r="IBE53" s="312"/>
      <c r="IBF53" s="312"/>
      <c r="IBG53" s="312"/>
      <c r="IBH53" s="312"/>
      <c r="IBI53" s="312"/>
      <c r="IBJ53" s="312"/>
      <c r="IBK53" s="312"/>
      <c r="IBL53" s="312"/>
      <c r="IBM53" s="312"/>
      <c r="IBN53" s="312"/>
      <c r="IBO53" s="312"/>
      <c r="IBP53" s="312"/>
      <c r="IBQ53" s="312"/>
      <c r="IBR53" s="312"/>
      <c r="IBS53" s="312"/>
      <c r="IBT53" s="312"/>
      <c r="IBU53" s="312"/>
      <c r="IBV53" s="312"/>
      <c r="IBW53" s="312"/>
      <c r="IBX53" s="312"/>
      <c r="IBY53" s="312"/>
      <c r="IBZ53" s="312"/>
      <c r="ICA53" s="312"/>
      <c r="ICB53" s="312"/>
      <c r="ICC53" s="312"/>
      <c r="ICD53" s="312"/>
      <c r="ICE53" s="312"/>
      <c r="ICF53" s="312"/>
      <c r="ICG53" s="312"/>
      <c r="ICH53" s="312"/>
      <c r="ICI53" s="312"/>
      <c r="ICJ53" s="312"/>
      <c r="ICK53" s="312"/>
      <c r="ICL53" s="312"/>
      <c r="ICM53" s="312"/>
      <c r="ICN53" s="312"/>
      <c r="ICO53" s="312"/>
      <c r="ICP53" s="312"/>
      <c r="ICQ53" s="312"/>
      <c r="ICR53" s="312"/>
      <c r="ICS53" s="312"/>
      <c r="ICT53" s="312"/>
      <c r="ICU53" s="312"/>
      <c r="ICV53" s="312"/>
      <c r="ICW53" s="312"/>
      <c r="ICX53" s="312"/>
      <c r="ICY53" s="312"/>
      <c r="ICZ53" s="312"/>
      <c r="IDA53" s="312"/>
      <c r="IDB53" s="312"/>
      <c r="IDC53" s="312"/>
      <c r="IDD53" s="312"/>
      <c r="IDE53" s="312"/>
      <c r="IDF53" s="312"/>
      <c r="IDG53" s="312"/>
      <c r="IDH53" s="312"/>
      <c r="IDI53" s="312"/>
      <c r="IDJ53" s="312"/>
      <c r="IDK53" s="312"/>
      <c r="IDL53" s="312"/>
      <c r="IDM53" s="312"/>
      <c r="IDN53" s="312"/>
      <c r="IDO53" s="312"/>
      <c r="IDP53" s="312"/>
      <c r="IDQ53" s="312"/>
      <c r="IDR53" s="312"/>
      <c r="IDS53" s="312"/>
      <c r="IDT53" s="312"/>
      <c r="IDU53" s="312"/>
      <c r="IDV53" s="312"/>
      <c r="IDW53" s="312"/>
      <c r="IDX53" s="312"/>
      <c r="IDY53" s="312"/>
      <c r="IDZ53" s="312"/>
      <c r="IEA53" s="312"/>
      <c r="IEB53" s="312"/>
      <c r="IEC53" s="312"/>
      <c r="IED53" s="312"/>
      <c r="IEE53" s="312"/>
      <c r="IEF53" s="312"/>
      <c r="IEG53" s="312"/>
      <c r="IEH53" s="312"/>
      <c r="IEI53" s="312"/>
      <c r="IEJ53" s="312"/>
      <c r="IEK53" s="312"/>
      <c r="IEL53" s="312"/>
      <c r="IEM53" s="312"/>
      <c r="IEN53" s="312"/>
      <c r="IEO53" s="312"/>
      <c r="IEP53" s="312"/>
      <c r="IEQ53" s="312"/>
      <c r="IER53" s="312"/>
      <c r="IES53" s="312"/>
      <c r="IET53" s="312"/>
      <c r="IEU53" s="312"/>
      <c r="IEV53" s="312"/>
      <c r="IEW53" s="312"/>
      <c r="IEX53" s="312"/>
      <c r="IEY53" s="312"/>
      <c r="IEZ53" s="312"/>
      <c r="IFA53" s="312"/>
      <c r="IFB53" s="312"/>
      <c r="IFC53" s="312"/>
      <c r="IFD53" s="312"/>
      <c r="IFE53" s="312"/>
      <c r="IFF53" s="312"/>
      <c r="IFG53" s="312"/>
      <c r="IFH53" s="312"/>
      <c r="IFI53" s="312"/>
      <c r="IFJ53" s="312"/>
      <c r="IFK53" s="312"/>
      <c r="IFL53" s="312"/>
      <c r="IFM53" s="312"/>
      <c r="IFN53" s="312"/>
      <c r="IFO53" s="312"/>
      <c r="IFP53" s="312"/>
      <c r="IFQ53" s="312"/>
      <c r="IFR53" s="312"/>
      <c r="IFS53" s="312"/>
      <c r="IFT53" s="312"/>
      <c r="IFU53" s="312"/>
      <c r="IFV53" s="312"/>
      <c r="IFW53" s="312"/>
      <c r="IFX53" s="312"/>
      <c r="IFY53" s="312"/>
      <c r="IFZ53" s="312"/>
      <c r="IGA53" s="312"/>
      <c r="IGB53" s="312"/>
      <c r="IGC53" s="312"/>
      <c r="IGD53" s="312"/>
      <c r="IGE53" s="312"/>
      <c r="IGF53" s="312"/>
      <c r="IGG53" s="312"/>
      <c r="IGH53" s="312"/>
      <c r="IGI53" s="312"/>
      <c r="IGJ53" s="312"/>
      <c r="IGK53" s="312"/>
      <c r="IGL53" s="312"/>
      <c r="IGM53" s="312"/>
      <c r="IGN53" s="312"/>
      <c r="IGO53" s="312"/>
      <c r="IGP53" s="312"/>
      <c r="IGQ53" s="312"/>
      <c r="IGR53" s="312"/>
      <c r="IGS53" s="312"/>
      <c r="IGT53" s="312"/>
      <c r="IGU53" s="312"/>
      <c r="IGV53" s="312"/>
      <c r="IGW53" s="312"/>
      <c r="IGX53" s="312"/>
      <c r="IGY53" s="312"/>
      <c r="IGZ53" s="312"/>
      <c r="IHA53" s="312"/>
      <c r="IHB53" s="312"/>
      <c r="IHC53" s="312"/>
      <c r="IHD53" s="312"/>
      <c r="IHE53" s="312"/>
      <c r="IHF53" s="312"/>
      <c r="IHG53" s="312"/>
      <c r="IHH53" s="312"/>
      <c r="IHI53" s="312"/>
      <c r="IHJ53" s="312"/>
      <c r="IHK53" s="312"/>
      <c r="IHL53" s="312"/>
      <c r="IHM53" s="312"/>
      <c r="IHN53" s="312"/>
      <c r="IHO53" s="312"/>
      <c r="IHP53" s="312"/>
      <c r="IHQ53" s="312"/>
      <c r="IHR53" s="312"/>
      <c r="IHS53" s="312"/>
      <c r="IHT53" s="312"/>
      <c r="IHU53" s="312"/>
      <c r="IHV53" s="312"/>
      <c r="IHW53" s="312"/>
      <c r="IHX53" s="312"/>
      <c r="IHY53" s="312"/>
      <c r="IHZ53" s="312"/>
      <c r="IIA53" s="312"/>
      <c r="IIB53" s="312"/>
      <c r="IIC53" s="312"/>
      <c r="IID53" s="312"/>
      <c r="IIE53" s="312"/>
      <c r="IIF53" s="312"/>
      <c r="IIG53" s="312"/>
      <c r="IIH53" s="312"/>
      <c r="III53" s="312"/>
      <c r="IIJ53" s="312"/>
      <c r="IIK53" s="312"/>
      <c r="IIL53" s="312"/>
      <c r="IIM53" s="312"/>
      <c r="IIN53" s="312"/>
      <c r="IIO53" s="312"/>
      <c r="IIP53" s="312"/>
      <c r="IIQ53" s="312"/>
      <c r="IIR53" s="312"/>
      <c r="IIS53" s="312"/>
      <c r="IIT53" s="312"/>
      <c r="IIU53" s="312"/>
      <c r="IIV53" s="312"/>
      <c r="IIW53" s="312"/>
      <c r="IIX53" s="312"/>
      <c r="IIY53" s="312"/>
      <c r="IIZ53" s="312"/>
      <c r="IJA53" s="312"/>
      <c r="IJB53" s="312"/>
      <c r="IJC53" s="312"/>
      <c r="IJD53" s="312"/>
      <c r="IJE53" s="312"/>
      <c r="IJF53" s="312"/>
      <c r="IJG53" s="312"/>
      <c r="IJH53" s="312"/>
      <c r="IJI53" s="312"/>
      <c r="IJJ53" s="312"/>
      <c r="IJK53" s="312"/>
      <c r="IJL53" s="312"/>
      <c r="IJM53" s="312"/>
      <c r="IJN53" s="312"/>
      <c r="IJO53" s="312"/>
      <c r="IJP53" s="312"/>
      <c r="IJQ53" s="312"/>
      <c r="IJR53" s="312"/>
      <c r="IJS53" s="312"/>
      <c r="IJT53" s="312"/>
      <c r="IJU53" s="312"/>
      <c r="IJV53" s="312"/>
      <c r="IJW53" s="312"/>
      <c r="IJX53" s="312"/>
      <c r="IJY53" s="312"/>
      <c r="IJZ53" s="312"/>
      <c r="IKA53" s="312"/>
      <c r="IKB53" s="312"/>
      <c r="IKC53" s="312"/>
      <c r="IKD53" s="312"/>
      <c r="IKE53" s="312"/>
      <c r="IKF53" s="312"/>
      <c r="IKG53" s="312"/>
      <c r="IKH53" s="312"/>
      <c r="IKI53" s="312"/>
      <c r="IKJ53" s="312"/>
      <c r="IKK53" s="312"/>
      <c r="IKL53" s="312"/>
      <c r="IKM53" s="312"/>
      <c r="IKN53" s="312"/>
      <c r="IKO53" s="312"/>
      <c r="IKP53" s="312"/>
      <c r="IKQ53" s="312"/>
      <c r="IKR53" s="312"/>
      <c r="IKS53" s="312"/>
      <c r="IKT53" s="312"/>
      <c r="IKU53" s="312"/>
      <c r="IKV53" s="312"/>
      <c r="IKW53" s="312"/>
      <c r="IKX53" s="312"/>
      <c r="IKY53" s="312"/>
      <c r="IKZ53" s="312"/>
      <c r="ILA53" s="312"/>
      <c r="ILB53" s="312"/>
      <c r="ILC53" s="312"/>
      <c r="ILD53" s="312"/>
      <c r="ILE53" s="312"/>
      <c r="ILF53" s="312"/>
      <c r="ILG53" s="312"/>
      <c r="ILH53" s="312"/>
      <c r="ILI53" s="312"/>
      <c r="ILJ53" s="312"/>
      <c r="ILK53" s="312"/>
      <c r="ILL53" s="312"/>
      <c r="ILM53" s="312"/>
      <c r="ILN53" s="312"/>
      <c r="ILO53" s="312"/>
      <c r="ILP53" s="312"/>
      <c r="ILQ53" s="312"/>
      <c r="ILR53" s="312"/>
      <c r="ILS53" s="312"/>
      <c r="ILT53" s="312"/>
      <c r="ILU53" s="312"/>
      <c r="ILV53" s="312"/>
      <c r="ILW53" s="312"/>
      <c r="ILX53" s="312"/>
      <c r="ILY53" s="312"/>
      <c r="ILZ53" s="312"/>
      <c r="IMA53" s="312"/>
      <c r="IMB53" s="312"/>
      <c r="IMC53" s="312"/>
      <c r="IMD53" s="312"/>
      <c r="IME53" s="312"/>
      <c r="IMF53" s="312"/>
      <c r="IMG53" s="312"/>
      <c r="IMH53" s="312"/>
      <c r="IMI53" s="312"/>
      <c r="IMJ53" s="312"/>
      <c r="IMK53" s="312"/>
      <c r="IML53" s="312"/>
      <c r="IMM53" s="312"/>
      <c r="IMN53" s="312"/>
      <c r="IMO53" s="312"/>
      <c r="IMP53" s="312"/>
      <c r="IMQ53" s="312"/>
      <c r="IMR53" s="312"/>
      <c r="IMS53" s="312"/>
      <c r="IMT53" s="312"/>
      <c r="IMU53" s="312"/>
      <c r="IMV53" s="312"/>
      <c r="IMW53" s="312"/>
      <c r="IMX53" s="312"/>
      <c r="IMY53" s="312"/>
      <c r="IMZ53" s="312"/>
      <c r="INA53" s="312"/>
      <c r="INB53" s="312"/>
      <c r="INC53" s="312"/>
      <c r="IND53" s="312"/>
      <c r="INE53" s="312"/>
      <c r="INF53" s="312"/>
      <c r="ING53" s="312"/>
      <c r="INH53" s="312"/>
      <c r="INI53" s="312"/>
      <c r="INJ53" s="312"/>
      <c r="INK53" s="312"/>
      <c r="INL53" s="312"/>
      <c r="INM53" s="312"/>
      <c r="INN53" s="312"/>
      <c r="INO53" s="312"/>
      <c r="INP53" s="312"/>
      <c r="INQ53" s="312"/>
      <c r="INR53" s="312"/>
      <c r="INS53" s="312"/>
      <c r="INT53" s="312"/>
      <c r="INU53" s="312"/>
      <c r="INV53" s="312"/>
      <c r="INW53" s="312"/>
      <c r="INX53" s="312"/>
      <c r="INY53" s="312"/>
      <c r="INZ53" s="312"/>
      <c r="IOA53" s="312"/>
      <c r="IOB53" s="312"/>
      <c r="IOC53" s="312"/>
      <c r="IOD53" s="312"/>
      <c r="IOE53" s="312"/>
      <c r="IOF53" s="312"/>
      <c r="IOG53" s="312"/>
      <c r="IOH53" s="312"/>
      <c r="IOI53" s="312"/>
      <c r="IOJ53" s="312"/>
      <c r="IOK53" s="312"/>
      <c r="IOL53" s="312"/>
      <c r="IOM53" s="312"/>
      <c r="ION53" s="312"/>
      <c r="IOO53" s="312"/>
      <c r="IOP53" s="312"/>
      <c r="IOQ53" s="312"/>
      <c r="IOR53" s="312"/>
      <c r="IOS53" s="312"/>
      <c r="IOT53" s="312"/>
      <c r="IOU53" s="312"/>
      <c r="IOV53" s="312"/>
      <c r="IOW53" s="312"/>
      <c r="IOX53" s="312"/>
      <c r="IOY53" s="312"/>
      <c r="IOZ53" s="312"/>
      <c r="IPA53" s="312"/>
      <c r="IPB53" s="312"/>
      <c r="IPC53" s="312"/>
      <c r="IPD53" s="312"/>
      <c r="IPE53" s="312"/>
      <c r="IPF53" s="312"/>
      <c r="IPG53" s="312"/>
      <c r="IPH53" s="312"/>
      <c r="IPI53" s="312"/>
      <c r="IPJ53" s="312"/>
      <c r="IPK53" s="312"/>
      <c r="IPL53" s="312"/>
      <c r="IPM53" s="312"/>
      <c r="IPN53" s="312"/>
      <c r="IPO53" s="312"/>
      <c r="IPP53" s="312"/>
      <c r="IPQ53" s="312"/>
      <c r="IPR53" s="312"/>
      <c r="IPS53" s="312"/>
      <c r="IPT53" s="312"/>
      <c r="IPU53" s="312"/>
      <c r="IPV53" s="312"/>
      <c r="IPW53" s="312"/>
      <c r="IPX53" s="312"/>
      <c r="IPY53" s="312"/>
      <c r="IPZ53" s="312"/>
      <c r="IQA53" s="312"/>
      <c r="IQB53" s="312"/>
      <c r="IQC53" s="312"/>
      <c r="IQD53" s="312"/>
      <c r="IQE53" s="312"/>
      <c r="IQF53" s="312"/>
      <c r="IQG53" s="312"/>
      <c r="IQH53" s="312"/>
      <c r="IQI53" s="312"/>
      <c r="IQJ53" s="312"/>
      <c r="IQK53" s="312"/>
      <c r="IQL53" s="312"/>
      <c r="IQM53" s="312"/>
      <c r="IQN53" s="312"/>
      <c r="IQO53" s="312"/>
      <c r="IQP53" s="312"/>
      <c r="IQQ53" s="312"/>
      <c r="IQR53" s="312"/>
      <c r="IQS53" s="312"/>
      <c r="IQT53" s="312"/>
      <c r="IQU53" s="312"/>
      <c r="IQV53" s="312"/>
      <c r="IQW53" s="312"/>
      <c r="IQX53" s="312"/>
      <c r="IQY53" s="312"/>
      <c r="IQZ53" s="312"/>
      <c r="IRA53" s="312"/>
      <c r="IRB53" s="312"/>
      <c r="IRC53" s="312"/>
      <c r="IRD53" s="312"/>
      <c r="IRE53" s="312"/>
      <c r="IRF53" s="312"/>
      <c r="IRG53" s="312"/>
      <c r="IRH53" s="312"/>
      <c r="IRI53" s="312"/>
      <c r="IRJ53" s="312"/>
      <c r="IRK53" s="312"/>
      <c r="IRL53" s="312"/>
      <c r="IRM53" s="312"/>
      <c r="IRN53" s="312"/>
      <c r="IRO53" s="312"/>
      <c r="IRP53" s="312"/>
      <c r="IRQ53" s="312"/>
      <c r="IRR53" s="312"/>
      <c r="IRS53" s="312"/>
      <c r="IRT53" s="312"/>
      <c r="IRU53" s="312"/>
      <c r="IRV53" s="312"/>
      <c r="IRW53" s="312"/>
      <c r="IRX53" s="312"/>
      <c r="IRY53" s="312"/>
      <c r="IRZ53" s="312"/>
      <c r="ISA53" s="312"/>
      <c r="ISB53" s="312"/>
      <c r="ISC53" s="312"/>
      <c r="ISD53" s="312"/>
      <c r="ISE53" s="312"/>
      <c r="ISF53" s="312"/>
      <c r="ISG53" s="312"/>
      <c r="ISH53" s="312"/>
      <c r="ISI53" s="312"/>
      <c r="ISJ53" s="312"/>
      <c r="ISK53" s="312"/>
      <c r="ISL53" s="312"/>
      <c r="ISM53" s="312"/>
      <c r="ISN53" s="312"/>
      <c r="ISO53" s="312"/>
      <c r="ISP53" s="312"/>
      <c r="ISQ53" s="312"/>
      <c r="ISR53" s="312"/>
      <c r="ISS53" s="312"/>
      <c r="IST53" s="312"/>
      <c r="ISU53" s="312"/>
      <c r="ISV53" s="312"/>
      <c r="ISW53" s="312"/>
      <c r="ISX53" s="312"/>
      <c r="ISY53" s="312"/>
      <c r="ISZ53" s="312"/>
      <c r="ITA53" s="312"/>
      <c r="ITB53" s="312"/>
      <c r="ITC53" s="312"/>
      <c r="ITD53" s="312"/>
      <c r="ITE53" s="312"/>
      <c r="ITF53" s="312"/>
      <c r="ITG53" s="312"/>
      <c r="ITH53" s="312"/>
      <c r="ITI53" s="312"/>
      <c r="ITJ53" s="312"/>
      <c r="ITK53" s="312"/>
      <c r="ITL53" s="312"/>
      <c r="ITM53" s="312"/>
      <c r="ITN53" s="312"/>
      <c r="ITO53" s="312"/>
      <c r="ITP53" s="312"/>
      <c r="ITQ53" s="312"/>
      <c r="ITR53" s="312"/>
      <c r="ITS53" s="312"/>
      <c r="ITT53" s="312"/>
      <c r="ITU53" s="312"/>
      <c r="ITV53" s="312"/>
      <c r="ITW53" s="312"/>
      <c r="ITX53" s="312"/>
      <c r="ITY53" s="312"/>
      <c r="ITZ53" s="312"/>
      <c r="IUA53" s="312"/>
      <c r="IUB53" s="312"/>
      <c r="IUC53" s="312"/>
      <c r="IUD53" s="312"/>
      <c r="IUE53" s="312"/>
      <c r="IUF53" s="312"/>
      <c r="IUG53" s="312"/>
      <c r="IUH53" s="312"/>
      <c r="IUI53" s="312"/>
      <c r="IUJ53" s="312"/>
      <c r="IUK53" s="312"/>
      <c r="IUL53" s="312"/>
      <c r="IUM53" s="312"/>
      <c r="IUN53" s="312"/>
      <c r="IUO53" s="312"/>
      <c r="IUP53" s="312"/>
      <c r="IUQ53" s="312"/>
      <c r="IUR53" s="312"/>
      <c r="IUS53" s="312"/>
      <c r="IUT53" s="312"/>
      <c r="IUU53" s="312"/>
      <c r="IUV53" s="312"/>
      <c r="IUW53" s="312"/>
      <c r="IUX53" s="312"/>
      <c r="IUY53" s="312"/>
      <c r="IUZ53" s="312"/>
      <c r="IVA53" s="312"/>
      <c r="IVB53" s="312"/>
      <c r="IVC53" s="312"/>
      <c r="IVD53" s="312"/>
      <c r="IVE53" s="312"/>
      <c r="IVF53" s="312"/>
      <c r="IVG53" s="312"/>
      <c r="IVH53" s="312"/>
      <c r="IVI53" s="312"/>
      <c r="IVJ53" s="312"/>
      <c r="IVK53" s="312"/>
      <c r="IVL53" s="312"/>
      <c r="IVM53" s="312"/>
      <c r="IVN53" s="312"/>
      <c r="IVO53" s="312"/>
      <c r="IVP53" s="312"/>
      <c r="IVQ53" s="312"/>
      <c r="IVR53" s="312"/>
      <c r="IVS53" s="312"/>
      <c r="IVT53" s="312"/>
      <c r="IVU53" s="312"/>
      <c r="IVV53" s="312"/>
      <c r="IVW53" s="312"/>
      <c r="IVX53" s="312"/>
      <c r="IVY53" s="312"/>
      <c r="IVZ53" s="312"/>
      <c r="IWA53" s="312"/>
      <c r="IWB53" s="312"/>
      <c r="IWC53" s="312"/>
      <c r="IWD53" s="312"/>
      <c r="IWE53" s="312"/>
      <c r="IWF53" s="312"/>
      <c r="IWG53" s="312"/>
      <c r="IWH53" s="312"/>
      <c r="IWI53" s="312"/>
      <c r="IWJ53" s="312"/>
      <c r="IWK53" s="312"/>
      <c r="IWL53" s="312"/>
      <c r="IWM53" s="312"/>
      <c r="IWN53" s="312"/>
      <c r="IWO53" s="312"/>
      <c r="IWP53" s="312"/>
      <c r="IWQ53" s="312"/>
      <c r="IWR53" s="312"/>
      <c r="IWS53" s="312"/>
      <c r="IWT53" s="312"/>
      <c r="IWU53" s="312"/>
      <c r="IWV53" s="312"/>
      <c r="IWW53" s="312"/>
      <c r="IWX53" s="312"/>
      <c r="IWY53" s="312"/>
      <c r="IWZ53" s="312"/>
      <c r="IXA53" s="312"/>
      <c r="IXB53" s="312"/>
      <c r="IXC53" s="312"/>
      <c r="IXD53" s="312"/>
      <c r="IXE53" s="312"/>
      <c r="IXF53" s="312"/>
      <c r="IXG53" s="312"/>
      <c r="IXH53" s="312"/>
      <c r="IXI53" s="312"/>
      <c r="IXJ53" s="312"/>
      <c r="IXK53" s="312"/>
      <c r="IXL53" s="312"/>
      <c r="IXM53" s="312"/>
      <c r="IXN53" s="312"/>
      <c r="IXO53" s="312"/>
      <c r="IXP53" s="312"/>
      <c r="IXQ53" s="312"/>
      <c r="IXR53" s="312"/>
      <c r="IXS53" s="312"/>
      <c r="IXT53" s="312"/>
      <c r="IXU53" s="312"/>
      <c r="IXV53" s="312"/>
      <c r="IXW53" s="312"/>
      <c r="IXX53" s="312"/>
      <c r="IXY53" s="312"/>
      <c r="IXZ53" s="312"/>
      <c r="IYA53" s="312"/>
      <c r="IYB53" s="312"/>
      <c r="IYC53" s="312"/>
      <c r="IYD53" s="312"/>
      <c r="IYE53" s="312"/>
      <c r="IYF53" s="312"/>
      <c r="IYG53" s="312"/>
      <c r="IYH53" s="312"/>
      <c r="IYI53" s="312"/>
      <c r="IYJ53" s="312"/>
      <c r="IYK53" s="312"/>
      <c r="IYL53" s="312"/>
      <c r="IYM53" s="312"/>
      <c r="IYN53" s="312"/>
      <c r="IYO53" s="312"/>
      <c r="IYP53" s="312"/>
      <c r="IYQ53" s="312"/>
      <c r="IYR53" s="312"/>
      <c r="IYS53" s="312"/>
      <c r="IYT53" s="312"/>
      <c r="IYU53" s="312"/>
      <c r="IYV53" s="312"/>
      <c r="IYW53" s="312"/>
      <c r="IYX53" s="312"/>
      <c r="IYY53" s="312"/>
      <c r="IYZ53" s="312"/>
      <c r="IZA53" s="312"/>
      <c r="IZB53" s="312"/>
      <c r="IZC53" s="312"/>
      <c r="IZD53" s="312"/>
      <c r="IZE53" s="312"/>
      <c r="IZF53" s="312"/>
      <c r="IZG53" s="312"/>
      <c r="IZH53" s="312"/>
      <c r="IZI53" s="312"/>
      <c r="IZJ53" s="312"/>
      <c r="IZK53" s="312"/>
      <c r="IZL53" s="312"/>
      <c r="IZM53" s="312"/>
      <c r="IZN53" s="312"/>
      <c r="IZO53" s="312"/>
      <c r="IZP53" s="312"/>
      <c r="IZQ53" s="312"/>
      <c r="IZR53" s="312"/>
      <c r="IZS53" s="312"/>
      <c r="IZT53" s="312"/>
      <c r="IZU53" s="312"/>
      <c r="IZV53" s="312"/>
      <c r="IZW53" s="312"/>
      <c r="IZX53" s="312"/>
      <c r="IZY53" s="312"/>
      <c r="IZZ53" s="312"/>
      <c r="JAA53" s="312"/>
      <c r="JAB53" s="312"/>
      <c r="JAC53" s="312"/>
      <c r="JAD53" s="312"/>
      <c r="JAE53" s="312"/>
      <c r="JAF53" s="312"/>
      <c r="JAG53" s="312"/>
      <c r="JAH53" s="312"/>
      <c r="JAI53" s="312"/>
      <c r="JAJ53" s="312"/>
      <c r="JAK53" s="312"/>
      <c r="JAL53" s="312"/>
      <c r="JAM53" s="312"/>
      <c r="JAN53" s="312"/>
      <c r="JAO53" s="312"/>
      <c r="JAP53" s="312"/>
      <c r="JAQ53" s="312"/>
      <c r="JAR53" s="312"/>
      <c r="JAS53" s="312"/>
      <c r="JAT53" s="312"/>
      <c r="JAU53" s="312"/>
      <c r="JAV53" s="312"/>
      <c r="JAW53" s="312"/>
      <c r="JAX53" s="312"/>
      <c r="JAY53" s="312"/>
      <c r="JAZ53" s="312"/>
      <c r="JBA53" s="312"/>
      <c r="JBB53" s="312"/>
      <c r="JBC53" s="312"/>
      <c r="JBD53" s="312"/>
      <c r="JBE53" s="312"/>
      <c r="JBF53" s="312"/>
      <c r="JBG53" s="312"/>
      <c r="JBH53" s="312"/>
      <c r="JBI53" s="312"/>
      <c r="JBJ53" s="312"/>
      <c r="JBK53" s="312"/>
      <c r="JBL53" s="312"/>
      <c r="JBM53" s="312"/>
      <c r="JBN53" s="312"/>
      <c r="JBO53" s="312"/>
      <c r="JBP53" s="312"/>
      <c r="JBQ53" s="312"/>
      <c r="JBR53" s="312"/>
      <c r="JBS53" s="312"/>
      <c r="JBT53" s="312"/>
      <c r="JBU53" s="312"/>
      <c r="JBV53" s="312"/>
      <c r="JBW53" s="312"/>
      <c r="JBX53" s="312"/>
      <c r="JBY53" s="312"/>
      <c r="JBZ53" s="312"/>
      <c r="JCA53" s="312"/>
      <c r="JCB53" s="312"/>
      <c r="JCC53" s="312"/>
      <c r="JCD53" s="312"/>
      <c r="JCE53" s="312"/>
      <c r="JCF53" s="312"/>
      <c r="JCG53" s="312"/>
      <c r="JCH53" s="312"/>
      <c r="JCI53" s="312"/>
      <c r="JCJ53" s="312"/>
      <c r="JCK53" s="312"/>
      <c r="JCL53" s="312"/>
      <c r="JCM53" s="312"/>
      <c r="JCN53" s="312"/>
      <c r="JCO53" s="312"/>
      <c r="JCP53" s="312"/>
      <c r="JCQ53" s="312"/>
      <c r="JCR53" s="312"/>
      <c r="JCS53" s="312"/>
      <c r="JCT53" s="312"/>
      <c r="JCU53" s="312"/>
      <c r="JCV53" s="312"/>
      <c r="JCW53" s="312"/>
      <c r="JCX53" s="312"/>
      <c r="JCY53" s="312"/>
      <c r="JCZ53" s="312"/>
      <c r="JDA53" s="312"/>
      <c r="JDB53" s="312"/>
      <c r="JDC53" s="312"/>
      <c r="JDD53" s="312"/>
      <c r="JDE53" s="312"/>
      <c r="JDF53" s="312"/>
      <c r="JDG53" s="312"/>
      <c r="JDH53" s="312"/>
      <c r="JDI53" s="312"/>
      <c r="JDJ53" s="312"/>
      <c r="JDK53" s="312"/>
      <c r="JDL53" s="312"/>
      <c r="JDM53" s="312"/>
      <c r="JDN53" s="312"/>
      <c r="JDO53" s="312"/>
      <c r="JDP53" s="312"/>
      <c r="JDQ53" s="312"/>
      <c r="JDR53" s="312"/>
      <c r="JDS53" s="312"/>
      <c r="JDT53" s="312"/>
      <c r="JDU53" s="312"/>
      <c r="JDV53" s="312"/>
      <c r="JDW53" s="312"/>
      <c r="JDX53" s="312"/>
      <c r="JDY53" s="312"/>
      <c r="JDZ53" s="312"/>
      <c r="JEA53" s="312"/>
      <c r="JEB53" s="312"/>
      <c r="JEC53" s="312"/>
      <c r="JED53" s="312"/>
      <c r="JEE53" s="312"/>
      <c r="JEF53" s="312"/>
      <c r="JEG53" s="312"/>
      <c r="JEH53" s="312"/>
      <c r="JEI53" s="312"/>
      <c r="JEJ53" s="312"/>
      <c r="JEK53" s="312"/>
      <c r="JEL53" s="312"/>
      <c r="JEM53" s="312"/>
      <c r="JEN53" s="312"/>
      <c r="JEO53" s="312"/>
      <c r="JEP53" s="312"/>
      <c r="JEQ53" s="312"/>
      <c r="JER53" s="312"/>
      <c r="JES53" s="312"/>
      <c r="JET53" s="312"/>
      <c r="JEU53" s="312"/>
      <c r="JEV53" s="312"/>
      <c r="JEW53" s="312"/>
      <c r="JEX53" s="312"/>
      <c r="JEY53" s="312"/>
      <c r="JEZ53" s="312"/>
      <c r="JFA53" s="312"/>
      <c r="JFB53" s="312"/>
      <c r="JFC53" s="312"/>
      <c r="JFD53" s="312"/>
      <c r="JFE53" s="312"/>
      <c r="JFF53" s="312"/>
      <c r="JFG53" s="312"/>
      <c r="JFH53" s="312"/>
      <c r="JFI53" s="312"/>
      <c r="JFJ53" s="312"/>
      <c r="JFK53" s="312"/>
      <c r="JFL53" s="312"/>
      <c r="JFM53" s="312"/>
      <c r="JFN53" s="312"/>
      <c r="JFO53" s="312"/>
      <c r="JFP53" s="312"/>
      <c r="JFQ53" s="312"/>
      <c r="JFR53" s="312"/>
      <c r="JFS53" s="312"/>
      <c r="JFT53" s="312"/>
      <c r="JFU53" s="312"/>
      <c r="JFV53" s="312"/>
      <c r="JFW53" s="312"/>
      <c r="JFX53" s="312"/>
      <c r="JFY53" s="312"/>
      <c r="JFZ53" s="312"/>
      <c r="JGA53" s="312"/>
      <c r="JGB53" s="312"/>
      <c r="JGC53" s="312"/>
      <c r="JGD53" s="312"/>
      <c r="JGE53" s="312"/>
      <c r="JGF53" s="312"/>
      <c r="JGG53" s="312"/>
      <c r="JGH53" s="312"/>
      <c r="JGI53" s="312"/>
      <c r="JGJ53" s="312"/>
      <c r="JGK53" s="312"/>
      <c r="JGL53" s="312"/>
      <c r="JGM53" s="312"/>
      <c r="JGN53" s="312"/>
      <c r="JGO53" s="312"/>
      <c r="JGP53" s="312"/>
      <c r="JGQ53" s="312"/>
      <c r="JGR53" s="312"/>
      <c r="JGS53" s="312"/>
      <c r="JGT53" s="312"/>
      <c r="JGU53" s="312"/>
      <c r="JGV53" s="312"/>
      <c r="JGW53" s="312"/>
      <c r="JGX53" s="312"/>
      <c r="JGY53" s="312"/>
      <c r="JGZ53" s="312"/>
      <c r="JHA53" s="312"/>
      <c r="JHB53" s="312"/>
      <c r="JHC53" s="312"/>
      <c r="JHD53" s="312"/>
      <c r="JHE53" s="312"/>
      <c r="JHF53" s="312"/>
      <c r="JHG53" s="312"/>
      <c r="JHH53" s="312"/>
      <c r="JHI53" s="312"/>
      <c r="JHJ53" s="312"/>
      <c r="JHK53" s="312"/>
      <c r="JHL53" s="312"/>
      <c r="JHM53" s="312"/>
      <c r="JHN53" s="312"/>
      <c r="JHO53" s="312"/>
      <c r="JHP53" s="312"/>
      <c r="JHQ53" s="312"/>
      <c r="JHR53" s="312"/>
      <c r="JHS53" s="312"/>
      <c r="JHT53" s="312"/>
      <c r="JHU53" s="312"/>
      <c r="JHV53" s="312"/>
      <c r="JHW53" s="312"/>
      <c r="JHX53" s="312"/>
      <c r="JHY53" s="312"/>
      <c r="JHZ53" s="312"/>
      <c r="JIA53" s="312"/>
      <c r="JIB53" s="312"/>
      <c r="JIC53" s="312"/>
      <c r="JID53" s="312"/>
      <c r="JIE53" s="312"/>
      <c r="JIF53" s="312"/>
      <c r="JIG53" s="312"/>
      <c r="JIH53" s="312"/>
      <c r="JII53" s="312"/>
      <c r="JIJ53" s="312"/>
      <c r="JIK53" s="312"/>
      <c r="JIL53" s="312"/>
      <c r="JIM53" s="312"/>
      <c r="JIN53" s="312"/>
      <c r="JIO53" s="312"/>
      <c r="JIP53" s="312"/>
      <c r="JIQ53" s="312"/>
      <c r="JIR53" s="312"/>
      <c r="JIS53" s="312"/>
      <c r="JIT53" s="312"/>
      <c r="JIU53" s="312"/>
      <c r="JIV53" s="312"/>
      <c r="JIW53" s="312"/>
      <c r="JIX53" s="312"/>
      <c r="JIY53" s="312"/>
      <c r="JIZ53" s="312"/>
      <c r="JJA53" s="312"/>
      <c r="JJB53" s="312"/>
      <c r="JJC53" s="312"/>
      <c r="JJD53" s="312"/>
      <c r="JJE53" s="312"/>
      <c r="JJF53" s="312"/>
      <c r="JJG53" s="312"/>
      <c r="JJH53" s="312"/>
      <c r="JJI53" s="312"/>
      <c r="JJJ53" s="312"/>
      <c r="JJK53" s="312"/>
      <c r="JJL53" s="312"/>
      <c r="JJM53" s="312"/>
      <c r="JJN53" s="312"/>
      <c r="JJO53" s="312"/>
      <c r="JJP53" s="312"/>
      <c r="JJQ53" s="312"/>
      <c r="JJR53" s="312"/>
      <c r="JJS53" s="312"/>
      <c r="JJT53" s="312"/>
      <c r="JJU53" s="312"/>
      <c r="JJV53" s="312"/>
      <c r="JJW53" s="312"/>
      <c r="JJX53" s="312"/>
      <c r="JJY53" s="312"/>
      <c r="JJZ53" s="312"/>
      <c r="JKA53" s="312"/>
      <c r="JKB53" s="312"/>
      <c r="JKC53" s="312"/>
      <c r="JKD53" s="312"/>
      <c r="JKE53" s="312"/>
      <c r="JKF53" s="312"/>
      <c r="JKG53" s="312"/>
      <c r="JKH53" s="312"/>
      <c r="JKI53" s="312"/>
      <c r="JKJ53" s="312"/>
      <c r="JKK53" s="312"/>
      <c r="JKL53" s="312"/>
      <c r="JKM53" s="312"/>
      <c r="JKN53" s="312"/>
      <c r="JKO53" s="312"/>
      <c r="JKP53" s="312"/>
      <c r="JKQ53" s="312"/>
      <c r="JKR53" s="312"/>
      <c r="JKS53" s="312"/>
      <c r="JKT53" s="312"/>
      <c r="JKU53" s="312"/>
      <c r="JKV53" s="312"/>
      <c r="JKW53" s="312"/>
      <c r="JKX53" s="312"/>
      <c r="JKY53" s="312"/>
      <c r="JKZ53" s="312"/>
      <c r="JLA53" s="312"/>
      <c r="JLB53" s="312"/>
      <c r="JLC53" s="312"/>
      <c r="JLD53" s="312"/>
      <c r="JLE53" s="312"/>
      <c r="JLF53" s="312"/>
      <c r="JLG53" s="312"/>
      <c r="JLH53" s="312"/>
      <c r="JLI53" s="312"/>
      <c r="JLJ53" s="312"/>
      <c r="JLK53" s="312"/>
      <c r="JLL53" s="312"/>
      <c r="JLM53" s="312"/>
      <c r="JLN53" s="312"/>
      <c r="JLO53" s="312"/>
      <c r="JLP53" s="312"/>
      <c r="JLQ53" s="312"/>
      <c r="JLR53" s="312"/>
      <c r="JLS53" s="312"/>
      <c r="JLT53" s="312"/>
      <c r="JLU53" s="312"/>
      <c r="JLV53" s="312"/>
      <c r="JLW53" s="312"/>
      <c r="JLX53" s="312"/>
      <c r="JLY53" s="312"/>
      <c r="JLZ53" s="312"/>
      <c r="JMA53" s="312"/>
      <c r="JMB53" s="312"/>
      <c r="JMC53" s="312"/>
      <c r="JMD53" s="312"/>
      <c r="JME53" s="312"/>
      <c r="JMF53" s="312"/>
      <c r="JMG53" s="312"/>
      <c r="JMH53" s="312"/>
      <c r="JMI53" s="312"/>
      <c r="JMJ53" s="312"/>
      <c r="JMK53" s="312"/>
      <c r="JML53" s="312"/>
      <c r="JMM53" s="312"/>
      <c r="JMN53" s="312"/>
      <c r="JMO53" s="312"/>
      <c r="JMP53" s="312"/>
      <c r="JMQ53" s="312"/>
      <c r="JMR53" s="312"/>
      <c r="JMS53" s="312"/>
      <c r="JMT53" s="312"/>
      <c r="JMU53" s="312"/>
      <c r="JMV53" s="312"/>
      <c r="JMW53" s="312"/>
      <c r="JMX53" s="312"/>
      <c r="JMY53" s="312"/>
      <c r="JMZ53" s="312"/>
      <c r="JNA53" s="312"/>
      <c r="JNB53" s="312"/>
      <c r="JNC53" s="312"/>
      <c r="JND53" s="312"/>
      <c r="JNE53" s="312"/>
      <c r="JNF53" s="312"/>
      <c r="JNG53" s="312"/>
      <c r="JNH53" s="312"/>
      <c r="JNI53" s="312"/>
      <c r="JNJ53" s="312"/>
      <c r="JNK53" s="312"/>
      <c r="JNL53" s="312"/>
      <c r="JNM53" s="312"/>
      <c r="JNN53" s="312"/>
      <c r="JNO53" s="312"/>
      <c r="JNP53" s="312"/>
      <c r="JNQ53" s="312"/>
      <c r="JNR53" s="312"/>
      <c r="JNS53" s="312"/>
      <c r="JNT53" s="312"/>
      <c r="JNU53" s="312"/>
      <c r="JNV53" s="312"/>
      <c r="JNW53" s="312"/>
      <c r="JNX53" s="312"/>
      <c r="JNY53" s="312"/>
      <c r="JNZ53" s="312"/>
      <c r="JOA53" s="312"/>
      <c r="JOB53" s="312"/>
      <c r="JOC53" s="312"/>
      <c r="JOD53" s="312"/>
      <c r="JOE53" s="312"/>
      <c r="JOF53" s="312"/>
      <c r="JOG53" s="312"/>
      <c r="JOH53" s="312"/>
      <c r="JOI53" s="312"/>
      <c r="JOJ53" s="312"/>
      <c r="JOK53" s="312"/>
      <c r="JOL53" s="312"/>
      <c r="JOM53" s="312"/>
      <c r="JON53" s="312"/>
      <c r="JOO53" s="312"/>
      <c r="JOP53" s="312"/>
      <c r="JOQ53" s="312"/>
      <c r="JOR53" s="312"/>
      <c r="JOS53" s="312"/>
      <c r="JOT53" s="312"/>
      <c r="JOU53" s="312"/>
      <c r="JOV53" s="312"/>
      <c r="JOW53" s="312"/>
      <c r="JOX53" s="312"/>
      <c r="JOY53" s="312"/>
      <c r="JOZ53" s="312"/>
      <c r="JPA53" s="312"/>
      <c r="JPB53" s="312"/>
      <c r="JPC53" s="312"/>
      <c r="JPD53" s="312"/>
      <c r="JPE53" s="312"/>
      <c r="JPF53" s="312"/>
      <c r="JPG53" s="312"/>
      <c r="JPH53" s="312"/>
      <c r="JPI53" s="312"/>
      <c r="JPJ53" s="312"/>
      <c r="JPK53" s="312"/>
      <c r="JPL53" s="312"/>
      <c r="JPM53" s="312"/>
      <c r="JPN53" s="312"/>
      <c r="JPO53" s="312"/>
      <c r="JPP53" s="312"/>
      <c r="JPQ53" s="312"/>
      <c r="JPR53" s="312"/>
      <c r="JPS53" s="312"/>
      <c r="JPT53" s="312"/>
      <c r="JPU53" s="312"/>
      <c r="JPV53" s="312"/>
      <c r="JPW53" s="312"/>
      <c r="JPX53" s="312"/>
      <c r="JPY53" s="312"/>
      <c r="JPZ53" s="312"/>
      <c r="JQA53" s="312"/>
      <c r="JQB53" s="312"/>
      <c r="JQC53" s="312"/>
      <c r="JQD53" s="312"/>
      <c r="JQE53" s="312"/>
      <c r="JQF53" s="312"/>
      <c r="JQG53" s="312"/>
      <c r="JQH53" s="312"/>
      <c r="JQI53" s="312"/>
      <c r="JQJ53" s="312"/>
      <c r="JQK53" s="312"/>
      <c r="JQL53" s="312"/>
      <c r="JQM53" s="312"/>
      <c r="JQN53" s="312"/>
      <c r="JQO53" s="312"/>
      <c r="JQP53" s="312"/>
      <c r="JQQ53" s="312"/>
      <c r="JQR53" s="312"/>
      <c r="JQS53" s="312"/>
      <c r="JQT53" s="312"/>
      <c r="JQU53" s="312"/>
      <c r="JQV53" s="312"/>
      <c r="JQW53" s="312"/>
      <c r="JQX53" s="312"/>
      <c r="JQY53" s="312"/>
      <c r="JQZ53" s="312"/>
      <c r="JRA53" s="312"/>
      <c r="JRB53" s="312"/>
      <c r="JRC53" s="312"/>
      <c r="JRD53" s="312"/>
      <c r="JRE53" s="312"/>
      <c r="JRF53" s="312"/>
      <c r="JRG53" s="312"/>
      <c r="JRH53" s="312"/>
      <c r="JRI53" s="312"/>
      <c r="JRJ53" s="312"/>
      <c r="JRK53" s="312"/>
      <c r="JRL53" s="312"/>
      <c r="JRM53" s="312"/>
      <c r="JRN53" s="312"/>
      <c r="JRO53" s="312"/>
      <c r="JRP53" s="312"/>
      <c r="JRQ53" s="312"/>
      <c r="JRR53" s="312"/>
      <c r="JRS53" s="312"/>
      <c r="JRT53" s="312"/>
      <c r="JRU53" s="312"/>
      <c r="JRV53" s="312"/>
      <c r="JRW53" s="312"/>
      <c r="JRX53" s="312"/>
      <c r="JRY53" s="312"/>
      <c r="JRZ53" s="312"/>
      <c r="JSA53" s="312"/>
      <c r="JSB53" s="312"/>
      <c r="JSC53" s="312"/>
      <c r="JSD53" s="312"/>
      <c r="JSE53" s="312"/>
      <c r="JSF53" s="312"/>
      <c r="JSG53" s="312"/>
      <c r="JSH53" s="312"/>
      <c r="JSI53" s="312"/>
      <c r="JSJ53" s="312"/>
      <c r="JSK53" s="312"/>
      <c r="JSL53" s="312"/>
      <c r="JSM53" s="312"/>
      <c r="JSN53" s="312"/>
      <c r="JSO53" s="312"/>
      <c r="JSP53" s="312"/>
      <c r="JSQ53" s="312"/>
      <c r="JSR53" s="312"/>
      <c r="JSS53" s="312"/>
      <c r="JST53" s="312"/>
      <c r="JSU53" s="312"/>
      <c r="JSV53" s="312"/>
      <c r="JSW53" s="312"/>
      <c r="JSX53" s="312"/>
      <c r="JSY53" s="312"/>
      <c r="JSZ53" s="312"/>
      <c r="JTA53" s="312"/>
      <c r="JTB53" s="312"/>
      <c r="JTC53" s="312"/>
      <c r="JTD53" s="312"/>
      <c r="JTE53" s="312"/>
      <c r="JTF53" s="312"/>
      <c r="JTG53" s="312"/>
      <c r="JTH53" s="312"/>
      <c r="JTI53" s="312"/>
      <c r="JTJ53" s="312"/>
      <c r="JTK53" s="312"/>
      <c r="JTL53" s="312"/>
      <c r="JTM53" s="312"/>
      <c r="JTN53" s="312"/>
      <c r="JTO53" s="312"/>
      <c r="JTP53" s="312"/>
      <c r="JTQ53" s="312"/>
      <c r="JTR53" s="312"/>
      <c r="JTS53" s="312"/>
      <c r="JTT53" s="312"/>
      <c r="JTU53" s="312"/>
      <c r="JTV53" s="312"/>
      <c r="JTW53" s="312"/>
      <c r="JTX53" s="312"/>
      <c r="JTY53" s="312"/>
      <c r="JTZ53" s="312"/>
      <c r="JUA53" s="312"/>
      <c r="JUB53" s="312"/>
      <c r="JUC53" s="312"/>
      <c r="JUD53" s="312"/>
      <c r="JUE53" s="312"/>
      <c r="JUF53" s="312"/>
      <c r="JUG53" s="312"/>
      <c r="JUH53" s="312"/>
      <c r="JUI53" s="312"/>
      <c r="JUJ53" s="312"/>
      <c r="JUK53" s="312"/>
      <c r="JUL53" s="312"/>
      <c r="JUM53" s="312"/>
      <c r="JUN53" s="312"/>
      <c r="JUO53" s="312"/>
      <c r="JUP53" s="312"/>
      <c r="JUQ53" s="312"/>
      <c r="JUR53" s="312"/>
      <c r="JUS53" s="312"/>
      <c r="JUT53" s="312"/>
      <c r="JUU53" s="312"/>
      <c r="JUV53" s="312"/>
      <c r="JUW53" s="312"/>
      <c r="JUX53" s="312"/>
      <c r="JUY53" s="312"/>
      <c r="JUZ53" s="312"/>
      <c r="JVA53" s="312"/>
      <c r="JVB53" s="312"/>
      <c r="JVC53" s="312"/>
      <c r="JVD53" s="312"/>
      <c r="JVE53" s="312"/>
      <c r="JVF53" s="312"/>
      <c r="JVG53" s="312"/>
      <c r="JVH53" s="312"/>
      <c r="JVI53" s="312"/>
      <c r="JVJ53" s="312"/>
      <c r="JVK53" s="312"/>
      <c r="JVL53" s="312"/>
      <c r="JVM53" s="312"/>
      <c r="JVN53" s="312"/>
      <c r="JVO53" s="312"/>
      <c r="JVP53" s="312"/>
      <c r="JVQ53" s="312"/>
      <c r="JVR53" s="312"/>
      <c r="JVS53" s="312"/>
      <c r="JVT53" s="312"/>
      <c r="JVU53" s="312"/>
      <c r="JVV53" s="312"/>
      <c r="JVW53" s="312"/>
      <c r="JVX53" s="312"/>
      <c r="JVY53" s="312"/>
      <c r="JVZ53" s="312"/>
      <c r="JWA53" s="312"/>
      <c r="JWB53" s="312"/>
      <c r="JWC53" s="312"/>
      <c r="JWD53" s="312"/>
      <c r="JWE53" s="312"/>
      <c r="JWF53" s="312"/>
      <c r="JWG53" s="312"/>
      <c r="JWH53" s="312"/>
      <c r="JWI53" s="312"/>
      <c r="JWJ53" s="312"/>
      <c r="JWK53" s="312"/>
      <c r="JWL53" s="312"/>
      <c r="JWM53" s="312"/>
      <c r="JWN53" s="312"/>
      <c r="JWO53" s="312"/>
      <c r="JWP53" s="312"/>
      <c r="JWQ53" s="312"/>
      <c r="JWR53" s="312"/>
      <c r="JWS53" s="312"/>
      <c r="JWT53" s="312"/>
      <c r="JWU53" s="312"/>
      <c r="JWV53" s="312"/>
      <c r="JWW53" s="312"/>
      <c r="JWX53" s="312"/>
      <c r="JWY53" s="312"/>
      <c r="JWZ53" s="312"/>
      <c r="JXA53" s="312"/>
      <c r="JXB53" s="312"/>
      <c r="JXC53" s="312"/>
      <c r="JXD53" s="312"/>
      <c r="JXE53" s="312"/>
      <c r="JXF53" s="312"/>
      <c r="JXG53" s="312"/>
      <c r="JXH53" s="312"/>
      <c r="JXI53" s="312"/>
      <c r="JXJ53" s="312"/>
      <c r="JXK53" s="312"/>
      <c r="JXL53" s="312"/>
      <c r="JXM53" s="312"/>
      <c r="JXN53" s="312"/>
      <c r="JXO53" s="312"/>
      <c r="JXP53" s="312"/>
      <c r="JXQ53" s="312"/>
      <c r="JXR53" s="312"/>
      <c r="JXS53" s="312"/>
      <c r="JXT53" s="312"/>
      <c r="JXU53" s="312"/>
      <c r="JXV53" s="312"/>
      <c r="JXW53" s="312"/>
      <c r="JXX53" s="312"/>
      <c r="JXY53" s="312"/>
      <c r="JXZ53" s="312"/>
      <c r="JYA53" s="312"/>
      <c r="JYB53" s="312"/>
      <c r="JYC53" s="312"/>
      <c r="JYD53" s="312"/>
      <c r="JYE53" s="312"/>
      <c r="JYF53" s="312"/>
      <c r="JYG53" s="312"/>
      <c r="JYH53" s="312"/>
      <c r="JYI53" s="312"/>
      <c r="JYJ53" s="312"/>
      <c r="JYK53" s="312"/>
      <c r="JYL53" s="312"/>
      <c r="JYM53" s="312"/>
      <c r="JYN53" s="312"/>
      <c r="JYO53" s="312"/>
      <c r="JYP53" s="312"/>
      <c r="JYQ53" s="312"/>
      <c r="JYR53" s="312"/>
      <c r="JYS53" s="312"/>
      <c r="JYT53" s="312"/>
      <c r="JYU53" s="312"/>
      <c r="JYV53" s="312"/>
      <c r="JYW53" s="312"/>
      <c r="JYX53" s="312"/>
      <c r="JYY53" s="312"/>
      <c r="JYZ53" s="312"/>
      <c r="JZA53" s="312"/>
      <c r="JZB53" s="312"/>
      <c r="JZC53" s="312"/>
      <c r="JZD53" s="312"/>
      <c r="JZE53" s="312"/>
      <c r="JZF53" s="312"/>
      <c r="JZG53" s="312"/>
      <c r="JZH53" s="312"/>
      <c r="JZI53" s="312"/>
      <c r="JZJ53" s="312"/>
      <c r="JZK53" s="312"/>
      <c r="JZL53" s="312"/>
      <c r="JZM53" s="312"/>
      <c r="JZN53" s="312"/>
      <c r="JZO53" s="312"/>
      <c r="JZP53" s="312"/>
      <c r="JZQ53" s="312"/>
      <c r="JZR53" s="312"/>
      <c r="JZS53" s="312"/>
      <c r="JZT53" s="312"/>
      <c r="JZU53" s="312"/>
      <c r="JZV53" s="312"/>
      <c r="JZW53" s="312"/>
      <c r="JZX53" s="312"/>
      <c r="JZY53" s="312"/>
      <c r="JZZ53" s="312"/>
      <c r="KAA53" s="312"/>
      <c r="KAB53" s="312"/>
      <c r="KAC53" s="312"/>
      <c r="KAD53" s="312"/>
      <c r="KAE53" s="312"/>
      <c r="KAF53" s="312"/>
      <c r="KAG53" s="312"/>
      <c r="KAH53" s="312"/>
      <c r="KAI53" s="312"/>
      <c r="KAJ53" s="312"/>
      <c r="KAK53" s="312"/>
      <c r="KAL53" s="312"/>
      <c r="KAM53" s="312"/>
      <c r="KAN53" s="312"/>
      <c r="KAO53" s="312"/>
      <c r="KAP53" s="312"/>
      <c r="KAQ53" s="312"/>
      <c r="KAR53" s="312"/>
      <c r="KAS53" s="312"/>
      <c r="KAT53" s="312"/>
      <c r="KAU53" s="312"/>
      <c r="KAV53" s="312"/>
      <c r="KAW53" s="312"/>
      <c r="KAX53" s="312"/>
      <c r="KAY53" s="312"/>
      <c r="KAZ53" s="312"/>
      <c r="KBA53" s="312"/>
      <c r="KBB53" s="312"/>
      <c r="KBC53" s="312"/>
      <c r="KBD53" s="312"/>
      <c r="KBE53" s="312"/>
      <c r="KBF53" s="312"/>
      <c r="KBG53" s="312"/>
      <c r="KBH53" s="312"/>
      <c r="KBI53" s="312"/>
      <c r="KBJ53" s="312"/>
      <c r="KBK53" s="312"/>
      <c r="KBL53" s="312"/>
      <c r="KBM53" s="312"/>
      <c r="KBN53" s="312"/>
      <c r="KBO53" s="312"/>
      <c r="KBP53" s="312"/>
      <c r="KBQ53" s="312"/>
      <c r="KBR53" s="312"/>
      <c r="KBS53" s="312"/>
      <c r="KBT53" s="312"/>
      <c r="KBU53" s="312"/>
      <c r="KBV53" s="312"/>
      <c r="KBW53" s="312"/>
      <c r="KBX53" s="312"/>
      <c r="KBY53" s="312"/>
      <c r="KBZ53" s="312"/>
      <c r="KCA53" s="312"/>
      <c r="KCB53" s="312"/>
      <c r="KCC53" s="312"/>
      <c r="KCD53" s="312"/>
      <c r="KCE53" s="312"/>
      <c r="KCF53" s="312"/>
      <c r="KCG53" s="312"/>
      <c r="KCH53" s="312"/>
      <c r="KCI53" s="312"/>
      <c r="KCJ53" s="312"/>
      <c r="KCK53" s="312"/>
      <c r="KCL53" s="312"/>
      <c r="KCM53" s="312"/>
      <c r="KCN53" s="312"/>
      <c r="KCO53" s="312"/>
      <c r="KCP53" s="312"/>
      <c r="KCQ53" s="312"/>
      <c r="KCR53" s="312"/>
      <c r="KCS53" s="312"/>
      <c r="KCT53" s="312"/>
      <c r="KCU53" s="312"/>
      <c r="KCV53" s="312"/>
      <c r="KCW53" s="312"/>
      <c r="KCX53" s="312"/>
      <c r="KCY53" s="312"/>
      <c r="KCZ53" s="312"/>
      <c r="KDA53" s="312"/>
      <c r="KDB53" s="312"/>
      <c r="KDC53" s="312"/>
      <c r="KDD53" s="312"/>
      <c r="KDE53" s="312"/>
      <c r="KDF53" s="312"/>
      <c r="KDG53" s="312"/>
      <c r="KDH53" s="312"/>
      <c r="KDI53" s="312"/>
      <c r="KDJ53" s="312"/>
      <c r="KDK53" s="312"/>
      <c r="KDL53" s="312"/>
      <c r="KDM53" s="312"/>
      <c r="KDN53" s="312"/>
      <c r="KDO53" s="312"/>
      <c r="KDP53" s="312"/>
      <c r="KDQ53" s="312"/>
      <c r="KDR53" s="312"/>
      <c r="KDS53" s="312"/>
      <c r="KDT53" s="312"/>
      <c r="KDU53" s="312"/>
      <c r="KDV53" s="312"/>
      <c r="KDW53" s="312"/>
      <c r="KDX53" s="312"/>
      <c r="KDY53" s="312"/>
      <c r="KDZ53" s="312"/>
      <c r="KEA53" s="312"/>
      <c r="KEB53" s="312"/>
      <c r="KEC53" s="312"/>
      <c r="KED53" s="312"/>
      <c r="KEE53" s="312"/>
      <c r="KEF53" s="312"/>
      <c r="KEG53" s="312"/>
      <c r="KEH53" s="312"/>
      <c r="KEI53" s="312"/>
      <c r="KEJ53" s="312"/>
      <c r="KEK53" s="312"/>
      <c r="KEL53" s="312"/>
      <c r="KEM53" s="312"/>
      <c r="KEN53" s="312"/>
      <c r="KEO53" s="312"/>
      <c r="KEP53" s="312"/>
      <c r="KEQ53" s="312"/>
      <c r="KER53" s="312"/>
      <c r="KES53" s="312"/>
      <c r="KET53" s="312"/>
      <c r="KEU53" s="312"/>
      <c r="KEV53" s="312"/>
      <c r="KEW53" s="312"/>
      <c r="KEX53" s="312"/>
      <c r="KEY53" s="312"/>
      <c r="KEZ53" s="312"/>
      <c r="KFA53" s="312"/>
      <c r="KFB53" s="312"/>
      <c r="KFC53" s="312"/>
      <c r="KFD53" s="312"/>
      <c r="KFE53" s="312"/>
      <c r="KFF53" s="312"/>
      <c r="KFG53" s="312"/>
      <c r="KFH53" s="312"/>
      <c r="KFI53" s="312"/>
      <c r="KFJ53" s="312"/>
      <c r="KFK53" s="312"/>
      <c r="KFL53" s="312"/>
      <c r="KFM53" s="312"/>
      <c r="KFN53" s="312"/>
      <c r="KFO53" s="312"/>
      <c r="KFP53" s="312"/>
      <c r="KFQ53" s="312"/>
      <c r="KFR53" s="312"/>
      <c r="KFS53" s="312"/>
      <c r="KFT53" s="312"/>
      <c r="KFU53" s="312"/>
      <c r="KFV53" s="312"/>
      <c r="KFW53" s="312"/>
      <c r="KFX53" s="312"/>
      <c r="KFY53" s="312"/>
      <c r="KFZ53" s="312"/>
      <c r="KGA53" s="312"/>
      <c r="KGB53" s="312"/>
      <c r="KGC53" s="312"/>
      <c r="KGD53" s="312"/>
      <c r="KGE53" s="312"/>
      <c r="KGF53" s="312"/>
      <c r="KGG53" s="312"/>
      <c r="KGH53" s="312"/>
      <c r="KGI53" s="312"/>
      <c r="KGJ53" s="312"/>
      <c r="KGK53" s="312"/>
      <c r="KGL53" s="312"/>
      <c r="KGM53" s="312"/>
      <c r="KGN53" s="312"/>
      <c r="KGO53" s="312"/>
      <c r="KGP53" s="312"/>
      <c r="KGQ53" s="312"/>
      <c r="KGR53" s="312"/>
      <c r="KGS53" s="312"/>
      <c r="KGT53" s="312"/>
      <c r="KGU53" s="312"/>
      <c r="KGV53" s="312"/>
      <c r="KGW53" s="312"/>
      <c r="KGX53" s="312"/>
      <c r="KGY53" s="312"/>
      <c r="KGZ53" s="312"/>
      <c r="KHA53" s="312"/>
      <c r="KHB53" s="312"/>
      <c r="KHC53" s="312"/>
      <c r="KHD53" s="312"/>
      <c r="KHE53" s="312"/>
      <c r="KHF53" s="312"/>
      <c r="KHG53" s="312"/>
      <c r="KHH53" s="312"/>
      <c r="KHI53" s="312"/>
      <c r="KHJ53" s="312"/>
      <c r="KHK53" s="312"/>
      <c r="KHL53" s="312"/>
      <c r="KHM53" s="312"/>
      <c r="KHN53" s="312"/>
      <c r="KHO53" s="312"/>
      <c r="KHP53" s="312"/>
      <c r="KHQ53" s="312"/>
      <c r="KHR53" s="312"/>
      <c r="KHS53" s="312"/>
      <c r="KHT53" s="312"/>
      <c r="KHU53" s="312"/>
      <c r="KHV53" s="312"/>
      <c r="KHW53" s="312"/>
      <c r="KHX53" s="312"/>
      <c r="KHY53" s="312"/>
      <c r="KHZ53" s="312"/>
      <c r="KIA53" s="312"/>
      <c r="KIB53" s="312"/>
      <c r="KIC53" s="312"/>
      <c r="KID53" s="312"/>
      <c r="KIE53" s="312"/>
      <c r="KIF53" s="312"/>
      <c r="KIG53" s="312"/>
      <c r="KIH53" s="312"/>
      <c r="KII53" s="312"/>
      <c r="KIJ53" s="312"/>
      <c r="KIK53" s="312"/>
      <c r="KIL53" s="312"/>
      <c r="KIM53" s="312"/>
      <c r="KIN53" s="312"/>
      <c r="KIO53" s="312"/>
      <c r="KIP53" s="312"/>
      <c r="KIQ53" s="312"/>
      <c r="KIR53" s="312"/>
      <c r="KIS53" s="312"/>
      <c r="KIT53" s="312"/>
      <c r="KIU53" s="312"/>
      <c r="KIV53" s="312"/>
      <c r="KIW53" s="312"/>
      <c r="KIX53" s="312"/>
      <c r="KIY53" s="312"/>
      <c r="KIZ53" s="312"/>
      <c r="KJA53" s="312"/>
      <c r="KJB53" s="312"/>
      <c r="KJC53" s="312"/>
      <c r="KJD53" s="312"/>
      <c r="KJE53" s="312"/>
      <c r="KJF53" s="312"/>
      <c r="KJG53" s="312"/>
      <c r="KJH53" s="312"/>
      <c r="KJI53" s="312"/>
      <c r="KJJ53" s="312"/>
      <c r="KJK53" s="312"/>
      <c r="KJL53" s="312"/>
      <c r="KJM53" s="312"/>
      <c r="KJN53" s="312"/>
      <c r="KJO53" s="312"/>
      <c r="KJP53" s="312"/>
      <c r="KJQ53" s="312"/>
      <c r="KJR53" s="312"/>
      <c r="KJS53" s="312"/>
      <c r="KJT53" s="312"/>
      <c r="KJU53" s="312"/>
      <c r="KJV53" s="312"/>
      <c r="KJW53" s="312"/>
      <c r="KJX53" s="312"/>
      <c r="KJY53" s="312"/>
      <c r="KJZ53" s="312"/>
      <c r="KKA53" s="312"/>
      <c r="KKB53" s="312"/>
      <c r="KKC53" s="312"/>
      <c r="KKD53" s="312"/>
      <c r="KKE53" s="312"/>
      <c r="KKF53" s="312"/>
      <c r="KKG53" s="312"/>
      <c r="KKH53" s="312"/>
      <c r="KKI53" s="312"/>
      <c r="KKJ53" s="312"/>
      <c r="KKK53" s="312"/>
      <c r="KKL53" s="312"/>
      <c r="KKM53" s="312"/>
      <c r="KKN53" s="312"/>
      <c r="KKO53" s="312"/>
      <c r="KKP53" s="312"/>
      <c r="KKQ53" s="312"/>
      <c r="KKR53" s="312"/>
      <c r="KKS53" s="312"/>
      <c r="KKT53" s="312"/>
      <c r="KKU53" s="312"/>
      <c r="KKV53" s="312"/>
      <c r="KKW53" s="312"/>
      <c r="KKX53" s="312"/>
      <c r="KKY53" s="312"/>
      <c r="KKZ53" s="312"/>
      <c r="KLA53" s="312"/>
      <c r="KLB53" s="312"/>
      <c r="KLC53" s="312"/>
      <c r="KLD53" s="312"/>
      <c r="KLE53" s="312"/>
      <c r="KLF53" s="312"/>
      <c r="KLG53" s="312"/>
      <c r="KLH53" s="312"/>
      <c r="KLI53" s="312"/>
      <c r="KLJ53" s="312"/>
      <c r="KLK53" s="312"/>
      <c r="KLL53" s="312"/>
      <c r="KLM53" s="312"/>
      <c r="KLN53" s="312"/>
      <c r="KLO53" s="312"/>
      <c r="KLP53" s="312"/>
      <c r="KLQ53" s="312"/>
      <c r="KLR53" s="312"/>
      <c r="KLS53" s="312"/>
      <c r="KLT53" s="312"/>
      <c r="KLU53" s="312"/>
      <c r="KLV53" s="312"/>
      <c r="KLW53" s="312"/>
      <c r="KLX53" s="312"/>
      <c r="KLY53" s="312"/>
      <c r="KLZ53" s="312"/>
      <c r="KMA53" s="312"/>
      <c r="KMB53" s="312"/>
      <c r="KMC53" s="312"/>
      <c r="KMD53" s="312"/>
      <c r="KME53" s="312"/>
      <c r="KMF53" s="312"/>
      <c r="KMG53" s="312"/>
      <c r="KMH53" s="312"/>
      <c r="KMI53" s="312"/>
      <c r="KMJ53" s="312"/>
      <c r="KMK53" s="312"/>
      <c r="KML53" s="312"/>
      <c r="KMM53" s="312"/>
      <c r="KMN53" s="312"/>
      <c r="KMO53" s="312"/>
      <c r="KMP53" s="312"/>
      <c r="KMQ53" s="312"/>
      <c r="KMR53" s="312"/>
      <c r="KMS53" s="312"/>
      <c r="KMT53" s="312"/>
      <c r="KMU53" s="312"/>
      <c r="KMV53" s="312"/>
      <c r="KMW53" s="312"/>
      <c r="KMX53" s="312"/>
      <c r="KMY53" s="312"/>
      <c r="KMZ53" s="312"/>
      <c r="KNA53" s="312"/>
      <c r="KNB53" s="312"/>
      <c r="KNC53" s="312"/>
      <c r="KND53" s="312"/>
      <c r="KNE53" s="312"/>
      <c r="KNF53" s="312"/>
      <c r="KNG53" s="312"/>
      <c r="KNH53" s="312"/>
      <c r="KNI53" s="312"/>
      <c r="KNJ53" s="312"/>
      <c r="KNK53" s="312"/>
      <c r="KNL53" s="312"/>
      <c r="KNM53" s="312"/>
      <c r="KNN53" s="312"/>
      <c r="KNO53" s="312"/>
      <c r="KNP53" s="312"/>
      <c r="KNQ53" s="312"/>
      <c r="KNR53" s="312"/>
      <c r="KNS53" s="312"/>
      <c r="KNT53" s="312"/>
      <c r="KNU53" s="312"/>
      <c r="KNV53" s="312"/>
      <c r="KNW53" s="312"/>
      <c r="KNX53" s="312"/>
      <c r="KNY53" s="312"/>
      <c r="KNZ53" s="312"/>
      <c r="KOA53" s="312"/>
      <c r="KOB53" s="312"/>
      <c r="KOC53" s="312"/>
      <c r="KOD53" s="312"/>
      <c r="KOE53" s="312"/>
      <c r="KOF53" s="312"/>
      <c r="KOG53" s="312"/>
      <c r="KOH53" s="312"/>
      <c r="KOI53" s="312"/>
      <c r="KOJ53" s="312"/>
      <c r="KOK53" s="312"/>
      <c r="KOL53" s="312"/>
      <c r="KOM53" s="312"/>
      <c r="KON53" s="312"/>
      <c r="KOO53" s="312"/>
      <c r="KOP53" s="312"/>
      <c r="KOQ53" s="312"/>
      <c r="KOR53" s="312"/>
      <c r="KOS53" s="312"/>
      <c r="KOT53" s="312"/>
      <c r="KOU53" s="312"/>
      <c r="KOV53" s="312"/>
      <c r="KOW53" s="312"/>
      <c r="KOX53" s="312"/>
      <c r="KOY53" s="312"/>
      <c r="KOZ53" s="312"/>
      <c r="KPA53" s="312"/>
      <c r="KPB53" s="312"/>
      <c r="KPC53" s="312"/>
      <c r="KPD53" s="312"/>
      <c r="KPE53" s="312"/>
      <c r="KPF53" s="312"/>
      <c r="KPG53" s="312"/>
      <c r="KPH53" s="312"/>
      <c r="KPI53" s="312"/>
      <c r="KPJ53" s="312"/>
      <c r="KPK53" s="312"/>
      <c r="KPL53" s="312"/>
      <c r="KPM53" s="312"/>
      <c r="KPN53" s="312"/>
      <c r="KPO53" s="312"/>
      <c r="KPP53" s="312"/>
      <c r="KPQ53" s="312"/>
      <c r="KPR53" s="312"/>
      <c r="KPS53" s="312"/>
      <c r="KPT53" s="312"/>
      <c r="KPU53" s="312"/>
      <c r="KPV53" s="312"/>
      <c r="KPW53" s="312"/>
      <c r="KPX53" s="312"/>
      <c r="KPY53" s="312"/>
      <c r="KPZ53" s="312"/>
      <c r="KQA53" s="312"/>
      <c r="KQB53" s="312"/>
      <c r="KQC53" s="312"/>
      <c r="KQD53" s="312"/>
      <c r="KQE53" s="312"/>
      <c r="KQF53" s="312"/>
      <c r="KQG53" s="312"/>
      <c r="KQH53" s="312"/>
      <c r="KQI53" s="312"/>
      <c r="KQJ53" s="312"/>
      <c r="KQK53" s="312"/>
      <c r="KQL53" s="312"/>
      <c r="KQM53" s="312"/>
      <c r="KQN53" s="312"/>
      <c r="KQO53" s="312"/>
      <c r="KQP53" s="312"/>
      <c r="KQQ53" s="312"/>
      <c r="KQR53" s="312"/>
      <c r="KQS53" s="312"/>
      <c r="KQT53" s="312"/>
      <c r="KQU53" s="312"/>
      <c r="KQV53" s="312"/>
      <c r="KQW53" s="312"/>
      <c r="KQX53" s="312"/>
      <c r="KQY53" s="312"/>
      <c r="KQZ53" s="312"/>
      <c r="KRA53" s="312"/>
      <c r="KRB53" s="312"/>
      <c r="KRC53" s="312"/>
      <c r="KRD53" s="312"/>
      <c r="KRE53" s="312"/>
      <c r="KRF53" s="312"/>
      <c r="KRG53" s="312"/>
      <c r="KRH53" s="312"/>
      <c r="KRI53" s="312"/>
      <c r="KRJ53" s="312"/>
      <c r="KRK53" s="312"/>
      <c r="KRL53" s="312"/>
      <c r="KRM53" s="312"/>
      <c r="KRN53" s="312"/>
      <c r="KRO53" s="312"/>
      <c r="KRP53" s="312"/>
      <c r="KRQ53" s="312"/>
      <c r="KRR53" s="312"/>
      <c r="KRS53" s="312"/>
      <c r="KRT53" s="312"/>
      <c r="KRU53" s="312"/>
      <c r="KRV53" s="312"/>
      <c r="KRW53" s="312"/>
      <c r="KRX53" s="312"/>
      <c r="KRY53" s="312"/>
      <c r="KRZ53" s="312"/>
      <c r="KSA53" s="312"/>
      <c r="KSB53" s="312"/>
      <c r="KSC53" s="312"/>
      <c r="KSD53" s="312"/>
      <c r="KSE53" s="312"/>
      <c r="KSF53" s="312"/>
      <c r="KSG53" s="312"/>
      <c r="KSH53" s="312"/>
      <c r="KSI53" s="312"/>
      <c r="KSJ53" s="312"/>
      <c r="KSK53" s="312"/>
      <c r="KSL53" s="312"/>
      <c r="KSM53" s="312"/>
      <c r="KSN53" s="312"/>
      <c r="KSO53" s="312"/>
      <c r="KSP53" s="312"/>
      <c r="KSQ53" s="312"/>
      <c r="KSR53" s="312"/>
      <c r="KSS53" s="312"/>
      <c r="KST53" s="312"/>
      <c r="KSU53" s="312"/>
      <c r="KSV53" s="312"/>
      <c r="KSW53" s="312"/>
      <c r="KSX53" s="312"/>
      <c r="KSY53" s="312"/>
      <c r="KSZ53" s="312"/>
      <c r="KTA53" s="312"/>
      <c r="KTB53" s="312"/>
      <c r="KTC53" s="312"/>
      <c r="KTD53" s="312"/>
      <c r="KTE53" s="312"/>
      <c r="KTF53" s="312"/>
      <c r="KTG53" s="312"/>
      <c r="KTH53" s="312"/>
      <c r="KTI53" s="312"/>
      <c r="KTJ53" s="312"/>
      <c r="KTK53" s="312"/>
      <c r="KTL53" s="312"/>
      <c r="KTM53" s="312"/>
      <c r="KTN53" s="312"/>
      <c r="KTO53" s="312"/>
      <c r="KTP53" s="312"/>
      <c r="KTQ53" s="312"/>
      <c r="KTR53" s="312"/>
      <c r="KTS53" s="312"/>
      <c r="KTT53" s="312"/>
      <c r="KTU53" s="312"/>
      <c r="KTV53" s="312"/>
      <c r="KTW53" s="312"/>
      <c r="KTX53" s="312"/>
      <c r="KTY53" s="312"/>
      <c r="KTZ53" s="312"/>
      <c r="KUA53" s="312"/>
      <c r="KUB53" s="312"/>
      <c r="KUC53" s="312"/>
      <c r="KUD53" s="312"/>
      <c r="KUE53" s="312"/>
      <c r="KUF53" s="312"/>
      <c r="KUG53" s="312"/>
      <c r="KUH53" s="312"/>
      <c r="KUI53" s="312"/>
      <c r="KUJ53" s="312"/>
      <c r="KUK53" s="312"/>
      <c r="KUL53" s="312"/>
      <c r="KUM53" s="312"/>
      <c r="KUN53" s="312"/>
      <c r="KUO53" s="312"/>
      <c r="KUP53" s="312"/>
      <c r="KUQ53" s="312"/>
      <c r="KUR53" s="312"/>
      <c r="KUS53" s="312"/>
      <c r="KUT53" s="312"/>
      <c r="KUU53" s="312"/>
      <c r="KUV53" s="312"/>
      <c r="KUW53" s="312"/>
      <c r="KUX53" s="312"/>
      <c r="KUY53" s="312"/>
      <c r="KUZ53" s="312"/>
      <c r="KVA53" s="312"/>
      <c r="KVB53" s="312"/>
      <c r="KVC53" s="312"/>
      <c r="KVD53" s="312"/>
      <c r="KVE53" s="312"/>
      <c r="KVF53" s="312"/>
      <c r="KVG53" s="312"/>
      <c r="KVH53" s="312"/>
      <c r="KVI53" s="312"/>
      <c r="KVJ53" s="312"/>
      <c r="KVK53" s="312"/>
      <c r="KVL53" s="312"/>
      <c r="KVM53" s="312"/>
      <c r="KVN53" s="312"/>
      <c r="KVO53" s="312"/>
      <c r="KVP53" s="312"/>
      <c r="KVQ53" s="312"/>
      <c r="KVR53" s="312"/>
      <c r="KVS53" s="312"/>
      <c r="KVT53" s="312"/>
      <c r="KVU53" s="312"/>
      <c r="KVV53" s="312"/>
      <c r="KVW53" s="312"/>
      <c r="KVX53" s="312"/>
      <c r="KVY53" s="312"/>
      <c r="KVZ53" s="312"/>
      <c r="KWA53" s="312"/>
      <c r="KWB53" s="312"/>
      <c r="KWC53" s="312"/>
      <c r="KWD53" s="312"/>
      <c r="KWE53" s="312"/>
      <c r="KWF53" s="312"/>
      <c r="KWG53" s="312"/>
      <c r="KWH53" s="312"/>
      <c r="KWI53" s="312"/>
      <c r="KWJ53" s="312"/>
      <c r="KWK53" s="312"/>
      <c r="KWL53" s="312"/>
      <c r="KWM53" s="312"/>
      <c r="KWN53" s="312"/>
      <c r="KWO53" s="312"/>
      <c r="KWP53" s="312"/>
      <c r="KWQ53" s="312"/>
      <c r="KWR53" s="312"/>
      <c r="KWS53" s="312"/>
      <c r="KWT53" s="312"/>
      <c r="KWU53" s="312"/>
      <c r="KWV53" s="312"/>
      <c r="KWW53" s="312"/>
      <c r="KWX53" s="312"/>
      <c r="KWY53" s="312"/>
      <c r="KWZ53" s="312"/>
      <c r="KXA53" s="312"/>
      <c r="KXB53" s="312"/>
      <c r="KXC53" s="312"/>
      <c r="KXD53" s="312"/>
      <c r="KXE53" s="312"/>
      <c r="KXF53" s="312"/>
      <c r="KXG53" s="312"/>
      <c r="KXH53" s="312"/>
      <c r="KXI53" s="312"/>
      <c r="KXJ53" s="312"/>
      <c r="KXK53" s="312"/>
      <c r="KXL53" s="312"/>
      <c r="KXM53" s="312"/>
      <c r="KXN53" s="312"/>
      <c r="KXO53" s="312"/>
      <c r="KXP53" s="312"/>
      <c r="KXQ53" s="312"/>
      <c r="KXR53" s="312"/>
      <c r="KXS53" s="312"/>
      <c r="KXT53" s="312"/>
      <c r="KXU53" s="312"/>
      <c r="KXV53" s="312"/>
      <c r="KXW53" s="312"/>
      <c r="KXX53" s="312"/>
      <c r="KXY53" s="312"/>
      <c r="KXZ53" s="312"/>
      <c r="KYA53" s="312"/>
      <c r="KYB53" s="312"/>
      <c r="KYC53" s="312"/>
      <c r="KYD53" s="312"/>
      <c r="KYE53" s="312"/>
      <c r="KYF53" s="312"/>
      <c r="KYG53" s="312"/>
      <c r="KYH53" s="312"/>
      <c r="KYI53" s="312"/>
      <c r="KYJ53" s="312"/>
      <c r="KYK53" s="312"/>
      <c r="KYL53" s="312"/>
      <c r="KYM53" s="312"/>
      <c r="KYN53" s="312"/>
      <c r="KYO53" s="312"/>
      <c r="KYP53" s="312"/>
      <c r="KYQ53" s="312"/>
      <c r="KYR53" s="312"/>
      <c r="KYS53" s="312"/>
      <c r="KYT53" s="312"/>
      <c r="KYU53" s="312"/>
      <c r="KYV53" s="312"/>
      <c r="KYW53" s="312"/>
      <c r="KYX53" s="312"/>
      <c r="KYY53" s="312"/>
      <c r="KYZ53" s="312"/>
      <c r="KZA53" s="312"/>
      <c r="KZB53" s="312"/>
      <c r="KZC53" s="312"/>
      <c r="KZD53" s="312"/>
      <c r="KZE53" s="312"/>
      <c r="KZF53" s="312"/>
      <c r="KZG53" s="312"/>
      <c r="KZH53" s="312"/>
      <c r="KZI53" s="312"/>
      <c r="KZJ53" s="312"/>
      <c r="KZK53" s="312"/>
      <c r="KZL53" s="312"/>
      <c r="KZM53" s="312"/>
      <c r="KZN53" s="312"/>
      <c r="KZO53" s="312"/>
      <c r="KZP53" s="312"/>
      <c r="KZQ53" s="312"/>
      <c r="KZR53" s="312"/>
      <c r="KZS53" s="312"/>
      <c r="KZT53" s="312"/>
      <c r="KZU53" s="312"/>
      <c r="KZV53" s="312"/>
      <c r="KZW53" s="312"/>
      <c r="KZX53" s="312"/>
      <c r="KZY53" s="312"/>
      <c r="KZZ53" s="312"/>
      <c r="LAA53" s="312"/>
      <c r="LAB53" s="312"/>
      <c r="LAC53" s="312"/>
      <c r="LAD53" s="312"/>
      <c r="LAE53" s="312"/>
      <c r="LAF53" s="312"/>
      <c r="LAG53" s="312"/>
      <c r="LAH53" s="312"/>
      <c r="LAI53" s="312"/>
      <c r="LAJ53" s="312"/>
      <c r="LAK53" s="312"/>
      <c r="LAL53" s="312"/>
      <c r="LAM53" s="312"/>
      <c r="LAN53" s="312"/>
      <c r="LAO53" s="312"/>
      <c r="LAP53" s="312"/>
      <c r="LAQ53" s="312"/>
      <c r="LAR53" s="312"/>
      <c r="LAS53" s="312"/>
      <c r="LAT53" s="312"/>
      <c r="LAU53" s="312"/>
      <c r="LAV53" s="312"/>
      <c r="LAW53" s="312"/>
      <c r="LAX53" s="312"/>
      <c r="LAY53" s="312"/>
      <c r="LAZ53" s="312"/>
      <c r="LBA53" s="312"/>
      <c r="LBB53" s="312"/>
      <c r="LBC53" s="312"/>
      <c r="LBD53" s="312"/>
      <c r="LBE53" s="312"/>
      <c r="LBF53" s="312"/>
      <c r="LBG53" s="312"/>
      <c r="LBH53" s="312"/>
      <c r="LBI53" s="312"/>
      <c r="LBJ53" s="312"/>
      <c r="LBK53" s="312"/>
      <c r="LBL53" s="312"/>
      <c r="LBM53" s="312"/>
      <c r="LBN53" s="312"/>
      <c r="LBO53" s="312"/>
      <c r="LBP53" s="312"/>
      <c r="LBQ53" s="312"/>
      <c r="LBR53" s="312"/>
      <c r="LBS53" s="312"/>
      <c r="LBT53" s="312"/>
      <c r="LBU53" s="312"/>
      <c r="LBV53" s="312"/>
      <c r="LBW53" s="312"/>
      <c r="LBX53" s="312"/>
      <c r="LBY53" s="312"/>
      <c r="LBZ53" s="312"/>
      <c r="LCA53" s="312"/>
      <c r="LCB53" s="312"/>
      <c r="LCC53" s="312"/>
      <c r="LCD53" s="312"/>
      <c r="LCE53" s="312"/>
      <c r="LCF53" s="312"/>
      <c r="LCG53" s="312"/>
      <c r="LCH53" s="312"/>
      <c r="LCI53" s="312"/>
      <c r="LCJ53" s="312"/>
      <c r="LCK53" s="312"/>
      <c r="LCL53" s="312"/>
      <c r="LCM53" s="312"/>
      <c r="LCN53" s="312"/>
      <c r="LCO53" s="312"/>
      <c r="LCP53" s="312"/>
      <c r="LCQ53" s="312"/>
      <c r="LCR53" s="312"/>
      <c r="LCS53" s="312"/>
      <c r="LCT53" s="312"/>
      <c r="LCU53" s="312"/>
      <c r="LCV53" s="312"/>
      <c r="LCW53" s="312"/>
      <c r="LCX53" s="312"/>
      <c r="LCY53" s="312"/>
      <c r="LCZ53" s="312"/>
      <c r="LDA53" s="312"/>
      <c r="LDB53" s="312"/>
      <c r="LDC53" s="312"/>
      <c r="LDD53" s="312"/>
      <c r="LDE53" s="312"/>
      <c r="LDF53" s="312"/>
      <c r="LDG53" s="312"/>
      <c r="LDH53" s="312"/>
      <c r="LDI53" s="312"/>
      <c r="LDJ53" s="312"/>
      <c r="LDK53" s="312"/>
      <c r="LDL53" s="312"/>
      <c r="LDM53" s="312"/>
      <c r="LDN53" s="312"/>
      <c r="LDO53" s="312"/>
      <c r="LDP53" s="312"/>
      <c r="LDQ53" s="312"/>
      <c r="LDR53" s="312"/>
      <c r="LDS53" s="312"/>
      <c r="LDT53" s="312"/>
      <c r="LDU53" s="312"/>
      <c r="LDV53" s="312"/>
      <c r="LDW53" s="312"/>
      <c r="LDX53" s="312"/>
      <c r="LDY53" s="312"/>
      <c r="LDZ53" s="312"/>
      <c r="LEA53" s="312"/>
      <c r="LEB53" s="312"/>
      <c r="LEC53" s="312"/>
      <c r="LED53" s="312"/>
      <c r="LEE53" s="312"/>
      <c r="LEF53" s="312"/>
      <c r="LEG53" s="312"/>
      <c r="LEH53" s="312"/>
      <c r="LEI53" s="312"/>
      <c r="LEJ53" s="312"/>
      <c r="LEK53" s="312"/>
      <c r="LEL53" s="312"/>
      <c r="LEM53" s="312"/>
      <c r="LEN53" s="312"/>
      <c r="LEO53" s="312"/>
      <c r="LEP53" s="312"/>
      <c r="LEQ53" s="312"/>
      <c r="LER53" s="312"/>
      <c r="LES53" s="312"/>
      <c r="LET53" s="312"/>
      <c r="LEU53" s="312"/>
      <c r="LEV53" s="312"/>
      <c r="LEW53" s="312"/>
      <c r="LEX53" s="312"/>
      <c r="LEY53" s="312"/>
      <c r="LEZ53" s="312"/>
      <c r="LFA53" s="312"/>
      <c r="LFB53" s="312"/>
      <c r="LFC53" s="312"/>
      <c r="LFD53" s="312"/>
      <c r="LFE53" s="312"/>
      <c r="LFF53" s="312"/>
      <c r="LFG53" s="312"/>
      <c r="LFH53" s="312"/>
      <c r="LFI53" s="312"/>
      <c r="LFJ53" s="312"/>
      <c r="LFK53" s="312"/>
      <c r="LFL53" s="312"/>
      <c r="LFM53" s="312"/>
      <c r="LFN53" s="312"/>
      <c r="LFO53" s="312"/>
      <c r="LFP53" s="312"/>
      <c r="LFQ53" s="312"/>
      <c r="LFR53" s="312"/>
      <c r="LFS53" s="312"/>
      <c r="LFT53" s="312"/>
      <c r="LFU53" s="312"/>
      <c r="LFV53" s="312"/>
      <c r="LFW53" s="312"/>
      <c r="LFX53" s="312"/>
      <c r="LFY53" s="312"/>
      <c r="LFZ53" s="312"/>
      <c r="LGA53" s="312"/>
      <c r="LGB53" s="312"/>
      <c r="LGC53" s="312"/>
      <c r="LGD53" s="312"/>
      <c r="LGE53" s="312"/>
      <c r="LGF53" s="312"/>
      <c r="LGG53" s="312"/>
      <c r="LGH53" s="312"/>
      <c r="LGI53" s="312"/>
      <c r="LGJ53" s="312"/>
      <c r="LGK53" s="312"/>
      <c r="LGL53" s="312"/>
      <c r="LGM53" s="312"/>
      <c r="LGN53" s="312"/>
      <c r="LGO53" s="312"/>
      <c r="LGP53" s="312"/>
      <c r="LGQ53" s="312"/>
      <c r="LGR53" s="312"/>
      <c r="LGS53" s="312"/>
      <c r="LGT53" s="312"/>
      <c r="LGU53" s="312"/>
      <c r="LGV53" s="312"/>
      <c r="LGW53" s="312"/>
      <c r="LGX53" s="312"/>
      <c r="LGY53" s="312"/>
      <c r="LGZ53" s="312"/>
      <c r="LHA53" s="312"/>
      <c r="LHB53" s="312"/>
      <c r="LHC53" s="312"/>
      <c r="LHD53" s="312"/>
      <c r="LHE53" s="312"/>
      <c r="LHF53" s="312"/>
      <c r="LHG53" s="312"/>
      <c r="LHH53" s="312"/>
      <c r="LHI53" s="312"/>
      <c r="LHJ53" s="312"/>
      <c r="LHK53" s="312"/>
      <c r="LHL53" s="312"/>
      <c r="LHM53" s="312"/>
      <c r="LHN53" s="312"/>
      <c r="LHO53" s="312"/>
      <c r="LHP53" s="312"/>
      <c r="LHQ53" s="312"/>
      <c r="LHR53" s="312"/>
      <c r="LHS53" s="312"/>
      <c r="LHT53" s="312"/>
      <c r="LHU53" s="312"/>
      <c r="LHV53" s="312"/>
      <c r="LHW53" s="312"/>
      <c r="LHX53" s="312"/>
      <c r="LHY53" s="312"/>
      <c r="LHZ53" s="312"/>
      <c r="LIA53" s="312"/>
      <c r="LIB53" s="312"/>
      <c r="LIC53" s="312"/>
      <c r="LID53" s="312"/>
      <c r="LIE53" s="312"/>
      <c r="LIF53" s="312"/>
      <c r="LIG53" s="312"/>
      <c r="LIH53" s="312"/>
      <c r="LII53" s="312"/>
      <c r="LIJ53" s="312"/>
      <c r="LIK53" s="312"/>
      <c r="LIL53" s="312"/>
      <c r="LIM53" s="312"/>
      <c r="LIN53" s="312"/>
      <c r="LIO53" s="312"/>
      <c r="LIP53" s="312"/>
      <c r="LIQ53" s="312"/>
      <c r="LIR53" s="312"/>
      <c r="LIS53" s="312"/>
      <c r="LIT53" s="312"/>
      <c r="LIU53" s="312"/>
      <c r="LIV53" s="312"/>
      <c r="LIW53" s="312"/>
      <c r="LIX53" s="312"/>
      <c r="LIY53" s="312"/>
      <c r="LIZ53" s="312"/>
      <c r="LJA53" s="312"/>
      <c r="LJB53" s="312"/>
      <c r="LJC53" s="312"/>
      <c r="LJD53" s="312"/>
      <c r="LJE53" s="312"/>
      <c r="LJF53" s="312"/>
      <c r="LJG53" s="312"/>
      <c r="LJH53" s="312"/>
      <c r="LJI53" s="312"/>
      <c r="LJJ53" s="312"/>
      <c r="LJK53" s="312"/>
      <c r="LJL53" s="312"/>
      <c r="LJM53" s="312"/>
      <c r="LJN53" s="312"/>
      <c r="LJO53" s="312"/>
      <c r="LJP53" s="312"/>
      <c r="LJQ53" s="312"/>
      <c r="LJR53" s="312"/>
      <c r="LJS53" s="312"/>
      <c r="LJT53" s="312"/>
      <c r="LJU53" s="312"/>
      <c r="LJV53" s="312"/>
      <c r="LJW53" s="312"/>
      <c r="LJX53" s="312"/>
      <c r="LJY53" s="312"/>
      <c r="LJZ53" s="312"/>
      <c r="LKA53" s="312"/>
      <c r="LKB53" s="312"/>
      <c r="LKC53" s="312"/>
      <c r="LKD53" s="312"/>
      <c r="LKE53" s="312"/>
      <c r="LKF53" s="312"/>
      <c r="LKG53" s="312"/>
      <c r="LKH53" s="312"/>
      <c r="LKI53" s="312"/>
      <c r="LKJ53" s="312"/>
      <c r="LKK53" s="312"/>
      <c r="LKL53" s="312"/>
      <c r="LKM53" s="312"/>
      <c r="LKN53" s="312"/>
      <c r="LKO53" s="312"/>
      <c r="LKP53" s="312"/>
      <c r="LKQ53" s="312"/>
      <c r="LKR53" s="312"/>
      <c r="LKS53" s="312"/>
      <c r="LKT53" s="312"/>
      <c r="LKU53" s="312"/>
      <c r="LKV53" s="312"/>
      <c r="LKW53" s="312"/>
      <c r="LKX53" s="312"/>
      <c r="LKY53" s="312"/>
      <c r="LKZ53" s="312"/>
      <c r="LLA53" s="312"/>
      <c r="LLB53" s="312"/>
      <c r="LLC53" s="312"/>
      <c r="LLD53" s="312"/>
      <c r="LLE53" s="312"/>
      <c r="LLF53" s="312"/>
      <c r="LLG53" s="312"/>
      <c r="LLH53" s="312"/>
      <c r="LLI53" s="312"/>
      <c r="LLJ53" s="312"/>
      <c r="LLK53" s="312"/>
      <c r="LLL53" s="312"/>
      <c r="LLM53" s="312"/>
      <c r="LLN53" s="312"/>
      <c r="LLO53" s="312"/>
      <c r="LLP53" s="312"/>
      <c r="LLQ53" s="312"/>
      <c r="LLR53" s="312"/>
      <c r="LLS53" s="312"/>
      <c r="LLT53" s="312"/>
      <c r="LLU53" s="312"/>
      <c r="LLV53" s="312"/>
      <c r="LLW53" s="312"/>
      <c r="LLX53" s="312"/>
      <c r="LLY53" s="312"/>
      <c r="LLZ53" s="312"/>
      <c r="LMA53" s="312"/>
      <c r="LMB53" s="312"/>
      <c r="LMC53" s="312"/>
      <c r="LMD53" s="312"/>
      <c r="LME53" s="312"/>
      <c r="LMF53" s="312"/>
      <c r="LMG53" s="312"/>
      <c r="LMH53" s="312"/>
      <c r="LMI53" s="312"/>
      <c r="LMJ53" s="312"/>
      <c r="LMK53" s="312"/>
      <c r="LML53" s="312"/>
      <c r="LMM53" s="312"/>
      <c r="LMN53" s="312"/>
      <c r="LMO53" s="312"/>
      <c r="LMP53" s="312"/>
      <c r="LMQ53" s="312"/>
      <c r="LMR53" s="312"/>
      <c r="LMS53" s="312"/>
      <c r="LMT53" s="312"/>
      <c r="LMU53" s="312"/>
      <c r="LMV53" s="312"/>
      <c r="LMW53" s="312"/>
      <c r="LMX53" s="312"/>
      <c r="LMY53" s="312"/>
      <c r="LMZ53" s="312"/>
      <c r="LNA53" s="312"/>
      <c r="LNB53" s="312"/>
      <c r="LNC53" s="312"/>
      <c r="LND53" s="312"/>
      <c r="LNE53" s="312"/>
      <c r="LNF53" s="312"/>
      <c r="LNG53" s="312"/>
      <c r="LNH53" s="312"/>
      <c r="LNI53" s="312"/>
      <c r="LNJ53" s="312"/>
      <c r="LNK53" s="312"/>
      <c r="LNL53" s="312"/>
      <c r="LNM53" s="312"/>
      <c r="LNN53" s="312"/>
      <c r="LNO53" s="312"/>
      <c r="LNP53" s="312"/>
      <c r="LNQ53" s="312"/>
      <c r="LNR53" s="312"/>
      <c r="LNS53" s="312"/>
      <c r="LNT53" s="312"/>
      <c r="LNU53" s="312"/>
      <c r="LNV53" s="312"/>
      <c r="LNW53" s="312"/>
      <c r="LNX53" s="312"/>
      <c r="LNY53" s="312"/>
      <c r="LNZ53" s="312"/>
      <c r="LOA53" s="312"/>
      <c r="LOB53" s="312"/>
      <c r="LOC53" s="312"/>
      <c r="LOD53" s="312"/>
      <c r="LOE53" s="312"/>
      <c r="LOF53" s="312"/>
      <c r="LOG53" s="312"/>
      <c r="LOH53" s="312"/>
      <c r="LOI53" s="312"/>
      <c r="LOJ53" s="312"/>
      <c r="LOK53" s="312"/>
      <c r="LOL53" s="312"/>
      <c r="LOM53" s="312"/>
      <c r="LON53" s="312"/>
      <c r="LOO53" s="312"/>
      <c r="LOP53" s="312"/>
      <c r="LOQ53" s="312"/>
      <c r="LOR53" s="312"/>
      <c r="LOS53" s="312"/>
      <c r="LOT53" s="312"/>
      <c r="LOU53" s="312"/>
      <c r="LOV53" s="312"/>
      <c r="LOW53" s="312"/>
      <c r="LOX53" s="312"/>
      <c r="LOY53" s="312"/>
      <c r="LOZ53" s="312"/>
      <c r="LPA53" s="312"/>
      <c r="LPB53" s="312"/>
      <c r="LPC53" s="312"/>
      <c r="LPD53" s="312"/>
      <c r="LPE53" s="312"/>
      <c r="LPF53" s="312"/>
      <c r="LPG53" s="312"/>
      <c r="LPH53" s="312"/>
      <c r="LPI53" s="312"/>
      <c r="LPJ53" s="312"/>
      <c r="LPK53" s="312"/>
      <c r="LPL53" s="312"/>
      <c r="LPM53" s="312"/>
      <c r="LPN53" s="312"/>
      <c r="LPO53" s="312"/>
      <c r="LPP53" s="312"/>
      <c r="LPQ53" s="312"/>
      <c r="LPR53" s="312"/>
      <c r="LPS53" s="312"/>
      <c r="LPT53" s="312"/>
      <c r="LPU53" s="312"/>
      <c r="LPV53" s="312"/>
      <c r="LPW53" s="312"/>
      <c r="LPX53" s="312"/>
      <c r="LPY53" s="312"/>
      <c r="LPZ53" s="312"/>
      <c r="LQA53" s="312"/>
      <c r="LQB53" s="312"/>
      <c r="LQC53" s="312"/>
      <c r="LQD53" s="312"/>
      <c r="LQE53" s="312"/>
      <c r="LQF53" s="312"/>
      <c r="LQG53" s="312"/>
      <c r="LQH53" s="312"/>
      <c r="LQI53" s="312"/>
      <c r="LQJ53" s="312"/>
      <c r="LQK53" s="312"/>
      <c r="LQL53" s="312"/>
      <c r="LQM53" s="312"/>
      <c r="LQN53" s="312"/>
      <c r="LQO53" s="312"/>
      <c r="LQP53" s="312"/>
      <c r="LQQ53" s="312"/>
      <c r="LQR53" s="312"/>
      <c r="LQS53" s="312"/>
      <c r="LQT53" s="312"/>
      <c r="LQU53" s="312"/>
      <c r="LQV53" s="312"/>
      <c r="LQW53" s="312"/>
      <c r="LQX53" s="312"/>
      <c r="LQY53" s="312"/>
      <c r="LQZ53" s="312"/>
      <c r="LRA53" s="312"/>
      <c r="LRB53" s="312"/>
      <c r="LRC53" s="312"/>
      <c r="LRD53" s="312"/>
      <c r="LRE53" s="312"/>
      <c r="LRF53" s="312"/>
      <c r="LRG53" s="312"/>
      <c r="LRH53" s="312"/>
      <c r="LRI53" s="312"/>
      <c r="LRJ53" s="312"/>
      <c r="LRK53" s="312"/>
      <c r="LRL53" s="312"/>
      <c r="LRM53" s="312"/>
      <c r="LRN53" s="312"/>
      <c r="LRO53" s="312"/>
      <c r="LRP53" s="312"/>
      <c r="LRQ53" s="312"/>
      <c r="LRR53" s="312"/>
      <c r="LRS53" s="312"/>
      <c r="LRT53" s="312"/>
      <c r="LRU53" s="312"/>
      <c r="LRV53" s="312"/>
      <c r="LRW53" s="312"/>
      <c r="LRX53" s="312"/>
      <c r="LRY53" s="312"/>
      <c r="LRZ53" s="312"/>
      <c r="LSA53" s="312"/>
      <c r="LSB53" s="312"/>
      <c r="LSC53" s="312"/>
      <c r="LSD53" s="312"/>
      <c r="LSE53" s="312"/>
      <c r="LSF53" s="312"/>
      <c r="LSG53" s="312"/>
      <c r="LSH53" s="312"/>
      <c r="LSI53" s="312"/>
      <c r="LSJ53" s="312"/>
      <c r="LSK53" s="312"/>
      <c r="LSL53" s="312"/>
      <c r="LSM53" s="312"/>
      <c r="LSN53" s="312"/>
      <c r="LSO53" s="312"/>
      <c r="LSP53" s="312"/>
      <c r="LSQ53" s="312"/>
      <c r="LSR53" s="312"/>
      <c r="LSS53" s="312"/>
      <c r="LST53" s="312"/>
      <c r="LSU53" s="312"/>
      <c r="LSV53" s="312"/>
      <c r="LSW53" s="312"/>
      <c r="LSX53" s="312"/>
      <c r="LSY53" s="312"/>
      <c r="LSZ53" s="312"/>
      <c r="LTA53" s="312"/>
      <c r="LTB53" s="312"/>
      <c r="LTC53" s="312"/>
      <c r="LTD53" s="312"/>
      <c r="LTE53" s="312"/>
      <c r="LTF53" s="312"/>
      <c r="LTG53" s="312"/>
      <c r="LTH53" s="312"/>
      <c r="LTI53" s="312"/>
      <c r="LTJ53" s="312"/>
      <c r="LTK53" s="312"/>
      <c r="LTL53" s="312"/>
      <c r="LTM53" s="312"/>
      <c r="LTN53" s="312"/>
      <c r="LTO53" s="312"/>
      <c r="LTP53" s="312"/>
      <c r="LTQ53" s="312"/>
      <c r="LTR53" s="312"/>
      <c r="LTS53" s="312"/>
      <c r="LTT53" s="312"/>
      <c r="LTU53" s="312"/>
      <c r="LTV53" s="312"/>
      <c r="LTW53" s="312"/>
      <c r="LTX53" s="312"/>
      <c r="LTY53" s="312"/>
      <c r="LTZ53" s="312"/>
      <c r="LUA53" s="312"/>
      <c r="LUB53" s="312"/>
      <c r="LUC53" s="312"/>
      <c r="LUD53" s="312"/>
      <c r="LUE53" s="312"/>
      <c r="LUF53" s="312"/>
      <c r="LUG53" s="312"/>
      <c r="LUH53" s="312"/>
      <c r="LUI53" s="312"/>
      <c r="LUJ53" s="312"/>
      <c r="LUK53" s="312"/>
      <c r="LUL53" s="312"/>
      <c r="LUM53" s="312"/>
      <c r="LUN53" s="312"/>
      <c r="LUO53" s="312"/>
      <c r="LUP53" s="312"/>
      <c r="LUQ53" s="312"/>
      <c r="LUR53" s="312"/>
      <c r="LUS53" s="312"/>
      <c r="LUT53" s="312"/>
      <c r="LUU53" s="312"/>
      <c r="LUV53" s="312"/>
      <c r="LUW53" s="312"/>
      <c r="LUX53" s="312"/>
      <c r="LUY53" s="312"/>
      <c r="LUZ53" s="312"/>
      <c r="LVA53" s="312"/>
      <c r="LVB53" s="312"/>
      <c r="LVC53" s="312"/>
      <c r="LVD53" s="312"/>
      <c r="LVE53" s="312"/>
      <c r="LVF53" s="312"/>
      <c r="LVG53" s="312"/>
      <c r="LVH53" s="312"/>
      <c r="LVI53" s="312"/>
      <c r="LVJ53" s="312"/>
      <c r="LVK53" s="312"/>
      <c r="LVL53" s="312"/>
      <c r="LVM53" s="312"/>
      <c r="LVN53" s="312"/>
      <c r="LVO53" s="312"/>
      <c r="LVP53" s="312"/>
      <c r="LVQ53" s="312"/>
      <c r="LVR53" s="312"/>
      <c r="LVS53" s="312"/>
      <c r="LVT53" s="312"/>
      <c r="LVU53" s="312"/>
      <c r="LVV53" s="312"/>
      <c r="LVW53" s="312"/>
      <c r="LVX53" s="312"/>
      <c r="LVY53" s="312"/>
      <c r="LVZ53" s="312"/>
      <c r="LWA53" s="312"/>
      <c r="LWB53" s="312"/>
      <c r="LWC53" s="312"/>
      <c r="LWD53" s="312"/>
      <c r="LWE53" s="312"/>
      <c r="LWF53" s="312"/>
      <c r="LWG53" s="312"/>
      <c r="LWH53" s="312"/>
      <c r="LWI53" s="312"/>
      <c r="LWJ53" s="312"/>
      <c r="LWK53" s="312"/>
      <c r="LWL53" s="312"/>
      <c r="LWM53" s="312"/>
      <c r="LWN53" s="312"/>
      <c r="LWO53" s="312"/>
      <c r="LWP53" s="312"/>
      <c r="LWQ53" s="312"/>
      <c r="LWR53" s="312"/>
      <c r="LWS53" s="312"/>
      <c r="LWT53" s="312"/>
      <c r="LWU53" s="312"/>
      <c r="LWV53" s="312"/>
      <c r="LWW53" s="312"/>
      <c r="LWX53" s="312"/>
      <c r="LWY53" s="312"/>
      <c r="LWZ53" s="312"/>
      <c r="LXA53" s="312"/>
      <c r="LXB53" s="312"/>
      <c r="LXC53" s="312"/>
      <c r="LXD53" s="312"/>
      <c r="LXE53" s="312"/>
      <c r="LXF53" s="312"/>
      <c r="LXG53" s="312"/>
      <c r="LXH53" s="312"/>
      <c r="LXI53" s="312"/>
      <c r="LXJ53" s="312"/>
      <c r="LXK53" s="312"/>
      <c r="LXL53" s="312"/>
      <c r="LXM53" s="312"/>
      <c r="LXN53" s="312"/>
      <c r="LXO53" s="312"/>
      <c r="LXP53" s="312"/>
      <c r="LXQ53" s="312"/>
      <c r="LXR53" s="312"/>
      <c r="LXS53" s="312"/>
      <c r="LXT53" s="312"/>
      <c r="LXU53" s="312"/>
      <c r="LXV53" s="312"/>
      <c r="LXW53" s="312"/>
      <c r="LXX53" s="312"/>
      <c r="LXY53" s="312"/>
      <c r="LXZ53" s="312"/>
      <c r="LYA53" s="312"/>
      <c r="LYB53" s="312"/>
      <c r="LYC53" s="312"/>
      <c r="LYD53" s="312"/>
      <c r="LYE53" s="312"/>
      <c r="LYF53" s="312"/>
      <c r="LYG53" s="312"/>
      <c r="LYH53" s="312"/>
      <c r="LYI53" s="312"/>
      <c r="LYJ53" s="312"/>
      <c r="LYK53" s="312"/>
      <c r="LYL53" s="312"/>
      <c r="LYM53" s="312"/>
      <c r="LYN53" s="312"/>
      <c r="LYO53" s="312"/>
      <c r="LYP53" s="312"/>
      <c r="LYQ53" s="312"/>
      <c r="LYR53" s="312"/>
      <c r="LYS53" s="312"/>
      <c r="LYT53" s="312"/>
      <c r="LYU53" s="312"/>
      <c r="LYV53" s="312"/>
      <c r="LYW53" s="312"/>
      <c r="LYX53" s="312"/>
      <c r="LYY53" s="312"/>
      <c r="LYZ53" s="312"/>
      <c r="LZA53" s="312"/>
      <c r="LZB53" s="312"/>
      <c r="LZC53" s="312"/>
      <c r="LZD53" s="312"/>
      <c r="LZE53" s="312"/>
      <c r="LZF53" s="312"/>
      <c r="LZG53" s="312"/>
      <c r="LZH53" s="312"/>
      <c r="LZI53" s="312"/>
      <c r="LZJ53" s="312"/>
      <c r="LZK53" s="312"/>
      <c r="LZL53" s="312"/>
      <c r="LZM53" s="312"/>
      <c r="LZN53" s="312"/>
      <c r="LZO53" s="312"/>
      <c r="LZP53" s="312"/>
      <c r="LZQ53" s="312"/>
      <c r="LZR53" s="312"/>
      <c r="LZS53" s="312"/>
      <c r="LZT53" s="312"/>
      <c r="LZU53" s="312"/>
      <c r="LZV53" s="312"/>
      <c r="LZW53" s="312"/>
      <c r="LZX53" s="312"/>
      <c r="LZY53" s="312"/>
      <c r="LZZ53" s="312"/>
      <c r="MAA53" s="312"/>
      <c r="MAB53" s="312"/>
      <c r="MAC53" s="312"/>
      <c r="MAD53" s="312"/>
      <c r="MAE53" s="312"/>
      <c r="MAF53" s="312"/>
      <c r="MAG53" s="312"/>
      <c r="MAH53" s="312"/>
      <c r="MAI53" s="312"/>
      <c r="MAJ53" s="312"/>
      <c r="MAK53" s="312"/>
      <c r="MAL53" s="312"/>
      <c r="MAM53" s="312"/>
      <c r="MAN53" s="312"/>
      <c r="MAO53" s="312"/>
      <c r="MAP53" s="312"/>
      <c r="MAQ53" s="312"/>
      <c r="MAR53" s="312"/>
      <c r="MAS53" s="312"/>
      <c r="MAT53" s="312"/>
      <c r="MAU53" s="312"/>
      <c r="MAV53" s="312"/>
      <c r="MAW53" s="312"/>
      <c r="MAX53" s="312"/>
      <c r="MAY53" s="312"/>
      <c r="MAZ53" s="312"/>
      <c r="MBA53" s="312"/>
      <c r="MBB53" s="312"/>
      <c r="MBC53" s="312"/>
      <c r="MBD53" s="312"/>
      <c r="MBE53" s="312"/>
      <c r="MBF53" s="312"/>
      <c r="MBG53" s="312"/>
      <c r="MBH53" s="312"/>
      <c r="MBI53" s="312"/>
      <c r="MBJ53" s="312"/>
      <c r="MBK53" s="312"/>
      <c r="MBL53" s="312"/>
      <c r="MBM53" s="312"/>
      <c r="MBN53" s="312"/>
      <c r="MBO53" s="312"/>
      <c r="MBP53" s="312"/>
      <c r="MBQ53" s="312"/>
      <c r="MBR53" s="312"/>
      <c r="MBS53" s="312"/>
      <c r="MBT53" s="312"/>
      <c r="MBU53" s="312"/>
      <c r="MBV53" s="312"/>
      <c r="MBW53" s="312"/>
      <c r="MBX53" s="312"/>
      <c r="MBY53" s="312"/>
      <c r="MBZ53" s="312"/>
      <c r="MCA53" s="312"/>
      <c r="MCB53" s="312"/>
      <c r="MCC53" s="312"/>
      <c r="MCD53" s="312"/>
      <c r="MCE53" s="312"/>
      <c r="MCF53" s="312"/>
      <c r="MCG53" s="312"/>
      <c r="MCH53" s="312"/>
      <c r="MCI53" s="312"/>
      <c r="MCJ53" s="312"/>
      <c r="MCK53" s="312"/>
      <c r="MCL53" s="312"/>
      <c r="MCM53" s="312"/>
      <c r="MCN53" s="312"/>
      <c r="MCO53" s="312"/>
      <c r="MCP53" s="312"/>
      <c r="MCQ53" s="312"/>
      <c r="MCR53" s="312"/>
      <c r="MCS53" s="312"/>
      <c r="MCT53" s="312"/>
      <c r="MCU53" s="312"/>
      <c r="MCV53" s="312"/>
      <c r="MCW53" s="312"/>
      <c r="MCX53" s="312"/>
      <c r="MCY53" s="312"/>
      <c r="MCZ53" s="312"/>
      <c r="MDA53" s="312"/>
      <c r="MDB53" s="312"/>
      <c r="MDC53" s="312"/>
      <c r="MDD53" s="312"/>
      <c r="MDE53" s="312"/>
      <c r="MDF53" s="312"/>
      <c r="MDG53" s="312"/>
      <c r="MDH53" s="312"/>
      <c r="MDI53" s="312"/>
      <c r="MDJ53" s="312"/>
      <c r="MDK53" s="312"/>
      <c r="MDL53" s="312"/>
      <c r="MDM53" s="312"/>
      <c r="MDN53" s="312"/>
      <c r="MDO53" s="312"/>
      <c r="MDP53" s="312"/>
      <c r="MDQ53" s="312"/>
      <c r="MDR53" s="312"/>
      <c r="MDS53" s="312"/>
      <c r="MDT53" s="312"/>
      <c r="MDU53" s="312"/>
      <c r="MDV53" s="312"/>
      <c r="MDW53" s="312"/>
      <c r="MDX53" s="312"/>
      <c r="MDY53" s="312"/>
      <c r="MDZ53" s="312"/>
      <c r="MEA53" s="312"/>
      <c r="MEB53" s="312"/>
      <c r="MEC53" s="312"/>
      <c r="MED53" s="312"/>
      <c r="MEE53" s="312"/>
      <c r="MEF53" s="312"/>
      <c r="MEG53" s="312"/>
      <c r="MEH53" s="312"/>
      <c r="MEI53" s="312"/>
      <c r="MEJ53" s="312"/>
      <c r="MEK53" s="312"/>
      <c r="MEL53" s="312"/>
      <c r="MEM53" s="312"/>
      <c r="MEN53" s="312"/>
      <c r="MEO53" s="312"/>
      <c r="MEP53" s="312"/>
      <c r="MEQ53" s="312"/>
      <c r="MER53" s="312"/>
      <c r="MES53" s="312"/>
      <c r="MET53" s="312"/>
      <c r="MEU53" s="312"/>
      <c r="MEV53" s="312"/>
      <c r="MEW53" s="312"/>
      <c r="MEX53" s="312"/>
      <c r="MEY53" s="312"/>
      <c r="MEZ53" s="312"/>
      <c r="MFA53" s="312"/>
      <c r="MFB53" s="312"/>
      <c r="MFC53" s="312"/>
      <c r="MFD53" s="312"/>
      <c r="MFE53" s="312"/>
      <c r="MFF53" s="312"/>
      <c r="MFG53" s="312"/>
      <c r="MFH53" s="312"/>
      <c r="MFI53" s="312"/>
      <c r="MFJ53" s="312"/>
      <c r="MFK53" s="312"/>
      <c r="MFL53" s="312"/>
      <c r="MFM53" s="312"/>
      <c r="MFN53" s="312"/>
      <c r="MFO53" s="312"/>
      <c r="MFP53" s="312"/>
      <c r="MFQ53" s="312"/>
      <c r="MFR53" s="312"/>
      <c r="MFS53" s="312"/>
      <c r="MFT53" s="312"/>
      <c r="MFU53" s="312"/>
      <c r="MFV53" s="312"/>
      <c r="MFW53" s="312"/>
      <c r="MFX53" s="312"/>
      <c r="MFY53" s="312"/>
      <c r="MFZ53" s="312"/>
      <c r="MGA53" s="312"/>
      <c r="MGB53" s="312"/>
      <c r="MGC53" s="312"/>
      <c r="MGD53" s="312"/>
      <c r="MGE53" s="312"/>
      <c r="MGF53" s="312"/>
      <c r="MGG53" s="312"/>
      <c r="MGH53" s="312"/>
      <c r="MGI53" s="312"/>
      <c r="MGJ53" s="312"/>
      <c r="MGK53" s="312"/>
      <c r="MGL53" s="312"/>
      <c r="MGM53" s="312"/>
      <c r="MGN53" s="312"/>
      <c r="MGO53" s="312"/>
      <c r="MGP53" s="312"/>
      <c r="MGQ53" s="312"/>
      <c r="MGR53" s="312"/>
      <c r="MGS53" s="312"/>
      <c r="MGT53" s="312"/>
      <c r="MGU53" s="312"/>
      <c r="MGV53" s="312"/>
      <c r="MGW53" s="312"/>
      <c r="MGX53" s="312"/>
      <c r="MGY53" s="312"/>
      <c r="MGZ53" s="312"/>
      <c r="MHA53" s="312"/>
      <c r="MHB53" s="312"/>
      <c r="MHC53" s="312"/>
      <c r="MHD53" s="312"/>
      <c r="MHE53" s="312"/>
      <c r="MHF53" s="312"/>
      <c r="MHG53" s="312"/>
      <c r="MHH53" s="312"/>
      <c r="MHI53" s="312"/>
      <c r="MHJ53" s="312"/>
      <c r="MHK53" s="312"/>
      <c r="MHL53" s="312"/>
      <c r="MHM53" s="312"/>
      <c r="MHN53" s="312"/>
      <c r="MHO53" s="312"/>
      <c r="MHP53" s="312"/>
      <c r="MHQ53" s="312"/>
      <c r="MHR53" s="312"/>
      <c r="MHS53" s="312"/>
      <c r="MHT53" s="312"/>
      <c r="MHU53" s="312"/>
      <c r="MHV53" s="312"/>
      <c r="MHW53" s="312"/>
      <c r="MHX53" s="312"/>
      <c r="MHY53" s="312"/>
      <c r="MHZ53" s="312"/>
      <c r="MIA53" s="312"/>
      <c r="MIB53" s="312"/>
      <c r="MIC53" s="312"/>
      <c r="MID53" s="312"/>
      <c r="MIE53" s="312"/>
      <c r="MIF53" s="312"/>
      <c r="MIG53" s="312"/>
      <c r="MIH53" s="312"/>
      <c r="MII53" s="312"/>
      <c r="MIJ53" s="312"/>
      <c r="MIK53" s="312"/>
      <c r="MIL53" s="312"/>
      <c r="MIM53" s="312"/>
      <c r="MIN53" s="312"/>
      <c r="MIO53" s="312"/>
      <c r="MIP53" s="312"/>
      <c r="MIQ53" s="312"/>
      <c r="MIR53" s="312"/>
      <c r="MIS53" s="312"/>
      <c r="MIT53" s="312"/>
      <c r="MIU53" s="312"/>
      <c r="MIV53" s="312"/>
      <c r="MIW53" s="312"/>
      <c r="MIX53" s="312"/>
      <c r="MIY53" s="312"/>
      <c r="MIZ53" s="312"/>
      <c r="MJA53" s="312"/>
      <c r="MJB53" s="312"/>
      <c r="MJC53" s="312"/>
      <c r="MJD53" s="312"/>
      <c r="MJE53" s="312"/>
      <c r="MJF53" s="312"/>
      <c r="MJG53" s="312"/>
      <c r="MJH53" s="312"/>
      <c r="MJI53" s="312"/>
      <c r="MJJ53" s="312"/>
      <c r="MJK53" s="312"/>
      <c r="MJL53" s="312"/>
      <c r="MJM53" s="312"/>
      <c r="MJN53" s="312"/>
      <c r="MJO53" s="312"/>
      <c r="MJP53" s="312"/>
      <c r="MJQ53" s="312"/>
      <c r="MJR53" s="312"/>
      <c r="MJS53" s="312"/>
      <c r="MJT53" s="312"/>
      <c r="MJU53" s="312"/>
      <c r="MJV53" s="312"/>
      <c r="MJW53" s="312"/>
      <c r="MJX53" s="312"/>
      <c r="MJY53" s="312"/>
      <c r="MJZ53" s="312"/>
      <c r="MKA53" s="312"/>
      <c r="MKB53" s="312"/>
      <c r="MKC53" s="312"/>
      <c r="MKD53" s="312"/>
      <c r="MKE53" s="312"/>
      <c r="MKF53" s="312"/>
      <c r="MKG53" s="312"/>
      <c r="MKH53" s="312"/>
      <c r="MKI53" s="312"/>
      <c r="MKJ53" s="312"/>
      <c r="MKK53" s="312"/>
      <c r="MKL53" s="312"/>
      <c r="MKM53" s="312"/>
      <c r="MKN53" s="312"/>
      <c r="MKO53" s="312"/>
      <c r="MKP53" s="312"/>
      <c r="MKQ53" s="312"/>
      <c r="MKR53" s="312"/>
      <c r="MKS53" s="312"/>
      <c r="MKT53" s="312"/>
      <c r="MKU53" s="312"/>
      <c r="MKV53" s="312"/>
      <c r="MKW53" s="312"/>
      <c r="MKX53" s="312"/>
      <c r="MKY53" s="312"/>
      <c r="MKZ53" s="312"/>
      <c r="MLA53" s="312"/>
      <c r="MLB53" s="312"/>
      <c r="MLC53" s="312"/>
      <c r="MLD53" s="312"/>
      <c r="MLE53" s="312"/>
      <c r="MLF53" s="312"/>
      <c r="MLG53" s="312"/>
      <c r="MLH53" s="312"/>
      <c r="MLI53" s="312"/>
      <c r="MLJ53" s="312"/>
      <c r="MLK53" s="312"/>
      <c r="MLL53" s="312"/>
      <c r="MLM53" s="312"/>
      <c r="MLN53" s="312"/>
      <c r="MLO53" s="312"/>
      <c r="MLP53" s="312"/>
      <c r="MLQ53" s="312"/>
      <c r="MLR53" s="312"/>
      <c r="MLS53" s="312"/>
      <c r="MLT53" s="312"/>
      <c r="MLU53" s="312"/>
      <c r="MLV53" s="312"/>
      <c r="MLW53" s="312"/>
      <c r="MLX53" s="312"/>
      <c r="MLY53" s="312"/>
      <c r="MLZ53" s="312"/>
      <c r="MMA53" s="312"/>
      <c r="MMB53" s="312"/>
      <c r="MMC53" s="312"/>
      <c r="MMD53" s="312"/>
      <c r="MME53" s="312"/>
      <c r="MMF53" s="312"/>
      <c r="MMG53" s="312"/>
      <c r="MMH53" s="312"/>
      <c r="MMI53" s="312"/>
      <c r="MMJ53" s="312"/>
      <c r="MMK53" s="312"/>
      <c r="MML53" s="312"/>
      <c r="MMM53" s="312"/>
      <c r="MMN53" s="312"/>
      <c r="MMO53" s="312"/>
      <c r="MMP53" s="312"/>
      <c r="MMQ53" s="312"/>
      <c r="MMR53" s="312"/>
      <c r="MMS53" s="312"/>
      <c r="MMT53" s="312"/>
      <c r="MMU53" s="312"/>
      <c r="MMV53" s="312"/>
      <c r="MMW53" s="312"/>
      <c r="MMX53" s="312"/>
      <c r="MMY53" s="312"/>
      <c r="MMZ53" s="312"/>
      <c r="MNA53" s="312"/>
      <c r="MNB53" s="312"/>
      <c r="MNC53" s="312"/>
      <c r="MND53" s="312"/>
      <c r="MNE53" s="312"/>
      <c r="MNF53" s="312"/>
      <c r="MNG53" s="312"/>
      <c r="MNH53" s="312"/>
      <c r="MNI53" s="312"/>
      <c r="MNJ53" s="312"/>
      <c r="MNK53" s="312"/>
      <c r="MNL53" s="312"/>
      <c r="MNM53" s="312"/>
      <c r="MNN53" s="312"/>
      <c r="MNO53" s="312"/>
      <c r="MNP53" s="312"/>
      <c r="MNQ53" s="312"/>
      <c r="MNR53" s="312"/>
      <c r="MNS53" s="312"/>
      <c r="MNT53" s="312"/>
      <c r="MNU53" s="312"/>
      <c r="MNV53" s="312"/>
      <c r="MNW53" s="312"/>
      <c r="MNX53" s="312"/>
      <c r="MNY53" s="312"/>
      <c r="MNZ53" s="312"/>
      <c r="MOA53" s="312"/>
      <c r="MOB53" s="312"/>
      <c r="MOC53" s="312"/>
      <c r="MOD53" s="312"/>
      <c r="MOE53" s="312"/>
      <c r="MOF53" s="312"/>
      <c r="MOG53" s="312"/>
      <c r="MOH53" s="312"/>
      <c r="MOI53" s="312"/>
      <c r="MOJ53" s="312"/>
      <c r="MOK53" s="312"/>
      <c r="MOL53" s="312"/>
      <c r="MOM53" s="312"/>
      <c r="MON53" s="312"/>
      <c r="MOO53" s="312"/>
      <c r="MOP53" s="312"/>
      <c r="MOQ53" s="312"/>
      <c r="MOR53" s="312"/>
      <c r="MOS53" s="312"/>
      <c r="MOT53" s="312"/>
      <c r="MOU53" s="312"/>
      <c r="MOV53" s="312"/>
      <c r="MOW53" s="312"/>
      <c r="MOX53" s="312"/>
      <c r="MOY53" s="312"/>
      <c r="MOZ53" s="312"/>
      <c r="MPA53" s="312"/>
      <c r="MPB53" s="312"/>
      <c r="MPC53" s="312"/>
      <c r="MPD53" s="312"/>
      <c r="MPE53" s="312"/>
      <c r="MPF53" s="312"/>
      <c r="MPG53" s="312"/>
      <c r="MPH53" s="312"/>
      <c r="MPI53" s="312"/>
      <c r="MPJ53" s="312"/>
      <c r="MPK53" s="312"/>
      <c r="MPL53" s="312"/>
      <c r="MPM53" s="312"/>
      <c r="MPN53" s="312"/>
      <c r="MPO53" s="312"/>
      <c r="MPP53" s="312"/>
      <c r="MPQ53" s="312"/>
      <c r="MPR53" s="312"/>
      <c r="MPS53" s="312"/>
      <c r="MPT53" s="312"/>
      <c r="MPU53" s="312"/>
      <c r="MPV53" s="312"/>
      <c r="MPW53" s="312"/>
      <c r="MPX53" s="312"/>
      <c r="MPY53" s="312"/>
      <c r="MPZ53" s="312"/>
      <c r="MQA53" s="312"/>
      <c r="MQB53" s="312"/>
      <c r="MQC53" s="312"/>
      <c r="MQD53" s="312"/>
      <c r="MQE53" s="312"/>
      <c r="MQF53" s="312"/>
      <c r="MQG53" s="312"/>
      <c r="MQH53" s="312"/>
      <c r="MQI53" s="312"/>
      <c r="MQJ53" s="312"/>
      <c r="MQK53" s="312"/>
      <c r="MQL53" s="312"/>
      <c r="MQM53" s="312"/>
      <c r="MQN53" s="312"/>
      <c r="MQO53" s="312"/>
      <c r="MQP53" s="312"/>
      <c r="MQQ53" s="312"/>
      <c r="MQR53" s="312"/>
      <c r="MQS53" s="312"/>
      <c r="MQT53" s="312"/>
      <c r="MQU53" s="312"/>
      <c r="MQV53" s="312"/>
      <c r="MQW53" s="312"/>
      <c r="MQX53" s="312"/>
      <c r="MQY53" s="312"/>
      <c r="MQZ53" s="312"/>
      <c r="MRA53" s="312"/>
      <c r="MRB53" s="312"/>
      <c r="MRC53" s="312"/>
      <c r="MRD53" s="312"/>
      <c r="MRE53" s="312"/>
      <c r="MRF53" s="312"/>
      <c r="MRG53" s="312"/>
      <c r="MRH53" s="312"/>
      <c r="MRI53" s="312"/>
      <c r="MRJ53" s="312"/>
      <c r="MRK53" s="312"/>
      <c r="MRL53" s="312"/>
      <c r="MRM53" s="312"/>
      <c r="MRN53" s="312"/>
      <c r="MRO53" s="312"/>
      <c r="MRP53" s="312"/>
      <c r="MRQ53" s="312"/>
      <c r="MRR53" s="312"/>
      <c r="MRS53" s="312"/>
      <c r="MRT53" s="312"/>
      <c r="MRU53" s="312"/>
      <c r="MRV53" s="312"/>
      <c r="MRW53" s="312"/>
      <c r="MRX53" s="312"/>
      <c r="MRY53" s="312"/>
      <c r="MRZ53" s="312"/>
      <c r="MSA53" s="312"/>
      <c r="MSB53" s="312"/>
      <c r="MSC53" s="312"/>
      <c r="MSD53" s="312"/>
      <c r="MSE53" s="312"/>
      <c r="MSF53" s="312"/>
      <c r="MSG53" s="312"/>
      <c r="MSH53" s="312"/>
      <c r="MSI53" s="312"/>
      <c r="MSJ53" s="312"/>
      <c r="MSK53" s="312"/>
      <c r="MSL53" s="312"/>
      <c r="MSM53" s="312"/>
      <c r="MSN53" s="312"/>
      <c r="MSO53" s="312"/>
      <c r="MSP53" s="312"/>
      <c r="MSQ53" s="312"/>
      <c r="MSR53" s="312"/>
      <c r="MSS53" s="312"/>
      <c r="MST53" s="312"/>
      <c r="MSU53" s="312"/>
      <c r="MSV53" s="312"/>
      <c r="MSW53" s="312"/>
      <c r="MSX53" s="312"/>
      <c r="MSY53" s="312"/>
      <c r="MSZ53" s="312"/>
      <c r="MTA53" s="312"/>
      <c r="MTB53" s="312"/>
      <c r="MTC53" s="312"/>
      <c r="MTD53" s="312"/>
      <c r="MTE53" s="312"/>
      <c r="MTF53" s="312"/>
      <c r="MTG53" s="312"/>
      <c r="MTH53" s="312"/>
      <c r="MTI53" s="312"/>
      <c r="MTJ53" s="312"/>
      <c r="MTK53" s="312"/>
      <c r="MTL53" s="312"/>
      <c r="MTM53" s="312"/>
      <c r="MTN53" s="312"/>
      <c r="MTO53" s="312"/>
      <c r="MTP53" s="312"/>
      <c r="MTQ53" s="312"/>
      <c r="MTR53" s="312"/>
      <c r="MTS53" s="312"/>
      <c r="MTT53" s="312"/>
      <c r="MTU53" s="312"/>
      <c r="MTV53" s="312"/>
      <c r="MTW53" s="312"/>
      <c r="MTX53" s="312"/>
      <c r="MTY53" s="312"/>
      <c r="MTZ53" s="312"/>
      <c r="MUA53" s="312"/>
      <c r="MUB53" s="312"/>
      <c r="MUC53" s="312"/>
      <c r="MUD53" s="312"/>
      <c r="MUE53" s="312"/>
      <c r="MUF53" s="312"/>
      <c r="MUG53" s="312"/>
      <c r="MUH53" s="312"/>
      <c r="MUI53" s="312"/>
      <c r="MUJ53" s="312"/>
      <c r="MUK53" s="312"/>
      <c r="MUL53" s="312"/>
      <c r="MUM53" s="312"/>
      <c r="MUN53" s="312"/>
      <c r="MUO53" s="312"/>
      <c r="MUP53" s="312"/>
      <c r="MUQ53" s="312"/>
      <c r="MUR53" s="312"/>
      <c r="MUS53" s="312"/>
      <c r="MUT53" s="312"/>
      <c r="MUU53" s="312"/>
      <c r="MUV53" s="312"/>
      <c r="MUW53" s="312"/>
      <c r="MUX53" s="312"/>
      <c r="MUY53" s="312"/>
      <c r="MUZ53" s="312"/>
      <c r="MVA53" s="312"/>
      <c r="MVB53" s="312"/>
      <c r="MVC53" s="312"/>
      <c r="MVD53" s="312"/>
      <c r="MVE53" s="312"/>
      <c r="MVF53" s="312"/>
      <c r="MVG53" s="312"/>
      <c r="MVH53" s="312"/>
      <c r="MVI53" s="312"/>
      <c r="MVJ53" s="312"/>
      <c r="MVK53" s="312"/>
      <c r="MVL53" s="312"/>
      <c r="MVM53" s="312"/>
      <c r="MVN53" s="312"/>
      <c r="MVO53" s="312"/>
      <c r="MVP53" s="312"/>
      <c r="MVQ53" s="312"/>
      <c r="MVR53" s="312"/>
      <c r="MVS53" s="312"/>
      <c r="MVT53" s="312"/>
      <c r="MVU53" s="312"/>
      <c r="MVV53" s="312"/>
      <c r="MVW53" s="312"/>
      <c r="MVX53" s="312"/>
      <c r="MVY53" s="312"/>
      <c r="MVZ53" s="312"/>
      <c r="MWA53" s="312"/>
      <c r="MWB53" s="312"/>
      <c r="MWC53" s="312"/>
      <c r="MWD53" s="312"/>
      <c r="MWE53" s="312"/>
      <c r="MWF53" s="312"/>
      <c r="MWG53" s="312"/>
      <c r="MWH53" s="312"/>
      <c r="MWI53" s="312"/>
      <c r="MWJ53" s="312"/>
      <c r="MWK53" s="312"/>
      <c r="MWL53" s="312"/>
      <c r="MWM53" s="312"/>
      <c r="MWN53" s="312"/>
      <c r="MWO53" s="312"/>
      <c r="MWP53" s="312"/>
      <c r="MWQ53" s="312"/>
      <c r="MWR53" s="312"/>
      <c r="MWS53" s="312"/>
      <c r="MWT53" s="312"/>
      <c r="MWU53" s="312"/>
      <c r="MWV53" s="312"/>
      <c r="MWW53" s="312"/>
      <c r="MWX53" s="312"/>
      <c r="MWY53" s="312"/>
      <c r="MWZ53" s="312"/>
      <c r="MXA53" s="312"/>
      <c r="MXB53" s="312"/>
      <c r="MXC53" s="312"/>
      <c r="MXD53" s="312"/>
      <c r="MXE53" s="312"/>
      <c r="MXF53" s="312"/>
      <c r="MXG53" s="312"/>
      <c r="MXH53" s="312"/>
      <c r="MXI53" s="312"/>
      <c r="MXJ53" s="312"/>
      <c r="MXK53" s="312"/>
      <c r="MXL53" s="312"/>
      <c r="MXM53" s="312"/>
      <c r="MXN53" s="312"/>
      <c r="MXO53" s="312"/>
      <c r="MXP53" s="312"/>
      <c r="MXQ53" s="312"/>
      <c r="MXR53" s="312"/>
      <c r="MXS53" s="312"/>
      <c r="MXT53" s="312"/>
      <c r="MXU53" s="312"/>
      <c r="MXV53" s="312"/>
      <c r="MXW53" s="312"/>
      <c r="MXX53" s="312"/>
      <c r="MXY53" s="312"/>
      <c r="MXZ53" s="312"/>
      <c r="MYA53" s="312"/>
      <c r="MYB53" s="312"/>
      <c r="MYC53" s="312"/>
      <c r="MYD53" s="312"/>
      <c r="MYE53" s="312"/>
      <c r="MYF53" s="312"/>
      <c r="MYG53" s="312"/>
      <c r="MYH53" s="312"/>
      <c r="MYI53" s="312"/>
      <c r="MYJ53" s="312"/>
      <c r="MYK53" s="312"/>
      <c r="MYL53" s="312"/>
      <c r="MYM53" s="312"/>
      <c r="MYN53" s="312"/>
      <c r="MYO53" s="312"/>
      <c r="MYP53" s="312"/>
      <c r="MYQ53" s="312"/>
      <c r="MYR53" s="312"/>
      <c r="MYS53" s="312"/>
      <c r="MYT53" s="312"/>
      <c r="MYU53" s="312"/>
      <c r="MYV53" s="312"/>
      <c r="MYW53" s="312"/>
      <c r="MYX53" s="312"/>
      <c r="MYY53" s="312"/>
      <c r="MYZ53" s="312"/>
      <c r="MZA53" s="312"/>
      <c r="MZB53" s="312"/>
      <c r="MZC53" s="312"/>
      <c r="MZD53" s="312"/>
      <c r="MZE53" s="312"/>
      <c r="MZF53" s="312"/>
      <c r="MZG53" s="312"/>
      <c r="MZH53" s="312"/>
      <c r="MZI53" s="312"/>
      <c r="MZJ53" s="312"/>
      <c r="MZK53" s="312"/>
      <c r="MZL53" s="312"/>
      <c r="MZM53" s="312"/>
      <c r="MZN53" s="312"/>
      <c r="MZO53" s="312"/>
      <c r="MZP53" s="312"/>
      <c r="MZQ53" s="312"/>
      <c r="MZR53" s="312"/>
      <c r="MZS53" s="312"/>
      <c r="MZT53" s="312"/>
      <c r="MZU53" s="312"/>
      <c r="MZV53" s="312"/>
      <c r="MZW53" s="312"/>
      <c r="MZX53" s="312"/>
      <c r="MZY53" s="312"/>
      <c r="MZZ53" s="312"/>
      <c r="NAA53" s="312"/>
      <c r="NAB53" s="312"/>
      <c r="NAC53" s="312"/>
      <c r="NAD53" s="312"/>
      <c r="NAE53" s="312"/>
      <c r="NAF53" s="312"/>
      <c r="NAG53" s="312"/>
      <c r="NAH53" s="312"/>
      <c r="NAI53" s="312"/>
      <c r="NAJ53" s="312"/>
      <c r="NAK53" s="312"/>
      <c r="NAL53" s="312"/>
      <c r="NAM53" s="312"/>
      <c r="NAN53" s="312"/>
      <c r="NAO53" s="312"/>
      <c r="NAP53" s="312"/>
      <c r="NAQ53" s="312"/>
      <c r="NAR53" s="312"/>
      <c r="NAS53" s="312"/>
      <c r="NAT53" s="312"/>
      <c r="NAU53" s="312"/>
      <c r="NAV53" s="312"/>
      <c r="NAW53" s="312"/>
      <c r="NAX53" s="312"/>
      <c r="NAY53" s="312"/>
      <c r="NAZ53" s="312"/>
      <c r="NBA53" s="312"/>
      <c r="NBB53" s="312"/>
      <c r="NBC53" s="312"/>
      <c r="NBD53" s="312"/>
      <c r="NBE53" s="312"/>
      <c r="NBF53" s="312"/>
      <c r="NBG53" s="312"/>
      <c r="NBH53" s="312"/>
      <c r="NBI53" s="312"/>
      <c r="NBJ53" s="312"/>
      <c r="NBK53" s="312"/>
      <c r="NBL53" s="312"/>
      <c r="NBM53" s="312"/>
      <c r="NBN53" s="312"/>
      <c r="NBO53" s="312"/>
      <c r="NBP53" s="312"/>
      <c r="NBQ53" s="312"/>
      <c r="NBR53" s="312"/>
      <c r="NBS53" s="312"/>
      <c r="NBT53" s="312"/>
      <c r="NBU53" s="312"/>
      <c r="NBV53" s="312"/>
      <c r="NBW53" s="312"/>
      <c r="NBX53" s="312"/>
      <c r="NBY53" s="312"/>
      <c r="NBZ53" s="312"/>
      <c r="NCA53" s="312"/>
      <c r="NCB53" s="312"/>
      <c r="NCC53" s="312"/>
      <c r="NCD53" s="312"/>
      <c r="NCE53" s="312"/>
      <c r="NCF53" s="312"/>
      <c r="NCG53" s="312"/>
      <c r="NCH53" s="312"/>
      <c r="NCI53" s="312"/>
      <c r="NCJ53" s="312"/>
      <c r="NCK53" s="312"/>
      <c r="NCL53" s="312"/>
      <c r="NCM53" s="312"/>
      <c r="NCN53" s="312"/>
      <c r="NCO53" s="312"/>
      <c r="NCP53" s="312"/>
      <c r="NCQ53" s="312"/>
      <c r="NCR53" s="312"/>
      <c r="NCS53" s="312"/>
      <c r="NCT53" s="312"/>
      <c r="NCU53" s="312"/>
      <c r="NCV53" s="312"/>
      <c r="NCW53" s="312"/>
      <c r="NCX53" s="312"/>
      <c r="NCY53" s="312"/>
      <c r="NCZ53" s="312"/>
      <c r="NDA53" s="312"/>
      <c r="NDB53" s="312"/>
      <c r="NDC53" s="312"/>
      <c r="NDD53" s="312"/>
      <c r="NDE53" s="312"/>
      <c r="NDF53" s="312"/>
      <c r="NDG53" s="312"/>
      <c r="NDH53" s="312"/>
      <c r="NDI53" s="312"/>
      <c r="NDJ53" s="312"/>
      <c r="NDK53" s="312"/>
      <c r="NDL53" s="312"/>
      <c r="NDM53" s="312"/>
      <c r="NDN53" s="312"/>
      <c r="NDO53" s="312"/>
      <c r="NDP53" s="312"/>
      <c r="NDQ53" s="312"/>
      <c r="NDR53" s="312"/>
      <c r="NDS53" s="312"/>
      <c r="NDT53" s="312"/>
      <c r="NDU53" s="312"/>
      <c r="NDV53" s="312"/>
      <c r="NDW53" s="312"/>
      <c r="NDX53" s="312"/>
      <c r="NDY53" s="312"/>
      <c r="NDZ53" s="312"/>
      <c r="NEA53" s="312"/>
      <c r="NEB53" s="312"/>
      <c r="NEC53" s="312"/>
      <c r="NED53" s="312"/>
      <c r="NEE53" s="312"/>
      <c r="NEF53" s="312"/>
      <c r="NEG53" s="312"/>
      <c r="NEH53" s="312"/>
      <c r="NEI53" s="312"/>
      <c r="NEJ53" s="312"/>
      <c r="NEK53" s="312"/>
      <c r="NEL53" s="312"/>
      <c r="NEM53" s="312"/>
      <c r="NEN53" s="312"/>
      <c r="NEO53" s="312"/>
      <c r="NEP53" s="312"/>
      <c r="NEQ53" s="312"/>
      <c r="NER53" s="312"/>
      <c r="NES53" s="312"/>
      <c r="NET53" s="312"/>
      <c r="NEU53" s="312"/>
      <c r="NEV53" s="312"/>
      <c r="NEW53" s="312"/>
      <c r="NEX53" s="312"/>
      <c r="NEY53" s="312"/>
      <c r="NEZ53" s="312"/>
      <c r="NFA53" s="312"/>
      <c r="NFB53" s="312"/>
      <c r="NFC53" s="312"/>
      <c r="NFD53" s="312"/>
      <c r="NFE53" s="312"/>
      <c r="NFF53" s="312"/>
      <c r="NFG53" s="312"/>
      <c r="NFH53" s="312"/>
      <c r="NFI53" s="312"/>
      <c r="NFJ53" s="312"/>
      <c r="NFK53" s="312"/>
      <c r="NFL53" s="312"/>
      <c r="NFM53" s="312"/>
      <c r="NFN53" s="312"/>
      <c r="NFO53" s="312"/>
      <c r="NFP53" s="312"/>
      <c r="NFQ53" s="312"/>
      <c r="NFR53" s="312"/>
      <c r="NFS53" s="312"/>
      <c r="NFT53" s="312"/>
      <c r="NFU53" s="312"/>
      <c r="NFV53" s="312"/>
      <c r="NFW53" s="312"/>
      <c r="NFX53" s="312"/>
      <c r="NFY53" s="312"/>
      <c r="NFZ53" s="312"/>
      <c r="NGA53" s="312"/>
      <c r="NGB53" s="312"/>
      <c r="NGC53" s="312"/>
      <c r="NGD53" s="312"/>
      <c r="NGE53" s="312"/>
      <c r="NGF53" s="312"/>
      <c r="NGG53" s="312"/>
      <c r="NGH53" s="312"/>
      <c r="NGI53" s="312"/>
      <c r="NGJ53" s="312"/>
      <c r="NGK53" s="312"/>
      <c r="NGL53" s="312"/>
      <c r="NGM53" s="312"/>
      <c r="NGN53" s="312"/>
      <c r="NGO53" s="312"/>
      <c r="NGP53" s="312"/>
      <c r="NGQ53" s="312"/>
      <c r="NGR53" s="312"/>
      <c r="NGS53" s="312"/>
      <c r="NGT53" s="312"/>
      <c r="NGU53" s="312"/>
      <c r="NGV53" s="312"/>
      <c r="NGW53" s="312"/>
      <c r="NGX53" s="312"/>
      <c r="NGY53" s="312"/>
      <c r="NGZ53" s="312"/>
      <c r="NHA53" s="312"/>
      <c r="NHB53" s="312"/>
      <c r="NHC53" s="312"/>
      <c r="NHD53" s="312"/>
      <c r="NHE53" s="312"/>
      <c r="NHF53" s="312"/>
      <c r="NHG53" s="312"/>
      <c r="NHH53" s="312"/>
      <c r="NHI53" s="312"/>
      <c r="NHJ53" s="312"/>
      <c r="NHK53" s="312"/>
      <c r="NHL53" s="312"/>
      <c r="NHM53" s="312"/>
      <c r="NHN53" s="312"/>
      <c r="NHO53" s="312"/>
      <c r="NHP53" s="312"/>
      <c r="NHQ53" s="312"/>
      <c r="NHR53" s="312"/>
      <c r="NHS53" s="312"/>
      <c r="NHT53" s="312"/>
      <c r="NHU53" s="312"/>
      <c r="NHV53" s="312"/>
      <c r="NHW53" s="312"/>
      <c r="NHX53" s="312"/>
      <c r="NHY53" s="312"/>
      <c r="NHZ53" s="312"/>
      <c r="NIA53" s="312"/>
      <c r="NIB53" s="312"/>
      <c r="NIC53" s="312"/>
      <c r="NID53" s="312"/>
      <c r="NIE53" s="312"/>
      <c r="NIF53" s="312"/>
      <c r="NIG53" s="312"/>
      <c r="NIH53" s="312"/>
      <c r="NII53" s="312"/>
      <c r="NIJ53" s="312"/>
      <c r="NIK53" s="312"/>
      <c r="NIL53" s="312"/>
      <c r="NIM53" s="312"/>
      <c r="NIN53" s="312"/>
      <c r="NIO53" s="312"/>
      <c r="NIP53" s="312"/>
      <c r="NIQ53" s="312"/>
      <c r="NIR53" s="312"/>
      <c r="NIS53" s="312"/>
      <c r="NIT53" s="312"/>
      <c r="NIU53" s="312"/>
      <c r="NIV53" s="312"/>
      <c r="NIW53" s="312"/>
      <c r="NIX53" s="312"/>
      <c r="NIY53" s="312"/>
      <c r="NIZ53" s="312"/>
      <c r="NJA53" s="312"/>
      <c r="NJB53" s="312"/>
      <c r="NJC53" s="312"/>
      <c r="NJD53" s="312"/>
      <c r="NJE53" s="312"/>
      <c r="NJF53" s="312"/>
      <c r="NJG53" s="312"/>
      <c r="NJH53" s="312"/>
      <c r="NJI53" s="312"/>
      <c r="NJJ53" s="312"/>
      <c r="NJK53" s="312"/>
      <c r="NJL53" s="312"/>
      <c r="NJM53" s="312"/>
      <c r="NJN53" s="312"/>
      <c r="NJO53" s="312"/>
      <c r="NJP53" s="312"/>
      <c r="NJQ53" s="312"/>
      <c r="NJR53" s="312"/>
      <c r="NJS53" s="312"/>
      <c r="NJT53" s="312"/>
      <c r="NJU53" s="312"/>
      <c r="NJV53" s="312"/>
      <c r="NJW53" s="312"/>
      <c r="NJX53" s="312"/>
      <c r="NJY53" s="312"/>
      <c r="NJZ53" s="312"/>
      <c r="NKA53" s="312"/>
      <c r="NKB53" s="312"/>
      <c r="NKC53" s="312"/>
      <c r="NKD53" s="312"/>
      <c r="NKE53" s="312"/>
      <c r="NKF53" s="312"/>
      <c r="NKG53" s="312"/>
      <c r="NKH53" s="312"/>
      <c r="NKI53" s="312"/>
      <c r="NKJ53" s="312"/>
      <c r="NKK53" s="312"/>
      <c r="NKL53" s="312"/>
      <c r="NKM53" s="312"/>
      <c r="NKN53" s="312"/>
      <c r="NKO53" s="312"/>
      <c r="NKP53" s="312"/>
      <c r="NKQ53" s="312"/>
      <c r="NKR53" s="312"/>
      <c r="NKS53" s="312"/>
      <c r="NKT53" s="312"/>
      <c r="NKU53" s="312"/>
      <c r="NKV53" s="312"/>
      <c r="NKW53" s="312"/>
      <c r="NKX53" s="312"/>
      <c r="NKY53" s="312"/>
      <c r="NKZ53" s="312"/>
      <c r="NLA53" s="312"/>
      <c r="NLB53" s="312"/>
      <c r="NLC53" s="312"/>
      <c r="NLD53" s="312"/>
      <c r="NLE53" s="312"/>
      <c r="NLF53" s="312"/>
      <c r="NLG53" s="312"/>
      <c r="NLH53" s="312"/>
      <c r="NLI53" s="312"/>
      <c r="NLJ53" s="312"/>
      <c r="NLK53" s="312"/>
      <c r="NLL53" s="312"/>
      <c r="NLM53" s="312"/>
      <c r="NLN53" s="312"/>
      <c r="NLO53" s="312"/>
      <c r="NLP53" s="312"/>
      <c r="NLQ53" s="312"/>
      <c r="NLR53" s="312"/>
      <c r="NLS53" s="312"/>
      <c r="NLT53" s="312"/>
      <c r="NLU53" s="312"/>
      <c r="NLV53" s="312"/>
      <c r="NLW53" s="312"/>
      <c r="NLX53" s="312"/>
      <c r="NLY53" s="312"/>
      <c r="NLZ53" s="312"/>
      <c r="NMA53" s="312"/>
      <c r="NMB53" s="312"/>
      <c r="NMC53" s="312"/>
      <c r="NMD53" s="312"/>
      <c r="NME53" s="312"/>
      <c r="NMF53" s="312"/>
      <c r="NMG53" s="312"/>
      <c r="NMH53" s="312"/>
      <c r="NMI53" s="312"/>
      <c r="NMJ53" s="312"/>
      <c r="NMK53" s="312"/>
      <c r="NML53" s="312"/>
      <c r="NMM53" s="312"/>
      <c r="NMN53" s="312"/>
      <c r="NMO53" s="312"/>
      <c r="NMP53" s="312"/>
      <c r="NMQ53" s="312"/>
      <c r="NMR53" s="312"/>
      <c r="NMS53" s="312"/>
      <c r="NMT53" s="312"/>
      <c r="NMU53" s="312"/>
      <c r="NMV53" s="312"/>
      <c r="NMW53" s="312"/>
      <c r="NMX53" s="312"/>
      <c r="NMY53" s="312"/>
      <c r="NMZ53" s="312"/>
      <c r="NNA53" s="312"/>
      <c r="NNB53" s="312"/>
      <c r="NNC53" s="312"/>
      <c r="NND53" s="312"/>
      <c r="NNE53" s="312"/>
      <c r="NNF53" s="312"/>
      <c r="NNG53" s="312"/>
      <c r="NNH53" s="312"/>
      <c r="NNI53" s="312"/>
      <c r="NNJ53" s="312"/>
      <c r="NNK53" s="312"/>
      <c r="NNL53" s="312"/>
      <c r="NNM53" s="312"/>
      <c r="NNN53" s="312"/>
      <c r="NNO53" s="312"/>
      <c r="NNP53" s="312"/>
      <c r="NNQ53" s="312"/>
      <c r="NNR53" s="312"/>
      <c r="NNS53" s="312"/>
      <c r="NNT53" s="312"/>
      <c r="NNU53" s="312"/>
      <c r="NNV53" s="312"/>
      <c r="NNW53" s="312"/>
      <c r="NNX53" s="312"/>
      <c r="NNY53" s="312"/>
      <c r="NNZ53" s="312"/>
      <c r="NOA53" s="312"/>
      <c r="NOB53" s="312"/>
      <c r="NOC53" s="312"/>
      <c r="NOD53" s="312"/>
      <c r="NOE53" s="312"/>
      <c r="NOF53" s="312"/>
      <c r="NOG53" s="312"/>
      <c r="NOH53" s="312"/>
      <c r="NOI53" s="312"/>
      <c r="NOJ53" s="312"/>
      <c r="NOK53" s="312"/>
      <c r="NOL53" s="312"/>
      <c r="NOM53" s="312"/>
      <c r="NON53" s="312"/>
      <c r="NOO53" s="312"/>
      <c r="NOP53" s="312"/>
      <c r="NOQ53" s="312"/>
      <c r="NOR53" s="312"/>
      <c r="NOS53" s="312"/>
      <c r="NOT53" s="312"/>
      <c r="NOU53" s="312"/>
      <c r="NOV53" s="312"/>
      <c r="NOW53" s="312"/>
      <c r="NOX53" s="312"/>
      <c r="NOY53" s="312"/>
      <c r="NOZ53" s="312"/>
      <c r="NPA53" s="312"/>
      <c r="NPB53" s="312"/>
      <c r="NPC53" s="312"/>
      <c r="NPD53" s="312"/>
      <c r="NPE53" s="312"/>
      <c r="NPF53" s="312"/>
      <c r="NPG53" s="312"/>
      <c r="NPH53" s="312"/>
      <c r="NPI53" s="312"/>
      <c r="NPJ53" s="312"/>
      <c r="NPK53" s="312"/>
      <c r="NPL53" s="312"/>
      <c r="NPM53" s="312"/>
      <c r="NPN53" s="312"/>
      <c r="NPO53" s="312"/>
      <c r="NPP53" s="312"/>
      <c r="NPQ53" s="312"/>
      <c r="NPR53" s="312"/>
      <c r="NPS53" s="312"/>
      <c r="NPT53" s="312"/>
      <c r="NPU53" s="312"/>
      <c r="NPV53" s="312"/>
      <c r="NPW53" s="312"/>
      <c r="NPX53" s="312"/>
      <c r="NPY53" s="312"/>
      <c r="NPZ53" s="312"/>
      <c r="NQA53" s="312"/>
      <c r="NQB53" s="312"/>
      <c r="NQC53" s="312"/>
      <c r="NQD53" s="312"/>
      <c r="NQE53" s="312"/>
      <c r="NQF53" s="312"/>
      <c r="NQG53" s="312"/>
      <c r="NQH53" s="312"/>
      <c r="NQI53" s="312"/>
      <c r="NQJ53" s="312"/>
      <c r="NQK53" s="312"/>
      <c r="NQL53" s="312"/>
      <c r="NQM53" s="312"/>
      <c r="NQN53" s="312"/>
      <c r="NQO53" s="312"/>
      <c r="NQP53" s="312"/>
      <c r="NQQ53" s="312"/>
      <c r="NQR53" s="312"/>
      <c r="NQS53" s="312"/>
      <c r="NQT53" s="312"/>
      <c r="NQU53" s="312"/>
      <c r="NQV53" s="312"/>
      <c r="NQW53" s="312"/>
      <c r="NQX53" s="312"/>
      <c r="NQY53" s="312"/>
      <c r="NQZ53" s="312"/>
      <c r="NRA53" s="312"/>
      <c r="NRB53" s="312"/>
      <c r="NRC53" s="312"/>
      <c r="NRD53" s="312"/>
      <c r="NRE53" s="312"/>
      <c r="NRF53" s="312"/>
      <c r="NRG53" s="312"/>
      <c r="NRH53" s="312"/>
      <c r="NRI53" s="312"/>
      <c r="NRJ53" s="312"/>
      <c r="NRK53" s="312"/>
      <c r="NRL53" s="312"/>
      <c r="NRM53" s="312"/>
      <c r="NRN53" s="312"/>
      <c r="NRO53" s="312"/>
      <c r="NRP53" s="312"/>
      <c r="NRQ53" s="312"/>
      <c r="NRR53" s="312"/>
      <c r="NRS53" s="312"/>
      <c r="NRT53" s="312"/>
      <c r="NRU53" s="312"/>
      <c r="NRV53" s="312"/>
      <c r="NRW53" s="312"/>
      <c r="NRX53" s="312"/>
      <c r="NRY53" s="312"/>
      <c r="NRZ53" s="312"/>
      <c r="NSA53" s="312"/>
      <c r="NSB53" s="312"/>
      <c r="NSC53" s="312"/>
      <c r="NSD53" s="312"/>
      <c r="NSE53" s="312"/>
      <c r="NSF53" s="312"/>
      <c r="NSG53" s="312"/>
      <c r="NSH53" s="312"/>
      <c r="NSI53" s="312"/>
      <c r="NSJ53" s="312"/>
      <c r="NSK53" s="312"/>
      <c r="NSL53" s="312"/>
      <c r="NSM53" s="312"/>
      <c r="NSN53" s="312"/>
      <c r="NSO53" s="312"/>
      <c r="NSP53" s="312"/>
      <c r="NSQ53" s="312"/>
      <c r="NSR53" s="312"/>
      <c r="NSS53" s="312"/>
      <c r="NST53" s="312"/>
      <c r="NSU53" s="312"/>
      <c r="NSV53" s="312"/>
      <c r="NSW53" s="312"/>
      <c r="NSX53" s="312"/>
      <c r="NSY53" s="312"/>
      <c r="NSZ53" s="312"/>
      <c r="NTA53" s="312"/>
      <c r="NTB53" s="312"/>
      <c r="NTC53" s="312"/>
      <c r="NTD53" s="312"/>
      <c r="NTE53" s="312"/>
      <c r="NTF53" s="312"/>
      <c r="NTG53" s="312"/>
      <c r="NTH53" s="312"/>
      <c r="NTI53" s="312"/>
      <c r="NTJ53" s="312"/>
      <c r="NTK53" s="312"/>
      <c r="NTL53" s="312"/>
      <c r="NTM53" s="312"/>
      <c r="NTN53" s="312"/>
      <c r="NTO53" s="312"/>
      <c r="NTP53" s="312"/>
      <c r="NTQ53" s="312"/>
      <c r="NTR53" s="312"/>
      <c r="NTS53" s="312"/>
      <c r="NTT53" s="312"/>
      <c r="NTU53" s="312"/>
      <c r="NTV53" s="312"/>
      <c r="NTW53" s="312"/>
      <c r="NTX53" s="312"/>
      <c r="NTY53" s="312"/>
      <c r="NTZ53" s="312"/>
      <c r="NUA53" s="312"/>
      <c r="NUB53" s="312"/>
      <c r="NUC53" s="312"/>
      <c r="NUD53" s="312"/>
      <c r="NUE53" s="312"/>
      <c r="NUF53" s="312"/>
      <c r="NUG53" s="312"/>
      <c r="NUH53" s="312"/>
      <c r="NUI53" s="312"/>
      <c r="NUJ53" s="312"/>
      <c r="NUK53" s="312"/>
      <c r="NUL53" s="312"/>
      <c r="NUM53" s="312"/>
      <c r="NUN53" s="312"/>
      <c r="NUO53" s="312"/>
      <c r="NUP53" s="312"/>
      <c r="NUQ53" s="312"/>
      <c r="NUR53" s="312"/>
      <c r="NUS53" s="312"/>
      <c r="NUT53" s="312"/>
      <c r="NUU53" s="312"/>
      <c r="NUV53" s="312"/>
      <c r="NUW53" s="312"/>
      <c r="NUX53" s="312"/>
      <c r="NUY53" s="312"/>
      <c r="NUZ53" s="312"/>
      <c r="NVA53" s="312"/>
      <c r="NVB53" s="312"/>
      <c r="NVC53" s="312"/>
      <c r="NVD53" s="312"/>
      <c r="NVE53" s="312"/>
      <c r="NVF53" s="312"/>
      <c r="NVG53" s="312"/>
      <c r="NVH53" s="312"/>
      <c r="NVI53" s="312"/>
      <c r="NVJ53" s="312"/>
      <c r="NVK53" s="312"/>
      <c r="NVL53" s="312"/>
      <c r="NVM53" s="312"/>
      <c r="NVN53" s="312"/>
      <c r="NVO53" s="312"/>
      <c r="NVP53" s="312"/>
      <c r="NVQ53" s="312"/>
      <c r="NVR53" s="312"/>
      <c r="NVS53" s="312"/>
      <c r="NVT53" s="312"/>
      <c r="NVU53" s="312"/>
      <c r="NVV53" s="312"/>
      <c r="NVW53" s="312"/>
      <c r="NVX53" s="312"/>
      <c r="NVY53" s="312"/>
      <c r="NVZ53" s="312"/>
      <c r="NWA53" s="312"/>
      <c r="NWB53" s="312"/>
      <c r="NWC53" s="312"/>
      <c r="NWD53" s="312"/>
      <c r="NWE53" s="312"/>
      <c r="NWF53" s="312"/>
      <c r="NWG53" s="312"/>
      <c r="NWH53" s="312"/>
      <c r="NWI53" s="312"/>
      <c r="NWJ53" s="312"/>
      <c r="NWK53" s="312"/>
      <c r="NWL53" s="312"/>
      <c r="NWM53" s="312"/>
      <c r="NWN53" s="312"/>
      <c r="NWO53" s="312"/>
      <c r="NWP53" s="312"/>
      <c r="NWQ53" s="312"/>
      <c r="NWR53" s="312"/>
      <c r="NWS53" s="312"/>
      <c r="NWT53" s="312"/>
      <c r="NWU53" s="312"/>
      <c r="NWV53" s="312"/>
      <c r="NWW53" s="312"/>
      <c r="NWX53" s="312"/>
      <c r="NWY53" s="312"/>
      <c r="NWZ53" s="312"/>
      <c r="NXA53" s="312"/>
      <c r="NXB53" s="312"/>
      <c r="NXC53" s="312"/>
      <c r="NXD53" s="312"/>
      <c r="NXE53" s="312"/>
      <c r="NXF53" s="312"/>
      <c r="NXG53" s="312"/>
      <c r="NXH53" s="312"/>
      <c r="NXI53" s="312"/>
      <c r="NXJ53" s="312"/>
      <c r="NXK53" s="312"/>
      <c r="NXL53" s="312"/>
      <c r="NXM53" s="312"/>
      <c r="NXN53" s="312"/>
      <c r="NXO53" s="312"/>
      <c r="NXP53" s="312"/>
      <c r="NXQ53" s="312"/>
      <c r="NXR53" s="312"/>
      <c r="NXS53" s="312"/>
      <c r="NXT53" s="312"/>
      <c r="NXU53" s="312"/>
      <c r="NXV53" s="312"/>
      <c r="NXW53" s="312"/>
      <c r="NXX53" s="312"/>
      <c r="NXY53" s="312"/>
      <c r="NXZ53" s="312"/>
      <c r="NYA53" s="312"/>
      <c r="NYB53" s="312"/>
      <c r="NYC53" s="312"/>
      <c r="NYD53" s="312"/>
      <c r="NYE53" s="312"/>
      <c r="NYF53" s="312"/>
      <c r="NYG53" s="312"/>
      <c r="NYH53" s="312"/>
      <c r="NYI53" s="312"/>
      <c r="NYJ53" s="312"/>
      <c r="NYK53" s="312"/>
      <c r="NYL53" s="312"/>
      <c r="NYM53" s="312"/>
      <c r="NYN53" s="312"/>
      <c r="NYO53" s="312"/>
      <c r="NYP53" s="312"/>
      <c r="NYQ53" s="312"/>
      <c r="NYR53" s="312"/>
      <c r="NYS53" s="312"/>
      <c r="NYT53" s="312"/>
      <c r="NYU53" s="312"/>
      <c r="NYV53" s="312"/>
      <c r="NYW53" s="312"/>
      <c r="NYX53" s="312"/>
      <c r="NYY53" s="312"/>
      <c r="NYZ53" s="312"/>
      <c r="NZA53" s="312"/>
      <c r="NZB53" s="312"/>
      <c r="NZC53" s="312"/>
      <c r="NZD53" s="312"/>
      <c r="NZE53" s="312"/>
      <c r="NZF53" s="312"/>
      <c r="NZG53" s="312"/>
      <c r="NZH53" s="312"/>
      <c r="NZI53" s="312"/>
      <c r="NZJ53" s="312"/>
      <c r="NZK53" s="312"/>
      <c r="NZL53" s="312"/>
      <c r="NZM53" s="312"/>
      <c r="NZN53" s="312"/>
      <c r="NZO53" s="312"/>
      <c r="NZP53" s="312"/>
      <c r="NZQ53" s="312"/>
      <c r="NZR53" s="312"/>
      <c r="NZS53" s="312"/>
      <c r="NZT53" s="312"/>
      <c r="NZU53" s="312"/>
      <c r="NZV53" s="312"/>
      <c r="NZW53" s="312"/>
      <c r="NZX53" s="312"/>
      <c r="NZY53" s="312"/>
      <c r="NZZ53" s="312"/>
      <c r="OAA53" s="312"/>
      <c r="OAB53" s="312"/>
      <c r="OAC53" s="312"/>
      <c r="OAD53" s="312"/>
      <c r="OAE53" s="312"/>
      <c r="OAF53" s="312"/>
      <c r="OAG53" s="312"/>
      <c r="OAH53" s="312"/>
      <c r="OAI53" s="312"/>
      <c r="OAJ53" s="312"/>
      <c r="OAK53" s="312"/>
      <c r="OAL53" s="312"/>
      <c r="OAM53" s="312"/>
      <c r="OAN53" s="312"/>
      <c r="OAO53" s="312"/>
      <c r="OAP53" s="312"/>
      <c r="OAQ53" s="312"/>
      <c r="OAR53" s="312"/>
      <c r="OAS53" s="312"/>
      <c r="OAT53" s="312"/>
      <c r="OAU53" s="312"/>
      <c r="OAV53" s="312"/>
      <c r="OAW53" s="312"/>
      <c r="OAX53" s="312"/>
      <c r="OAY53" s="312"/>
      <c r="OAZ53" s="312"/>
      <c r="OBA53" s="312"/>
      <c r="OBB53" s="312"/>
      <c r="OBC53" s="312"/>
      <c r="OBD53" s="312"/>
      <c r="OBE53" s="312"/>
      <c r="OBF53" s="312"/>
      <c r="OBG53" s="312"/>
      <c r="OBH53" s="312"/>
      <c r="OBI53" s="312"/>
      <c r="OBJ53" s="312"/>
      <c r="OBK53" s="312"/>
      <c r="OBL53" s="312"/>
      <c r="OBM53" s="312"/>
      <c r="OBN53" s="312"/>
      <c r="OBO53" s="312"/>
      <c r="OBP53" s="312"/>
      <c r="OBQ53" s="312"/>
      <c r="OBR53" s="312"/>
      <c r="OBS53" s="312"/>
      <c r="OBT53" s="312"/>
      <c r="OBU53" s="312"/>
      <c r="OBV53" s="312"/>
      <c r="OBW53" s="312"/>
      <c r="OBX53" s="312"/>
      <c r="OBY53" s="312"/>
      <c r="OBZ53" s="312"/>
      <c r="OCA53" s="312"/>
      <c r="OCB53" s="312"/>
      <c r="OCC53" s="312"/>
      <c r="OCD53" s="312"/>
      <c r="OCE53" s="312"/>
      <c r="OCF53" s="312"/>
      <c r="OCG53" s="312"/>
      <c r="OCH53" s="312"/>
      <c r="OCI53" s="312"/>
      <c r="OCJ53" s="312"/>
      <c r="OCK53" s="312"/>
      <c r="OCL53" s="312"/>
      <c r="OCM53" s="312"/>
      <c r="OCN53" s="312"/>
      <c r="OCO53" s="312"/>
      <c r="OCP53" s="312"/>
      <c r="OCQ53" s="312"/>
      <c r="OCR53" s="312"/>
      <c r="OCS53" s="312"/>
      <c r="OCT53" s="312"/>
      <c r="OCU53" s="312"/>
      <c r="OCV53" s="312"/>
      <c r="OCW53" s="312"/>
      <c r="OCX53" s="312"/>
      <c r="OCY53" s="312"/>
      <c r="OCZ53" s="312"/>
      <c r="ODA53" s="312"/>
      <c r="ODB53" s="312"/>
      <c r="ODC53" s="312"/>
      <c r="ODD53" s="312"/>
      <c r="ODE53" s="312"/>
      <c r="ODF53" s="312"/>
      <c r="ODG53" s="312"/>
      <c r="ODH53" s="312"/>
      <c r="ODI53" s="312"/>
      <c r="ODJ53" s="312"/>
      <c r="ODK53" s="312"/>
      <c r="ODL53" s="312"/>
      <c r="ODM53" s="312"/>
      <c r="ODN53" s="312"/>
      <c r="ODO53" s="312"/>
      <c r="ODP53" s="312"/>
      <c r="ODQ53" s="312"/>
      <c r="ODR53" s="312"/>
      <c r="ODS53" s="312"/>
      <c r="ODT53" s="312"/>
      <c r="ODU53" s="312"/>
      <c r="ODV53" s="312"/>
      <c r="ODW53" s="312"/>
      <c r="ODX53" s="312"/>
      <c r="ODY53" s="312"/>
      <c r="ODZ53" s="312"/>
      <c r="OEA53" s="312"/>
      <c r="OEB53" s="312"/>
      <c r="OEC53" s="312"/>
      <c r="OED53" s="312"/>
      <c r="OEE53" s="312"/>
      <c r="OEF53" s="312"/>
      <c r="OEG53" s="312"/>
      <c r="OEH53" s="312"/>
      <c r="OEI53" s="312"/>
      <c r="OEJ53" s="312"/>
      <c r="OEK53" s="312"/>
      <c r="OEL53" s="312"/>
      <c r="OEM53" s="312"/>
      <c r="OEN53" s="312"/>
      <c r="OEO53" s="312"/>
      <c r="OEP53" s="312"/>
      <c r="OEQ53" s="312"/>
      <c r="OER53" s="312"/>
      <c r="OES53" s="312"/>
      <c r="OET53" s="312"/>
      <c r="OEU53" s="312"/>
      <c r="OEV53" s="312"/>
      <c r="OEW53" s="312"/>
      <c r="OEX53" s="312"/>
      <c r="OEY53" s="312"/>
      <c r="OEZ53" s="312"/>
      <c r="OFA53" s="312"/>
      <c r="OFB53" s="312"/>
      <c r="OFC53" s="312"/>
      <c r="OFD53" s="312"/>
      <c r="OFE53" s="312"/>
      <c r="OFF53" s="312"/>
      <c r="OFG53" s="312"/>
      <c r="OFH53" s="312"/>
      <c r="OFI53" s="312"/>
      <c r="OFJ53" s="312"/>
      <c r="OFK53" s="312"/>
      <c r="OFL53" s="312"/>
      <c r="OFM53" s="312"/>
      <c r="OFN53" s="312"/>
      <c r="OFO53" s="312"/>
      <c r="OFP53" s="312"/>
      <c r="OFQ53" s="312"/>
      <c r="OFR53" s="312"/>
      <c r="OFS53" s="312"/>
      <c r="OFT53" s="312"/>
      <c r="OFU53" s="312"/>
      <c r="OFV53" s="312"/>
      <c r="OFW53" s="312"/>
      <c r="OFX53" s="312"/>
      <c r="OFY53" s="312"/>
      <c r="OFZ53" s="312"/>
      <c r="OGA53" s="312"/>
      <c r="OGB53" s="312"/>
      <c r="OGC53" s="312"/>
      <c r="OGD53" s="312"/>
      <c r="OGE53" s="312"/>
      <c r="OGF53" s="312"/>
      <c r="OGG53" s="312"/>
      <c r="OGH53" s="312"/>
      <c r="OGI53" s="312"/>
      <c r="OGJ53" s="312"/>
      <c r="OGK53" s="312"/>
      <c r="OGL53" s="312"/>
      <c r="OGM53" s="312"/>
      <c r="OGN53" s="312"/>
      <c r="OGO53" s="312"/>
      <c r="OGP53" s="312"/>
      <c r="OGQ53" s="312"/>
      <c r="OGR53" s="312"/>
      <c r="OGS53" s="312"/>
      <c r="OGT53" s="312"/>
      <c r="OGU53" s="312"/>
      <c r="OGV53" s="312"/>
      <c r="OGW53" s="312"/>
      <c r="OGX53" s="312"/>
      <c r="OGY53" s="312"/>
      <c r="OGZ53" s="312"/>
      <c r="OHA53" s="312"/>
      <c r="OHB53" s="312"/>
      <c r="OHC53" s="312"/>
      <c r="OHD53" s="312"/>
      <c r="OHE53" s="312"/>
      <c r="OHF53" s="312"/>
      <c r="OHG53" s="312"/>
      <c r="OHH53" s="312"/>
      <c r="OHI53" s="312"/>
      <c r="OHJ53" s="312"/>
      <c r="OHK53" s="312"/>
      <c r="OHL53" s="312"/>
      <c r="OHM53" s="312"/>
      <c r="OHN53" s="312"/>
      <c r="OHO53" s="312"/>
      <c r="OHP53" s="312"/>
      <c r="OHQ53" s="312"/>
      <c r="OHR53" s="312"/>
      <c r="OHS53" s="312"/>
      <c r="OHT53" s="312"/>
      <c r="OHU53" s="312"/>
      <c r="OHV53" s="312"/>
      <c r="OHW53" s="312"/>
      <c r="OHX53" s="312"/>
      <c r="OHY53" s="312"/>
      <c r="OHZ53" s="312"/>
      <c r="OIA53" s="312"/>
      <c r="OIB53" s="312"/>
      <c r="OIC53" s="312"/>
      <c r="OID53" s="312"/>
      <c r="OIE53" s="312"/>
      <c r="OIF53" s="312"/>
      <c r="OIG53" s="312"/>
      <c r="OIH53" s="312"/>
      <c r="OII53" s="312"/>
      <c r="OIJ53" s="312"/>
      <c r="OIK53" s="312"/>
      <c r="OIL53" s="312"/>
      <c r="OIM53" s="312"/>
      <c r="OIN53" s="312"/>
      <c r="OIO53" s="312"/>
      <c r="OIP53" s="312"/>
      <c r="OIQ53" s="312"/>
      <c r="OIR53" s="312"/>
      <c r="OIS53" s="312"/>
      <c r="OIT53" s="312"/>
      <c r="OIU53" s="312"/>
      <c r="OIV53" s="312"/>
      <c r="OIW53" s="312"/>
      <c r="OIX53" s="312"/>
      <c r="OIY53" s="312"/>
      <c r="OIZ53" s="312"/>
      <c r="OJA53" s="312"/>
      <c r="OJB53" s="312"/>
      <c r="OJC53" s="312"/>
      <c r="OJD53" s="312"/>
      <c r="OJE53" s="312"/>
      <c r="OJF53" s="312"/>
      <c r="OJG53" s="312"/>
      <c r="OJH53" s="312"/>
      <c r="OJI53" s="312"/>
      <c r="OJJ53" s="312"/>
      <c r="OJK53" s="312"/>
      <c r="OJL53" s="312"/>
      <c r="OJM53" s="312"/>
      <c r="OJN53" s="312"/>
      <c r="OJO53" s="312"/>
      <c r="OJP53" s="312"/>
      <c r="OJQ53" s="312"/>
      <c r="OJR53" s="312"/>
      <c r="OJS53" s="312"/>
      <c r="OJT53" s="312"/>
      <c r="OJU53" s="312"/>
      <c r="OJV53" s="312"/>
      <c r="OJW53" s="312"/>
      <c r="OJX53" s="312"/>
      <c r="OJY53" s="312"/>
      <c r="OJZ53" s="312"/>
      <c r="OKA53" s="312"/>
      <c r="OKB53" s="312"/>
      <c r="OKC53" s="312"/>
      <c r="OKD53" s="312"/>
      <c r="OKE53" s="312"/>
      <c r="OKF53" s="312"/>
      <c r="OKG53" s="312"/>
      <c r="OKH53" s="312"/>
      <c r="OKI53" s="312"/>
      <c r="OKJ53" s="312"/>
      <c r="OKK53" s="312"/>
      <c r="OKL53" s="312"/>
      <c r="OKM53" s="312"/>
      <c r="OKN53" s="312"/>
      <c r="OKO53" s="312"/>
      <c r="OKP53" s="312"/>
      <c r="OKQ53" s="312"/>
      <c r="OKR53" s="312"/>
      <c r="OKS53" s="312"/>
      <c r="OKT53" s="312"/>
      <c r="OKU53" s="312"/>
      <c r="OKV53" s="312"/>
      <c r="OKW53" s="312"/>
      <c r="OKX53" s="312"/>
      <c r="OKY53" s="312"/>
      <c r="OKZ53" s="312"/>
      <c r="OLA53" s="312"/>
      <c r="OLB53" s="312"/>
      <c r="OLC53" s="312"/>
      <c r="OLD53" s="312"/>
      <c r="OLE53" s="312"/>
      <c r="OLF53" s="312"/>
      <c r="OLG53" s="312"/>
      <c r="OLH53" s="312"/>
      <c r="OLI53" s="312"/>
      <c r="OLJ53" s="312"/>
      <c r="OLK53" s="312"/>
      <c r="OLL53" s="312"/>
      <c r="OLM53" s="312"/>
      <c r="OLN53" s="312"/>
      <c r="OLO53" s="312"/>
      <c r="OLP53" s="312"/>
      <c r="OLQ53" s="312"/>
      <c r="OLR53" s="312"/>
      <c r="OLS53" s="312"/>
      <c r="OLT53" s="312"/>
      <c r="OLU53" s="312"/>
      <c r="OLV53" s="312"/>
      <c r="OLW53" s="312"/>
      <c r="OLX53" s="312"/>
      <c r="OLY53" s="312"/>
      <c r="OLZ53" s="312"/>
      <c r="OMA53" s="312"/>
      <c r="OMB53" s="312"/>
      <c r="OMC53" s="312"/>
      <c r="OMD53" s="312"/>
      <c r="OME53" s="312"/>
      <c r="OMF53" s="312"/>
      <c r="OMG53" s="312"/>
      <c r="OMH53" s="312"/>
      <c r="OMI53" s="312"/>
      <c r="OMJ53" s="312"/>
      <c r="OMK53" s="312"/>
      <c r="OML53" s="312"/>
      <c r="OMM53" s="312"/>
      <c r="OMN53" s="312"/>
      <c r="OMO53" s="312"/>
      <c r="OMP53" s="312"/>
      <c r="OMQ53" s="312"/>
      <c r="OMR53" s="312"/>
      <c r="OMS53" s="312"/>
      <c r="OMT53" s="312"/>
      <c r="OMU53" s="312"/>
      <c r="OMV53" s="312"/>
      <c r="OMW53" s="312"/>
      <c r="OMX53" s="312"/>
      <c r="OMY53" s="312"/>
      <c r="OMZ53" s="312"/>
      <c r="ONA53" s="312"/>
      <c r="ONB53" s="312"/>
      <c r="ONC53" s="312"/>
      <c r="OND53" s="312"/>
      <c r="ONE53" s="312"/>
      <c r="ONF53" s="312"/>
      <c r="ONG53" s="312"/>
      <c r="ONH53" s="312"/>
      <c r="ONI53" s="312"/>
      <c r="ONJ53" s="312"/>
      <c r="ONK53" s="312"/>
      <c r="ONL53" s="312"/>
      <c r="ONM53" s="312"/>
      <c r="ONN53" s="312"/>
      <c r="ONO53" s="312"/>
      <c r="ONP53" s="312"/>
      <c r="ONQ53" s="312"/>
      <c r="ONR53" s="312"/>
      <c r="ONS53" s="312"/>
      <c r="ONT53" s="312"/>
      <c r="ONU53" s="312"/>
      <c r="ONV53" s="312"/>
      <c r="ONW53" s="312"/>
      <c r="ONX53" s="312"/>
      <c r="ONY53" s="312"/>
      <c r="ONZ53" s="312"/>
      <c r="OOA53" s="312"/>
      <c r="OOB53" s="312"/>
      <c r="OOC53" s="312"/>
      <c r="OOD53" s="312"/>
      <c r="OOE53" s="312"/>
      <c r="OOF53" s="312"/>
      <c r="OOG53" s="312"/>
      <c r="OOH53" s="312"/>
      <c r="OOI53" s="312"/>
      <c r="OOJ53" s="312"/>
      <c r="OOK53" s="312"/>
      <c r="OOL53" s="312"/>
      <c r="OOM53" s="312"/>
      <c r="OON53" s="312"/>
      <c r="OOO53" s="312"/>
      <c r="OOP53" s="312"/>
      <c r="OOQ53" s="312"/>
      <c r="OOR53" s="312"/>
      <c r="OOS53" s="312"/>
      <c r="OOT53" s="312"/>
      <c r="OOU53" s="312"/>
      <c r="OOV53" s="312"/>
      <c r="OOW53" s="312"/>
      <c r="OOX53" s="312"/>
      <c r="OOY53" s="312"/>
      <c r="OOZ53" s="312"/>
      <c r="OPA53" s="312"/>
      <c r="OPB53" s="312"/>
      <c r="OPC53" s="312"/>
      <c r="OPD53" s="312"/>
      <c r="OPE53" s="312"/>
      <c r="OPF53" s="312"/>
      <c r="OPG53" s="312"/>
      <c r="OPH53" s="312"/>
      <c r="OPI53" s="312"/>
      <c r="OPJ53" s="312"/>
      <c r="OPK53" s="312"/>
      <c r="OPL53" s="312"/>
      <c r="OPM53" s="312"/>
      <c r="OPN53" s="312"/>
      <c r="OPO53" s="312"/>
      <c r="OPP53" s="312"/>
      <c r="OPQ53" s="312"/>
      <c r="OPR53" s="312"/>
      <c r="OPS53" s="312"/>
      <c r="OPT53" s="312"/>
      <c r="OPU53" s="312"/>
      <c r="OPV53" s="312"/>
      <c r="OPW53" s="312"/>
      <c r="OPX53" s="312"/>
      <c r="OPY53" s="312"/>
      <c r="OPZ53" s="312"/>
      <c r="OQA53" s="312"/>
      <c r="OQB53" s="312"/>
      <c r="OQC53" s="312"/>
      <c r="OQD53" s="312"/>
      <c r="OQE53" s="312"/>
      <c r="OQF53" s="312"/>
      <c r="OQG53" s="312"/>
      <c r="OQH53" s="312"/>
      <c r="OQI53" s="312"/>
      <c r="OQJ53" s="312"/>
      <c r="OQK53" s="312"/>
      <c r="OQL53" s="312"/>
      <c r="OQM53" s="312"/>
      <c r="OQN53" s="312"/>
      <c r="OQO53" s="312"/>
      <c r="OQP53" s="312"/>
      <c r="OQQ53" s="312"/>
      <c r="OQR53" s="312"/>
      <c r="OQS53" s="312"/>
      <c r="OQT53" s="312"/>
      <c r="OQU53" s="312"/>
      <c r="OQV53" s="312"/>
      <c r="OQW53" s="312"/>
      <c r="OQX53" s="312"/>
      <c r="OQY53" s="312"/>
      <c r="OQZ53" s="312"/>
      <c r="ORA53" s="312"/>
      <c r="ORB53" s="312"/>
      <c r="ORC53" s="312"/>
      <c r="ORD53" s="312"/>
      <c r="ORE53" s="312"/>
      <c r="ORF53" s="312"/>
      <c r="ORG53" s="312"/>
      <c r="ORH53" s="312"/>
      <c r="ORI53" s="312"/>
      <c r="ORJ53" s="312"/>
      <c r="ORK53" s="312"/>
      <c r="ORL53" s="312"/>
      <c r="ORM53" s="312"/>
      <c r="ORN53" s="312"/>
      <c r="ORO53" s="312"/>
      <c r="ORP53" s="312"/>
      <c r="ORQ53" s="312"/>
      <c r="ORR53" s="312"/>
      <c r="ORS53" s="312"/>
      <c r="ORT53" s="312"/>
      <c r="ORU53" s="312"/>
      <c r="ORV53" s="312"/>
      <c r="ORW53" s="312"/>
      <c r="ORX53" s="312"/>
      <c r="ORY53" s="312"/>
      <c r="ORZ53" s="312"/>
      <c r="OSA53" s="312"/>
      <c r="OSB53" s="312"/>
      <c r="OSC53" s="312"/>
      <c r="OSD53" s="312"/>
      <c r="OSE53" s="312"/>
      <c r="OSF53" s="312"/>
      <c r="OSG53" s="312"/>
      <c r="OSH53" s="312"/>
      <c r="OSI53" s="312"/>
      <c r="OSJ53" s="312"/>
      <c r="OSK53" s="312"/>
      <c r="OSL53" s="312"/>
      <c r="OSM53" s="312"/>
      <c r="OSN53" s="312"/>
      <c r="OSO53" s="312"/>
      <c r="OSP53" s="312"/>
      <c r="OSQ53" s="312"/>
      <c r="OSR53" s="312"/>
      <c r="OSS53" s="312"/>
      <c r="OST53" s="312"/>
      <c r="OSU53" s="312"/>
      <c r="OSV53" s="312"/>
      <c r="OSW53" s="312"/>
      <c r="OSX53" s="312"/>
      <c r="OSY53" s="312"/>
      <c r="OSZ53" s="312"/>
      <c r="OTA53" s="312"/>
      <c r="OTB53" s="312"/>
      <c r="OTC53" s="312"/>
      <c r="OTD53" s="312"/>
      <c r="OTE53" s="312"/>
      <c r="OTF53" s="312"/>
      <c r="OTG53" s="312"/>
      <c r="OTH53" s="312"/>
      <c r="OTI53" s="312"/>
      <c r="OTJ53" s="312"/>
      <c r="OTK53" s="312"/>
      <c r="OTL53" s="312"/>
      <c r="OTM53" s="312"/>
      <c r="OTN53" s="312"/>
      <c r="OTO53" s="312"/>
      <c r="OTP53" s="312"/>
      <c r="OTQ53" s="312"/>
      <c r="OTR53" s="312"/>
      <c r="OTS53" s="312"/>
      <c r="OTT53" s="312"/>
      <c r="OTU53" s="312"/>
      <c r="OTV53" s="312"/>
      <c r="OTW53" s="312"/>
      <c r="OTX53" s="312"/>
      <c r="OTY53" s="312"/>
      <c r="OTZ53" s="312"/>
      <c r="OUA53" s="312"/>
      <c r="OUB53" s="312"/>
      <c r="OUC53" s="312"/>
      <c r="OUD53" s="312"/>
      <c r="OUE53" s="312"/>
      <c r="OUF53" s="312"/>
      <c r="OUG53" s="312"/>
      <c r="OUH53" s="312"/>
      <c r="OUI53" s="312"/>
      <c r="OUJ53" s="312"/>
      <c r="OUK53" s="312"/>
      <c r="OUL53" s="312"/>
      <c r="OUM53" s="312"/>
      <c r="OUN53" s="312"/>
      <c r="OUO53" s="312"/>
      <c r="OUP53" s="312"/>
      <c r="OUQ53" s="312"/>
      <c r="OUR53" s="312"/>
      <c r="OUS53" s="312"/>
      <c r="OUT53" s="312"/>
      <c r="OUU53" s="312"/>
      <c r="OUV53" s="312"/>
      <c r="OUW53" s="312"/>
      <c r="OUX53" s="312"/>
      <c r="OUY53" s="312"/>
      <c r="OUZ53" s="312"/>
      <c r="OVA53" s="312"/>
      <c r="OVB53" s="312"/>
      <c r="OVC53" s="312"/>
      <c r="OVD53" s="312"/>
      <c r="OVE53" s="312"/>
      <c r="OVF53" s="312"/>
      <c r="OVG53" s="312"/>
      <c r="OVH53" s="312"/>
      <c r="OVI53" s="312"/>
      <c r="OVJ53" s="312"/>
      <c r="OVK53" s="312"/>
      <c r="OVL53" s="312"/>
      <c r="OVM53" s="312"/>
      <c r="OVN53" s="312"/>
      <c r="OVO53" s="312"/>
      <c r="OVP53" s="312"/>
      <c r="OVQ53" s="312"/>
      <c r="OVR53" s="312"/>
      <c r="OVS53" s="312"/>
      <c r="OVT53" s="312"/>
      <c r="OVU53" s="312"/>
      <c r="OVV53" s="312"/>
      <c r="OVW53" s="312"/>
      <c r="OVX53" s="312"/>
      <c r="OVY53" s="312"/>
      <c r="OVZ53" s="312"/>
      <c r="OWA53" s="312"/>
      <c r="OWB53" s="312"/>
      <c r="OWC53" s="312"/>
      <c r="OWD53" s="312"/>
      <c r="OWE53" s="312"/>
      <c r="OWF53" s="312"/>
      <c r="OWG53" s="312"/>
      <c r="OWH53" s="312"/>
      <c r="OWI53" s="312"/>
      <c r="OWJ53" s="312"/>
      <c r="OWK53" s="312"/>
      <c r="OWL53" s="312"/>
      <c r="OWM53" s="312"/>
      <c r="OWN53" s="312"/>
      <c r="OWO53" s="312"/>
      <c r="OWP53" s="312"/>
      <c r="OWQ53" s="312"/>
      <c r="OWR53" s="312"/>
      <c r="OWS53" s="312"/>
      <c r="OWT53" s="312"/>
      <c r="OWU53" s="312"/>
      <c r="OWV53" s="312"/>
      <c r="OWW53" s="312"/>
      <c r="OWX53" s="312"/>
      <c r="OWY53" s="312"/>
      <c r="OWZ53" s="312"/>
      <c r="OXA53" s="312"/>
      <c r="OXB53" s="312"/>
      <c r="OXC53" s="312"/>
      <c r="OXD53" s="312"/>
      <c r="OXE53" s="312"/>
      <c r="OXF53" s="312"/>
      <c r="OXG53" s="312"/>
      <c r="OXH53" s="312"/>
      <c r="OXI53" s="312"/>
      <c r="OXJ53" s="312"/>
      <c r="OXK53" s="312"/>
      <c r="OXL53" s="312"/>
      <c r="OXM53" s="312"/>
      <c r="OXN53" s="312"/>
      <c r="OXO53" s="312"/>
      <c r="OXP53" s="312"/>
      <c r="OXQ53" s="312"/>
      <c r="OXR53" s="312"/>
      <c r="OXS53" s="312"/>
      <c r="OXT53" s="312"/>
      <c r="OXU53" s="312"/>
      <c r="OXV53" s="312"/>
      <c r="OXW53" s="312"/>
      <c r="OXX53" s="312"/>
      <c r="OXY53" s="312"/>
      <c r="OXZ53" s="312"/>
      <c r="OYA53" s="312"/>
      <c r="OYB53" s="312"/>
      <c r="OYC53" s="312"/>
      <c r="OYD53" s="312"/>
      <c r="OYE53" s="312"/>
      <c r="OYF53" s="312"/>
      <c r="OYG53" s="312"/>
      <c r="OYH53" s="312"/>
      <c r="OYI53" s="312"/>
      <c r="OYJ53" s="312"/>
      <c r="OYK53" s="312"/>
      <c r="OYL53" s="312"/>
      <c r="OYM53" s="312"/>
      <c r="OYN53" s="312"/>
      <c r="OYO53" s="312"/>
      <c r="OYP53" s="312"/>
      <c r="OYQ53" s="312"/>
      <c r="OYR53" s="312"/>
      <c r="OYS53" s="312"/>
      <c r="OYT53" s="312"/>
      <c r="OYU53" s="312"/>
      <c r="OYV53" s="312"/>
      <c r="OYW53" s="312"/>
      <c r="OYX53" s="312"/>
      <c r="OYY53" s="312"/>
      <c r="OYZ53" s="312"/>
      <c r="OZA53" s="312"/>
      <c r="OZB53" s="312"/>
      <c r="OZC53" s="312"/>
      <c r="OZD53" s="312"/>
      <c r="OZE53" s="312"/>
      <c r="OZF53" s="312"/>
      <c r="OZG53" s="312"/>
      <c r="OZH53" s="312"/>
      <c r="OZI53" s="312"/>
      <c r="OZJ53" s="312"/>
      <c r="OZK53" s="312"/>
      <c r="OZL53" s="312"/>
      <c r="OZM53" s="312"/>
      <c r="OZN53" s="312"/>
      <c r="OZO53" s="312"/>
      <c r="OZP53" s="312"/>
      <c r="OZQ53" s="312"/>
      <c r="OZR53" s="312"/>
      <c r="OZS53" s="312"/>
      <c r="OZT53" s="312"/>
      <c r="OZU53" s="312"/>
      <c r="OZV53" s="312"/>
      <c r="OZW53" s="312"/>
      <c r="OZX53" s="312"/>
      <c r="OZY53" s="312"/>
      <c r="OZZ53" s="312"/>
      <c r="PAA53" s="312"/>
      <c r="PAB53" s="312"/>
      <c r="PAC53" s="312"/>
      <c r="PAD53" s="312"/>
      <c r="PAE53" s="312"/>
      <c r="PAF53" s="312"/>
      <c r="PAG53" s="312"/>
      <c r="PAH53" s="312"/>
      <c r="PAI53" s="312"/>
      <c r="PAJ53" s="312"/>
      <c r="PAK53" s="312"/>
      <c r="PAL53" s="312"/>
      <c r="PAM53" s="312"/>
      <c r="PAN53" s="312"/>
      <c r="PAO53" s="312"/>
      <c r="PAP53" s="312"/>
      <c r="PAQ53" s="312"/>
      <c r="PAR53" s="312"/>
      <c r="PAS53" s="312"/>
      <c r="PAT53" s="312"/>
      <c r="PAU53" s="312"/>
      <c r="PAV53" s="312"/>
      <c r="PAW53" s="312"/>
      <c r="PAX53" s="312"/>
      <c r="PAY53" s="312"/>
      <c r="PAZ53" s="312"/>
      <c r="PBA53" s="312"/>
      <c r="PBB53" s="312"/>
      <c r="PBC53" s="312"/>
      <c r="PBD53" s="312"/>
      <c r="PBE53" s="312"/>
      <c r="PBF53" s="312"/>
      <c r="PBG53" s="312"/>
      <c r="PBH53" s="312"/>
      <c r="PBI53" s="312"/>
      <c r="PBJ53" s="312"/>
      <c r="PBK53" s="312"/>
      <c r="PBL53" s="312"/>
      <c r="PBM53" s="312"/>
      <c r="PBN53" s="312"/>
      <c r="PBO53" s="312"/>
      <c r="PBP53" s="312"/>
      <c r="PBQ53" s="312"/>
      <c r="PBR53" s="312"/>
      <c r="PBS53" s="312"/>
      <c r="PBT53" s="312"/>
      <c r="PBU53" s="312"/>
      <c r="PBV53" s="312"/>
      <c r="PBW53" s="312"/>
      <c r="PBX53" s="312"/>
      <c r="PBY53" s="312"/>
      <c r="PBZ53" s="312"/>
      <c r="PCA53" s="312"/>
      <c r="PCB53" s="312"/>
      <c r="PCC53" s="312"/>
      <c r="PCD53" s="312"/>
      <c r="PCE53" s="312"/>
      <c r="PCF53" s="312"/>
      <c r="PCG53" s="312"/>
      <c r="PCH53" s="312"/>
      <c r="PCI53" s="312"/>
      <c r="PCJ53" s="312"/>
      <c r="PCK53" s="312"/>
      <c r="PCL53" s="312"/>
      <c r="PCM53" s="312"/>
      <c r="PCN53" s="312"/>
      <c r="PCO53" s="312"/>
      <c r="PCP53" s="312"/>
      <c r="PCQ53" s="312"/>
      <c r="PCR53" s="312"/>
      <c r="PCS53" s="312"/>
      <c r="PCT53" s="312"/>
      <c r="PCU53" s="312"/>
      <c r="PCV53" s="312"/>
      <c r="PCW53" s="312"/>
      <c r="PCX53" s="312"/>
      <c r="PCY53" s="312"/>
      <c r="PCZ53" s="312"/>
      <c r="PDA53" s="312"/>
      <c r="PDB53" s="312"/>
      <c r="PDC53" s="312"/>
      <c r="PDD53" s="312"/>
      <c r="PDE53" s="312"/>
      <c r="PDF53" s="312"/>
      <c r="PDG53" s="312"/>
      <c r="PDH53" s="312"/>
      <c r="PDI53" s="312"/>
      <c r="PDJ53" s="312"/>
      <c r="PDK53" s="312"/>
      <c r="PDL53" s="312"/>
      <c r="PDM53" s="312"/>
      <c r="PDN53" s="312"/>
      <c r="PDO53" s="312"/>
      <c r="PDP53" s="312"/>
      <c r="PDQ53" s="312"/>
      <c r="PDR53" s="312"/>
      <c r="PDS53" s="312"/>
      <c r="PDT53" s="312"/>
      <c r="PDU53" s="312"/>
      <c r="PDV53" s="312"/>
      <c r="PDW53" s="312"/>
      <c r="PDX53" s="312"/>
      <c r="PDY53" s="312"/>
      <c r="PDZ53" s="312"/>
      <c r="PEA53" s="312"/>
      <c r="PEB53" s="312"/>
      <c r="PEC53" s="312"/>
      <c r="PED53" s="312"/>
      <c r="PEE53" s="312"/>
      <c r="PEF53" s="312"/>
      <c r="PEG53" s="312"/>
      <c r="PEH53" s="312"/>
      <c r="PEI53" s="312"/>
      <c r="PEJ53" s="312"/>
      <c r="PEK53" s="312"/>
      <c r="PEL53" s="312"/>
      <c r="PEM53" s="312"/>
      <c r="PEN53" s="312"/>
      <c r="PEO53" s="312"/>
      <c r="PEP53" s="312"/>
      <c r="PEQ53" s="312"/>
      <c r="PER53" s="312"/>
      <c r="PES53" s="312"/>
      <c r="PET53" s="312"/>
      <c r="PEU53" s="312"/>
      <c r="PEV53" s="312"/>
      <c r="PEW53" s="312"/>
      <c r="PEX53" s="312"/>
      <c r="PEY53" s="312"/>
      <c r="PEZ53" s="312"/>
      <c r="PFA53" s="312"/>
      <c r="PFB53" s="312"/>
      <c r="PFC53" s="312"/>
      <c r="PFD53" s="312"/>
      <c r="PFE53" s="312"/>
      <c r="PFF53" s="312"/>
      <c r="PFG53" s="312"/>
      <c r="PFH53" s="312"/>
      <c r="PFI53" s="312"/>
      <c r="PFJ53" s="312"/>
      <c r="PFK53" s="312"/>
      <c r="PFL53" s="312"/>
      <c r="PFM53" s="312"/>
      <c r="PFN53" s="312"/>
      <c r="PFO53" s="312"/>
      <c r="PFP53" s="312"/>
      <c r="PFQ53" s="312"/>
      <c r="PFR53" s="312"/>
      <c r="PFS53" s="312"/>
      <c r="PFT53" s="312"/>
      <c r="PFU53" s="312"/>
      <c r="PFV53" s="312"/>
      <c r="PFW53" s="312"/>
      <c r="PFX53" s="312"/>
      <c r="PFY53" s="312"/>
      <c r="PFZ53" s="312"/>
      <c r="PGA53" s="312"/>
      <c r="PGB53" s="312"/>
      <c r="PGC53" s="312"/>
      <c r="PGD53" s="312"/>
      <c r="PGE53" s="312"/>
      <c r="PGF53" s="312"/>
      <c r="PGG53" s="312"/>
      <c r="PGH53" s="312"/>
      <c r="PGI53" s="312"/>
      <c r="PGJ53" s="312"/>
      <c r="PGK53" s="312"/>
      <c r="PGL53" s="312"/>
      <c r="PGM53" s="312"/>
      <c r="PGN53" s="312"/>
      <c r="PGO53" s="312"/>
      <c r="PGP53" s="312"/>
      <c r="PGQ53" s="312"/>
      <c r="PGR53" s="312"/>
      <c r="PGS53" s="312"/>
      <c r="PGT53" s="312"/>
      <c r="PGU53" s="312"/>
      <c r="PGV53" s="312"/>
      <c r="PGW53" s="312"/>
      <c r="PGX53" s="312"/>
      <c r="PGY53" s="312"/>
      <c r="PGZ53" s="312"/>
      <c r="PHA53" s="312"/>
      <c r="PHB53" s="312"/>
      <c r="PHC53" s="312"/>
      <c r="PHD53" s="312"/>
      <c r="PHE53" s="312"/>
      <c r="PHF53" s="312"/>
      <c r="PHG53" s="312"/>
      <c r="PHH53" s="312"/>
      <c r="PHI53" s="312"/>
      <c r="PHJ53" s="312"/>
      <c r="PHK53" s="312"/>
      <c r="PHL53" s="312"/>
      <c r="PHM53" s="312"/>
      <c r="PHN53" s="312"/>
      <c r="PHO53" s="312"/>
      <c r="PHP53" s="312"/>
      <c r="PHQ53" s="312"/>
      <c r="PHR53" s="312"/>
      <c r="PHS53" s="312"/>
      <c r="PHT53" s="312"/>
      <c r="PHU53" s="312"/>
      <c r="PHV53" s="312"/>
      <c r="PHW53" s="312"/>
      <c r="PHX53" s="312"/>
      <c r="PHY53" s="312"/>
      <c r="PHZ53" s="312"/>
      <c r="PIA53" s="312"/>
      <c r="PIB53" s="312"/>
      <c r="PIC53" s="312"/>
      <c r="PID53" s="312"/>
      <c r="PIE53" s="312"/>
      <c r="PIF53" s="312"/>
      <c r="PIG53" s="312"/>
      <c r="PIH53" s="312"/>
      <c r="PII53" s="312"/>
      <c r="PIJ53" s="312"/>
      <c r="PIK53" s="312"/>
      <c r="PIL53" s="312"/>
      <c r="PIM53" s="312"/>
      <c r="PIN53" s="312"/>
      <c r="PIO53" s="312"/>
      <c r="PIP53" s="312"/>
      <c r="PIQ53" s="312"/>
      <c r="PIR53" s="312"/>
      <c r="PIS53" s="312"/>
      <c r="PIT53" s="312"/>
      <c r="PIU53" s="312"/>
      <c r="PIV53" s="312"/>
      <c r="PIW53" s="312"/>
      <c r="PIX53" s="312"/>
      <c r="PIY53" s="312"/>
      <c r="PIZ53" s="312"/>
      <c r="PJA53" s="312"/>
      <c r="PJB53" s="312"/>
      <c r="PJC53" s="312"/>
      <c r="PJD53" s="312"/>
      <c r="PJE53" s="312"/>
      <c r="PJF53" s="312"/>
      <c r="PJG53" s="312"/>
      <c r="PJH53" s="312"/>
      <c r="PJI53" s="312"/>
      <c r="PJJ53" s="312"/>
      <c r="PJK53" s="312"/>
      <c r="PJL53" s="312"/>
      <c r="PJM53" s="312"/>
      <c r="PJN53" s="312"/>
      <c r="PJO53" s="312"/>
      <c r="PJP53" s="312"/>
      <c r="PJQ53" s="312"/>
      <c r="PJR53" s="312"/>
      <c r="PJS53" s="312"/>
      <c r="PJT53" s="312"/>
      <c r="PJU53" s="312"/>
      <c r="PJV53" s="312"/>
      <c r="PJW53" s="312"/>
      <c r="PJX53" s="312"/>
      <c r="PJY53" s="312"/>
      <c r="PJZ53" s="312"/>
      <c r="PKA53" s="312"/>
      <c r="PKB53" s="312"/>
      <c r="PKC53" s="312"/>
      <c r="PKD53" s="312"/>
      <c r="PKE53" s="312"/>
      <c r="PKF53" s="312"/>
      <c r="PKG53" s="312"/>
      <c r="PKH53" s="312"/>
      <c r="PKI53" s="312"/>
      <c r="PKJ53" s="312"/>
      <c r="PKK53" s="312"/>
      <c r="PKL53" s="312"/>
      <c r="PKM53" s="312"/>
      <c r="PKN53" s="312"/>
      <c r="PKO53" s="312"/>
      <c r="PKP53" s="312"/>
      <c r="PKQ53" s="312"/>
      <c r="PKR53" s="312"/>
      <c r="PKS53" s="312"/>
      <c r="PKT53" s="312"/>
      <c r="PKU53" s="312"/>
      <c r="PKV53" s="312"/>
      <c r="PKW53" s="312"/>
      <c r="PKX53" s="312"/>
      <c r="PKY53" s="312"/>
      <c r="PKZ53" s="312"/>
      <c r="PLA53" s="312"/>
      <c r="PLB53" s="312"/>
      <c r="PLC53" s="312"/>
      <c r="PLD53" s="312"/>
      <c r="PLE53" s="312"/>
      <c r="PLF53" s="312"/>
      <c r="PLG53" s="312"/>
      <c r="PLH53" s="312"/>
      <c r="PLI53" s="312"/>
      <c r="PLJ53" s="312"/>
      <c r="PLK53" s="312"/>
      <c r="PLL53" s="312"/>
      <c r="PLM53" s="312"/>
      <c r="PLN53" s="312"/>
      <c r="PLO53" s="312"/>
      <c r="PLP53" s="312"/>
      <c r="PLQ53" s="312"/>
      <c r="PLR53" s="312"/>
      <c r="PLS53" s="312"/>
      <c r="PLT53" s="312"/>
      <c r="PLU53" s="312"/>
      <c r="PLV53" s="312"/>
      <c r="PLW53" s="312"/>
      <c r="PLX53" s="312"/>
      <c r="PLY53" s="312"/>
      <c r="PLZ53" s="312"/>
      <c r="PMA53" s="312"/>
      <c r="PMB53" s="312"/>
      <c r="PMC53" s="312"/>
      <c r="PMD53" s="312"/>
      <c r="PME53" s="312"/>
      <c r="PMF53" s="312"/>
      <c r="PMG53" s="312"/>
      <c r="PMH53" s="312"/>
      <c r="PMI53" s="312"/>
      <c r="PMJ53" s="312"/>
      <c r="PMK53" s="312"/>
      <c r="PML53" s="312"/>
      <c r="PMM53" s="312"/>
      <c r="PMN53" s="312"/>
      <c r="PMO53" s="312"/>
      <c r="PMP53" s="312"/>
      <c r="PMQ53" s="312"/>
      <c r="PMR53" s="312"/>
      <c r="PMS53" s="312"/>
      <c r="PMT53" s="312"/>
      <c r="PMU53" s="312"/>
      <c r="PMV53" s="312"/>
      <c r="PMW53" s="312"/>
      <c r="PMX53" s="312"/>
      <c r="PMY53" s="312"/>
      <c r="PMZ53" s="312"/>
      <c r="PNA53" s="312"/>
      <c r="PNB53" s="312"/>
      <c r="PNC53" s="312"/>
      <c r="PND53" s="312"/>
      <c r="PNE53" s="312"/>
      <c r="PNF53" s="312"/>
      <c r="PNG53" s="312"/>
      <c r="PNH53" s="312"/>
      <c r="PNI53" s="312"/>
      <c r="PNJ53" s="312"/>
      <c r="PNK53" s="312"/>
      <c r="PNL53" s="312"/>
      <c r="PNM53" s="312"/>
      <c r="PNN53" s="312"/>
      <c r="PNO53" s="312"/>
      <c r="PNP53" s="312"/>
      <c r="PNQ53" s="312"/>
      <c r="PNR53" s="312"/>
      <c r="PNS53" s="312"/>
      <c r="PNT53" s="312"/>
      <c r="PNU53" s="312"/>
      <c r="PNV53" s="312"/>
      <c r="PNW53" s="312"/>
      <c r="PNX53" s="312"/>
      <c r="PNY53" s="312"/>
      <c r="PNZ53" s="312"/>
      <c r="POA53" s="312"/>
      <c r="POB53" s="312"/>
      <c r="POC53" s="312"/>
      <c r="POD53" s="312"/>
      <c r="POE53" s="312"/>
      <c r="POF53" s="312"/>
      <c r="POG53" s="312"/>
      <c r="POH53" s="312"/>
      <c r="POI53" s="312"/>
      <c r="POJ53" s="312"/>
      <c r="POK53" s="312"/>
      <c r="POL53" s="312"/>
      <c r="POM53" s="312"/>
      <c r="PON53" s="312"/>
      <c r="POO53" s="312"/>
      <c r="POP53" s="312"/>
      <c r="POQ53" s="312"/>
      <c r="POR53" s="312"/>
      <c r="POS53" s="312"/>
      <c r="POT53" s="312"/>
      <c r="POU53" s="312"/>
      <c r="POV53" s="312"/>
      <c r="POW53" s="312"/>
      <c r="POX53" s="312"/>
      <c r="POY53" s="312"/>
      <c r="POZ53" s="312"/>
      <c r="PPA53" s="312"/>
      <c r="PPB53" s="312"/>
      <c r="PPC53" s="312"/>
      <c r="PPD53" s="312"/>
      <c r="PPE53" s="312"/>
      <c r="PPF53" s="312"/>
      <c r="PPG53" s="312"/>
      <c r="PPH53" s="312"/>
      <c r="PPI53" s="312"/>
      <c r="PPJ53" s="312"/>
      <c r="PPK53" s="312"/>
      <c r="PPL53" s="312"/>
      <c r="PPM53" s="312"/>
      <c r="PPN53" s="312"/>
      <c r="PPO53" s="312"/>
      <c r="PPP53" s="312"/>
      <c r="PPQ53" s="312"/>
      <c r="PPR53" s="312"/>
      <c r="PPS53" s="312"/>
      <c r="PPT53" s="312"/>
      <c r="PPU53" s="312"/>
      <c r="PPV53" s="312"/>
      <c r="PPW53" s="312"/>
      <c r="PPX53" s="312"/>
      <c r="PPY53" s="312"/>
      <c r="PPZ53" s="312"/>
      <c r="PQA53" s="312"/>
      <c r="PQB53" s="312"/>
      <c r="PQC53" s="312"/>
      <c r="PQD53" s="312"/>
      <c r="PQE53" s="312"/>
      <c r="PQF53" s="312"/>
      <c r="PQG53" s="312"/>
      <c r="PQH53" s="312"/>
      <c r="PQI53" s="312"/>
      <c r="PQJ53" s="312"/>
      <c r="PQK53" s="312"/>
      <c r="PQL53" s="312"/>
      <c r="PQM53" s="312"/>
      <c r="PQN53" s="312"/>
      <c r="PQO53" s="312"/>
      <c r="PQP53" s="312"/>
      <c r="PQQ53" s="312"/>
      <c r="PQR53" s="312"/>
      <c r="PQS53" s="312"/>
      <c r="PQT53" s="312"/>
      <c r="PQU53" s="312"/>
      <c r="PQV53" s="312"/>
      <c r="PQW53" s="312"/>
      <c r="PQX53" s="312"/>
      <c r="PQY53" s="312"/>
      <c r="PQZ53" s="312"/>
      <c r="PRA53" s="312"/>
      <c r="PRB53" s="312"/>
      <c r="PRC53" s="312"/>
      <c r="PRD53" s="312"/>
      <c r="PRE53" s="312"/>
      <c r="PRF53" s="312"/>
      <c r="PRG53" s="312"/>
      <c r="PRH53" s="312"/>
      <c r="PRI53" s="312"/>
      <c r="PRJ53" s="312"/>
      <c r="PRK53" s="312"/>
      <c r="PRL53" s="312"/>
      <c r="PRM53" s="312"/>
      <c r="PRN53" s="312"/>
      <c r="PRO53" s="312"/>
      <c r="PRP53" s="312"/>
      <c r="PRQ53" s="312"/>
      <c r="PRR53" s="312"/>
      <c r="PRS53" s="312"/>
      <c r="PRT53" s="312"/>
      <c r="PRU53" s="312"/>
      <c r="PRV53" s="312"/>
      <c r="PRW53" s="312"/>
      <c r="PRX53" s="312"/>
      <c r="PRY53" s="312"/>
      <c r="PRZ53" s="312"/>
      <c r="PSA53" s="312"/>
      <c r="PSB53" s="312"/>
      <c r="PSC53" s="312"/>
      <c r="PSD53" s="312"/>
      <c r="PSE53" s="312"/>
      <c r="PSF53" s="312"/>
      <c r="PSG53" s="312"/>
      <c r="PSH53" s="312"/>
      <c r="PSI53" s="312"/>
      <c r="PSJ53" s="312"/>
      <c r="PSK53" s="312"/>
      <c r="PSL53" s="312"/>
      <c r="PSM53" s="312"/>
      <c r="PSN53" s="312"/>
      <c r="PSO53" s="312"/>
      <c r="PSP53" s="312"/>
      <c r="PSQ53" s="312"/>
      <c r="PSR53" s="312"/>
      <c r="PSS53" s="312"/>
      <c r="PST53" s="312"/>
      <c r="PSU53" s="312"/>
      <c r="PSV53" s="312"/>
      <c r="PSW53" s="312"/>
      <c r="PSX53" s="312"/>
      <c r="PSY53" s="312"/>
      <c r="PSZ53" s="312"/>
      <c r="PTA53" s="312"/>
      <c r="PTB53" s="312"/>
      <c r="PTC53" s="312"/>
      <c r="PTD53" s="312"/>
      <c r="PTE53" s="312"/>
      <c r="PTF53" s="312"/>
      <c r="PTG53" s="312"/>
      <c r="PTH53" s="312"/>
      <c r="PTI53" s="312"/>
      <c r="PTJ53" s="312"/>
      <c r="PTK53" s="312"/>
      <c r="PTL53" s="312"/>
      <c r="PTM53" s="312"/>
      <c r="PTN53" s="312"/>
      <c r="PTO53" s="312"/>
      <c r="PTP53" s="312"/>
      <c r="PTQ53" s="312"/>
      <c r="PTR53" s="312"/>
      <c r="PTS53" s="312"/>
      <c r="PTT53" s="312"/>
      <c r="PTU53" s="312"/>
      <c r="PTV53" s="312"/>
      <c r="PTW53" s="312"/>
      <c r="PTX53" s="312"/>
      <c r="PTY53" s="312"/>
      <c r="PTZ53" s="312"/>
      <c r="PUA53" s="312"/>
      <c r="PUB53" s="312"/>
      <c r="PUC53" s="312"/>
      <c r="PUD53" s="312"/>
      <c r="PUE53" s="312"/>
      <c r="PUF53" s="312"/>
      <c r="PUG53" s="312"/>
      <c r="PUH53" s="312"/>
      <c r="PUI53" s="312"/>
      <c r="PUJ53" s="312"/>
      <c r="PUK53" s="312"/>
      <c r="PUL53" s="312"/>
      <c r="PUM53" s="312"/>
      <c r="PUN53" s="312"/>
      <c r="PUO53" s="312"/>
      <c r="PUP53" s="312"/>
      <c r="PUQ53" s="312"/>
      <c r="PUR53" s="312"/>
      <c r="PUS53" s="312"/>
      <c r="PUT53" s="312"/>
      <c r="PUU53" s="312"/>
      <c r="PUV53" s="312"/>
      <c r="PUW53" s="312"/>
      <c r="PUX53" s="312"/>
      <c r="PUY53" s="312"/>
      <c r="PUZ53" s="312"/>
      <c r="PVA53" s="312"/>
      <c r="PVB53" s="312"/>
      <c r="PVC53" s="312"/>
      <c r="PVD53" s="312"/>
      <c r="PVE53" s="312"/>
      <c r="PVF53" s="312"/>
      <c r="PVG53" s="312"/>
      <c r="PVH53" s="312"/>
      <c r="PVI53" s="312"/>
      <c r="PVJ53" s="312"/>
      <c r="PVK53" s="312"/>
      <c r="PVL53" s="312"/>
      <c r="PVM53" s="312"/>
      <c r="PVN53" s="312"/>
      <c r="PVO53" s="312"/>
      <c r="PVP53" s="312"/>
      <c r="PVQ53" s="312"/>
      <c r="PVR53" s="312"/>
      <c r="PVS53" s="312"/>
      <c r="PVT53" s="312"/>
      <c r="PVU53" s="312"/>
      <c r="PVV53" s="312"/>
      <c r="PVW53" s="312"/>
      <c r="PVX53" s="312"/>
      <c r="PVY53" s="312"/>
      <c r="PVZ53" s="312"/>
      <c r="PWA53" s="312"/>
      <c r="PWB53" s="312"/>
      <c r="PWC53" s="312"/>
      <c r="PWD53" s="312"/>
      <c r="PWE53" s="312"/>
      <c r="PWF53" s="312"/>
      <c r="PWG53" s="312"/>
      <c r="PWH53" s="312"/>
      <c r="PWI53" s="312"/>
      <c r="PWJ53" s="312"/>
      <c r="PWK53" s="312"/>
      <c r="PWL53" s="312"/>
      <c r="PWM53" s="312"/>
      <c r="PWN53" s="312"/>
      <c r="PWO53" s="312"/>
      <c r="PWP53" s="312"/>
      <c r="PWQ53" s="312"/>
      <c r="PWR53" s="312"/>
      <c r="PWS53" s="312"/>
      <c r="PWT53" s="312"/>
      <c r="PWU53" s="312"/>
      <c r="PWV53" s="312"/>
      <c r="PWW53" s="312"/>
      <c r="PWX53" s="312"/>
      <c r="PWY53" s="312"/>
      <c r="PWZ53" s="312"/>
      <c r="PXA53" s="312"/>
      <c r="PXB53" s="312"/>
      <c r="PXC53" s="312"/>
      <c r="PXD53" s="312"/>
      <c r="PXE53" s="312"/>
      <c r="PXF53" s="312"/>
      <c r="PXG53" s="312"/>
      <c r="PXH53" s="312"/>
      <c r="PXI53" s="312"/>
      <c r="PXJ53" s="312"/>
      <c r="PXK53" s="312"/>
      <c r="PXL53" s="312"/>
      <c r="PXM53" s="312"/>
      <c r="PXN53" s="312"/>
      <c r="PXO53" s="312"/>
      <c r="PXP53" s="312"/>
      <c r="PXQ53" s="312"/>
      <c r="PXR53" s="312"/>
      <c r="PXS53" s="312"/>
      <c r="PXT53" s="312"/>
      <c r="PXU53" s="312"/>
      <c r="PXV53" s="312"/>
      <c r="PXW53" s="312"/>
      <c r="PXX53" s="312"/>
      <c r="PXY53" s="312"/>
      <c r="PXZ53" s="312"/>
      <c r="PYA53" s="312"/>
      <c r="PYB53" s="312"/>
      <c r="PYC53" s="312"/>
      <c r="PYD53" s="312"/>
      <c r="PYE53" s="312"/>
      <c r="PYF53" s="312"/>
      <c r="PYG53" s="312"/>
      <c r="PYH53" s="312"/>
      <c r="PYI53" s="312"/>
      <c r="PYJ53" s="312"/>
      <c r="PYK53" s="312"/>
      <c r="PYL53" s="312"/>
      <c r="PYM53" s="312"/>
      <c r="PYN53" s="312"/>
      <c r="PYO53" s="312"/>
      <c r="PYP53" s="312"/>
      <c r="PYQ53" s="312"/>
      <c r="PYR53" s="312"/>
      <c r="PYS53" s="312"/>
      <c r="PYT53" s="312"/>
      <c r="PYU53" s="312"/>
      <c r="PYV53" s="312"/>
      <c r="PYW53" s="312"/>
      <c r="PYX53" s="312"/>
      <c r="PYY53" s="312"/>
      <c r="PYZ53" s="312"/>
      <c r="PZA53" s="312"/>
      <c r="PZB53" s="312"/>
      <c r="PZC53" s="312"/>
      <c r="PZD53" s="312"/>
      <c r="PZE53" s="312"/>
      <c r="PZF53" s="312"/>
      <c r="PZG53" s="312"/>
      <c r="PZH53" s="312"/>
      <c r="PZI53" s="312"/>
      <c r="PZJ53" s="312"/>
      <c r="PZK53" s="312"/>
      <c r="PZL53" s="312"/>
      <c r="PZM53" s="312"/>
      <c r="PZN53" s="312"/>
      <c r="PZO53" s="312"/>
      <c r="PZP53" s="312"/>
      <c r="PZQ53" s="312"/>
      <c r="PZR53" s="312"/>
      <c r="PZS53" s="312"/>
      <c r="PZT53" s="312"/>
      <c r="PZU53" s="312"/>
      <c r="PZV53" s="312"/>
      <c r="PZW53" s="312"/>
      <c r="PZX53" s="312"/>
      <c r="PZY53" s="312"/>
      <c r="PZZ53" s="312"/>
      <c r="QAA53" s="312"/>
      <c r="QAB53" s="312"/>
      <c r="QAC53" s="312"/>
      <c r="QAD53" s="312"/>
      <c r="QAE53" s="312"/>
      <c r="QAF53" s="312"/>
      <c r="QAG53" s="312"/>
      <c r="QAH53" s="312"/>
      <c r="QAI53" s="312"/>
      <c r="QAJ53" s="312"/>
      <c r="QAK53" s="312"/>
      <c r="QAL53" s="312"/>
      <c r="QAM53" s="312"/>
      <c r="QAN53" s="312"/>
      <c r="QAO53" s="312"/>
      <c r="QAP53" s="312"/>
      <c r="QAQ53" s="312"/>
      <c r="QAR53" s="312"/>
      <c r="QAS53" s="312"/>
      <c r="QAT53" s="312"/>
      <c r="QAU53" s="312"/>
      <c r="QAV53" s="312"/>
      <c r="QAW53" s="312"/>
      <c r="QAX53" s="312"/>
      <c r="QAY53" s="312"/>
      <c r="QAZ53" s="312"/>
      <c r="QBA53" s="312"/>
      <c r="QBB53" s="312"/>
      <c r="QBC53" s="312"/>
      <c r="QBD53" s="312"/>
      <c r="QBE53" s="312"/>
      <c r="QBF53" s="312"/>
      <c r="QBG53" s="312"/>
      <c r="QBH53" s="312"/>
      <c r="QBI53" s="312"/>
      <c r="QBJ53" s="312"/>
      <c r="QBK53" s="312"/>
      <c r="QBL53" s="312"/>
      <c r="QBM53" s="312"/>
      <c r="QBN53" s="312"/>
      <c r="QBO53" s="312"/>
      <c r="QBP53" s="312"/>
      <c r="QBQ53" s="312"/>
      <c r="QBR53" s="312"/>
      <c r="QBS53" s="312"/>
      <c r="QBT53" s="312"/>
      <c r="QBU53" s="312"/>
      <c r="QBV53" s="312"/>
      <c r="QBW53" s="312"/>
      <c r="QBX53" s="312"/>
      <c r="QBY53" s="312"/>
      <c r="QBZ53" s="312"/>
      <c r="QCA53" s="312"/>
      <c r="QCB53" s="312"/>
      <c r="QCC53" s="312"/>
      <c r="QCD53" s="312"/>
      <c r="QCE53" s="312"/>
      <c r="QCF53" s="312"/>
      <c r="QCG53" s="312"/>
      <c r="QCH53" s="312"/>
      <c r="QCI53" s="312"/>
      <c r="QCJ53" s="312"/>
      <c r="QCK53" s="312"/>
      <c r="QCL53" s="312"/>
      <c r="QCM53" s="312"/>
      <c r="QCN53" s="312"/>
      <c r="QCO53" s="312"/>
      <c r="QCP53" s="312"/>
      <c r="QCQ53" s="312"/>
      <c r="QCR53" s="312"/>
      <c r="QCS53" s="312"/>
      <c r="QCT53" s="312"/>
      <c r="QCU53" s="312"/>
      <c r="QCV53" s="312"/>
      <c r="QCW53" s="312"/>
      <c r="QCX53" s="312"/>
      <c r="QCY53" s="312"/>
      <c r="QCZ53" s="312"/>
      <c r="QDA53" s="312"/>
      <c r="QDB53" s="312"/>
      <c r="QDC53" s="312"/>
      <c r="QDD53" s="312"/>
      <c r="QDE53" s="312"/>
      <c r="QDF53" s="312"/>
      <c r="QDG53" s="312"/>
      <c r="QDH53" s="312"/>
      <c r="QDI53" s="312"/>
      <c r="QDJ53" s="312"/>
      <c r="QDK53" s="312"/>
      <c r="QDL53" s="312"/>
      <c r="QDM53" s="312"/>
      <c r="QDN53" s="312"/>
      <c r="QDO53" s="312"/>
      <c r="QDP53" s="312"/>
      <c r="QDQ53" s="312"/>
      <c r="QDR53" s="312"/>
      <c r="QDS53" s="312"/>
      <c r="QDT53" s="312"/>
      <c r="QDU53" s="312"/>
      <c r="QDV53" s="312"/>
      <c r="QDW53" s="312"/>
      <c r="QDX53" s="312"/>
      <c r="QDY53" s="312"/>
      <c r="QDZ53" s="312"/>
      <c r="QEA53" s="312"/>
      <c r="QEB53" s="312"/>
      <c r="QEC53" s="312"/>
      <c r="QED53" s="312"/>
      <c r="QEE53" s="312"/>
      <c r="QEF53" s="312"/>
      <c r="QEG53" s="312"/>
      <c r="QEH53" s="312"/>
      <c r="QEI53" s="312"/>
      <c r="QEJ53" s="312"/>
      <c r="QEK53" s="312"/>
      <c r="QEL53" s="312"/>
      <c r="QEM53" s="312"/>
      <c r="QEN53" s="312"/>
      <c r="QEO53" s="312"/>
      <c r="QEP53" s="312"/>
      <c r="QEQ53" s="312"/>
      <c r="QER53" s="312"/>
      <c r="QES53" s="312"/>
      <c r="QET53" s="312"/>
      <c r="QEU53" s="312"/>
      <c r="QEV53" s="312"/>
      <c r="QEW53" s="312"/>
      <c r="QEX53" s="312"/>
      <c r="QEY53" s="312"/>
      <c r="QEZ53" s="312"/>
      <c r="QFA53" s="312"/>
      <c r="QFB53" s="312"/>
      <c r="QFC53" s="312"/>
      <c r="QFD53" s="312"/>
      <c r="QFE53" s="312"/>
      <c r="QFF53" s="312"/>
      <c r="QFG53" s="312"/>
      <c r="QFH53" s="312"/>
      <c r="QFI53" s="312"/>
      <c r="QFJ53" s="312"/>
      <c r="QFK53" s="312"/>
      <c r="QFL53" s="312"/>
      <c r="QFM53" s="312"/>
      <c r="QFN53" s="312"/>
      <c r="QFO53" s="312"/>
      <c r="QFP53" s="312"/>
      <c r="QFQ53" s="312"/>
      <c r="QFR53" s="312"/>
      <c r="QFS53" s="312"/>
      <c r="QFT53" s="312"/>
      <c r="QFU53" s="312"/>
      <c r="QFV53" s="312"/>
      <c r="QFW53" s="312"/>
      <c r="QFX53" s="312"/>
      <c r="QFY53" s="312"/>
      <c r="QFZ53" s="312"/>
      <c r="QGA53" s="312"/>
      <c r="QGB53" s="312"/>
      <c r="QGC53" s="312"/>
      <c r="QGD53" s="312"/>
      <c r="QGE53" s="312"/>
      <c r="QGF53" s="312"/>
      <c r="QGG53" s="312"/>
      <c r="QGH53" s="312"/>
      <c r="QGI53" s="312"/>
      <c r="QGJ53" s="312"/>
      <c r="QGK53" s="312"/>
      <c r="QGL53" s="312"/>
      <c r="QGM53" s="312"/>
      <c r="QGN53" s="312"/>
      <c r="QGO53" s="312"/>
      <c r="QGP53" s="312"/>
      <c r="QGQ53" s="312"/>
      <c r="QGR53" s="312"/>
      <c r="QGS53" s="312"/>
      <c r="QGT53" s="312"/>
      <c r="QGU53" s="312"/>
      <c r="QGV53" s="312"/>
      <c r="QGW53" s="312"/>
      <c r="QGX53" s="312"/>
      <c r="QGY53" s="312"/>
      <c r="QGZ53" s="312"/>
      <c r="QHA53" s="312"/>
      <c r="QHB53" s="312"/>
      <c r="QHC53" s="312"/>
      <c r="QHD53" s="312"/>
      <c r="QHE53" s="312"/>
      <c r="QHF53" s="312"/>
      <c r="QHG53" s="312"/>
      <c r="QHH53" s="312"/>
      <c r="QHI53" s="312"/>
      <c r="QHJ53" s="312"/>
      <c r="QHK53" s="312"/>
      <c r="QHL53" s="312"/>
      <c r="QHM53" s="312"/>
      <c r="QHN53" s="312"/>
      <c r="QHO53" s="312"/>
      <c r="QHP53" s="312"/>
      <c r="QHQ53" s="312"/>
      <c r="QHR53" s="312"/>
      <c r="QHS53" s="312"/>
      <c r="QHT53" s="312"/>
      <c r="QHU53" s="312"/>
      <c r="QHV53" s="312"/>
      <c r="QHW53" s="312"/>
      <c r="QHX53" s="312"/>
      <c r="QHY53" s="312"/>
      <c r="QHZ53" s="312"/>
      <c r="QIA53" s="312"/>
      <c r="QIB53" s="312"/>
      <c r="QIC53" s="312"/>
      <c r="QID53" s="312"/>
      <c r="QIE53" s="312"/>
      <c r="QIF53" s="312"/>
      <c r="QIG53" s="312"/>
      <c r="QIH53" s="312"/>
      <c r="QII53" s="312"/>
      <c r="QIJ53" s="312"/>
      <c r="QIK53" s="312"/>
      <c r="QIL53" s="312"/>
      <c r="QIM53" s="312"/>
      <c r="QIN53" s="312"/>
      <c r="QIO53" s="312"/>
      <c r="QIP53" s="312"/>
      <c r="QIQ53" s="312"/>
      <c r="QIR53" s="312"/>
      <c r="QIS53" s="312"/>
      <c r="QIT53" s="312"/>
      <c r="QIU53" s="312"/>
      <c r="QIV53" s="312"/>
      <c r="QIW53" s="312"/>
      <c r="QIX53" s="312"/>
      <c r="QIY53" s="312"/>
      <c r="QIZ53" s="312"/>
      <c r="QJA53" s="312"/>
      <c r="QJB53" s="312"/>
      <c r="QJC53" s="312"/>
      <c r="QJD53" s="312"/>
      <c r="QJE53" s="312"/>
      <c r="QJF53" s="312"/>
      <c r="QJG53" s="312"/>
      <c r="QJH53" s="312"/>
      <c r="QJI53" s="312"/>
      <c r="QJJ53" s="312"/>
      <c r="QJK53" s="312"/>
      <c r="QJL53" s="312"/>
      <c r="QJM53" s="312"/>
      <c r="QJN53" s="312"/>
      <c r="QJO53" s="312"/>
      <c r="QJP53" s="312"/>
      <c r="QJQ53" s="312"/>
      <c r="QJR53" s="312"/>
      <c r="QJS53" s="312"/>
      <c r="QJT53" s="312"/>
      <c r="QJU53" s="312"/>
      <c r="QJV53" s="312"/>
      <c r="QJW53" s="312"/>
      <c r="QJX53" s="312"/>
      <c r="QJY53" s="312"/>
      <c r="QJZ53" s="312"/>
      <c r="QKA53" s="312"/>
      <c r="QKB53" s="312"/>
      <c r="QKC53" s="312"/>
      <c r="QKD53" s="312"/>
      <c r="QKE53" s="312"/>
      <c r="QKF53" s="312"/>
      <c r="QKG53" s="312"/>
      <c r="QKH53" s="312"/>
      <c r="QKI53" s="312"/>
      <c r="QKJ53" s="312"/>
      <c r="QKK53" s="312"/>
      <c r="QKL53" s="312"/>
      <c r="QKM53" s="312"/>
      <c r="QKN53" s="312"/>
      <c r="QKO53" s="312"/>
      <c r="QKP53" s="312"/>
      <c r="QKQ53" s="312"/>
      <c r="QKR53" s="312"/>
      <c r="QKS53" s="312"/>
      <c r="QKT53" s="312"/>
      <c r="QKU53" s="312"/>
      <c r="QKV53" s="312"/>
      <c r="QKW53" s="312"/>
      <c r="QKX53" s="312"/>
      <c r="QKY53" s="312"/>
      <c r="QKZ53" s="312"/>
      <c r="QLA53" s="312"/>
      <c r="QLB53" s="312"/>
      <c r="QLC53" s="312"/>
      <c r="QLD53" s="312"/>
      <c r="QLE53" s="312"/>
      <c r="QLF53" s="312"/>
      <c r="QLG53" s="312"/>
      <c r="QLH53" s="312"/>
      <c r="QLI53" s="312"/>
      <c r="QLJ53" s="312"/>
      <c r="QLK53" s="312"/>
      <c r="QLL53" s="312"/>
      <c r="QLM53" s="312"/>
      <c r="QLN53" s="312"/>
      <c r="QLO53" s="312"/>
      <c r="QLP53" s="312"/>
      <c r="QLQ53" s="312"/>
      <c r="QLR53" s="312"/>
      <c r="QLS53" s="312"/>
      <c r="QLT53" s="312"/>
      <c r="QLU53" s="312"/>
      <c r="QLV53" s="312"/>
      <c r="QLW53" s="312"/>
      <c r="QLX53" s="312"/>
      <c r="QLY53" s="312"/>
      <c r="QLZ53" s="312"/>
      <c r="QMA53" s="312"/>
      <c r="QMB53" s="312"/>
      <c r="QMC53" s="312"/>
      <c r="QMD53" s="312"/>
      <c r="QME53" s="312"/>
      <c r="QMF53" s="312"/>
      <c r="QMG53" s="312"/>
      <c r="QMH53" s="312"/>
      <c r="QMI53" s="312"/>
      <c r="QMJ53" s="312"/>
      <c r="QMK53" s="312"/>
      <c r="QML53" s="312"/>
      <c r="QMM53" s="312"/>
      <c r="QMN53" s="312"/>
      <c r="QMO53" s="312"/>
      <c r="QMP53" s="312"/>
      <c r="QMQ53" s="312"/>
      <c r="QMR53" s="312"/>
      <c r="QMS53" s="312"/>
      <c r="QMT53" s="312"/>
      <c r="QMU53" s="312"/>
      <c r="QMV53" s="312"/>
      <c r="QMW53" s="312"/>
      <c r="QMX53" s="312"/>
      <c r="QMY53" s="312"/>
      <c r="QMZ53" s="312"/>
      <c r="QNA53" s="312"/>
      <c r="QNB53" s="312"/>
      <c r="QNC53" s="312"/>
      <c r="QND53" s="312"/>
      <c r="QNE53" s="312"/>
      <c r="QNF53" s="312"/>
      <c r="QNG53" s="312"/>
      <c r="QNH53" s="312"/>
      <c r="QNI53" s="312"/>
      <c r="QNJ53" s="312"/>
      <c r="QNK53" s="312"/>
      <c r="QNL53" s="312"/>
      <c r="QNM53" s="312"/>
      <c r="QNN53" s="312"/>
      <c r="QNO53" s="312"/>
      <c r="QNP53" s="312"/>
      <c r="QNQ53" s="312"/>
      <c r="QNR53" s="312"/>
      <c r="QNS53" s="312"/>
      <c r="QNT53" s="312"/>
      <c r="QNU53" s="312"/>
      <c r="QNV53" s="312"/>
      <c r="QNW53" s="312"/>
      <c r="QNX53" s="312"/>
      <c r="QNY53" s="312"/>
      <c r="QNZ53" s="312"/>
      <c r="QOA53" s="312"/>
      <c r="QOB53" s="312"/>
      <c r="QOC53" s="312"/>
      <c r="QOD53" s="312"/>
      <c r="QOE53" s="312"/>
      <c r="QOF53" s="312"/>
      <c r="QOG53" s="312"/>
      <c r="QOH53" s="312"/>
      <c r="QOI53" s="312"/>
      <c r="QOJ53" s="312"/>
      <c r="QOK53" s="312"/>
      <c r="QOL53" s="312"/>
      <c r="QOM53" s="312"/>
      <c r="QON53" s="312"/>
      <c r="QOO53" s="312"/>
      <c r="QOP53" s="312"/>
      <c r="QOQ53" s="312"/>
      <c r="QOR53" s="312"/>
      <c r="QOS53" s="312"/>
      <c r="QOT53" s="312"/>
      <c r="QOU53" s="312"/>
      <c r="QOV53" s="312"/>
      <c r="QOW53" s="312"/>
      <c r="QOX53" s="312"/>
      <c r="QOY53" s="312"/>
      <c r="QOZ53" s="312"/>
      <c r="QPA53" s="312"/>
      <c r="QPB53" s="312"/>
      <c r="QPC53" s="312"/>
      <c r="QPD53" s="312"/>
      <c r="QPE53" s="312"/>
      <c r="QPF53" s="312"/>
      <c r="QPG53" s="312"/>
      <c r="QPH53" s="312"/>
      <c r="QPI53" s="312"/>
      <c r="QPJ53" s="312"/>
      <c r="QPK53" s="312"/>
      <c r="QPL53" s="312"/>
      <c r="QPM53" s="312"/>
      <c r="QPN53" s="312"/>
      <c r="QPO53" s="312"/>
      <c r="QPP53" s="312"/>
      <c r="QPQ53" s="312"/>
      <c r="QPR53" s="312"/>
      <c r="QPS53" s="312"/>
      <c r="QPT53" s="312"/>
      <c r="QPU53" s="312"/>
      <c r="QPV53" s="312"/>
      <c r="QPW53" s="312"/>
      <c r="QPX53" s="312"/>
      <c r="QPY53" s="312"/>
      <c r="QPZ53" s="312"/>
      <c r="QQA53" s="312"/>
      <c r="QQB53" s="312"/>
      <c r="QQC53" s="312"/>
      <c r="QQD53" s="312"/>
      <c r="QQE53" s="312"/>
      <c r="QQF53" s="312"/>
      <c r="QQG53" s="312"/>
      <c r="QQH53" s="312"/>
      <c r="QQI53" s="312"/>
      <c r="QQJ53" s="312"/>
      <c r="QQK53" s="312"/>
      <c r="QQL53" s="312"/>
      <c r="QQM53" s="312"/>
      <c r="QQN53" s="312"/>
      <c r="QQO53" s="312"/>
      <c r="QQP53" s="312"/>
      <c r="QQQ53" s="312"/>
      <c r="QQR53" s="312"/>
      <c r="QQS53" s="312"/>
      <c r="QQT53" s="312"/>
      <c r="QQU53" s="312"/>
      <c r="QQV53" s="312"/>
      <c r="QQW53" s="312"/>
      <c r="QQX53" s="312"/>
      <c r="QQY53" s="312"/>
      <c r="QQZ53" s="312"/>
      <c r="QRA53" s="312"/>
      <c r="QRB53" s="312"/>
      <c r="QRC53" s="312"/>
      <c r="QRD53" s="312"/>
      <c r="QRE53" s="312"/>
      <c r="QRF53" s="312"/>
      <c r="QRG53" s="312"/>
      <c r="QRH53" s="312"/>
      <c r="QRI53" s="312"/>
      <c r="QRJ53" s="312"/>
      <c r="QRK53" s="312"/>
      <c r="QRL53" s="312"/>
      <c r="QRM53" s="312"/>
      <c r="QRN53" s="312"/>
      <c r="QRO53" s="312"/>
      <c r="QRP53" s="312"/>
      <c r="QRQ53" s="312"/>
      <c r="QRR53" s="312"/>
      <c r="QRS53" s="312"/>
      <c r="QRT53" s="312"/>
      <c r="QRU53" s="312"/>
      <c r="QRV53" s="312"/>
      <c r="QRW53" s="312"/>
      <c r="QRX53" s="312"/>
      <c r="QRY53" s="312"/>
      <c r="QRZ53" s="312"/>
      <c r="QSA53" s="312"/>
      <c r="QSB53" s="312"/>
      <c r="QSC53" s="312"/>
      <c r="QSD53" s="312"/>
      <c r="QSE53" s="312"/>
      <c r="QSF53" s="312"/>
      <c r="QSG53" s="312"/>
      <c r="QSH53" s="312"/>
      <c r="QSI53" s="312"/>
      <c r="QSJ53" s="312"/>
      <c r="QSK53" s="312"/>
      <c r="QSL53" s="312"/>
      <c r="QSM53" s="312"/>
      <c r="QSN53" s="312"/>
      <c r="QSO53" s="312"/>
      <c r="QSP53" s="312"/>
      <c r="QSQ53" s="312"/>
      <c r="QSR53" s="312"/>
      <c r="QSS53" s="312"/>
      <c r="QST53" s="312"/>
      <c r="QSU53" s="312"/>
      <c r="QSV53" s="312"/>
      <c r="QSW53" s="312"/>
      <c r="QSX53" s="312"/>
      <c r="QSY53" s="312"/>
      <c r="QSZ53" s="312"/>
      <c r="QTA53" s="312"/>
      <c r="QTB53" s="312"/>
      <c r="QTC53" s="312"/>
      <c r="QTD53" s="312"/>
      <c r="QTE53" s="312"/>
      <c r="QTF53" s="312"/>
      <c r="QTG53" s="312"/>
      <c r="QTH53" s="312"/>
      <c r="QTI53" s="312"/>
      <c r="QTJ53" s="312"/>
      <c r="QTK53" s="312"/>
      <c r="QTL53" s="312"/>
      <c r="QTM53" s="312"/>
      <c r="QTN53" s="312"/>
      <c r="QTO53" s="312"/>
      <c r="QTP53" s="312"/>
      <c r="QTQ53" s="312"/>
      <c r="QTR53" s="312"/>
      <c r="QTS53" s="312"/>
      <c r="QTT53" s="312"/>
      <c r="QTU53" s="312"/>
      <c r="QTV53" s="312"/>
      <c r="QTW53" s="312"/>
      <c r="QTX53" s="312"/>
      <c r="QTY53" s="312"/>
      <c r="QTZ53" s="312"/>
      <c r="QUA53" s="312"/>
      <c r="QUB53" s="312"/>
      <c r="QUC53" s="312"/>
      <c r="QUD53" s="312"/>
      <c r="QUE53" s="312"/>
      <c r="QUF53" s="312"/>
      <c r="QUG53" s="312"/>
      <c r="QUH53" s="312"/>
      <c r="QUI53" s="312"/>
      <c r="QUJ53" s="312"/>
      <c r="QUK53" s="312"/>
      <c r="QUL53" s="312"/>
      <c r="QUM53" s="312"/>
      <c r="QUN53" s="312"/>
      <c r="QUO53" s="312"/>
      <c r="QUP53" s="312"/>
      <c r="QUQ53" s="312"/>
      <c r="QUR53" s="312"/>
      <c r="QUS53" s="312"/>
      <c r="QUT53" s="312"/>
      <c r="QUU53" s="312"/>
      <c r="QUV53" s="312"/>
      <c r="QUW53" s="312"/>
      <c r="QUX53" s="312"/>
      <c r="QUY53" s="312"/>
      <c r="QUZ53" s="312"/>
      <c r="QVA53" s="312"/>
      <c r="QVB53" s="312"/>
      <c r="QVC53" s="312"/>
      <c r="QVD53" s="312"/>
      <c r="QVE53" s="312"/>
      <c r="QVF53" s="312"/>
      <c r="QVG53" s="312"/>
      <c r="QVH53" s="312"/>
      <c r="QVI53" s="312"/>
      <c r="QVJ53" s="312"/>
      <c r="QVK53" s="312"/>
      <c r="QVL53" s="312"/>
      <c r="QVM53" s="312"/>
      <c r="QVN53" s="312"/>
      <c r="QVO53" s="312"/>
      <c r="QVP53" s="312"/>
      <c r="QVQ53" s="312"/>
      <c r="QVR53" s="312"/>
      <c r="QVS53" s="312"/>
      <c r="QVT53" s="312"/>
      <c r="QVU53" s="312"/>
      <c r="QVV53" s="312"/>
      <c r="QVW53" s="312"/>
      <c r="QVX53" s="312"/>
      <c r="QVY53" s="312"/>
      <c r="QVZ53" s="312"/>
      <c r="QWA53" s="312"/>
      <c r="QWB53" s="312"/>
      <c r="QWC53" s="312"/>
      <c r="QWD53" s="312"/>
      <c r="QWE53" s="312"/>
      <c r="QWF53" s="312"/>
      <c r="QWG53" s="312"/>
      <c r="QWH53" s="312"/>
      <c r="QWI53" s="312"/>
      <c r="QWJ53" s="312"/>
      <c r="QWK53" s="312"/>
      <c r="QWL53" s="312"/>
      <c r="QWM53" s="312"/>
      <c r="QWN53" s="312"/>
      <c r="QWO53" s="312"/>
      <c r="QWP53" s="312"/>
      <c r="QWQ53" s="312"/>
      <c r="QWR53" s="312"/>
      <c r="QWS53" s="312"/>
      <c r="QWT53" s="312"/>
      <c r="QWU53" s="312"/>
      <c r="QWV53" s="312"/>
      <c r="QWW53" s="312"/>
      <c r="QWX53" s="312"/>
      <c r="QWY53" s="312"/>
      <c r="QWZ53" s="312"/>
      <c r="QXA53" s="312"/>
      <c r="QXB53" s="312"/>
      <c r="QXC53" s="312"/>
      <c r="QXD53" s="312"/>
      <c r="QXE53" s="312"/>
      <c r="QXF53" s="312"/>
      <c r="QXG53" s="312"/>
      <c r="QXH53" s="312"/>
      <c r="QXI53" s="312"/>
      <c r="QXJ53" s="312"/>
      <c r="QXK53" s="312"/>
      <c r="QXL53" s="312"/>
      <c r="QXM53" s="312"/>
      <c r="QXN53" s="312"/>
      <c r="QXO53" s="312"/>
      <c r="QXP53" s="312"/>
      <c r="QXQ53" s="312"/>
      <c r="QXR53" s="312"/>
      <c r="QXS53" s="312"/>
      <c r="QXT53" s="312"/>
      <c r="QXU53" s="312"/>
      <c r="QXV53" s="312"/>
      <c r="QXW53" s="312"/>
      <c r="QXX53" s="312"/>
      <c r="QXY53" s="312"/>
      <c r="QXZ53" s="312"/>
      <c r="QYA53" s="312"/>
      <c r="QYB53" s="312"/>
      <c r="QYC53" s="312"/>
      <c r="QYD53" s="312"/>
      <c r="QYE53" s="312"/>
      <c r="QYF53" s="312"/>
      <c r="QYG53" s="312"/>
      <c r="QYH53" s="312"/>
      <c r="QYI53" s="312"/>
      <c r="QYJ53" s="312"/>
      <c r="QYK53" s="312"/>
      <c r="QYL53" s="312"/>
      <c r="QYM53" s="312"/>
      <c r="QYN53" s="312"/>
      <c r="QYO53" s="312"/>
      <c r="QYP53" s="312"/>
      <c r="QYQ53" s="312"/>
      <c r="QYR53" s="312"/>
      <c r="QYS53" s="312"/>
      <c r="QYT53" s="312"/>
      <c r="QYU53" s="312"/>
      <c r="QYV53" s="312"/>
      <c r="QYW53" s="312"/>
      <c r="QYX53" s="312"/>
      <c r="QYY53" s="312"/>
      <c r="QYZ53" s="312"/>
      <c r="QZA53" s="312"/>
      <c r="QZB53" s="312"/>
      <c r="QZC53" s="312"/>
      <c r="QZD53" s="312"/>
      <c r="QZE53" s="312"/>
      <c r="QZF53" s="312"/>
      <c r="QZG53" s="312"/>
      <c r="QZH53" s="312"/>
      <c r="QZI53" s="312"/>
      <c r="QZJ53" s="312"/>
      <c r="QZK53" s="312"/>
      <c r="QZL53" s="312"/>
      <c r="QZM53" s="312"/>
      <c r="QZN53" s="312"/>
      <c r="QZO53" s="312"/>
      <c r="QZP53" s="312"/>
      <c r="QZQ53" s="312"/>
      <c r="QZR53" s="312"/>
      <c r="QZS53" s="312"/>
      <c r="QZT53" s="312"/>
      <c r="QZU53" s="312"/>
      <c r="QZV53" s="312"/>
      <c r="QZW53" s="312"/>
      <c r="QZX53" s="312"/>
      <c r="QZY53" s="312"/>
      <c r="QZZ53" s="312"/>
      <c r="RAA53" s="312"/>
      <c r="RAB53" s="312"/>
      <c r="RAC53" s="312"/>
      <c r="RAD53" s="312"/>
      <c r="RAE53" s="312"/>
      <c r="RAF53" s="312"/>
      <c r="RAG53" s="312"/>
      <c r="RAH53" s="312"/>
      <c r="RAI53" s="312"/>
      <c r="RAJ53" s="312"/>
      <c r="RAK53" s="312"/>
      <c r="RAL53" s="312"/>
      <c r="RAM53" s="312"/>
      <c r="RAN53" s="312"/>
      <c r="RAO53" s="312"/>
      <c r="RAP53" s="312"/>
      <c r="RAQ53" s="312"/>
      <c r="RAR53" s="312"/>
      <c r="RAS53" s="312"/>
      <c r="RAT53" s="312"/>
      <c r="RAU53" s="312"/>
      <c r="RAV53" s="312"/>
      <c r="RAW53" s="312"/>
      <c r="RAX53" s="312"/>
      <c r="RAY53" s="312"/>
      <c r="RAZ53" s="312"/>
      <c r="RBA53" s="312"/>
      <c r="RBB53" s="312"/>
      <c r="RBC53" s="312"/>
      <c r="RBD53" s="312"/>
      <c r="RBE53" s="312"/>
      <c r="RBF53" s="312"/>
      <c r="RBG53" s="312"/>
      <c r="RBH53" s="312"/>
      <c r="RBI53" s="312"/>
      <c r="RBJ53" s="312"/>
      <c r="RBK53" s="312"/>
      <c r="RBL53" s="312"/>
      <c r="RBM53" s="312"/>
      <c r="RBN53" s="312"/>
      <c r="RBO53" s="312"/>
      <c r="RBP53" s="312"/>
      <c r="RBQ53" s="312"/>
      <c r="RBR53" s="312"/>
      <c r="RBS53" s="312"/>
      <c r="RBT53" s="312"/>
      <c r="RBU53" s="312"/>
      <c r="RBV53" s="312"/>
      <c r="RBW53" s="312"/>
      <c r="RBX53" s="312"/>
      <c r="RBY53" s="312"/>
      <c r="RBZ53" s="312"/>
      <c r="RCA53" s="312"/>
      <c r="RCB53" s="312"/>
      <c r="RCC53" s="312"/>
      <c r="RCD53" s="312"/>
      <c r="RCE53" s="312"/>
      <c r="RCF53" s="312"/>
      <c r="RCG53" s="312"/>
      <c r="RCH53" s="312"/>
      <c r="RCI53" s="312"/>
      <c r="RCJ53" s="312"/>
      <c r="RCK53" s="312"/>
      <c r="RCL53" s="312"/>
      <c r="RCM53" s="312"/>
      <c r="RCN53" s="312"/>
      <c r="RCO53" s="312"/>
      <c r="RCP53" s="312"/>
      <c r="RCQ53" s="312"/>
      <c r="RCR53" s="312"/>
      <c r="RCS53" s="312"/>
      <c r="RCT53" s="312"/>
      <c r="RCU53" s="312"/>
      <c r="RCV53" s="312"/>
      <c r="RCW53" s="312"/>
      <c r="RCX53" s="312"/>
      <c r="RCY53" s="312"/>
      <c r="RCZ53" s="312"/>
      <c r="RDA53" s="312"/>
      <c r="RDB53" s="312"/>
      <c r="RDC53" s="312"/>
      <c r="RDD53" s="312"/>
      <c r="RDE53" s="312"/>
      <c r="RDF53" s="312"/>
      <c r="RDG53" s="312"/>
      <c r="RDH53" s="312"/>
      <c r="RDI53" s="312"/>
      <c r="RDJ53" s="312"/>
      <c r="RDK53" s="312"/>
      <c r="RDL53" s="312"/>
      <c r="RDM53" s="312"/>
      <c r="RDN53" s="312"/>
      <c r="RDO53" s="312"/>
      <c r="RDP53" s="312"/>
      <c r="RDQ53" s="312"/>
      <c r="RDR53" s="312"/>
      <c r="RDS53" s="312"/>
      <c r="RDT53" s="312"/>
      <c r="RDU53" s="312"/>
      <c r="RDV53" s="312"/>
      <c r="RDW53" s="312"/>
      <c r="RDX53" s="312"/>
      <c r="RDY53" s="312"/>
      <c r="RDZ53" s="312"/>
      <c r="REA53" s="312"/>
      <c r="REB53" s="312"/>
      <c r="REC53" s="312"/>
      <c r="RED53" s="312"/>
      <c r="REE53" s="312"/>
      <c r="REF53" s="312"/>
      <c r="REG53" s="312"/>
      <c r="REH53" s="312"/>
      <c r="REI53" s="312"/>
      <c r="REJ53" s="312"/>
      <c r="REK53" s="312"/>
      <c r="REL53" s="312"/>
      <c r="REM53" s="312"/>
      <c r="REN53" s="312"/>
      <c r="REO53" s="312"/>
      <c r="REP53" s="312"/>
      <c r="REQ53" s="312"/>
      <c r="RER53" s="312"/>
      <c r="RES53" s="312"/>
      <c r="RET53" s="312"/>
      <c r="REU53" s="312"/>
      <c r="REV53" s="312"/>
      <c r="REW53" s="312"/>
      <c r="REX53" s="312"/>
      <c r="REY53" s="312"/>
      <c r="REZ53" s="312"/>
      <c r="RFA53" s="312"/>
      <c r="RFB53" s="312"/>
      <c r="RFC53" s="312"/>
      <c r="RFD53" s="312"/>
      <c r="RFE53" s="312"/>
      <c r="RFF53" s="312"/>
      <c r="RFG53" s="312"/>
      <c r="RFH53" s="312"/>
      <c r="RFI53" s="312"/>
      <c r="RFJ53" s="312"/>
      <c r="RFK53" s="312"/>
      <c r="RFL53" s="312"/>
      <c r="RFM53" s="312"/>
      <c r="RFN53" s="312"/>
      <c r="RFO53" s="312"/>
      <c r="RFP53" s="312"/>
      <c r="RFQ53" s="312"/>
      <c r="RFR53" s="312"/>
      <c r="RFS53" s="312"/>
      <c r="RFT53" s="312"/>
      <c r="RFU53" s="312"/>
      <c r="RFV53" s="312"/>
      <c r="RFW53" s="312"/>
      <c r="RFX53" s="312"/>
      <c r="RFY53" s="312"/>
      <c r="RFZ53" s="312"/>
      <c r="RGA53" s="312"/>
      <c r="RGB53" s="312"/>
      <c r="RGC53" s="312"/>
      <c r="RGD53" s="312"/>
      <c r="RGE53" s="312"/>
      <c r="RGF53" s="312"/>
      <c r="RGG53" s="312"/>
      <c r="RGH53" s="312"/>
      <c r="RGI53" s="312"/>
      <c r="RGJ53" s="312"/>
      <c r="RGK53" s="312"/>
      <c r="RGL53" s="312"/>
      <c r="RGM53" s="312"/>
      <c r="RGN53" s="312"/>
      <c r="RGO53" s="312"/>
      <c r="RGP53" s="312"/>
      <c r="RGQ53" s="312"/>
      <c r="RGR53" s="312"/>
      <c r="RGS53" s="312"/>
      <c r="RGT53" s="312"/>
      <c r="RGU53" s="312"/>
      <c r="RGV53" s="312"/>
      <c r="RGW53" s="312"/>
      <c r="RGX53" s="312"/>
      <c r="RGY53" s="312"/>
      <c r="RGZ53" s="312"/>
      <c r="RHA53" s="312"/>
      <c r="RHB53" s="312"/>
      <c r="RHC53" s="312"/>
      <c r="RHD53" s="312"/>
      <c r="RHE53" s="312"/>
      <c r="RHF53" s="312"/>
      <c r="RHG53" s="312"/>
      <c r="RHH53" s="312"/>
      <c r="RHI53" s="312"/>
      <c r="RHJ53" s="312"/>
      <c r="RHK53" s="312"/>
      <c r="RHL53" s="312"/>
      <c r="RHM53" s="312"/>
      <c r="RHN53" s="312"/>
      <c r="RHO53" s="312"/>
      <c r="RHP53" s="312"/>
      <c r="RHQ53" s="312"/>
      <c r="RHR53" s="312"/>
      <c r="RHS53" s="312"/>
      <c r="RHT53" s="312"/>
      <c r="RHU53" s="312"/>
      <c r="RHV53" s="312"/>
      <c r="RHW53" s="312"/>
      <c r="RHX53" s="312"/>
      <c r="RHY53" s="312"/>
      <c r="RHZ53" s="312"/>
      <c r="RIA53" s="312"/>
      <c r="RIB53" s="312"/>
      <c r="RIC53" s="312"/>
      <c r="RID53" s="312"/>
      <c r="RIE53" s="312"/>
      <c r="RIF53" s="312"/>
      <c r="RIG53" s="312"/>
      <c r="RIH53" s="312"/>
      <c r="RII53" s="312"/>
      <c r="RIJ53" s="312"/>
      <c r="RIK53" s="312"/>
      <c r="RIL53" s="312"/>
      <c r="RIM53" s="312"/>
      <c r="RIN53" s="312"/>
      <c r="RIO53" s="312"/>
      <c r="RIP53" s="312"/>
      <c r="RIQ53" s="312"/>
      <c r="RIR53" s="312"/>
      <c r="RIS53" s="312"/>
      <c r="RIT53" s="312"/>
      <c r="RIU53" s="312"/>
      <c r="RIV53" s="312"/>
      <c r="RIW53" s="312"/>
      <c r="RIX53" s="312"/>
      <c r="RIY53" s="312"/>
      <c r="RIZ53" s="312"/>
      <c r="RJA53" s="312"/>
      <c r="RJB53" s="312"/>
      <c r="RJC53" s="312"/>
      <c r="RJD53" s="312"/>
      <c r="RJE53" s="312"/>
      <c r="RJF53" s="312"/>
      <c r="RJG53" s="312"/>
      <c r="RJH53" s="312"/>
      <c r="RJI53" s="312"/>
      <c r="RJJ53" s="312"/>
      <c r="RJK53" s="312"/>
      <c r="RJL53" s="312"/>
      <c r="RJM53" s="312"/>
      <c r="RJN53" s="312"/>
      <c r="RJO53" s="312"/>
      <c r="RJP53" s="312"/>
      <c r="RJQ53" s="312"/>
      <c r="RJR53" s="312"/>
      <c r="RJS53" s="312"/>
      <c r="RJT53" s="312"/>
      <c r="RJU53" s="312"/>
      <c r="RJV53" s="312"/>
      <c r="RJW53" s="312"/>
      <c r="RJX53" s="312"/>
      <c r="RJY53" s="312"/>
      <c r="RJZ53" s="312"/>
      <c r="RKA53" s="312"/>
      <c r="RKB53" s="312"/>
      <c r="RKC53" s="312"/>
      <c r="RKD53" s="312"/>
      <c r="RKE53" s="312"/>
      <c r="RKF53" s="312"/>
      <c r="RKG53" s="312"/>
      <c r="RKH53" s="312"/>
      <c r="RKI53" s="312"/>
      <c r="RKJ53" s="312"/>
      <c r="RKK53" s="312"/>
      <c r="RKL53" s="312"/>
      <c r="RKM53" s="312"/>
      <c r="RKN53" s="312"/>
      <c r="RKO53" s="312"/>
      <c r="RKP53" s="312"/>
      <c r="RKQ53" s="312"/>
      <c r="RKR53" s="312"/>
      <c r="RKS53" s="312"/>
      <c r="RKT53" s="312"/>
      <c r="RKU53" s="312"/>
      <c r="RKV53" s="312"/>
      <c r="RKW53" s="312"/>
      <c r="RKX53" s="312"/>
      <c r="RKY53" s="312"/>
      <c r="RKZ53" s="312"/>
      <c r="RLA53" s="312"/>
      <c r="RLB53" s="312"/>
      <c r="RLC53" s="312"/>
      <c r="RLD53" s="312"/>
      <c r="RLE53" s="312"/>
      <c r="RLF53" s="312"/>
      <c r="RLG53" s="312"/>
      <c r="RLH53" s="312"/>
      <c r="RLI53" s="312"/>
      <c r="RLJ53" s="312"/>
      <c r="RLK53" s="312"/>
      <c r="RLL53" s="312"/>
      <c r="RLM53" s="312"/>
      <c r="RLN53" s="312"/>
      <c r="RLO53" s="312"/>
      <c r="RLP53" s="312"/>
      <c r="RLQ53" s="312"/>
      <c r="RLR53" s="312"/>
      <c r="RLS53" s="312"/>
      <c r="RLT53" s="312"/>
      <c r="RLU53" s="312"/>
      <c r="RLV53" s="312"/>
      <c r="RLW53" s="312"/>
      <c r="RLX53" s="312"/>
      <c r="RLY53" s="312"/>
      <c r="RLZ53" s="312"/>
      <c r="RMA53" s="312"/>
      <c r="RMB53" s="312"/>
      <c r="RMC53" s="312"/>
      <c r="RMD53" s="312"/>
      <c r="RME53" s="312"/>
      <c r="RMF53" s="312"/>
      <c r="RMG53" s="312"/>
      <c r="RMH53" s="312"/>
      <c r="RMI53" s="312"/>
      <c r="RMJ53" s="312"/>
      <c r="RMK53" s="312"/>
      <c r="RML53" s="312"/>
      <c r="RMM53" s="312"/>
      <c r="RMN53" s="312"/>
      <c r="RMO53" s="312"/>
      <c r="RMP53" s="312"/>
      <c r="RMQ53" s="312"/>
      <c r="RMR53" s="312"/>
      <c r="RMS53" s="312"/>
      <c r="RMT53" s="312"/>
      <c r="RMU53" s="312"/>
      <c r="RMV53" s="312"/>
      <c r="RMW53" s="312"/>
      <c r="RMX53" s="312"/>
      <c r="RMY53" s="312"/>
      <c r="RMZ53" s="312"/>
      <c r="RNA53" s="312"/>
      <c r="RNB53" s="312"/>
      <c r="RNC53" s="312"/>
      <c r="RND53" s="312"/>
      <c r="RNE53" s="312"/>
      <c r="RNF53" s="312"/>
      <c r="RNG53" s="312"/>
      <c r="RNH53" s="312"/>
      <c r="RNI53" s="312"/>
      <c r="RNJ53" s="312"/>
      <c r="RNK53" s="312"/>
      <c r="RNL53" s="312"/>
      <c r="RNM53" s="312"/>
      <c r="RNN53" s="312"/>
      <c r="RNO53" s="312"/>
      <c r="RNP53" s="312"/>
      <c r="RNQ53" s="312"/>
      <c r="RNR53" s="312"/>
      <c r="RNS53" s="312"/>
      <c r="RNT53" s="312"/>
      <c r="RNU53" s="312"/>
      <c r="RNV53" s="312"/>
      <c r="RNW53" s="312"/>
      <c r="RNX53" s="312"/>
      <c r="RNY53" s="312"/>
      <c r="RNZ53" s="312"/>
      <c r="ROA53" s="312"/>
      <c r="ROB53" s="312"/>
      <c r="ROC53" s="312"/>
      <c r="ROD53" s="312"/>
      <c r="ROE53" s="312"/>
      <c r="ROF53" s="312"/>
      <c r="ROG53" s="312"/>
      <c r="ROH53" s="312"/>
      <c r="ROI53" s="312"/>
      <c r="ROJ53" s="312"/>
      <c r="ROK53" s="312"/>
      <c r="ROL53" s="312"/>
      <c r="ROM53" s="312"/>
      <c r="RON53" s="312"/>
      <c r="ROO53" s="312"/>
      <c r="ROP53" s="312"/>
      <c r="ROQ53" s="312"/>
      <c r="ROR53" s="312"/>
      <c r="ROS53" s="312"/>
      <c r="ROT53" s="312"/>
      <c r="ROU53" s="312"/>
      <c r="ROV53" s="312"/>
      <c r="ROW53" s="312"/>
      <c r="ROX53" s="312"/>
      <c r="ROY53" s="312"/>
      <c r="ROZ53" s="312"/>
      <c r="RPA53" s="312"/>
      <c r="RPB53" s="312"/>
      <c r="RPC53" s="312"/>
      <c r="RPD53" s="312"/>
      <c r="RPE53" s="312"/>
      <c r="RPF53" s="312"/>
      <c r="RPG53" s="312"/>
      <c r="RPH53" s="312"/>
      <c r="RPI53" s="312"/>
      <c r="RPJ53" s="312"/>
      <c r="RPK53" s="312"/>
      <c r="RPL53" s="312"/>
      <c r="RPM53" s="312"/>
      <c r="RPN53" s="312"/>
      <c r="RPO53" s="312"/>
      <c r="RPP53" s="312"/>
      <c r="RPQ53" s="312"/>
      <c r="RPR53" s="312"/>
      <c r="RPS53" s="312"/>
      <c r="RPT53" s="312"/>
      <c r="RPU53" s="312"/>
      <c r="RPV53" s="312"/>
      <c r="RPW53" s="312"/>
      <c r="RPX53" s="312"/>
      <c r="RPY53" s="312"/>
      <c r="RPZ53" s="312"/>
      <c r="RQA53" s="312"/>
      <c r="RQB53" s="312"/>
      <c r="RQC53" s="312"/>
      <c r="RQD53" s="312"/>
      <c r="RQE53" s="312"/>
      <c r="RQF53" s="312"/>
      <c r="RQG53" s="312"/>
      <c r="RQH53" s="312"/>
      <c r="RQI53" s="312"/>
      <c r="RQJ53" s="312"/>
      <c r="RQK53" s="312"/>
      <c r="RQL53" s="312"/>
      <c r="RQM53" s="312"/>
      <c r="RQN53" s="312"/>
      <c r="RQO53" s="312"/>
      <c r="RQP53" s="312"/>
      <c r="RQQ53" s="312"/>
      <c r="RQR53" s="312"/>
      <c r="RQS53" s="312"/>
      <c r="RQT53" s="312"/>
      <c r="RQU53" s="312"/>
      <c r="RQV53" s="312"/>
      <c r="RQW53" s="312"/>
      <c r="RQX53" s="312"/>
      <c r="RQY53" s="312"/>
      <c r="RQZ53" s="312"/>
      <c r="RRA53" s="312"/>
      <c r="RRB53" s="312"/>
      <c r="RRC53" s="312"/>
      <c r="RRD53" s="312"/>
      <c r="RRE53" s="312"/>
      <c r="RRF53" s="312"/>
      <c r="RRG53" s="312"/>
      <c r="RRH53" s="312"/>
      <c r="RRI53" s="312"/>
      <c r="RRJ53" s="312"/>
      <c r="RRK53" s="312"/>
      <c r="RRL53" s="312"/>
      <c r="RRM53" s="312"/>
      <c r="RRN53" s="312"/>
      <c r="RRO53" s="312"/>
      <c r="RRP53" s="312"/>
      <c r="RRQ53" s="312"/>
      <c r="RRR53" s="312"/>
      <c r="RRS53" s="312"/>
      <c r="RRT53" s="312"/>
      <c r="RRU53" s="312"/>
      <c r="RRV53" s="312"/>
      <c r="RRW53" s="312"/>
      <c r="RRX53" s="312"/>
      <c r="RRY53" s="312"/>
      <c r="RRZ53" s="312"/>
      <c r="RSA53" s="312"/>
      <c r="RSB53" s="312"/>
      <c r="RSC53" s="312"/>
      <c r="RSD53" s="312"/>
      <c r="RSE53" s="312"/>
      <c r="RSF53" s="312"/>
      <c r="RSG53" s="312"/>
      <c r="RSH53" s="312"/>
      <c r="RSI53" s="312"/>
      <c r="RSJ53" s="312"/>
      <c r="RSK53" s="312"/>
      <c r="RSL53" s="312"/>
      <c r="RSM53" s="312"/>
      <c r="RSN53" s="312"/>
      <c r="RSO53" s="312"/>
      <c r="RSP53" s="312"/>
      <c r="RSQ53" s="312"/>
      <c r="RSR53" s="312"/>
      <c r="RSS53" s="312"/>
      <c r="RST53" s="312"/>
      <c r="RSU53" s="312"/>
      <c r="RSV53" s="312"/>
      <c r="RSW53" s="312"/>
      <c r="RSX53" s="312"/>
      <c r="RSY53" s="312"/>
      <c r="RSZ53" s="312"/>
      <c r="RTA53" s="312"/>
      <c r="RTB53" s="312"/>
      <c r="RTC53" s="312"/>
      <c r="RTD53" s="312"/>
      <c r="RTE53" s="312"/>
      <c r="RTF53" s="312"/>
      <c r="RTG53" s="312"/>
      <c r="RTH53" s="312"/>
      <c r="RTI53" s="312"/>
      <c r="RTJ53" s="312"/>
      <c r="RTK53" s="312"/>
      <c r="RTL53" s="312"/>
      <c r="RTM53" s="312"/>
      <c r="RTN53" s="312"/>
      <c r="RTO53" s="312"/>
      <c r="RTP53" s="312"/>
      <c r="RTQ53" s="312"/>
      <c r="RTR53" s="312"/>
      <c r="RTS53" s="312"/>
      <c r="RTT53" s="312"/>
      <c r="RTU53" s="312"/>
      <c r="RTV53" s="312"/>
      <c r="RTW53" s="312"/>
      <c r="RTX53" s="312"/>
      <c r="RTY53" s="312"/>
      <c r="RTZ53" s="312"/>
      <c r="RUA53" s="312"/>
      <c r="RUB53" s="312"/>
      <c r="RUC53" s="312"/>
      <c r="RUD53" s="312"/>
      <c r="RUE53" s="312"/>
      <c r="RUF53" s="312"/>
      <c r="RUG53" s="312"/>
      <c r="RUH53" s="312"/>
      <c r="RUI53" s="312"/>
      <c r="RUJ53" s="312"/>
      <c r="RUK53" s="312"/>
      <c r="RUL53" s="312"/>
      <c r="RUM53" s="312"/>
      <c r="RUN53" s="312"/>
      <c r="RUO53" s="312"/>
      <c r="RUP53" s="312"/>
      <c r="RUQ53" s="312"/>
      <c r="RUR53" s="312"/>
      <c r="RUS53" s="312"/>
      <c r="RUT53" s="312"/>
      <c r="RUU53" s="312"/>
      <c r="RUV53" s="312"/>
      <c r="RUW53" s="312"/>
      <c r="RUX53" s="312"/>
      <c r="RUY53" s="312"/>
      <c r="RUZ53" s="312"/>
      <c r="RVA53" s="312"/>
      <c r="RVB53" s="312"/>
      <c r="RVC53" s="312"/>
      <c r="RVD53" s="312"/>
      <c r="RVE53" s="312"/>
      <c r="RVF53" s="312"/>
      <c r="RVG53" s="312"/>
      <c r="RVH53" s="312"/>
      <c r="RVI53" s="312"/>
      <c r="RVJ53" s="312"/>
      <c r="RVK53" s="312"/>
      <c r="RVL53" s="312"/>
      <c r="RVM53" s="312"/>
      <c r="RVN53" s="312"/>
      <c r="RVO53" s="312"/>
      <c r="RVP53" s="312"/>
      <c r="RVQ53" s="312"/>
      <c r="RVR53" s="312"/>
      <c r="RVS53" s="312"/>
      <c r="RVT53" s="312"/>
      <c r="RVU53" s="312"/>
      <c r="RVV53" s="312"/>
      <c r="RVW53" s="312"/>
      <c r="RVX53" s="312"/>
      <c r="RVY53" s="312"/>
      <c r="RVZ53" s="312"/>
      <c r="RWA53" s="312"/>
      <c r="RWB53" s="312"/>
      <c r="RWC53" s="312"/>
      <c r="RWD53" s="312"/>
      <c r="RWE53" s="312"/>
      <c r="RWF53" s="312"/>
      <c r="RWG53" s="312"/>
      <c r="RWH53" s="312"/>
      <c r="RWI53" s="312"/>
      <c r="RWJ53" s="312"/>
      <c r="RWK53" s="312"/>
      <c r="RWL53" s="312"/>
      <c r="RWM53" s="312"/>
      <c r="RWN53" s="312"/>
      <c r="RWO53" s="312"/>
      <c r="RWP53" s="312"/>
      <c r="RWQ53" s="312"/>
      <c r="RWR53" s="312"/>
      <c r="RWS53" s="312"/>
      <c r="RWT53" s="312"/>
      <c r="RWU53" s="312"/>
      <c r="RWV53" s="312"/>
      <c r="RWW53" s="312"/>
      <c r="RWX53" s="312"/>
      <c r="RWY53" s="312"/>
      <c r="RWZ53" s="312"/>
      <c r="RXA53" s="312"/>
      <c r="RXB53" s="312"/>
      <c r="RXC53" s="312"/>
      <c r="RXD53" s="312"/>
      <c r="RXE53" s="312"/>
      <c r="RXF53" s="312"/>
      <c r="RXG53" s="312"/>
      <c r="RXH53" s="312"/>
      <c r="RXI53" s="312"/>
      <c r="RXJ53" s="312"/>
      <c r="RXK53" s="312"/>
      <c r="RXL53" s="312"/>
      <c r="RXM53" s="312"/>
      <c r="RXN53" s="312"/>
      <c r="RXO53" s="312"/>
      <c r="RXP53" s="312"/>
      <c r="RXQ53" s="312"/>
      <c r="RXR53" s="312"/>
      <c r="RXS53" s="312"/>
      <c r="RXT53" s="312"/>
      <c r="RXU53" s="312"/>
      <c r="RXV53" s="312"/>
      <c r="RXW53" s="312"/>
      <c r="RXX53" s="312"/>
      <c r="RXY53" s="312"/>
      <c r="RXZ53" s="312"/>
      <c r="RYA53" s="312"/>
      <c r="RYB53" s="312"/>
      <c r="RYC53" s="312"/>
      <c r="RYD53" s="312"/>
      <c r="RYE53" s="312"/>
      <c r="RYF53" s="312"/>
      <c r="RYG53" s="312"/>
      <c r="RYH53" s="312"/>
      <c r="RYI53" s="312"/>
      <c r="RYJ53" s="312"/>
      <c r="RYK53" s="312"/>
      <c r="RYL53" s="312"/>
      <c r="RYM53" s="312"/>
      <c r="RYN53" s="312"/>
      <c r="RYO53" s="312"/>
      <c r="RYP53" s="312"/>
      <c r="RYQ53" s="312"/>
      <c r="RYR53" s="312"/>
      <c r="RYS53" s="312"/>
      <c r="RYT53" s="312"/>
      <c r="RYU53" s="312"/>
      <c r="RYV53" s="312"/>
      <c r="RYW53" s="312"/>
      <c r="RYX53" s="312"/>
      <c r="RYY53" s="312"/>
      <c r="RYZ53" s="312"/>
      <c r="RZA53" s="312"/>
      <c r="RZB53" s="312"/>
      <c r="RZC53" s="312"/>
      <c r="RZD53" s="312"/>
      <c r="RZE53" s="312"/>
      <c r="RZF53" s="312"/>
      <c r="RZG53" s="312"/>
      <c r="RZH53" s="312"/>
      <c r="RZI53" s="312"/>
      <c r="RZJ53" s="312"/>
      <c r="RZK53" s="312"/>
      <c r="RZL53" s="312"/>
      <c r="RZM53" s="312"/>
      <c r="RZN53" s="312"/>
      <c r="RZO53" s="312"/>
      <c r="RZP53" s="312"/>
      <c r="RZQ53" s="312"/>
      <c r="RZR53" s="312"/>
      <c r="RZS53" s="312"/>
      <c r="RZT53" s="312"/>
      <c r="RZU53" s="312"/>
      <c r="RZV53" s="312"/>
      <c r="RZW53" s="312"/>
      <c r="RZX53" s="312"/>
      <c r="RZY53" s="312"/>
      <c r="RZZ53" s="312"/>
      <c r="SAA53" s="312"/>
      <c r="SAB53" s="312"/>
      <c r="SAC53" s="312"/>
      <c r="SAD53" s="312"/>
      <c r="SAE53" s="312"/>
      <c r="SAF53" s="312"/>
      <c r="SAG53" s="312"/>
      <c r="SAH53" s="312"/>
      <c r="SAI53" s="312"/>
      <c r="SAJ53" s="312"/>
      <c r="SAK53" s="312"/>
      <c r="SAL53" s="312"/>
      <c r="SAM53" s="312"/>
      <c r="SAN53" s="312"/>
      <c r="SAO53" s="312"/>
      <c r="SAP53" s="312"/>
      <c r="SAQ53" s="312"/>
      <c r="SAR53" s="312"/>
      <c r="SAS53" s="312"/>
      <c r="SAT53" s="312"/>
      <c r="SAU53" s="312"/>
      <c r="SAV53" s="312"/>
      <c r="SAW53" s="312"/>
      <c r="SAX53" s="312"/>
      <c r="SAY53" s="312"/>
      <c r="SAZ53" s="312"/>
      <c r="SBA53" s="312"/>
      <c r="SBB53" s="312"/>
      <c r="SBC53" s="312"/>
      <c r="SBD53" s="312"/>
      <c r="SBE53" s="312"/>
      <c r="SBF53" s="312"/>
      <c r="SBG53" s="312"/>
      <c r="SBH53" s="312"/>
      <c r="SBI53" s="312"/>
      <c r="SBJ53" s="312"/>
      <c r="SBK53" s="312"/>
      <c r="SBL53" s="312"/>
      <c r="SBM53" s="312"/>
      <c r="SBN53" s="312"/>
      <c r="SBO53" s="312"/>
      <c r="SBP53" s="312"/>
      <c r="SBQ53" s="312"/>
      <c r="SBR53" s="312"/>
      <c r="SBS53" s="312"/>
      <c r="SBT53" s="312"/>
      <c r="SBU53" s="312"/>
      <c r="SBV53" s="312"/>
      <c r="SBW53" s="312"/>
      <c r="SBX53" s="312"/>
      <c r="SBY53" s="312"/>
      <c r="SBZ53" s="312"/>
      <c r="SCA53" s="312"/>
      <c r="SCB53" s="312"/>
      <c r="SCC53" s="312"/>
      <c r="SCD53" s="312"/>
      <c r="SCE53" s="312"/>
      <c r="SCF53" s="312"/>
      <c r="SCG53" s="312"/>
      <c r="SCH53" s="312"/>
      <c r="SCI53" s="312"/>
      <c r="SCJ53" s="312"/>
      <c r="SCK53" s="312"/>
      <c r="SCL53" s="312"/>
      <c r="SCM53" s="312"/>
      <c r="SCN53" s="312"/>
      <c r="SCO53" s="312"/>
      <c r="SCP53" s="312"/>
      <c r="SCQ53" s="312"/>
      <c r="SCR53" s="312"/>
      <c r="SCS53" s="312"/>
      <c r="SCT53" s="312"/>
      <c r="SCU53" s="312"/>
      <c r="SCV53" s="312"/>
      <c r="SCW53" s="312"/>
      <c r="SCX53" s="312"/>
      <c r="SCY53" s="312"/>
      <c r="SCZ53" s="312"/>
      <c r="SDA53" s="312"/>
      <c r="SDB53" s="312"/>
      <c r="SDC53" s="312"/>
      <c r="SDD53" s="312"/>
      <c r="SDE53" s="312"/>
      <c r="SDF53" s="312"/>
      <c r="SDG53" s="312"/>
      <c r="SDH53" s="312"/>
      <c r="SDI53" s="312"/>
      <c r="SDJ53" s="312"/>
      <c r="SDK53" s="312"/>
      <c r="SDL53" s="312"/>
      <c r="SDM53" s="312"/>
      <c r="SDN53" s="312"/>
      <c r="SDO53" s="312"/>
      <c r="SDP53" s="312"/>
      <c r="SDQ53" s="312"/>
      <c r="SDR53" s="312"/>
      <c r="SDS53" s="312"/>
      <c r="SDT53" s="312"/>
      <c r="SDU53" s="312"/>
      <c r="SDV53" s="312"/>
      <c r="SDW53" s="312"/>
      <c r="SDX53" s="312"/>
      <c r="SDY53" s="312"/>
      <c r="SDZ53" s="312"/>
      <c r="SEA53" s="312"/>
      <c r="SEB53" s="312"/>
      <c r="SEC53" s="312"/>
      <c r="SED53" s="312"/>
      <c r="SEE53" s="312"/>
      <c r="SEF53" s="312"/>
      <c r="SEG53" s="312"/>
      <c r="SEH53" s="312"/>
      <c r="SEI53" s="312"/>
      <c r="SEJ53" s="312"/>
      <c r="SEK53" s="312"/>
      <c r="SEL53" s="312"/>
      <c r="SEM53" s="312"/>
      <c r="SEN53" s="312"/>
      <c r="SEO53" s="312"/>
      <c r="SEP53" s="312"/>
      <c r="SEQ53" s="312"/>
      <c r="SER53" s="312"/>
      <c r="SES53" s="312"/>
      <c r="SET53" s="312"/>
      <c r="SEU53" s="312"/>
      <c r="SEV53" s="312"/>
      <c r="SEW53" s="312"/>
      <c r="SEX53" s="312"/>
      <c r="SEY53" s="312"/>
      <c r="SEZ53" s="312"/>
      <c r="SFA53" s="312"/>
      <c r="SFB53" s="312"/>
      <c r="SFC53" s="312"/>
      <c r="SFD53" s="312"/>
      <c r="SFE53" s="312"/>
      <c r="SFF53" s="312"/>
      <c r="SFG53" s="312"/>
      <c r="SFH53" s="312"/>
      <c r="SFI53" s="312"/>
      <c r="SFJ53" s="312"/>
      <c r="SFK53" s="312"/>
      <c r="SFL53" s="312"/>
      <c r="SFM53" s="312"/>
      <c r="SFN53" s="312"/>
      <c r="SFO53" s="312"/>
      <c r="SFP53" s="312"/>
      <c r="SFQ53" s="312"/>
      <c r="SFR53" s="312"/>
      <c r="SFS53" s="312"/>
      <c r="SFT53" s="312"/>
      <c r="SFU53" s="312"/>
      <c r="SFV53" s="312"/>
      <c r="SFW53" s="312"/>
      <c r="SFX53" s="312"/>
      <c r="SFY53" s="312"/>
      <c r="SFZ53" s="312"/>
      <c r="SGA53" s="312"/>
      <c r="SGB53" s="312"/>
      <c r="SGC53" s="312"/>
      <c r="SGD53" s="312"/>
      <c r="SGE53" s="312"/>
      <c r="SGF53" s="312"/>
      <c r="SGG53" s="312"/>
      <c r="SGH53" s="312"/>
      <c r="SGI53" s="312"/>
      <c r="SGJ53" s="312"/>
      <c r="SGK53" s="312"/>
      <c r="SGL53" s="312"/>
      <c r="SGM53" s="312"/>
      <c r="SGN53" s="312"/>
      <c r="SGO53" s="312"/>
      <c r="SGP53" s="312"/>
      <c r="SGQ53" s="312"/>
      <c r="SGR53" s="312"/>
      <c r="SGS53" s="312"/>
      <c r="SGT53" s="312"/>
      <c r="SGU53" s="312"/>
      <c r="SGV53" s="312"/>
      <c r="SGW53" s="312"/>
      <c r="SGX53" s="312"/>
      <c r="SGY53" s="312"/>
      <c r="SGZ53" s="312"/>
      <c r="SHA53" s="312"/>
      <c r="SHB53" s="312"/>
      <c r="SHC53" s="312"/>
      <c r="SHD53" s="312"/>
      <c r="SHE53" s="312"/>
      <c r="SHF53" s="312"/>
      <c r="SHG53" s="312"/>
      <c r="SHH53" s="312"/>
      <c r="SHI53" s="312"/>
      <c r="SHJ53" s="312"/>
      <c r="SHK53" s="312"/>
      <c r="SHL53" s="312"/>
      <c r="SHM53" s="312"/>
      <c r="SHN53" s="312"/>
      <c r="SHO53" s="312"/>
      <c r="SHP53" s="312"/>
      <c r="SHQ53" s="312"/>
      <c r="SHR53" s="312"/>
      <c r="SHS53" s="312"/>
      <c r="SHT53" s="312"/>
      <c r="SHU53" s="312"/>
      <c r="SHV53" s="312"/>
      <c r="SHW53" s="312"/>
      <c r="SHX53" s="312"/>
      <c r="SHY53" s="312"/>
      <c r="SHZ53" s="312"/>
      <c r="SIA53" s="312"/>
      <c r="SIB53" s="312"/>
      <c r="SIC53" s="312"/>
      <c r="SID53" s="312"/>
      <c r="SIE53" s="312"/>
      <c r="SIF53" s="312"/>
      <c r="SIG53" s="312"/>
      <c r="SIH53" s="312"/>
      <c r="SII53" s="312"/>
      <c r="SIJ53" s="312"/>
      <c r="SIK53" s="312"/>
      <c r="SIL53" s="312"/>
      <c r="SIM53" s="312"/>
      <c r="SIN53" s="312"/>
      <c r="SIO53" s="312"/>
      <c r="SIP53" s="312"/>
      <c r="SIQ53" s="312"/>
      <c r="SIR53" s="312"/>
      <c r="SIS53" s="312"/>
      <c r="SIT53" s="312"/>
      <c r="SIU53" s="312"/>
      <c r="SIV53" s="312"/>
      <c r="SIW53" s="312"/>
      <c r="SIX53" s="312"/>
      <c r="SIY53" s="312"/>
      <c r="SIZ53" s="312"/>
      <c r="SJA53" s="312"/>
      <c r="SJB53" s="312"/>
      <c r="SJC53" s="312"/>
      <c r="SJD53" s="312"/>
      <c r="SJE53" s="312"/>
      <c r="SJF53" s="312"/>
      <c r="SJG53" s="312"/>
      <c r="SJH53" s="312"/>
      <c r="SJI53" s="312"/>
      <c r="SJJ53" s="312"/>
      <c r="SJK53" s="312"/>
      <c r="SJL53" s="312"/>
      <c r="SJM53" s="312"/>
      <c r="SJN53" s="312"/>
      <c r="SJO53" s="312"/>
      <c r="SJP53" s="312"/>
      <c r="SJQ53" s="312"/>
      <c r="SJR53" s="312"/>
      <c r="SJS53" s="312"/>
      <c r="SJT53" s="312"/>
      <c r="SJU53" s="312"/>
      <c r="SJV53" s="312"/>
      <c r="SJW53" s="312"/>
      <c r="SJX53" s="312"/>
      <c r="SJY53" s="312"/>
      <c r="SJZ53" s="312"/>
      <c r="SKA53" s="312"/>
      <c r="SKB53" s="312"/>
      <c r="SKC53" s="312"/>
      <c r="SKD53" s="312"/>
      <c r="SKE53" s="312"/>
      <c r="SKF53" s="312"/>
      <c r="SKG53" s="312"/>
      <c r="SKH53" s="312"/>
      <c r="SKI53" s="312"/>
      <c r="SKJ53" s="312"/>
      <c r="SKK53" s="312"/>
      <c r="SKL53" s="312"/>
      <c r="SKM53" s="312"/>
      <c r="SKN53" s="312"/>
      <c r="SKO53" s="312"/>
      <c r="SKP53" s="312"/>
      <c r="SKQ53" s="312"/>
      <c r="SKR53" s="312"/>
      <c r="SKS53" s="312"/>
      <c r="SKT53" s="312"/>
      <c r="SKU53" s="312"/>
      <c r="SKV53" s="312"/>
      <c r="SKW53" s="312"/>
      <c r="SKX53" s="312"/>
      <c r="SKY53" s="312"/>
      <c r="SKZ53" s="312"/>
      <c r="SLA53" s="312"/>
      <c r="SLB53" s="312"/>
      <c r="SLC53" s="312"/>
      <c r="SLD53" s="312"/>
      <c r="SLE53" s="312"/>
      <c r="SLF53" s="312"/>
      <c r="SLG53" s="312"/>
      <c r="SLH53" s="312"/>
      <c r="SLI53" s="312"/>
      <c r="SLJ53" s="312"/>
      <c r="SLK53" s="312"/>
      <c r="SLL53" s="312"/>
      <c r="SLM53" s="312"/>
      <c r="SLN53" s="312"/>
      <c r="SLO53" s="312"/>
      <c r="SLP53" s="312"/>
      <c r="SLQ53" s="312"/>
      <c r="SLR53" s="312"/>
      <c r="SLS53" s="312"/>
      <c r="SLT53" s="312"/>
      <c r="SLU53" s="312"/>
      <c r="SLV53" s="312"/>
      <c r="SLW53" s="312"/>
      <c r="SLX53" s="312"/>
      <c r="SLY53" s="312"/>
      <c r="SLZ53" s="312"/>
      <c r="SMA53" s="312"/>
      <c r="SMB53" s="312"/>
      <c r="SMC53" s="312"/>
      <c r="SMD53" s="312"/>
      <c r="SME53" s="312"/>
      <c r="SMF53" s="312"/>
      <c r="SMG53" s="312"/>
      <c r="SMH53" s="312"/>
      <c r="SMI53" s="312"/>
      <c r="SMJ53" s="312"/>
      <c r="SMK53" s="312"/>
      <c r="SML53" s="312"/>
      <c r="SMM53" s="312"/>
      <c r="SMN53" s="312"/>
      <c r="SMO53" s="312"/>
      <c r="SMP53" s="312"/>
      <c r="SMQ53" s="312"/>
      <c r="SMR53" s="312"/>
      <c r="SMS53" s="312"/>
      <c r="SMT53" s="312"/>
      <c r="SMU53" s="312"/>
      <c r="SMV53" s="312"/>
      <c r="SMW53" s="312"/>
      <c r="SMX53" s="312"/>
      <c r="SMY53" s="312"/>
      <c r="SMZ53" s="312"/>
      <c r="SNA53" s="312"/>
      <c r="SNB53" s="312"/>
      <c r="SNC53" s="312"/>
      <c r="SND53" s="312"/>
      <c r="SNE53" s="312"/>
      <c r="SNF53" s="312"/>
      <c r="SNG53" s="312"/>
      <c r="SNH53" s="312"/>
      <c r="SNI53" s="312"/>
      <c r="SNJ53" s="312"/>
      <c r="SNK53" s="312"/>
      <c r="SNL53" s="312"/>
      <c r="SNM53" s="312"/>
      <c r="SNN53" s="312"/>
      <c r="SNO53" s="312"/>
      <c r="SNP53" s="312"/>
      <c r="SNQ53" s="312"/>
      <c r="SNR53" s="312"/>
      <c r="SNS53" s="312"/>
      <c r="SNT53" s="312"/>
      <c r="SNU53" s="312"/>
      <c r="SNV53" s="312"/>
      <c r="SNW53" s="312"/>
      <c r="SNX53" s="312"/>
      <c r="SNY53" s="312"/>
      <c r="SNZ53" s="312"/>
      <c r="SOA53" s="312"/>
      <c r="SOB53" s="312"/>
      <c r="SOC53" s="312"/>
      <c r="SOD53" s="312"/>
      <c r="SOE53" s="312"/>
      <c r="SOF53" s="312"/>
      <c r="SOG53" s="312"/>
      <c r="SOH53" s="312"/>
      <c r="SOI53" s="312"/>
      <c r="SOJ53" s="312"/>
      <c r="SOK53" s="312"/>
      <c r="SOL53" s="312"/>
      <c r="SOM53" s="312"/>
      <c r="SON53" s="312"/>
      <c r="SOO53" s="312"/>
      <c r="SOP53" s="312"/>
      <c r="SOQ53" s="312"/>
      <c r="SOR53" s="312"/>
      <c r="SOS53" s="312"/>
      <c r="SOT53" s="312"/>
      <c r="SOU53" s="312"/>
      <c r="SOV53" s="312"/>
      <c r="SOW53" s="312"/>
      <c r="SOX53" s="312"/>
      <c r="SOY53" s="312"/>
      <c r="SOZ53" s="312"/>
      <c r="SPA53" s="312"/>
      <c r="SPB53" s="312"/>
      <c r="SPC53" s="312"/>
      <c r="SPD53" s="312"/>
      <c r="SPE53" s="312"/>
      <c r="SPF53" s="312"/>
      <c r="SPG53" s="312"/>
      <c r="SPH53" s="312"/>
      <c r="SPI53" s="312"/>
      <c r="SPJ53" s="312"/>
      <c r="SPK53" s="312"/>
      <c r="SPL53" s="312"/>
      <c r="SPM53" s="312"/>
      <c r="SPN53" s="312"/>
      <c r="SPO53" s="312"/>
      <c r="SPP53" s="312"/>
      <c r="SPQ53" s="312"/>
      <c r="SPR53" s="312"/>
      <c r="SPS53" s="312"/>
      <c r="SPT53" s="312"/>
      <c r="SPU53" s="312"/>
      <c r="SPV53" s="312"/>
      <c r="SPW53" s="312"/>
      <c r="SPX53" s="312"/>
      <c r="SPY53" s="312"/>
      <c r="SPZ53" s="312"/>
      <c r="SQA53" s="312"/>
      <c r="SQB53" s="312"/>
      <c r="SQC53" s="312"/>
      <c r="SQD53" s="312"/>
      <c r="SQE53" s="312"/>
      <c r="SQF53" s="312"/>
      <c r="SQG53" s="312"/>
      <c r="SQH53" s="312"/>
      <c r="SQI53" s="312"/>
      <c r="SQJ53" s="312"/>
      <c r="SQK53" s="312"/>
      <c r="SQL53" s="312"/>
      <c r="SQM53" s="312"/>
      <c r="SQN53" s="312"/>
      <c r="SQO53" s="312"/>
      <c r="SQP53" s="312"/>
      <c r="SQQ53" s="312"/>
      <c r="SQR53" s="312"/>
      <c r="SQS53" s="312"/>
      <c r="SQT53" s="312"/>
      <c r="SQU53" s="312"/>
      <c r="SQV53" s="312"/>
      <c r="SQW53" s="312"/>
      <c r="SQX53" s="312"/>
      <c r="SQY53" s="312"/>
      <c r="SQZ53" s="312"/>
      <c r="SRA53" s="312"/>
      <c r="SRB53" s="312"/>
      <c r="SRC53" s="312"/>
      <c r="SRD53" s="312"/>
      <c r="SRE53" s="312"/>
      <c r="SRF53" s="312"/>
      <c r="SRG53" s="312"/>
      <c r="SRH53" s="312"/>
      <c r="SRI53" s="312"/>
      <c r="SRJ53" s="312"/>
      <c r="SRK53" s="312"/>
      <c r="SRL53" s="312"/>
      <c r="SRM53" s="312"/>
      <c r="SRN53" s="312"/>
      <c r="SRO53" s="312"/>
      <c r="SRP53" s="312"/>
      <c r="SRQ53" s="312"/>
      <c r="SRR53" s="312"/>
      <c r="SRS53" s="312"/>
      <c r="SRT53" s="312"/>
      <c r="SRU53" s="312"/>
      <c r="SRV53" s="312"/>
      <c r="SRW53" s="312"/>
      <c r="SRX53" s="312"/>
      <c r="SRY53" s="312"/>
      <c r="SRZ53" s="312"/>
      <c r="SSA53" s="312"/>
      <c r="SSB53" s="312"/>
      <c r="SSC53" s="312"/>
      <c r="SSD53" s="312"/>
      <c r="SSE53" s="312"/>
      <c r="SSF53" s="312"/>
      <c r="SSG53" s="312"/>
      <c r="SSH53" s="312"/>
      <c r="SSI53" s="312"/>
      <c r="SSJ53" s="312"/>
      <c r="SSK53" s="312"/>
      <c r="SSL53" s="312"/>
      <c r="SSM53" s="312"/>
      <c r="SSN53" s="312"/>
      <c r="SSO53" s="312"/>
      <c r="SSP53" s="312"/>
      <c r="SSQ53" s="312"/>
      <c r="SSR53" s="312"/>
      <c r="SSS53" s="312"/>
      <c r="SST53" s="312"/>
      <c r="SSU53" s="312"/>
      <c r="SSV53" s="312"/>
      <c r="SSW53" s="312"/>
      <c r="SSX53" s="312"/>
      <c r="SSY53" s="312"/>
      <c r="SSZ53" s="312"/>
      <c r="STA53" s="312"/>
      <c r="STB53" s="312"/>
      <c r="STC53" s="312"/>
      <c r="STD53" s="312"/>
      <c r="STE53" s="312"/>
      <c r="STF53" s="312"/>
      <c r="STG53" s="312"/>
      <c r="STH53" s="312"/>
      <c r="STI53" s="312"/>
      <c r="STJ53" s="312"/>
      <c r="STK53" s="312"/>
      <c r="STL53" s="312"/>
      <c r="STM53" s="312"/>
      <c r="STN53" s="312"/>
      <c r="STO53" s="312"/>
      <c r="STP53" s="312"/>
      <c r="STQ53" s="312"/>
      <c r="STR53" s="312"/>
      <c r="STS53" s="312"/>
      <c r="STT53" s="312"/>
      <c r="STU53" s="312"/>
      <c r="STV53" s="312"/>
      <c r="STW53" s="312"/>
      <c r="STX53" s="312"/>
      <c r="STY53" s="312"/>
      <c r="STZ53" s="312"/>
      <c r="SUA53" s="312"/>
      <c r="SUB53" s="312"/>
      <c r="SUC53" s="312"/>
      <c r="SUD53" s="312"/>
      <c r="SUE53" s="312"/>
      <c r="SUF53" s="312"/>
      <c r="SUG53" s="312"/>
      <c r="SUH53" s="312"/>
      <c r="SUI53" s="312"/>
      <c r="SUJ53" s="312"/>
      <c r="SUK53" s="312"/>
      <c r="SUL53" s="312"/>
      <c r="SUM53" s="312"/>
      <c r="SUN53" s="312"/>
      <c r="SUO53" s="312"/>
      <c r="SUP53" s="312"/>
      <c r="SUQ53" s="312"/>
      <c r="SUR53" s="312"/>
      <c r="SUS53" s="312"/>
      <c r="SUT53" s="312"/>
      <c r="SUU53" s="312"/>
      <c r="SUV53" s="312"/>
      <c r="SUW53" s="312"/>
      <c r="SUX53" s="312"/>
      <c r="SUY53" s="312"/>
      <c r="SUZ53" s="312"/>
      <c r="SVA53" s="312"/>
      <c r="SVB53" s="312"/>
      <c r="SVC53" s="312"/>
      <c r="SVD53" s="312"/>
      <c r="SVE53" s="312"/>
      <c r="SVF53" s="312"/>
      <c r="SVG53" s="312"/>
      <c r="SVH53" s="312"/>
      <c r="SVI53" s="312"/>
      <c r="SVJ53" s="312"/>
      <c r="SVK53" s="312"/>
      <c r="SVL53" s="312"/>
      <c r="SVM53" s="312"/>
      <c r="SVN53" s="312"/>
      <c r="SVO53" s="312"/>
      <c r="SVP53" s="312"/>
      <c r="SVQ53" s="312"/>
      <c r="SVR53" s="312"/>
      <c r="SVS53" s="312"/>
      <c r="SVT53" s="312"/>
      <c r="SVU53" s="312"/>
      <c r="SVV53" s="312"/>
      <c r="SVW53" s="312"/>
      <c r="SVX53" s="312"/>
      <c r="SVY53" s="312"/>
      <c r="SVZ53" s="312"/>
      <c r="SWA53" s="312"/>
      <c r="SWB53" s="312"/>
      <c r="SWC53" s="312"/>
      <c r="SWD53" s="312"/>
      <c r="SWE53" s="312"/>
      <c r="SWF53" s="312"/>
      <c r="SWG53" s="312"/>
      <c r="SWH53" s="312"/>
      <c r="SWI53" s="312"/>
      <c r="SWJ53" s="312"/>
      <c r="SWK53" s="312"/>
      <c r="SWL53" s="312"/>
      <c r="SWM53" s="312"/>
      <c r="SWN53" s="312"/>
      <c r="SWO53" s="312"/>
      <c r="SWP53" s="312"/>
      <c r="SWQ53" s="312"/>
      <c r="SWR53" s="312"/>
      <c r="SWS53" s="312"/>
      <c r="SWT53" s="312"/>
      <c r="SWU53" s="312"/>
      <c r="SWV53" s="312"/>
      <c r="SWW53" s="312"/>
      <c r="SWX53" s="312"/>
      <c r="SWY53" s="312"/>
      <c r="SWZ53" s="312"/>
      <c r="SXA53" s="312"/>
      <c r="SXB53" s="312"/>
      <c r="SXC53" s="312"/>
      <c r="SXD53" s="312"/>
      <c r="SXE53" s="312"/>
      <c r="SXF53" s="312"/>
      <c r="SXG53" s="312"/>
      <c r="SXH53" s="312"/>
      <c r="SXI53" s="312"/>
      <c r="SXJ53" s="312"/>
      <c r="SXK53" s="312"/>
      <c r="SXL53" s="312"/>
      <c r="SXM53" s="312"/>
      <c r="SXN53" s="312"/>
      <c r="SXO53" s="312"/>
      <c r="SXP53" s="312"/>
      <c r="SXQ53" s="312"/>
      <c r="SXR53" s="312"/>
      <c r="SXS53" s="312"/>
      <c r="SXT53" s="312"/>
      <c r="SXU53" s="312"/>
      <c r="SXV53" s="312"/>
      <c r="SXW53" s="312"/>
      <c r="SXX53" s="312"/>
      <c r="SXY53" s="312"/>
      <c r="SXZ53" s="312"/>
      <c r="SYA53" s="312"/>
      <c r="SYB53" s="312"/>
      <c r="SYC53" s="312"/>
      <c r="SYD53" s="312"/>
      <c r="SYE53" s="312"/>
      <c r="SYF53" s="312"/>
      <c r="SYG53" s="312"/>
      <c r="SYH53" s="312"/>
      <c r="SYI53" s="312"/>
      <c r="SYJ53" s="312"/>
      <c r="SYK53" s="312"/>
      <c r="SYL53" s="312"/>
      <c r="SYM53" s="312"/>
      <c r="SYN53" s="312"/>
      <c r="SYO53" s="312"/>
      <c r="SYP53" s="312"/>
      <c r="SYQ53" s="312"/>
      <c r="SYR53" s="312"/>
      <c r="SYS53" s="312"/>
      <c r="SYT53" s="312"/>
      <c r="SYU53" s="312"/>
      <c r="SYV53" s="312"/>
      <c r="SYW53" s="312"/>
      <c r="SYX53" s="312"/>
      <c r="SYY53" s="312"/>
      <c r="SYZ53" s="312"/>
      <c r="SZA53" s="312"/>
      <c r="SZB53" s="312"/>
      <c r="SZC53" s="312"/>
      <c r="SZD53" s="312"/>
      <c r="SZE53" s="312"/>
      <c r="SZF53" s="312"/>
      <c r="SZG53" s="312"/>
      <c r="SZH53" s="312"/>
      <c r="SZI53" s="312"/>
      <c r="SZJ53" s="312"/>
      <c r="SZK53" s="312"/>
      <c r="SZL53" s="312"/>
      <c r="SZM53" s="312"/>
      <c r="SZN53" s="312"/>
      <c r="SZO53" s="312"/>
      <c r="SZP53" s="312"/>
      <c r="SZQ53" s="312"/>
      <c r="SZR53" s="312"/>
      <c r="SZS53" s="312"/>
      <c r="SZT53" s="312"/>
      <c r="SZU53" s="312"/>
      <c r="SZV53" s="312"/>
      <c r="SZW53" s="312"/>
      <c r="SZX53" s="312"/>
      <c r="SZY53" s="312"/>
      <c r="SZZ53" s="312"/>
      <c r="TAA53" s="312"/>
      <c r="TAB53" s="312"/>
      <c r="TAC53" s="312"/>
      <c r="TAD53" s="312"/>
      <c r="TAE53" s="312"/>
      <c r="TAF53" s="312"/>
      <c r="TAG53" s="312"/>
      <c r="TAH53" s="312"/>
      <c r="TAI53" s="312"/>
      <c r="TAJ53" s="312"/>
      <c r="TAK53" s="312"/>
      <c r="TAL53" s="312"/>
      <c r="TAM53" s="312"/>
      <c r="TAN53" s="312"/>
      <c r="TAO53" s="312"/>
      <c r="TAP53" s="312"/>
      <c r="TAQ53" s="312"/>
      <c r="TAR53" s="312"/>
      <c r="TAS53" s="312"/>
      <c r="TAT53" s="312"/>
      <c r="TAU53" s="312"/>
      <c r="TAV53" s="312"/>
      <c r="TAW53" s="312"/>
      <c r="TAX53" s="312"/>
      <c r="TAY53" s="312"/>
      <c r="TAZ53" s="312"/>
      <c r="TBA53" s="312"/>
      <c r="TBB53" s="312"/>
      <c r="TBC53" s="312"/>
      <c r="TBD53" s="312"/>
      <c r="TBE53" s="312"/>
      <c r="TBF53" s="312"/>
      <c r="TBG53" s="312"/>
      <c r="TBH53" s="312"/>
      <c r="TBI53" s="312"/>
      <c r="TBJ53" s="312"/>
      <c r="TBK53" s="312"/>
      <c r="TBL53" s="312"/>
      <c r="TBM53" s="312"/>
      <c r="TBN53" s="312"/>
      <c r="TBO53" s="312"/>
      <c r="TBP53" s="312"/>
      <c r="TBQ53" s="312"/>
      <c r="TBR53" s="312"/>
      <c r="TBS53" s="312"/>
      <c r="TBT53" s="312"/>
      <c r="TBU53" s="312"/>
      <c r="TBV53" s="312"/>
      <c r="TBW53" s="312"/>
      <c r="TBX53" s="312"/>
      <c r="TBY53" s="312"/>
      <c r="TBZ53" s="312"/>
      <c r="TCA53" s="312"/>
      <c r="TCB53" s="312"/>
      <c r="TCC53" s="312"/>
      <c r="TCD53" s="312"/>
      <c r="TCE53" s="312"/>
      <c r="TCF53" s="312"/>
      <c r="TCG53" s="312"/>
      <c r="TCH53" s="312"/>
      <c r="TCI53" s="312"/>
      <c r="TCJ53" s="312"/>
      <c r="TCK53" s="312"/>
      <c r="TCL53" s="312"/>
      <c r="TCM53" s="312"/>
      <c r="TCN53" s="312"/>
      <c r="TCO53" s="312"/>
      <c r="TCP53" s="312"/>
      <c r="TCQ53" s="312"/>
      <c r="TCR53" s="312"/>
      <c r="TCS53" s="312"/>
      <c r="TCT53" s="312"/>
      <c r="TCU53" s="312"/>
      <c r="TCV53" s="312"/>
      <c r="TCW53" s="312"/>
      <c r="TCX53" s="312"/>
      <c r="TCY53" s="312"/>
      <c r="TCZ53" s="312"/>
      <c r="TDA53" s="312"/>
      <c r="TDB53" s="312"/>
      <c r="TDC53" s="312"/>
      <c r="TDD53" s="312"/>
      <c r="TDE53" s="312"/>
      <c r="TDF53" s="312"/>
      <c r="TDG53" s="312"/>
      <c r="TDH53" s="312"/>
      <c r="TDI53" s="312"/>
      <c r="TDJ53" s="312"/>
      <c r="TDK53" s="312"/>
      <c r="TDL53" s="312"/>
      <c r="TDM53" s="312"/>
      <c r="TDN53" s="312"/>
      <c r="TDO53" s="312"/>
      <c r="TDP53" s="312"/>
      <c r="TDQ53" s="312"/>
      <c r="TDR53" s="312"/>
      <c r="TDS53" s="312"/>
      <c r="TDT53" s="312"/>
      <c r="TDU53" s="312"/>
      <c r="TDV53" s="312"/>
      <c r="TDW53" s="312"/>
      <c r="TDX53" s="312"/>
      <c r="TDY53" s="312"/>
      <c r="TDZ53" s="312"/>
      <c r="TEA53" s="312"/>
      <c r="TEB53" s="312"/>
      <c r="TEC53" s="312"/>
      <c r="TED53" s="312"/>
      <c r="TEE53" s="312"/>
      <c r="TEF53" s="312"/>
      <c r="TEG53" s="312"/>
      <c r="TEH53" s="312"/>
      <c r="TEI53" s="312"/>
      <c r="TEJ53" s="312"/>
      <c r="TEK53" s="312"/>
      <c r="TEL53" s="312"/>
      <c r="TEM53" s="312"/>
      <c r="TEN53" s="312"/>
      <c r="TEO53" s="312"/>
      <c r="TEP53" s="312"/>
      <c r="TEQ53" s="312"/>
      <c r="TER53" s="312"/>
      <c r="TES53" s="312"/>
      <c r="TET53" s="312"/>
      <c r="TEU53" s="312"/>
      <c r="TEV53" s="312"/>
      <c r="TEW53" s="312"/>
      <c r="TEX53" s="312"/>
      <c r="TEY53" s="312"/>
      <c r="TEZ53" s="312"/>
      <c r="TFA53" s="312"/>
      <c r="TFB53" s="312"/>
      <c r="TFC53" s="312"/>
      <c r="TFD53" s="312"/>
      <c r="TFE53" s="312"/>
      <c r="TFF53" s="312"/>
      <c r="TFG53" s="312"/>
      <c r="TFH53" s="312"/>
      <c r="TFI53" s="312"/>
      <c r="TFJ53" s="312"/>
      <c r="TFK53" s="312"/>
      <c r="TFL53" s="312"/>
      <c r="TFM53" s="312"/>
      <c r="TFN53" s="312"/>
      <c r="TFO53" s="312"/>
      <c r="TFP53" s="312"/>
      <c r="TFQ53" s="312"/>
      <c r="TFR53" s="312"/>
      <c r="TFS53" s="312"/>
      <c r="TFT53" s="312"/>
      <c r="TFU53" s="312"/>
      <c r="TFV53" s="312"/>
      <c r="TFW53" s="312"/>
      <c r="TFX53" s="312"/>
      <c r="TFY53" s="312"/>
      <c r="TFZ53" s="312"/>
      <c r="TGA53" s="312"/>
      <c r="TGB53" s="312"/>
      <c r="TGC53" s="312"/>
      <c r="TGD53" s="312"/>
      <c r="TGE53" s="312"/>
      <c r="TGF53" s="312"/>
      <c r="TGG53" s="312"/>
      <c r="TGH53" s="312"/>
      <c r="TGI53" s="312"/>
      <c r="TGJ53" s="312"/>
      <c r="TGK53" s="312"/>
      <c r="TGL53" s="312"/>
      <c r="TGM53" s="312"/>
      <c r="TGN53" s="312"/>
      <c r="TGO53" s="312"/>
      <c r="TGP53" s="312"/>
      <c r="TGQ53" s="312"/>
      <c r="TGR53" s="312"/>
      <c r="TGS53" s="312"/>
      <c r="TGT53" s="312"/>
      <c r="TGU53" s="312"/>
      <c r="TGV53" s="312"/>
      <c r="TGW53" s="312"/>
      <c r="TGX53" s="312"/>
      <c r="TGY53" s="312"/>
      <c r="TGZ53" s="312"/>
      <c r="THA53" s="312"/>
      <c r="THB53" s="312"/>
      <c r="THC53" s="312"/>
      <c r="THD53" s="312"/>
      <c r="THE53" s="312"/>
      <c r="THF53" s="312"/>
      <c r="THG53" s="312"/>
      <c r="THH53" s="312"/>
      <c r="THI53" s="312"/>
      <c r="THJ53" s="312"/>
      <c r="THK53" s="312"/>
      <c r="THL53" s="312"/>
      <c r="THM53" s="312"/>
      <c r="THN53" s="312"/>
      <c r="THO53" s="312"/>
      <c r="THP53" s="312"/>
      <c r="THQ53" s="312"/>
      <c r="THR53" s="312"/>
      <c r="THS53" s="312"/>
      <c r="THT53" s="312"/>
      <c r="THU53" s="312"/>
      <c r="THV53" s="312"/>
      <c r="THW53" s="312"/>
      <c r="THX53" s="312"/>
      <c r="THY53" s="312"/>
      <c r="THZ53" s="312"/>
      <c r="TIA53" s="312"/>
      <c r="TIB53" s="312"/>
      <c r="TIC53" s="312"/>
      <c r="TID53" s="312"/>
      <c r="TIE53" s="312"/>
      <c r="TIF53" s="312"/>
      <c r="TIG53" s="312"/>
      <c r="TIH53" s="312"/>
      <c r="TII53" s="312"/>
      <c r="TIJ53" s="312"/>
      <c r="TIK53" s="312"/>
      <c r="TIL53" s="312"/>
      <c r="TIM53" s="312"/>
      <c r="TIN53" s="312"/>
      <c r="TIO53" s="312"/>
      <c r="TIP53" s="312"/>
      <c r="TIQ53" s="312"/>
      <c r="TIR53" s="312"/>
      <c r="TIS53" s="312"/>
      <c r="TIT53" s="312"/>
      <c r="TIU53" s="312"/>
      <c r="TIV53" s="312"/>
      <c r="TIW53" s="312"/>
      <c r="TIX53" s="312"/>
      <c r="TIY53" s="312"/>
      <c r="TIZ53" s="312"/>
      <c r="TJA53" s="312"/>
      <c r="TJB53" s="312"/>
      <c r="TJC53" s="312"/>
      <c r="TJD53" s="312"/>
      <c r="TJE53" s="312"/>
      <c r="TJF53" s="312"/>
      <c r="TJG53" s="312"/>
      <c r="TJH53" s="312"/>
      <c r="TJI53" s="312"/>
      <c r="TJJ53" s="312"/>
      <c r="TJK53" s="312"/>
      <c r="TJL53" s="312"/>
      <c r="TJM53" s="312"/>
      <c r="TJN53" s="312"/>
      <c r="TJO53" s="312"/>
      <c r="TJP53" s="312"/>
      <c r="TJQ53" s="312"/>
      <c r="TJR53" s="312"/>
      <c r="TJS53" s="312"/>
      <c r="TJT53" s="312"/>
      <c r="TJU53" s="312"/>
      <c r="TJV53" s="312"/>
      <c r="TJW53" s="312"/>
      <c r="TJX53" s="312"/>
      <c r="TJY53" s="312"/>
      <c r="TJZ53" s="312"/>
      <c r="TKA53" s="312"/>
      <c r="TKB53" s="312"/>
      <c r="TKC53" s="312"/>
      <c r="TKD53" s="312"/>
      <c r="TKE53" s="312"/>
      <c r="TKF53" s="312"/>
      <c r="TKG53" s="312"/>
      <c r="TKH53" s="312"/>
      <c r="TKI53" s="312"/>
      <c r="TKJ53" s="312"/>
      <c r="TKK53" s="312"/>
      <c r="TKL53" s="312"/>
      <c r="TKM53" s="312"/>
      <c r="TKN53" s="312"/>
      <c r="TKO53" s="312"/>
      <c r="TKP53" s="312"/>
      <c r="TKQ53" s="312"/>
      <c r="TKR53" s="312"/>
      <c r="TKS53" s="312"/>
      <c r="TKT53" s="312"/>
      <c r="TKU53" s="312"/>
      <c r="TKV53" s="312"/>
      <c r="TKW53" s="312"/>
      <c r="TKX53" s="312"/>
      <c r="TKY53" s="312"/>
      <c r="TKZ53" s="312"/>
      <c r="TLA53" s="312"/>
      <c r="TLB53" s="312"/>
      <c r="TLC53" s="312"/>
      <c r="TLD53" s="312"/>
      <c r="TLE53" s="312"/>
      <c r="TLF53" s="312"/>
      <c r="TLG53" s="312"/>
      <c r="TLH53" s="312"/>
      <c r="TLI53" s="312"/>
      <c r="TLJ53" s="312"/>
      <c r="TLK53" s="312"/>
      <c r="TLL53" s="312"/>
      <c r="TLM53" s="312"/>
      <c r="TLN53" s="312"/>
      <c r="TLO53" s="312"/>
      <c r="TLP53" s="312"/>
      <c r="TLQ53" s="312"/>
      <c r="TLR53" s="312"/>
      <c r="TLS53" s="312"/>
      <c r="TLT53" s="312"/>
      <c r="TLU53" s="312"/>
      <c r="TLV53" s="312"/>
      <c r="TLW53" s="312"/>
      <c r="TLX53" s="312"/>
      <c r="TLY53" s="312"/>
      <c r="TLZ53" s="312"/>
      <c r="TMA53" s="312"/>
      <c r="TMB53" s="312"/>
      <c r="TMC53" s="312"/>
      <c r="TMD53" s="312"/>
      <c r="TME53" s="312"/>
      <c r="TMF53" s="312"/>
      <c r="TMG53" s="312"/>
      <c r="TMH53" s="312"/>
      <c r="TMI53" s="312"/>
      <c r="TMJ53" s="312"/>
      <c r="TMK53" s="312"/>
      <c r="TML53" s="312"/>
      <c r="TMM53" s="312"/>
      <c r="TMN53" s="312"/>
      <c r="TMO53" s="312"/>
      <c r="TMP53" s="312"/>
      <c r="TMQ53" s="312"/>
      <c r="TMR53" s="312"/>
      <c r="TMS53" s="312"/>
      <c r="TMT53" s="312"/>
      <c r="TMU53" s="312"/>
      <c r="TMV53" s="312"/>
      <c r="TMW53" s="312"/>
      <c r="TMX53" s="312"/>
      <c r="TMY53" s="312"/>
      <c r="TMZ53" s="312"/>
      <c r="TNA53" s="312"/>
      <c r="TNB53" s="312"/>
      <c r="TNC53" s="312"/>
      <c r="TND53" s="312"/>
      <c r="TNE53" s="312"/>
      <c r="TNF53" s="312"/>
      <c r="TNG53" s="312"/>
      <c r="TNH53" s="312"/>
      <c r="TNI53" s="312"/>
      <c r="TNJ53" s="312"/>
      <c r="TNK53" s="312"/>
      <c r="TNL53" s="312"/>
      <c r="TNM53" s="312"/>
      <c r="TNN53" s="312"/>
      <c r="TNO53" s="312"/>
      <c r="TNP53" s="312"/>
      <c r="TNQ53" s="312"/>
      <c r="TNR53" s="312"/>
      <c r="TNS53" s="312"/>
      <c r="TNT53" s="312"/>
      <c r="TNU53" s="312"/>
      <c r="TNV53" s="312"/>
      <c r="TNW53" s="312"/>
      <c r="TNX53" s="312"/>
      <c r="TNY53" s="312"/>
      <c r="TNZ53" s="312"/>
      <c r="TOA53" s="312"/>
      <c r="TOB53" s="312"/>
      <c r="TOC53" s="312"/>
      <c r="TOD53" s="312"/>
      <c r="TOE53" s="312"/>
      <c r="TOF53" s="312"/>
      <c r="TOG53" s="312"/>
      <c r="TOH53" s="312"/>
      <c r="TOI53" s="312"/>
      <c r="TOJ53" s="312"/>
      <c r="TOK53" s="312"/>
      <c r="TOL53" s="312"/>
      <c r="TOM53" s="312"/>
      <c r="TON53" s="312"/>
      <c r="TOO53" s="312"/>
      <c r="TOP53" s="312"/>
      <c r="TOQ53" s="312"/>
      <c r="TOR53" s="312"/>
      <c r="TOS53" s="312"/>
      <c r="TOT53" s="312"/>
      <c r="TOU53" s="312"/>
      <c r="TOV53" s="312"/>
      <c r="TOW53" s="312"/>
      <c r="TOX53" s="312"/>
      <c r="TOY53" s="312"/>
      <c r="TOZ53" s="312"/>
      <c r="TPA53" s="312"/>
      <c r="TPB53" s="312"/>
      <c r="TPC53" s="312"/>
      <c r="TPD53" s="312"/>
      <c r="TPE53" s="312"/>
      <c r="TPF53" s="312"/>
      <c r="TPG53" s="312"/>
      <c r="TPH53" s="312"/>
      <c r="TPI53" s="312"/>
      <c r="TPJ53" s="312"/>
      <c r="TPK53" s="312"/>
      <c r="TPL53" s="312"/>
      <c r="TPM53" s="312"/>
      <c r="TPN53" s="312"/>
      <c r="TPO53" s="312"/>
      <c r="TPP53" s="312"/>
      <c r="TPQ53" s="312"/>
      <c r="TPR53" s="312"/>
      <c r="TPS53" s="312"/>
      <c r="TPT53" s="312"/>
      <c r="TPU53" s="312"/>
      <c r="TPV53" s="312"/>
      <c r="TPW53" s="312"/>
      <c r="TPX53" s="312"/>
      <c r="TPY53" s="312"/>
      <c r="TPZ53" s="312"/>
      <c r="TQA53" s="312"/>
      <c r="TQB53" s="312"/>
      <c r="TQC53" s="312"/>
      <c r="TQD53" s="312"/>
      <c r="TQE53" s="312"/>
      <c r="TQF53" s="312"/>
      <c r="TQG53" s="312"/>
      <c r="TQH53" s="312"/>
      <c r="TQI53" s="312"/>
      <c r="TQJ53" s="312"/>
      <c r="TQK53" s="312"/>
      <c r="TQL53" s="312"/>
      <c r="TQM53" s="312"/>
      <c r="TQN53" s="312"/>
      <c r="TQO53" s="312"/>
      <c r="TQP53" s="312"/>
      <c r="TQQ53" s="312"/>
      <c r="TQR53" s="312"/>
      <c r="TQS53" s="312"/>
      <c r="TQT53" s="312"/>
      <c r="TQU53" s="312"/>
      <c r="TQV53" s="312"/>
      <c r="TQW53" s="312"/>
      <c r="TQX53" s="312"/>
      <c r="TQY53" s="312"/>
      <c r="TQZ53" s="312"/>
      <c r="TRA53" s="312"/>
      <c r="TRB53" s="312"/>
      <c r="TRC53" s="312"/>
      <c r="TRD53" s="312"/>
      <c r="TRE53" s="312"/>
      <c r="TRF53" s="312"/>
      <c r="TRG53" s="312"/>
      <c r="TRH53" s="312"/>
      <c r="TRI53" s="312"/>
      <c r="TRJ53" s="312"/>
      <c r="TRK53" s="312"/>
      <c r="TRL53" s="312"/>
      <c r="TRM53" s="312"/>
      <c r="TRN53" s="312"/>
      <c r="TRO53" s="312"/>
      <c r="TRP53" s="312"/>
      <c r="TRQ53" s="312"/>
      <c r="TRR53" s="312"/>
      <c r="TRS53" s="312"/>
      <c r="TRT53" s="312"/>
      <c r="TRU53" s="312"/>
      <c r="TRV53" s="312"/>
      <c r="TRW53" s="312"/>
      <c r="TRX53" s="312"/>
      <c r="TRY53" s="312"/>
      <c r="TRZ53" s="312"/>
      <c r="TSA53" s="312"/>
      <c r="TSB53" s="312"/>
      <c r="TSC53" s="312"/>
      <c r="TSD53" s="312"/>
      <c r="TSE53" s="312"/>
      <c r="TSF53" s="312"/>
      <c r="TSG53" s="312"/>
      <c r="TSH53" s="312"/>
      <c r="TSI53" s="312"/>
      <c r="TSJ53" s="312"/>
      <c r="TSK53" s="312"/>
      <c r="TSL53" s="312"/>
      <c r="TSM53" s="312"/>
      <c r="TSN53" s="312"/>
      <c r="TSO53" s="312"/>
      <c r="TSP53" s="312"/>
      <c r="TSQ53" s="312"/>
      <c r="TSR53" s="312"/>
      <c r="TSS53" s="312"/>
      <c r="TST53" s="312"/>
      <c r="TSU53" s="312"/>
      <c r="TSV53" s="312"/>
      <c r="TSW53" s="312"/>
      <c r="TSX53" s="312"/>
      <c r="TSY53" s="312"/>
      <c r="TSZ53" s="312"/>
      <c r="TTA53" s="312"/>
      <c r="TTB53" s="312"/>
      <c r="TTC53" s="312"/>
      <c r="TTD53" s="312"/>
      <c r="TTE53" s="312"/>
      <c r="TTF53" s="312"/>
      <c r="TTG53" s="312"/>
      <c r="TTH53" s="312"/>
      <c r="TTI53" s="312"/>
      <c r="TTJ53" s="312"/>
      <c r="TTK53" s="312"/>
      <c r="TTL53" s="312"/>
      <c r="TTM53" s="312"/>
      <c r="TTN53" s="312"/>
      <c r="TTO53" s="312"/>
      <c r="TTP53" s="312"/>
      <c r="TTQ53" s="312"/>
      <c r="TTR53" s="312"/>
      <c r="TTS53" s="312"/>
      <c r="TTT53" s="312"/>
      <c r="TTU53" s="312"/>
      <c r="TTV53" s="312"/>
      <c r="TTW53" s="312"/>
      <c r="TTX53" s="312"/>
      <c r="TTY53" s="312"/>
      <c r="TTZ53" s="312"/>
      <c r="TUA53" s="312"/>
      <c r="TUB53" s="312"/>
      <c r="TUC53" s="312"/>
      <c r="TUD53" s="312"/>
      <c r="TUE53" s="312"/>
      <c r="TUF53" s="312"/>
      <c r="TUG53" s="312"/>
      <c r="TUH53" s="312"/>
      <c r="TUI53" s="312"/>
      <c r="TUJ53" s="312"/>
      <c r="TUK53" s="312"/>
      <c r="TUL53" s="312"/>
      <c r="TUM53" s="312"/>
      <c r="TUN53" s="312"/>
      <c r="TUO53" s="312"/>
      <c r="TUP53" s="312"/>
      <c r="TUQ53" s="312"/>
      <c r="TUR53" s="312"/>
      <c r="TUS53" s="312"/>
      <c r="TUT53" s="312"/>
      <c r="TUU53" s="312"/>
      <c r="TUV53" s="312"/>
      <c r="TUW53" s="312"/>
      <c r="TUX53" s="312"/>
      <c r="TUY53" s="312"/>
      <c r="TUZ53" s="312"/>
      <c r="TVA53" s="312"/>
      <c r="TVB53" s="312"/>
      <c r="TVC53" s="312"/>
      <c r="TVD53" s="312"/>
      <c r="TVE53" s="312"/>
      <c r="TVF53" s="312"/>
      <c r="TVG53" s="312"/>
      <c r="TVH53" s="312"/>
      <c r="TVI53" s="312"/>
      <c r="TVJ53" s="312"/>
      <c r="TVK53" s="312"/>
      <c r="TVL53" s="312"/>
      <c r="TVM53" s="312"/>
      <c r="TVN53" s="312"/>
      <c r="TVO53" s="312"/>
      <c r="TVP53" s="312"/>
      <c r="TVQ53" s="312"/>
      <c r="TVR53" s="312"/>
      <c r="TVS53" s="312"/>
      <c r="TVT53" s="312"/>
      <c r="TVU53" s="312"/>
      <c r="TVV53" s="312"/>
      <c r="TVW53" s="312"/>
      <c r="TVX53" s="312"/>
      <c r="TVY53" s="312"/>
      <c r="TVZ53" s="312"/>
      <c r="TWA53" s="312"/>
      <c r="TWB53" s="312"/>
      <c r="TWC53" s="312"/>
      <c r="TWD53" s="312"/>
      <c r="TWE53" s="312"/>
      <c r="TWF53" s="312"/>
      <c r="TWG53" s="312"/>
      <c r="TWH53" s="312"/>
      <c r="TWI53" s="312"/>
      <c r="TWJ53" s="312"/>
      <c r="TWK53" s="312"/>
      <c r="TWL53" s="312"/>
      <c r="TWM53" s="312"/>
      <c r="TWN53" s="312"/>
      <c r="TWO53" s="312"/>
      <c r="TWP53" s="312"/>
      <c r="TWQ53" s="312"/>
      <c r="TWR53" s="312"/>
      <c r="TWS53" s="312"/>
      <c r="TWT53" s="312"/>
      <c r="TWU53" s="312"/>
      <c r="TWV53" s="312"/>
      <c r="TWW53" s="312"/>
      <c r="TWX53" s="312"/>
      <c r="TWY53" s="312"/>
      <c r="TWZ53" s="312"/>
      <c r="TXA53" s="312"/>
      <c r="TXB53" s="312"/>
      <c r="TXC53" s="312"/>
      <c r="TXD53" s="312"/>
      <c r="TXE53" s="312"/>
      <c r="TXF53" s="312"/>
      <c r="TXG53" s="312"/>
      <c r="TXH53" s="312"/>
      <c r="TXI53" s="312"/>
      <c r="TXJ53" s="312"/>
      <c r="TXK53" s="312"/>
      <c r="TXL53" s="312"/>
      <c r="TXM53" s="312"/>
      <c r="TXN53" s="312"/>
      <c r="TXO53" s="312"/>
      <c r="TXP53" s="312"/>
      <c r="TXQ53" s="312"/>
      <c r="TXR53" s="312"/>
      <c r="TXS53" s="312"/>
      <c r="TXT53" s="312"/>
      <c r="TXU53" s="312"/>
      <c r="TXV53" s="312"/>
      <c r="TXW53" s="312"/>
      <c r="TXX53" s="312"/>
      <c r="TXY53" s="312"/>
      <c r="TXZ53" s="312"/>
      <c r="TYA53" s="312"/>
      <c r="TYB53" s="312"/>
      <c r="TYC53" s="312"/>
      <c r="TYD53" s="312"/>
      <c r="TYE53" s="312"/>
      <c r="TYF53" s="312"/>
      <c r="TYG53" s="312"/>
      <c r="TYH53" s="312"/>
      <c r="TYI53" s="312"/>
      <c r="TYJ53" s="312"/>
      <c r="TYK53" s="312"/>
      <c r="TYL53" s="312"/>
      <c r="TYM53" s="312"/>
      <c r="TYN53" s="312"/>
      <c r="TYO53" s="312"/>
      <c r="TYP53" s="312"/>
      <c r="TYQ53" s="312"/>
      <c r="TYR53" s="312"/>
      <c r="TYS53" s="312"/>
      <c r="TYT53" s="312"/>
      <c r="TYU53" s="312"/>
      <c r="TYV53" s="312"/>
      <c r="TYW53" s="312"/>
      <c r="TYX53" s="312"/>
      <c r="TYY53" s="312"/>
      <c r="TYZ53" s="312"/>
      <c r="TZA53" s="312"/>
      <c r="TZB53" s="312"/>
      <c r="TZC53" s="312"/>
      <c r="TZD53" s="312"/>
      <c r="TZE53" s="312"/>
      <c r="TZF53" s="312"/>
      <c r="TZG53" s="312"/>
      <c r="TZH53" s="312"/>
      <c r="TZI53" s="312"/>
      <c r="TZJ53" s="312"/>
      <c r="TZK53" s="312"/>
      <c r="TZL53" s="312"/>
      <c r="TZM53" s="312"/>
      <c r="TZN53" s="312"/>
      <c r="TZO53" s="312"/>
      <c r="TZP53" s="312"/>
      <c r="TZQ53" s="312"/>
      <c r="TZR53" s="312"/>
      <c r="TZS53" s="312"/>
      <c r="TZT53" s="312"/>
      <c r="TZU53" s="312"/>
      <c r="TZV53" s="312"/>
      <c r="TZW53" s="312"/>
      <c r="TZX53" s="312"/>
      <c r="TZY53" s="312"/>
      <c r="TZZ53" s="312"/>
      <c r="UAA53" s="312"/>
      <c r="UAB53" s="312"/>
      <c r="UAC53" s="312"/>
      <c r="UAD53" s="312"/>
      <c r="UAE53" s="312"/>
      <c r="UAF53" s="312"/>
      <c r="UAG53" s="312"/>
      <c r="UAH53" s="312"/>
      <c r="UAI53" s="312"/>
      <c r="UAJ53" s="312"/>
      <c r="UAK53" s="312"/>
      <c r="UAL53" s="312"/>
      <c r="UAM53" s="312"/>
      <c r="UAN53" s="312"/>
      <c r="UAO53" s="312"/>
      <c r="UAP53" s="312"/>
      <c r="UAQ53" s="312"/>
      <c r="UAR53" s="312"/>
      <c r="UAS53" s="312"/>
      <c r="UAT53" s="312"/>
      <c r="UAU53" s="312"/>
      <c r="UAV53" s="312"/>
      <c r="UAW53" s="312"/>
      <c r="UAX53" s="312"/>
      <c r="UAY53" s="312"/>
      <c r="UAZ53" s="312"/>
      <c r="UBA53" s="312"/>
      <c r="UBB53" s="312"/>
      <c r="UBC53" s="312"/>
      <c r="UBD53" s="312"/>
      <c r="UBE53" s="312"/>
      <c r="UBF53" s="312"/>
      <c r="UBG53" s="312"/>
      <c r="UBH53" s="312"/>
      <c r="UBI53" s="312"/>
      <c r="UBJ53" s="312"/>
      <c r="UBK53" s="312"/>
      <c r="UBL53" s="312"/>
      <c r="UBM53" s="312"/>
      <c r="UBN53" s="312"/>
      <c r="UBO53" s="312"/>
      <c r="UBP53" s="312"/>
      <c r="UBQ53" s="312"/>
      <c r="UBR53" s="312"/>
      <c r="UBS53" s="312"/>
      <c r="UBT53" s="312"/>
      <c r="UBU53" s="312"/>
      <c r="UBV53" s="312"/>
      <c r="UBW53" s="312"/>
      <c r="UBX53" s="312"/>
      <c r="UBY53" s="312"/>
      <c r="UBZ53" s="312"/>
      <c r="UCA53" s="312"/>
      <c r="UCB53" s="312"/>
      <c r="UCC53" s="312"/>
      <c r="UCD53" s="312"/>
      <c r="UCE53" s="312"/>
      <c r="UCF53" s="312"/>
      <c r="UCG53" s="312"/>
      <c r="UCH53" s="312"/>
      <c r="UCI53" s="312"/>
      <c r="UCJ53" s="312"/>
      <c r="UCK53" s="312"/>
      <c r="UCL53" s="312"/>
      <c r="UCM53" s="312"/>
      <c r="UCN53" s="312"/>
      <c r="UCO53" s="312"/>
      <c r="UCP53" s="312"/>
      <c r="UCQ53" s="312"/>
      <c r="UCR53" s="312"/>
      <c r="UCS53" s="312"/>
      <c r="UCT53" s="312"/>
      <c r="UCU53" s="312"/>
      <c r="UCV53" s="312"/>
      <c r="UCW53" s="312"/>
      <c r="UCX53" s="312"/>
      <c r="UCY53" s="312"/>
      <c r="UCZ53" s="312"/>
      <c r="UDA53" s="312"/>
      <c r="UDB53" s="312"/>
      <c r="UDC53" s="312"/>
      <c r="UDD53" s="312"/>
      <c r="UDE53" s="312"/>
      <c r="UDF53" s="312"/>
      <c r="UDG53" s="312"/>
      <c r="UDH53" s="312"/>
      <c r="UDI53" s="312"/>
      <c r="UDJ53" s="312"/>
      <c r="UDK53" s="312"/>
      <c r="UDL53" s="312"/>
      <c r="UDM53" s="312"/>
      <c r="UDN53" s="312"/>
      <c r="UDO53" s="312"/>
      <c r="UDP53" s="312"/>
      <c r="UDQ53" s="312"/>
      <c r="UDR53" s="312"/>
      <c r="UDS53" s="312"/>
      <c r="UDT53" s="312"/>
      <c r="UDU53" s="312"/>
      <c r="UDV53" s="312"/>
      <c r="UDW53" s="312"/>
      <c r="UDX53" s="312"/>
      <c r="UDY53" s="312"/>
      <c r="UDZ53" s="312"/>
      <c r="UEA53" s="312"/>
      <c r="UEB53" s="312"/>
      <c r="UEC53" s="312"/>
      <c r="UED53" s="312"/>
      <c r="UEE53" s="312"/>
      <c r="UEF53" s="312"/>
      <c r="UEG53" s="312"/>
      <c r="UEH53" s="312"/>
      <c r="UEI53" s="312"/>
      <c r="UEJ53" s="312"/>
      <c r="UEK53" s="312"/>
      <c r="UEL53" s="312"/>
      <c r="UEM53" s="312"/>
      <c r="UEN53" s="312"/>
      <c r="UEO53" s="312"/>
      <c r="UEP53" s="312"/>
      <c r="UEQ53" s="312"/>
      <c r="UER53" s="312"/>
      <c r="UES53" s="312"/>
      <c r="UET53" s="312"/>
      <c r="UEU53" s="312"/>
      <c r="UEV53" s="312"/>
      <c r="UEW53" s="312"/>
      <c r="UEX53" s="312"/>
      <c r="UEY53" s="312"/>
      <c r="UEZ53" s="312"/>
      <c r="UFA53" s="312"/>
      <c r="UFB53" s="312"/>
      <c r="UFC53" s="312"/>
      <c r="UFD53" s="312"/>
      <c r="UFE53" s="312"/>
      <c r="UFF53" s="312"/>
      <c r="UFG53" s="312"/>
      <c r="UFH53" s="312"/>
      <c r="UFI53" s="312"/>
      <c r="UFJ53" s="312"/>
      <c r="UFK53" s="312"/>
      <c r="UFL53" s="312"/>
      <c r="UFM53" s="312"/>
      <c r="UFN53" s="312"/>
      <c r="UFO53" s="312"/>
      <c r="UFP53" s="312"/>
      <c r="UFQ53" s="312"/>
      <c r="UFR53" s="312"/>
      <c r="UFS53" s="312"/>
      <c r="UFT53" s="312"/>
      <c r="UFU53" s="312"/>
      <c r="UFV53" s="312"/>
      <c r="UFW53" s="312"/>
      <c r="UFX53" s="312"/>
      <c r="UFY53" s="312"/>
      <c r="UFZ53" s="312"/>
      <c r="UGA53" s="312"/>
      <c r="UGB53" s="312"/>
      <c r="UGC53" s="312"/>
      <c r="UGD53" s="312"/>
      <c r="UGE53" s="312"/>
      <c r="UGF53" s="312"/>
      <c r="UGG53" s="312"/>
      <c r="UGH53" s="312"/>
      <c r="UGI53" s="312"/>
      <c r="UGJ53" s="312"/>
      <c r="UGK53" s="312"/>
      <c r="UGL53" s="312"/>
      <c r="UGM53" s="312"/>
      <c r="UGN53" s="312"/>
      <c r="UGO53" s="312"/>
      <c r="UGP53" s="312"/>
      <c r="UGQ53" s="312"/>
      <c r="UGR53" s="312"/>
      <c r="UGS53" s="312"/>
      <c r="UGT53" s="312"/>
      <c r="UGU53" s="312"/>
      <c r="UGV53" s="312"/>
      <c r="UGW53" s="312"/>
      <c r="UGX53" s="312"/>
      <c r="UGY53" s="312"/>
      <c r="UGZ53" s="312"/>
      <c r="UHA53" s="312"/>
      <c r="UHB53" s="312"/>
      <c r="UHC53" s="312"/>
      <c r="UHD53" s="312"/>
      <c r="UHE53" s="312"/>
      <c r="UHF53" s="312"/>
      <c r="UHG53" s="312"/>
      <c r="UHH53" s="312"/>
      <c r="UHI53" s="312"/>
      <c r="UHJ53" s="312"/>
      <c r="UHK53" s="312"/>
      <c r="UHL53" s="312"/>
      <c r="UHM53" s="312"/>
      <c r="UHN53" s="312"/>
      <c r="UHO53" s="312"/>
      <c r="UHP53" s="312"/>
      <c r="UHQ53" s="312"/>
      <c r="UHR53" s="312"/>
      <c r="UHS53" s="312"/>
      <c r="UHT53" s="312"/>
      <c r="UHU53" s="312"/>
      <c r="UHV53" s="312"/>
      <c r="UHW53" s="312"/>
      <c r="UHX53" s="312"/>
      <c r="UHY53" s="312"/>
      <c r="UHZ53" s="312"/>
      <c r="UIA53" s="312"/>
      <c r="UIB53" s="312"/>
      <c r="UIC53" s="312"/>
      <c r="UID53" s="312"/>
      <c r="UIE53" s="312"/>
      <c r="UIF53" s="312"/>
      <c r="UIG53" s="312"/>
      <c r="UIH53" s="312"/>
      <c r="UII53" s="312"/>
      <c r="UIJ53" s="312"/>
      <c r="UIK53" s="312"/>
      <c r="UIL53" s="312"/>
      <c r="UIM53" s="312"/>
      <c r="UIN53" s="312"/>
      <c r="UIO53" s="312"/>
      <c r="UIP53" s="312"/>
      <c r="UIQ53" s="312"/>
      <c r="UIR53" s="312"/>
      <c r="UIS53" s="312"/>
      <c r="UIT53" s="312"/>
      <c r="UIU53" s="312"/>
      <c r="UIV53" s="312"/>
      <c r="UIW53" s="312"/>
      <c r="UIX53" s="312"/>
      <c r="UIY53" s="312"/>
      <c r="UIZ53" s="312"/>
      <c r="UJA53" s="312"/>
      <c r="UJB53" s="312"/>
      <c r="UJC53" s="312"/>
      <c r="UJD53" s="312"/>
      <c r="UJE53" s="312"/>
      <c r="UJF53" s="312"/>
      <c r="UJG53" s="312"/>
      <c r="UJH53" s="312"/>
      <c r="UJI53" s="312"/>
      <c r="UJJ53" s="312"/>
      <c r="UJK53" s="312"/>
      <c r="UJL53" s="312"/>
      <c r="UJM53" s="312"/>
      <c r="UJN53" s="312"/>
      <c r="UJO53" s="312"/>
      <c r="UJP53" s="312"/>
      <c r="UJQ53" s="312"/>
      <c r="UJR53" s="312"/>
      <c r="UJS53" s="312"/>
      <c r="UJT53" s="312"/>
      <c r="UJU53" s="312"/>
      <c r="UJV53" s="312"/>
      <c r="UJW53" s="312"/>
      <c r="UJX53" s="312"/>
      <c r="UJY53" s="312"/>
      <c r="UJZ53" s="312"/>
      <c r="UKA53" s="312"/>
      <c r="UKB53" s="312"/>
      <c r="UKC53" s="312"/>
      <c r="UKD53" s="312"/>
      <c r="UKE53" s="312"/>
      <c r="UKF53" s="312"/>
      <c r="UKG53" s="312"/>
      <c r="UKH53" s="312"/>
      <c r="UKI53" s="312"/>
      <c r="UKJ53" s="312"/>
      <c r="UKK53" s="312"/>
      <c r="UKL53" s="312"/>
      <c r="UKM53" s="312"/>
      <c r="UKN53" s="312"/>
      <c r="UKO53" s="312"/>
      <c r="UKP53" s="312"/>
      <c r="UKQ53" s="312"/>
      <c r="UKR53" s="312"/>
      <c r="UKS53" s="312"/>
      <c r="UKT53" s="312"/>
      <c r="UKU53" s="312"/>
      <c r="UKV53" s="312"/>
      <c r="UKW53" s="312"/>
      <c r="UKX53" s="312"/>
      <c r="UKY53" s="312"/>
      <c r="UKZ53" s="312"/>
      <c r="ULA53" s="312"/>
      <c r="ULB53" s="312"/>
      <c r="ULC53" s="312"/>
      <c r="ULD53" s="312"/>
      <c r="ULE53" s="312"/>
      <c r="ULF53" s="312"/>
      <c r="ULG53" s="312"/>
      <c r="ULH53" s="312"/>
      <c r="ULI53" s="312"/>
      <c r="ULJ53" s="312"/>
      <c r="ULK53" s="312"/>
      <c r="ULL53" s="312"/>
      <c r="ULM53" s="312"/>
      <c r="ULN53" s="312"/>
      <c r="ULO53" s="312"/>
      <c r="ULP53" s="312"/>
      <c r="ULQ53" s="312"/>
      <c r="ULR53" s="312"/>
      <c r="ULS53" s="312"/>
      <c r="ULT53" s="312"/>
      <c r="ULU53" s="312"/>
      <c r="ULV53" s="312"/>
      <c r="ULW53" s="312"/>
      <c r="ULX53" s="312"/>
      <c r="ULY53" s="312"/>
      <c r="ULZ53" s="312"/>
      <c r="UMA53" s="312"/>
      <c r="UMB53" s="312"/>
      <c r="UMC53" s="312"/>
      <c r="UMD53" s="312"/>
      <c r="UME53" s="312"/>
      <c r="UMF53" s="312"/>
      <c r="UMG53" s="312"/>
      <c r="UMH53" s="312"/>
      <c r="UMI53" s="312"/>
      <c r="UMJ53" s="312"/>
      <c r="UMK53" s="312"/>
      <c r="UML53" s="312"/>
      <c r="UMM53" s="312"/>
      <c r="UMN53" s="312"/>
      <c r="UMO53" s="312"/>
      <c r="UMP53" s="312"/>
      <c r="UMQ53" s="312"/>
      <c r="UMR53" s="312"/>
      <c r="UMS53" s="312"/>
      <c r="UMT53" s="312"/>
      <c r="UMU53" s="312"/>
      <c r="UMV53" s="312"/>
      <c r="UMW53" s="312"/>
      <c r="UMX53" s="312"/>
      <c r="UMY53" s="312"/>
      <c r="UMZ53" s="312"/>
      <c r="UNA53" s="312"/>
      <c r="UNB53" s="312"/>
      <c r="UNC53" s="312"/>
      <c r="UND53" s="312"/>
      <c r="UNE53" s="312"/>
      <c r="UNF53" s="312"/>
      <c r="UNG53" s="312"/>
      <c r="UNH53" s="312"/>
      <c r="UNI53" s="312"/>
      <c r="UNJ53" s="312"/>
      <c r="UNK53" s="312"/>
      <c r="UNL53" s="312"/>
      <c r="UNM53" s="312"/>
      <c r="UNN53" s="312"/>
      <c r="UNO53" s="312"/>
      <c r="UNP53" s="312"/>
      <c r="UNQ53" s="312"/>
      <c r="UNR53" s="312"/>
      <c r="UNS53" s="312"/>
      <c r="UNT53" s="312"/>
      <c r="UNU53" s="312"/>
      <c r="UNV53" s="312"/>
      <c r="UNW53" s="312"/>
      <c r="UNX53" s="312"/>
      <c r="UNY53" s="312"/>
      <c r="UNZ53" s="312"/>
      <c r="UOA53" s="312"/>
      <c r="UOB53" s="312"/>
      <c r="UOC53" s="312"/>
      <c r="UOD53" s="312"/>
      <c r="UOE53" s="312"/>
      <c r="UOF53" s="312"/>
      <c r="UOG53" s="312"/>
      <c r="UOH53" s="312"/>
      <c r="UOI53" s="312"/>
      <c r="UOJ53" s="312"/>
      <c r="UOK53" s="312"/>
      <c r="UOL53" s="312"/>
      <c r="UOM53" s="312"/>
      <c r="UON53" s="312"/>
      <c r="UOO53" s="312"/>
      <c r="UOP53" s="312"/>
      <c r="UOQ53" s="312"/>
      <c r="UOR53" s="312"/>
      <c r="UOS53" s="312"/>
      <c r="UOT53" s="312"/>
      <c r="UOU53" s="312"/>
      <c r="UOV53" s="312"/>
      <c r="UOW53" s="312"/>
      <c r="UOX53" s="312"/>
      <c r="UOY53" s="312"/>
      <c r="UOZ53" s="312"/>
      <c r="UPA53" s="312"/>
      <c r="UPB53" s="312"/>
      <c r="UPC53" s="312"/>
      <c r="UPD53" s="312"/>
      <c r="UPE53" s="312"/>
      <c r="UPF53" s="312"/>
      <c r="UPG53" s="312"/>
      <c r="UPH53" s="312"/>
      <c r="UPI53" s="312"/>
      <c r="UPJ53" s="312"/>
      <c r="UPK53" s="312"/>
      <c r="UPL53" s="312"/>
      <c r="UPM53" s="312"/>
      <c r="UPN53" s="312"/>
      <c r="UPO53" s="312"/>
      <c r="UPP53" s="312"/>
      <c r="UPQ53" s="312"/>
      <c r="UPR53" s="312"/>
      <c r="UPS53" s="312"/>
      <c r="UPT53" s="312"/>
      <c r="UPU53" s="312"/>
      <c r="UPV53" s="312"/>
      <c r="UPW53" s="312"/>
      <c r="UPX53" s="312"/>
      <c r="UPY53" s="312"/>
      <c r="UPZ53" s="312"/>
      <c r="UQA53" s="312"/>
      <c r="UQB53" s="312"/>
      <c r="UQC53" s="312"/>
      <c r="UQD53" s="312"/>
      <c r="UQE53" s="312"/>
      <c r="UQF53" s="312"/>
      <c r="UQG53" s="312"/>
      <c r="UQH53" s="312"/>
      <c r="UQI53" s="312"/>
      <c r="UQJ53" s="312"/>
      <c r="UQK53" s="312"/>
      <c r="UQL53" s="312"/>
      <c r="UQM53" s="312"/>
      <c r="UQN53" s="312"/>
      <c r="UQO53" s="312"/>
      <c r="UQP53" s="312"/>
      <c r="UQQ53" s="312"/>
      <c r="UQR53" s="312"/>
      <c r="UQS53" s="312"/>
      <c r="UQT53" s="312"/>
      <c r="UQU53" s="312"/>
      <c r="UQV53" s="312"/>
      <c r="UQW53" s="312"/>
      <c r="UQX53" s="312"/>
      <c r="UQY53" s="312"/>
      <c r="UQZ53" s="312"/>
      <c r="URA53" s="312"/>
      <c r="URB53" s="312"/>
      <c r="URC53" s="312"/>
      <c r="URD53" s="312"/>
      <c r="URE53" s="312"/>
      <c r="URF53" s="312"/>
      <c r="URG53" s="312"/>
      <c r="URH53" s="312"/>
      <c r="URI53" s="312"/>
      <c r="URJ53" s="312"/>
      <c r="URK53" s="312"/>
      <c r="URL53" s="312"/>
      <c r="URM53" s="312"/>
      <c r="URN53" s="312"/>
      <c r="URO53" s="312"/>
      <c r="URP53" s="312"/>
      <c r="URQ53" s="312"/>
      <c r="URR53" s="312"/>
      <c r="URS53" s="312"/>
      <c r="URT53" s="312"/>
      <c r="URU53" s="312"/>
      <c r="URV53" s="312"/>
      <c r="URW53" s="312"/>
      <c r="URX53" s="312"/>
      <c r="URY53" s="312"/>
      <c r="URZ53" s="312"/>
      <c r="USA53" s="312"/>
      <c r="USB53" s="312"/>
      <c r="USC53" s="312"/>
      <c r="USD53" s="312"/>
      <c r="USE53" s="312"/>
      <c r="USF53" s="312"/>
      <c r="USG53" s="312"/>
      <c r="USH53" s="312"/>
      <c r="USI53" s="312"/>
      <c r="USJ53" s="312"/>
      <c r="USK53" s="312"/>
      <c r="USL53" s="312"/>
      <c r="USM53" s="312"/>
      <c r="USN53" s="312"/>
      <c r="USO53" s="312"/>
      <c r="USP53" s="312"/>
      <c r="USQ53" s="312"/>
      <c r="USR53" s="312"/>
      <c r="USS53" s="312"/>
      <c r="UST53" s="312"/>
      <c r="USU53" s="312"/>
      <c r="USV53" s="312"/>
      <c r="USW53" s="312"/>
      <c r="USX53" s="312"/>
      <c r="USY53" s="312"/>
      <c r="USZ53" s="312"/>
      <c r="UTA53" s="312"/>
      <c r="UTB53" s="312"/>
      <c r="UTC53" s="312"/>
      <c r="UTD53" s="312"/>
      <c r="UTE53" s="312"/>
      <c r="UTF53" s="312"/>
      <c r="UTG53" s="312"/>
      <c r="UTH53" s="312"/>
      <c r="UTI53" s="312"/>
      <c r="UTJ53" s="312"/>
      <c r="UTK53" s="312"/>
      <c r="UTL53" s="312"/>
      <c r="UTM53" s="312"/>
      <c r="UTN53" s="312"/>
      <c r="UTO53" s="312"/>
      <c r="UTP53" s="312"/>
      <c r="UTQ53" s="312"/>
      <c r="UTR53" s="312"/>
      <c r="UTS53" s="312"/>
      <c r="UTT53" s="312"/>
      <c r="UTU53" s="312"/>
      <c r="UTV53" s="312"/>
      <c r="UTW53" s="312"/>
      <c r="UTX53" s="312"/>
      <c r="UTY53" s="312"/>
      <c r="UTZ53" s="312"/>
      <c r="UUA53" s="312"/>
      <c r="UUB53" s="312"/>
      <c r="UUC53" s="312"/>
      <c r="UUD53" s="312"/>
      <c r="UUE53" s="312"/>
      <c r="UUF53" s="312"/>
      <c r="UUG53" s="312"/>
      <c r="UUH53" s="312"/>
      <c r="UUI53" s="312"/>
      <c r="UUJ53" s="312"/>
      <c r="UUK53" s="312"/>
      <c r="UUL53" s="312"/>
      <c r="UUM53" s="312"/>
      <c r="UUN53" s="312"/>
      <c r="UUO53" s="312"/>
      <c r="UUP53" s="312"/>
      <c r="UUQ53" s="312"/>
      <c r="UUR53" s="312"/>
      <c r="UUS53" s="312"/>
      <c r="UUT53" s="312"/>
      <c r="UUU53" s="312"/>
      <c r="UUV53" s="312"/>
      <c r="UUW53" s="312"/>
      <c r="UUX53" s="312"/>
      <c r="UUY53" s="312"/>
      <c r="UUZ53" s="312"/>
      <c r="UVA53" s="312"/>
      <c r="UVB53" s="312"/>
      <c r="UVC53" s="312"/>
      <c r="UVD53" s="312"/>
      <c r="UVE53" s="312"/>
      <c r="UVF53" s="312"/>
      <c r="UVG53" s="312"/>
      <c r="UVH53" s="312"/>
      <c r="UVI53" s="312"/>
      <c r="UVJ53" s="312"/>
      <c r="UVK53" s="312"/>
      <c r="UVL53" s="312"/>
      <c r="UVM53" s="312"/>
      <c r="UVN53" s="312"/>
      <c r="UVO53" s="312"/>
      <c r="UVP53" s="312"/>
      <c r="UVQ53" s="312"/>
      <c r="UVR53" s="312"/>
      <c r="UVS53" s="312"/>
      <c r="UVT53" s="312"/>
      <c r="UVU53" s="312"/>
      <c r="UVV53" s="312"/>
      <c r="UVW53" s="312"/>
      <c r="UVX53" s="312"/>
      <c r="UVY53" s="312"/>
      <c r="UVZ53" s="312"/>
      <c r="UWA53" s="312"/>
      <c r="UWB53" s="312"/>
      <c r="UWC53" s="312"/>
      <c r="UWD53" s="312"/>
      <c r="UWE53" s="312"/>
      <c r="UWF53" s="312"/>
      <c r="UWG53" s="312"/>
      <c r="UWH53" s="312"/>
      <c r="UWI53" s="312"/>
      <c r="UWJ53" s="312"/>
      <c r="UWK53" s="312"/>
      <c r="UWL53" s="312"/>
      <c r="UWM53" s="312"/>
      <c r="UWN53" s="312"/>
      <c r="UWO53" s="312"/>
      <c r="UWP53" s="312"/>
      <c r="UWQ53" s="312"/>
      <c r="UWR53" s="312"/>
      <c r="UWS53" s="312"/>
      <c r="UWT53" s="312"/>
      <c r="UWU53" s="312"/>
      <c r="UWV53" s="312"/>
      <c r="UWW53" s="312"/>
      <c r="UWX53" s="312"/>
      <c r="UWY53" s="312"/>
      <c r="UWZ53" s="312"/>
      <c r="UXA53" s="312"/>
      <c r="UXB53" s="312"/>
      <c r="UXC53" s="312"/>
      <c r="UXD53" s="312"/>
      <c r="UXE53" s="312"/>
      <c r="UXF53" s="312"/>
      <c r="UXG53" s="312"/>
      <c r="UXH53" s="312"/>
      <c r="UXI53" s="312"/>
      <c r="UXJ53" s="312"/>
      <c r="UXK53" s="312"/>
      <c r="UXL53" s="312"/>
      <c r="UXM53" s="312"/>
      <c r="UXN53" s="312"/>
      <c r="UXO53" s="312"/>
      <c r="UXP53" s="312"/>
      <c r="UXQ53" s="312"/>
      <c r="UXR53" s="312"/>
      <c r="UXS53" s="312"/>
      <c r="UXT53" s="312"/>
      <c r="UXU53" s="312"/>
      <c r="UXV53" s="312"/>
      <c r="UXW53" s="312"/>
      <c r="UXX53" s="312"/>
      <c r="UXY53" s="312"/>
      <c r="UXZ53" s="312"/>
      <c r="UYA53" s="312"/>
      <c r="UYB53" s="312"/>
      <c r="UYC53" s="312"/>
      <c r="UYD53" s="312"/>
      <c r="UYE53" s="312"/>
      <c r="UYF53" s="312"/>
      <c r="UYG53" s="312"/>
      <c r="UYH53" s="312"/>
      <c r="UYI53" s="312"/>
      <c r="UYJ53" s="312"/>
      <c r="UYK53" s="312"/>
      <c r="UYL53" s="312"/>
      <c r="UYM53" s="312"/>
      <c r="UYN53" s="312"/>
      <c r="UYO53" s="312"/>
      <c r="UYP53" s="312"/>
      <c r="UYQ53" s="312"/>
      <c r="UYR53" s="312"/>
      <c r="UYS53" s="312"/>
      <c r="UYT53" s="312"/>
      <c r="UYU53" s="312"/>
      <c r="UYV53" s="312"/>
      <c r="UYW53" s="312"/>
      <c r="UYX53" s="312"/>
      <c r="UYY53" s="312"/>
      <c r="UYZ53" s="312"/>
      <c r="UZA53" s="312"/>
      <c r="UZB53" s="312"/>
      <c r="UZC53" s="312"/>
      <c r="UZD53" s="312"/>
      <c r="UZE53" s="312"/>
      <c r="UZF53" s="312"/>
      <c r="UZG53" s="312"/>
      <c r="UZH53" s="312"/>
      <c r="UZI53" s="312"/>
      <c r="UZJ53" s="312"/>
      <c r="UZK53" s="312"/>
      <c r="UZL53" s="312"/>
      <c r="UZM53" s="312"/>
      <c r="UZN53" s="312"/>
      <c r="UZO53" s="312"/>
      <c r="UZP53" s="312"/>
      <c r="UZQ53" s="312"/>
      <c r="UZR53" s="312"/>
      <c r="UZS53" s="312"/>
      <c r="UZT53" s="312"/>
      <c r="UZU53" s="312"/>
      <c r="UZV53" s="312"/>
      <c r="UZW53" s="312"/>
      <c r="UZX53" s="312"/>
      <c r="UZY53" s="312"/>
      <c r="UZZ53" s="312"/>
      <c r="VAA53" s="312"/>
      <c r="VAB53" s="312"/>
      <c r="VAC53" s="312"/>
      <c r="VAD53" s="312"/>
      <c r="VAE53" s="312"/>
      <c r="VAF53" s="312"/>
      <c r="VAG53" s="312"/>
      <c r="VAH53" s="312"/>
      <c r="VAI53" s="312"/>
      <c r="VAJ53" s="312"/>
      <c r="VAK53" s="312"/>
      <c r="VAL53" s="312"/>
      <c r="VAM53" s="312"/>
      <c r="VAN53" s="312"/>
      <c r="VAO53" s="312"/>
      <c r="VAP53" s="312"/>
      <c r="VAQ53" s="312"/>
      <c r="VAR53" s="312"/>
      <c r="VAS53" s="312"/>
      <c r="VAT53" s="312"/>
      <c r="VAU53" s="312"/>
      <c r="VAV53" s="312"/>
      <c r="VAW53" s="312"/>
      <c r="VAX53" s="312"/>
      <c r="VAY53" s="312"/>
      <c r="VAZ53" s="312"/>
      <c r="VBA53" s="312"/>
      <c r="VBB53" s="312"/>
      <c r="VBC53" s="312"/>
      <c r="VBD53" s="312"/>
      <c r="VBE53" s="312"/>
      <c r="VBF53" s="312"/>
      <c r="VBG53" s="312"/>
      <c r="VBH53" s="312"/>
      <c r="VBI53" s="312"/>
      <c r="VBJ53" s="312"/>
      <c r="VBK53" s="312"/>
      <c r="VBL53" s="312"/>
      <c r="VBM53" s="312"/>
      <c r="VBN53" s="312"/>
      <c r="VBO53" s="312"/>
      <c r="VBP53" s="312"/>
      <c r="VBQ53" s="312"/>
      <c r="VBR53" s="312"/>
      <c r="VBS53" s="312"/>
      <c r="VBT53" s="312"/>
      <c r="VBU53" s="312"/>
      <c r="VBV53" s="312"/>
      <c r="VBW53" s="312"/>
      <c r="VBX53" s="312"/>
      <c r="VBY53" s="312"/>
      <c r="VBZ53" s="312"/>
      <c r="VCA53" s="312"/>
      <c r="VCB53" s="312"/>
      <c r="VCC53" s="312"/>
      <c r="VCD53" s="312"/>
      <c r="VCE53" s="312"/>
      <c r="VCF53" s="312"/>
      <c r="VCG53" s="312"/>
      <c r="VCH53" s="312"/>
      <c r="VCI53" s="312"/>
      <c r="VCJ53" s="312"/>
      <c r="VCK53" s="312"/>
      <c r="VCL53" s="312"/>
      <c r="VCM53" s="312"/>
      <c r="VCN53" s="312"/>
      <c r="VCO53" s="312"/>
      <c r="VCP53" s="312"/>
      <c r="VCQ53" s="312"/>
      <c r="VCR53" s="312"/>
      <c r="VCS53" s="312"/>
      <c r="VCT53" s="312"/>
      <c r="VCU53" s="312"/>
      <c r="VCV53" s="312"/>
      <c r="VCW53" s="312"/>
      <c r="VCX53" s="312"/>
      <c r="VCY53" s="312"/>
      <c r="VCZ53" s="312"/>
      <c r="VDA53" s="312"/>
      <c r="VDB53" s="312"/>
      <c r="VDC53" s="312"/>
      <c r="VDD53" s="312"/>
      <c r="VDE53" s="312"/>
      <c r="VDF53" s="312"/>
      <c r="VDG53" s="312"/>
      <c r="VDH53" s="312"/>
      <c r="VDI53" s="312"/>
      <c r="VDJ53" s="312"/>
      <c r="VDK53" s="312"/>
      <c r="VDL53" s="312"/>
      <c r="VDM53" s="312"/>
      <c r="VDN53" s="312"/>
      <c r="VDO53" s="312"/>
      <c r="VDP53" s="312"/>
      <c r="VDQ53" s="312"/>
      <c r="VDR53" s="312"/>
      <c r="VDS53" s="312"/>
      <c r="VDT53" s="312"/>
      <c r="VDU53" s="312"/>
      <c r="VDV53" s="312"/>
      <c r="VDW53" s="312"/>
      <c r="VDX53" s="312"/>
      <c r="VDY53" s="312"/>
      <c r="VDZ53" s="312"/>
      <c r="VEA53" s="312"/>
      <c r="VEB53" s="312"/>
      <c r="VEC53" s="312"/>
      <c r="VED53" s="312"/>
      <c r="VEE53" s="312"/>
      <c r="VEF53" s="312"/>
      <c r="VEG53" s="312"/>
      <c r="VEH53" s="312"/>
      <c r="VEI53" s="312"/>
      <c r="VEJ53" s="312"/>
      <c r="VEK53" s="312"/>
      <c r="VEL53" s="312"/>
      <c r="VEM53" s="312"/>
      <c r="VEN53" s="312"/>
      <c r="VEO53" s="312"/>
      <c r="VEP53" s="312"/>
      <c r="VEQ53" s="312"/>
      <c r="VER53" s="312"/>
      <c r="VES53" s="312"/>
      <c r="VET53" s="312"/>
      <c r="VEU53" s="312"/>
      <c r="VEV53" s="312"/>
      <c r="VEW53" s="312"/>
      <c r="VEX53" s="312"/>
      <c r="VEY53" s="312"/>
      <c r="VEZ53" s="312"/>
      <c r="VFA53" s="312"/>
      <c r="VFB53" s="312"/>
      <c r="VFC53" s="312"/>
      <c r="VFD53" s="312"/>
      <c r="VFE53" s="312"/>
      <c r="VFF53" s="312"/>
      <c r="VFG53" s="312"/>
      <c r="VFH53" s="312"/>
      <c r="VFI53" s="312"/>
      <c r="VFJ53" s="312"/>
      <c r="VFK53" s="312"/>
      <c r="VFL53" s="312"/>
      <c r="VFM53" s="312"/>
      <c r="VFN53" s="312"/>
      <c r="VFO53" s="312"/>
      <c r="VFP53" s="312"/>
      <c r="VFQ53" s="312"/>
      <c r="VFR53" s="312"/>
      <c r="VFS53" s="312"/>
      <c r="VFT53" s="312"/>
      <c r="VFU53" s="312"/>
      <c r="VFV53" s="312"/>
      <c r="VFW53" s="312"/>
      <c r="VFX53" s="312"/>
      <c r="VFY53" s="312"/>
      <c r="VFZ53" s="312"/>
      <c r="VGA53" s="312"/>
      <c r="VGB53" s="312"/>
      <c r="VGC53" s="312"/>
      <c r="VGD53" s="312"/>
      <c r="VGE53" s="312"/>
      <c r="VGF53" s="312"/>
      <c r="VGG53" s="312"/>
      <c r="VGH53" s="312"/>
      <c r="VGI53" s="312"/>
      <c r="VGJ53" s="312"/>
      <c r="VGK53" s="312"/>
      <c r="VGL53" s="312"/>
      <c r="VGM53" s="312"/>
      <c r="VGN53" s="312"/>
      <c r="VGO53" s="312"/>
      <c r="VGP53" s="312"/>
      <c r="VGQ53" s="312"/>
      <c r="VGR53" s="312"/>
      <c r="VGS53" s="312"/>
      <c r="VGT53" s="312"/>
      <c r="VGU53" s="312"/>
      <c r="VGV53" s="312"/>
      <c r="VGW53" s="312"/>
      <c r="VGX53" s="312"/>
      <c r="VGY53" s="312"/>
      <c r="VGZ53" s="312"/>
      <c r="VHA53" s="312"/>
      <c r="VHB53" s="312"/>
      <c r="VHC53" s="312"/>
      <c r="VHD53" s="312"/>
      <c r="VHE53" s="312"/>
      <c r="VHF53" s="312"/>
      <c r="VHG53" s="312"/>
      <c r="VHH53" s="312"/>
      <c r="VHI53" s="312"/>
      <c r="VHJ53" s="312"/>
      <c r="VHK53" s="312"/>
      <c r="VHL53" s="312"/>
      <c r="VHM53" s="312"/>
      <c r="VHN53" s="312"/>
      <c r="VHO53" s="312"/>
      <c r="VHP53" s="312"/>
      <c r="VHQ53" s="312"/>
      <c r="VHR53" s="312"/>
      <c r="VHS53" s="312"/>
      <c r="VHT53" s="312"/>
      <c r="VHU53" s="312"/>
      <c r="VHV53" s="312"/>
      <c r="VHW53" s="312"/>
      <c r="VHX53" s="312"/>
      <c r="VHY53" s="312"/>
      <c r="VHZ53" s="312"/>
      <c r="VIA53" s="312"/>
      <c r="VIB53" s="312"/>
      <c r="VIC53" s="312"/>
      <c r="VID53" s="312"/>
      <c r="VIE53" s="312"/>
      <c r="VIF53" s="312"/>
      <c r="VIG53" s="312"/>
      <c r="VIH53" s="312"/>
      <c r="VII53" s="312"/>
      <c r="VIJ53" s="312"/>
      <c r="VIK53" s="312"/>
      <c r="VIL53" s="312"/>
      <c r="VIM53" s="312"/>
      <c r="VIN53" s="312"/>
      <c r="VIO53" s="312"/>
      <c r="VIP53" s="312"/>
      <c r="VIQ53" s="312"/>
      <c r="VIR53" s="312"/>
      <c r="VIS53" s="312"/>
      <c r="VIT53" s="312"/>
      <c r="VIU53" s="312"/>
      <c r="VIV53" s="312"/>
      <c r="VIW53" s="312"/>
      <c r="VIX53" s="312"/>
      <c r="VIY53" s="312"/>
      <c r="VIZ53" s="312"/>
      <c r="VJA53" s="312"/>
      <c r="VJB53" s="312"/>
      <c r="VJC53" s="312"/>
      <c r="VJD53" s="312"/>
      <c r="VJE53" s="312"/>
      <c r="VJF53" s="312"/>
      <c r="VJG53" s="312"/>
      <c r="VJH53" s="312"/>
      <c r="VJI53" s="312"/>
      <c r="VJJ53" s="312"/>
      <c r="VJK53" s="312"/>
      <c r="VJL53" s="312"/>
      <c r="VJM53" s="312"/>
      <c r="VJN53" s="312"/>
      <c r="VJO53" s="312"/>
      <c r="VJP53" s="312"/>
      <c r="VJQ53" s="312"/>
      <c r="VJR53" s="312"/>
      <c r="VJS53" s="312"/>
      <c r="VJT53" s="312"/>
      <c r="VJU53" s="312"/>
      <c r="VJV53" s="312"/>
      <c r="VJW53" s="312"/>
      <c r="VJX53" s="312"/>
      <c r="VJY53" s="312"/>
      <c r="VJZ53" s="312"/>
      <c r="VKA53" s="312"/>
      <c r="VKB53" s="312"/>
      <c r="VKC53" s="312"/>
      <c r="VKD53" s="312"/>
      <c r="VKE53" s="312"/>
      <c r="VKF53" s="312"/>
      <c r="VKG53" s="312"/>
      <c r="VKH53" s="312"/>
      <c r="VKI53" s="312"/>
      <c r="VKJ53" s="312"/>
      <c r="VKK53" s="312"/>
      <c r="VKL53" s="312"/>
      <c r="VKM53" s="312"/>
      <c r="VKN53" s="312"/>
      <c r="VKO53" s="312"/>
      <c r="VKP53" s="312"/>
      <c r="VKQ53" s="312"/>
      <c r="VKR53" s="312"/>
      <c r="VKS53" s="312"/>
      <c r="VKT53" s="312"/>
      <c r="VKU53" s="312"/>
      <c r="VKV53" s="312"/>
      <c r="VKW53" s="312"/>
      <c r="VKX53" s="312"/>
      <c r="VKY53" s="312"/>
      <c r="VKZ53" s="312"/>
      <c r="VLA53" s="312"/>
      <c r="VLB53" s="312"/>
      <c r="VLC53" s="312"/>
      <c r="VLD53" s="312"/>
      <c r="VLE53" s="312"/>
      <c r="VLF53" s="312"/>
      <c r="VLG53" s="312"/>
      <c r="VLH53" s="312"/>
      <c r="VLI53" s="312"/>
      <c r="VLJ53" s="312"/>
      <c r="VLK53" s="312"/>
      <c r="VLL53" s="312"/>
      <c r="VLM53" s="312"/>
      <c r="VLN53" s="312"/>
      <c r="VLO53" s="312"/>
      <c r="VLP53" s="312"/>
      <c r="VLQ53" s="312"/>
      <c r="VLR53" s="312"/>
      <c r="VLS53" s="312"/>
      <c r="VLT53" s="312"/>
      <c r="VLU53" s="312"/>
      <c r="VLV53" s="312"/>
      <c r="VLW53" s="312"/>
      <c r="VLX53" s="312"/>
      <c r="VLY53" s="312"/>
      <c r="VLZ53" s="312"/>
      <c r="VMA53" s="312"/>
      <c r="VMB53" s="312"/>
      <c r="VMC53" s="312"/>
      <c r="VMD53" s="312"/>
      <c r="VME53" s="312"/>
      <c r="VMF53" s="312"/>
      <c r="VMG53" s="312"/>
      <c r="VMH53" s="312"/>
      <c r="VMI53" s="312"/>
      <c r="VMJ53" s="312"/>
      <c r="VMK53" s="312"/>
      <c r="VML53" s="312"/>
      <c r="VMM53" s="312"/>
      <c r="VMN53" s="312"/>
      <c r="VMO53" s="312"/>
      <c r="VMP53" s="312"/>
      <c r="VMQ53" s="312"/>
      <c r="VMR53" s="312"/>
      <c r="VMS53" s="312"/>
      <c r="VMT53" s="312"/>
      <c r="VMU53" s="312"/>
      <c r="VMV53" s="312"/>
      <c r="VMW53" s="312"/>
      <c r="VMX53" s="312"/>
      <c r="VMY53" s="312"/>
      <c r="VMZ53" s="312"/>
      <c r="VNA53" s="312"/>
      <c r="VNB53" s="312"/>
      <c r="VNC53" s="312"/>
      <c r="VND53" s="312"/>
      <c r="VNE53" s="312"/>
      <c r="VNF53" s="312"/>
      <c r="VNG53" s="312"/>
      <c r="VNH53" s="312"/>
      <c r="VNI53" s="312"/>
      <c r="VNJ53" s="312"/>
      <c r="VNK53" s="312"/>
      <c r="VNL53" s="312"/>
      <c r="VNM53" s="312"/>
      <c r="VNN53" s="312"/>
      <c r="VNO53" s="312"/>
      <c r="VNP53" s="312"/>
      <c r="VNQ53" s="312"/>
      <c r="VNR53" s="312"/>
      <c r="VNS53" s="312"/>
      <c r="VNT53" s="312"/>
      <c r="VNU53" s="312"/>
      <c r="VNV53" s="312"/>
      <c r="VNW53" s="312"/>
      <c r="VNX53" s="312"/>
      <c r="VNY53" s="312"/>
      <c r="VNZ53" s="312"/>
      <c r="VOA53" s="312"/>
      <c r="VOB53" s="312"/>
      <c r="VOC53" s="312"/>
      <c r="VOD53" s="312"/>
      <c r="VOE53" s="312"/>
      <c r="VOF53" s="312"/>
      <c r="VOG53" s="312"/>
      <c r="VOH53" s="312"/>
      <c r="VOI53" s="312"/>
      <c r="VOJ53" s="312"/>
      <c r="VOK53" s="312"/>
      <c r="VOL53" s="312"/>
      <c r="VOM53" s="312"/>
      <c r="VON53" s="312"/>
      <c r="VOO53" s="312"/>
      <c r="VOP53" s="312"/>
      <c r="VOQ53" s="312"/>
      <c r="VOR53" s="312"/>
      <c r="VOS53" s="312"/>
      <c r="VOT53" s="312"/>
      <c r="VOU53" s="312"/>
      <c r="VOV53" s="312"/>
      <c r="VOW53" s="312"/>
      <c r="VOX53" s="312"/>
      <c r="VOY53" s="312"/>
      <c r="VOZ53" s="312"/>
      <c r="VPA53" s="312"/>
      <c r="VPB53" s="312"/>
      <c r="VPC53" s="312"/>
      <c r="VPD53" s="312"/>
      <c r="VPE53" s="312"/>
      <c r="VPF53" s="312"/>
      <c r="VPG53" s="312"/>
      <c r="VPH53" s="312"/>
      <c r="VPI53" s="312"/>
      <c r="VPJ53" s="312"/>
      <c r="VPK53" s="312"/>
      <c r="VPL53" s="312"/>
      <c r="VPM53" s="312"/>
      <c r="VPN53" s="312"/>
      <c r="VPO53" s="312"/>
      <c r="VPP53" s="312"/>
      <c r="VPQ53" s="312"/>
      <c r="VPR53" s="312"/>
      <c r="VPS53" s="312"/>
      <c r="VPT53" s="312"/>
      <c r="VPU53" s="312"/>
      <c r="VPV53" s="312"/>
      <c r="VPW53" s="312"/>
      <c r="VPX53" s="312"/>
      <c r="VPY53" s="312"/>
      <c r="VPZ53" s="312"/>
      <c r="VQA53" s="312"/>
      <c r="VQB53" s="312"/>
      <c r="VQC53" s="312"/>
      <c r="VQD53" s="312"/>
      <c r="VQE53" s="312"/>
      <c r="VQF53" s="312"/>
      <c r="VQG53" s="312"/>
      <c r="VQH53" s="312"/>
      <c r="VQI53" s="312"/>
      <c r="VQJ53" s="312"/>
      <c r="VQK53" s="312"/>
      <c r="VQL53" s="312"/>
      <c r="VQM53" s="312"/>
      <c r="VQN53" s="312"/>
      <c r="VQO53" s="312"/>
      <c r="VQP53" s="312"/>
      <c r="VQQ53" s="312"/>
      <c r="VQR53" s="312"/>
      <c r="VQS53" s="312"/>
      <c r="VQT53" s="312"/>
      <c r="VQU53" s="312"/>
      <c r="VQV53" s="312"/>
      <c r="VQW53" s="312"/>
      <c r="VQX53" s="312"/>
      <c r="VQY53" s="312"/>
      <c r="VQZ53" s="312"/>
      <c r="VRA53" s="312"/>
      <c r="VRB53" s="312"/>
      <c r="VRC53" s="312"/>
      <c r="VRD53" s="312"/>
      <c r="VRE53" s="312"/>
      <c r="VRF53" s="312"/>
      <c r="VRG53" s="312"/>
      <c r="VRH53" s="312"/>
      <c r="VRI53" s="312"/>
      <c r="VRJ53" s="312"/>
      <c r="VRK53" s="312"/>
      <c r="VRL53" s="312"/>
      <c r="VRM53" s="312"/>
      <c r="VRN53" s="312"/>
      <c r="VRO53" s="312"/>
      <c r="VRP53" s="312"/>
      <c r="VRQ53" s="312"/>
      <c r="VRR53" s="312"/>
      <c r="VRS53" s="312"/>
      <c r="VRT53" s="312"/>
      <c r="VRU53" s="312"/>
      <c r="VRV53" s="312"/>
      <c r="VRW53" s="312"/>
      <c r="VRX53" s="312"/>
      <c r="VRY53" s="312"/>
      <c r="VRZ53" s="312"/>
      <c r="VSA53" s="312"/>
      <c r="VSB53" s="312"/>
      <c r="VSC53" s="312"/>
      <c r="VSD53" s="312"/>
      <c r="VSE53" s="312"/>
      <c r="VSF53" s="312"/>
      <c r="VSG53" s="312"/>
      <c r="VSH53" s="312"/>
      <c r="VSI53" s="312"/>
      <c r="VSJ53" s="312"/>
      <c r="VSK53" s="312"/>
      <c r="VSL53" s="312"/>
      <c r="VSM53" s="312"/>
      <c r="VSN53" s="312"/>
      <c r="VSO53" s="312"/>
      <c r="VSP53" s="312"/>
      <c r="VSQ53" s="312"/>
      <c r="VSR53" s="312"/>
      <c r="VSS53" s="312"/>
      <c r="VST53" s="312"/>
      <c r="VSU53" s="312"/>
      <c r="VSV53" s="312"/>
      <c r="VSW53" s="312"/>
      <c r="VSX53" s="312"/>
      <c r="VSY53" s="312"/>
      <c r="VSZ53" s="312"/>
      <c r="VTA53" s="312"/>
      <c r="VTB53" s="312"/>
      <c r="VTC53" s="312"/>
      <c r="VTD53" s="312"/>
      <c r="VTE53" s="312"/>
      <c r="VTF53" s="312"/>
      <c r="VTG53" s="312"/>
      <c r="VTH53" s="312"/>
      <c r="VTI53" s="312"/>
      <c r="VTJ53" s="312"/>
      <c r="VTK53" s="312"/>
      <c r="VTL53" s="312"/>
      <c r="VTM53" s="312"/>
      <c r="VTN53" s="312"/>
      <c r="VTO53" s="312"/>
      <c r="VTP53" s="312"/>
      <c r="VTQ53" s="312"/>
      <c r="VTR53" s="312"/>
      <c r="VTS53" s="312"/>
      <c r="VTT53" s="312"/>
      <c r="VTU53" s="312"/>
      <c r="VTV53" s="312"/>
      <c r="VTW53" s="312"/>
      <c r="VTX53" s="312"/>
      <c r="VTY53" s="312"/>
      <c r="VTZ53" s="312"/>
      <c r="VUA53" s="312"/>
      <c r="VUB53" s="312"/>
      <c r="VUC53" s="312"/>
      <c r="VUD53" s="312"/>
      <c r="VUE53" s="312"/>
      <c r="VUF53" s="312"/>
      <c r="VUG53" s="312"/>
      <c r="VUH53" s="312"/>
      <c r="VUI53" s="312"/>
      <c r="VUJ53" s="312"/>
      <c r="VUK53" s="312"/>
      <c r="VUL53" s="312"/>
      <c r="VUM53" s="312"/>
      <c r="VUN53" s="312"/>
      <c r="VUO53" s="312"/>
      <c r="VUP53" s="312"/>
      <c r="VUQ53" s="312"/>
      <c r="VUR53" s="312"/>
      <c r="VUS53" s="312"/>
      <c r="VUT53" s="312"/>
      <c r="VUU53" s="312"/>
      <c r="VUV53" s="312"/>
      <c r="VUW53" s="312"/>
      <c r="VUX53" s="312"/>
      <c r="VUY53" s="312"/>
      <c r="VUZ53" s="312"/>
      <c r="VVA53" s="312"/>
      <c r="VVB53" s="312"/>
      <c r="VVC53" s="312"/>
      <c r="VVD53" s="312"/>
      <c r="VVE53" s="312"/>
      <c r="VVF53" s="312"/>
      <c r="VVG53" s="312"/>
      <c r="VVH53" s="312"/>
      <c r="VVI53" s="312"/>
      <c r="VVJ53" s="312"/>
      <c r="VVK53" s="312"/>
      <c r="VVL53" s="312"/>
      <c r="VVM53" s="312"/>
      <c r="VVN53" s="312"/>
      <c r="VVO53" s="312"/>
      <c r="VVP53" s="312"/>
      <c r="VVQ53" s="312"/>
      <c r="VVR53" s="312"/>
      <c r="VVS53" s="312"/>
      <c r="VVT53" s="312"/>
      <c r="VVU53" s="312"/>
      <c r="VVV53" s="312"/>
      <c r="VVW53" s="312"/>
      <c r="VVX53" s="312"/>
      <c r="VVY53" s="312"/>
      <c r="VVZ53" s="312"/>
      <c r="VWA53" s="312"/>
      <c r="VWB53" s="312"/>
      <c r="VWC53" s="312"/>
      <c r="VWD53" s="312"/>
      <c r="VWE53" s="312"/>
      <c r="VWF53" s="312"/>
      <c r="VWG53" s="312"/>
      <c r="VWH53" s="312"/>
      <c r="VWI53" s="312"/>
      <c r="VWJ53" s="312"/>
      <c r="VWK53" s="312"/>
      <c r="VWL53" s="312"/>
      <c r="VWM53" s="312"/>
      <c r="VWN53" s="312"/>
      <c r="VWO53" s="312"/>
      <c r="VWP53" s="312"/>
      <c r="VWQ53" s="312"/>
      <c r="VWR53" s="312"/>
      <c r="VWS53" s="312"/>
      <c r="VWT53" s="312"/>
      <c r="VWU53" s="312"/>
      <c r="VWV53" s="312"/>
      <c r="VWW53" s="312"/>
      <c r="VWX53" s="312"/>
      <c r="VWY53" s="312"/>
      <c r="VWZ53" s="312"/>
      <c r="VXA53" s="312"/>
      <c r="VXB53" s="312"/>
      <c r="VXC53" s="312"/>
      <c r="VXD53" s="312"/>
      <c r="VXE53" s="312"/>
      <c r="VXF53" s="312"/>
      <c r="VXG53" s="312"/>
      <c r="VXH53" s="312"/>
      <c r="VXI53" s="312"/>
      <c r="VXJ53" s="312"/>
      <c r="VXK53" s="312"/>
      <c r="VXL53" s="312"/>
      <c r="VXM53" s="312"/>
      <c r="VXN53" s="312"/>
      <c r="VXO53" s="312"/>
      <c r="VXP53" s="312"/>
      <c r="VXQ53" s="312"/>
      <c r="VXR53" s="312"/>
      <c r="VXS53" s="312"/>
      <c r="VXT53" s="312"/>
      <c r="VXU53" s="312"/>
      <c r="VXV53" s="312"/>
      <c r="VXW53" s="312"/>
      <c r="VXX53" s="312"/>
      <c r="VXY53" s="312"/>
      <c r="VXZ53" s="312"/>
      <c r="VYA53" s="312"/>
      <c r="VYB53" s="312"/>
      <c r="VYC53" s="312"/>
      <c r="VYD53" s="312"/>
      <c r="VYE53" s="312"/>
      <c r="VYF53" s="312"/>
      <c r="VYG53" s="312"/>
      <c r="VYH53" s="312"/>
      <c r="VYI53" s="312"/>
      <c r="VYJ53" s="312"/>
      <c r="VYK53" s="312"/>
      <c r="VYL53" s="312"/>
      <c r="VYM53" s="312"/>
      <c r="VYN53" s="312"/>
      <c r="VYO53" s="312"/>
      <c r="VYP53" s="312"/>
      <c r="VYQ53" s="312"/>
      <c r="VYR53" s="312"/>
      <c r="VYS53" s="312"/>
      <c r="VYT53" s="312"/>
      <c r="VYU53" s="312"/>
      <c r="VYV53" s="312"/>
      <c r="VYW53" s="312"/>
      <c r="VYX53" s="312"/>
      <c r="VYY53" s="312"/>
      <c r="VYZ53" s="312"/>
      <c r="VZA53" s="312"/>
      <c r="VZB53" s="312"/>
      <c r="VZC53" s="312"/>
      <c r="VZD53" s="312"/>
      <c r="VZE53" s="312"/>
      <c r="VZF53" s="312"/>
      <c r="VZG53" s="312"/>
      <c r="VZH53" s="312"/>
      <c r="VZI53" s="312"/>
      <c r="VZJ53" s="312"/>
      <c r="VZK53" s="312"/>
      <c r="VZL53" s="312"/>
      <c r="VZM53" s="312"/>
      <c r="VZN53" s="312"/>
      <c r="VZO53" s="312"/>
      <c r="VZP53" s="312"/>
      <c r="VZQ53" s="312"/>
      <c r="VZR53" s="312"/>
      <c r="VZS53" s="312"/>
      <c r="VZT53" s="312"/>
      <c r="VZU53" s="312"/>
      <c r="VZV53" s="312"/>
      <c r="VZW53" s="312"/>
      <c r="VZX53" s="312"/>
      <c r="VZY53" s="312"/>
      <c r="VZZ53" s="312"/>
      <c r="WAA53" s="312"/>
      <c r="WAB53" s="312"/>
      <c r="WAC53" s="312"/>
      <c r="WAD53" s="312"/>
      <c r="WAE53" s="312"/>
      <c r="WAF53" s="312"/>
      <c r="WAG53" s="312"/>
      <c r="WAH53" s="312"/>
      <c r="WAI53" s="312"/>
      <c r="WAJ53" s="312"/>
      <c r="WAK53" s="312"/>
      <c r="WAL53" s="312"/>
      <c r="WAM53" s="312"/>
      <c r="WAN53" s="312"/>
      <c r="WAO53" s="312"/>
      <c r="WAP53" s="312"/>
      <c r="WAQ53" s="312"/>
      <c r="WAR53" s="312"/>
      <c r="WAS53" s="312"/>
      <c r="WAT53" s="312"/>
      <c r="WAU53" s="312"/>
      <c r="WAV53" s="312"/>
      <c r="WAW53" s="312"/>
      <c r="WAX53" s="312"/>
      <c r="WAY53" s="312"/>
      <c r="WAZ53" s="312"/>
      <c r="WBA53" s="312"/>
      <c r="WBB53" s="312"/>
      <c r="WBC53" s="312"/>
      <c r="WBD53" s="312"/>
      <c r="WBE53" s="312"/>
      <c r="WBF53" s="312"/>
      <c r="WBG53" s="312"/>
      <c r="WBH53" s="312"/>
      <c r="WBI53" s="312"/>
      <c r="WBJ53" s="312"/>
      <c r="WBK53" s="312"/>
      <c r="WBL53" s="312"/>
      <c r="WBM53" s="312"/>
      <c r="WBN53" s="312"/>
      <c r="WBO53" s="312"/>
      <c r="WBP53" s="312"/>
      <c r="WBQ53" s="312"/>
      <c r="WBR53" s="312"/>
      <c r="WBS53" s="312"/>
      <c r="WBT53" s="312"/>
      <c r="WBU53" s="312"/>
      <c r="WBV53" s="312"/>
      <c r="WBW53" s="312"/>
      <c r="WBX53" s="312"/>
      <c r="WBY53" s="312"/>
      <c r="WBZ53" s="312"/>
      <c r="WCA53" s="312"/>
      <c r="WCB53" s="312"/>
      <c r="WCC53" s="312"/>
      <c r="WCD53" s="312"/>
      <c r="WCE53" s="312"/>
      <c r="WCF53" s="312"/>
      <c r="WCG53" s="312"/>
      <c r="WCH53" s="312"/>
      <c r="WCI53" s="312"/>
      <c r="WCJ53" s="312"/>
      <c r="WCK53" s="312"/>
      <c r="WCL53" s="312"/>
      <c r="WCM53" s="312"/>
      <c r="WCN53" s="312"/>
      <c r="WCO53" s="312"/>
      <c r="WCP53" s="312"/>
      <c r="WCQ53" s="312"/>
      <c r="WCR53" s="312"/>
      <c r="WCS53" s="312"/>
      <c r="WCT53" s="312"/>
      <c r="WCU53" s="312"/>
      <c r="WCV53" s="312"/>
      <c r="WCW53" s="312"/>
      <c r="WCX53" s="312"/>
      <c r="WCY53" s="312"/>
      <c r="WCZ53" s="312"/>
      <c r="WDA53" s="312"/>
      <c r="WDB53" s="312"/>
      <c r="WDC53" s="312"/>
      <c r="WDD53" s="312"/>
      <c r="WDE53" s="312"/>
      <c r="WDF53" s="312"/>
      <c r="WDG53" s="312"/>
      <c r="WDH53" s="312"/>
      <c r="WDI53" s="312"/>
      <c r="WDJ53" s="312"/>
      <c r="WDK53" s="312"/>
      <c r="WDL53" s="312"/>
      <c r="WDM53" s="312"/>
      <c r="WDN53" s="312"/>
      <c r="WDO53" s="312"/>
      <c r="WDP53" s="312"/>
      <c r="WDQ53" s="312"/>
      <c r="WDR53" s="312"/>
      <c r="WDS53" s="312"/>
      <c r="WDT53" s="312"/>
      <c r="WDU53" s="312"/>
      <c r="WDV53" s="312"/>
      <c r="WDW53" s="312"/>
      <c r="WDX53" s="312"/>
      <c r="WDY53" s="312"/>
      <c r="WDZ53" s="312"/>
      <c r="WEA53" s="312"/>
      <c r="WEB53" s="312"/>
      <c r="WEC53" s="312"/>
      <c r="WED53" s="312"/>
      <c r="WEE53" s="312"/>
      <c r="WEF53" s="312"/>
      <c r="WEG53" s="312"/>
      <c r="WEH53" s="312"/>
      <c r="WEI53" s="312"/>
      <c r="WEJ53" s="312"/>
      <c r="WEK53" s="312"/>
      <c r="WEL53" s="312"/>
      <c r="WEM53" s="312"/>
      <c r="WEN53" s="312"/>
      <c r="WEO53" s="312"/>
      <c r="WEP53" s="312"/>
      <c r="WEQ53" s="312"/>
      <c r="WER53" s="312"/>
      <c r="WES53" s="312"/>
      <c r="WET53" s="312"/>
      <c r="WEU53" s="312"/>
      <c r="WEV53" s="312"/>
      <c r="WEW53" s="312"/>
      <c r="WEX53" s="312"/>
      <c r="WEY53" s="312"/>
      <c r="WEZ53" s="312"/>
      <c r="WFA53" s="312"/>
      <c r="WFB53" s="312"/>
      <c r="WFC53" s="312"/>
      <c r="WFD53" s="312"/>
      <c r="WFE53" s="312"/>
      <c r="WFF53" s="312"/>
      <c r="WFG53" s="312"/>
      <c r="WFH53" s="312"/>
      <c r="WFI53" s="312"/>
      <c r="WFJ53" s="312"/>
      <c r="WFK53" s="312"/>
      <c r="WFL53" s="312"/>
      <c r="WFM53" s="312"/>
      <c r="WFN53" s="312"/>
      <c r="WFO53" s="312"/>
      <c r="WFP53" s="312"/>
      <c r="WFQ53" s="312"/>
      <c r="WFR53" s="312"/>
      <c r="WFS53" s="312"/>
      <c r="WFT53" s="312"/>
      <c r="WFU53" s="312"/>
      <c r="WFV53" s="312"/>
      <c r="WFW53" s="312"/>
      <c r="WFX53" s="312"/>
      <c r="WFY53" s="312"/>
      <c r="WFZ53" s="312"/>
      <c r="WGA53" s="312"/>
      <c r="WGB53" s="312"/>
      <c r="WGC53" s="312"/>
      <c r="WGD53" s="312"/>
      <c r="WGE53" s="312"/>
      <c r="WGF53" s="312"/>
      <c r="WGG53" s="312"/>
      <c r="WGH53" s="312"/>
      <c r="WGI53" s="312"/>
      <c r="WGJ53" s="312"/>
      <c r="WGK53" s="312"/>
      <c r="WGL53" s="312"/>
      <c r="WGM53" s="312"/>
      <c r="WGN53" s="312"/>
      <c r="WGO53" s="312"/>
      <c r="WGP53" s="312"/>
      <c r="WGQ53" s="312"/>
      <c r="WGR53" s="312"/>
      <c r="WGS53" s="312"/>
      <c r="WGT53" s="312"/>
      <c r="WGU53" s="312"/>
      <c r="WGV53" s="312"/>
      <c r="WGW53" s="312"/>
      <c r="WGX53" s="312"/>
      <c r="WGY53" s="312"/>
      <c r="WGZ53" s="312"/>
      <c r="WHA53" s="312"/>
      <c r="WHB53" s="312"/>
      <c r="WHC53" s="312"/>
      <c r="WHD53" s="312"/>
      <c r="WHE53" s="312"/>
      <c r="WHF53" s="312"/>
      <c r="WHG53" s="312"/>
      <c r="WHH53" s="312"/>
      <c r="WHI53" s="312"/>
      <c r="WHJ53" s="312"/>
      <c r="WHK53" s="312"/>
      <c r="WHL53" s="312"/>
      <c r="WHM53" s="312"/>
      <c r="WHN53" s="312"/>
      <c r="WHO53" s="312"/>
      <c r="WHP53" s="312"/>
      <c r="WHQ53" s="312"/>
      <c r="WHR53" s="312"/>
      <c r="WHS53" s="312"/>
      <c r="WHT53" s="312"/>
      <c r="WHU53" s="312"/>
      <c r="WHV53" s="312"/>
      <c r="WHW53" s="312"/>
      <c r="WHX53" s="312"/>
      <c r="WHY53" s="312"/>
      <c r="WHZ53" s="312"/>
      <c r="WIA53" s="312"/>
      <c r="WIB53" s="312"/>
      <c r="WIC53" s="312"/>
      <c r="WID53" s="312"/>
      <c r="WIE53" s="312"/>
      <c r="WIF53" s="312"/>
      <c r="WIG53" s="312"/>
      <c r="WIH53" s="312"/>
      <c r="WII53" s="312"/>
      <c r="WIJ53" s="312"/>
      <c r="WIK53" s="312"/>
      <c r="WIL53" s="312"/>
      <c r="WIM53" s="312"/>
      <c r="WIN53" s="312"/>
      <c r="WIO53" s="312"/>
      <c r="WIP53" s="312"/>
      <c r="WIQ53" s="312"/>
      <c r="WIR53" s="312"/>
      <c r="WIS53" s="312"/>
      <c r="WIT53" s="312"/>
      <c r="WIU53" s="312"/>
      <c r="WIV53" s="312"/>
      <c r="WIW53" s="312"/>
      <c r="WIX53" s="312"/>
      <c r="WIY53" s="312"/>
      <c r="WIZ53" s="312"/>
      <c r="WJA53" s="312"/>
      <c r="WJB53" s="312"/>
      <c r="WJC53" s="312"/>
      <c r="WJD53" s="312"/>
      <c r="WJE53" s="312"/>
      <c r="WJF53" s="312"/>
      <c r="WJG53" s="312"/>
      <c r="WJH53" s="312"/>
      <c r="WJI53" s="312"/>
      <c r="WJJ53" s="312"/>
      <c r="WJK53" s="312"/>
      <c r="WJL53" s="312"/>
      <c r="WJM53" s="312"/>
      <c r="WJN53" s="312"/>
      <c r="WJO53" s="312"/>
      <c r="WJP53" s="312"/>
      <c r="WJQ53" s="312"/>
      <c r="WJR53" s="312"/>
      <c r="WJS53" s="312"/>
      <c r="WJT53" s="312"/>
      <c r="WJU53" s="312"/>
      <c r="WJV53" s="312"/>
      <c r="WJW53" s="312"/>
      <c r="WJX53" s="312"/>
      <c r="WJY53" s="312"/>
      <c r="WJZ53" s="312"/>
      <c r="WKA53" s="312"/>
      <c r="WKB53" s="312"/>
      <c r="WKC53" s="312"/>
      <c r="WKD53" s="312"/>
      <c r="WKE53" s="312"/>
      <c r="WKF53" s="312"/>
      <c r="WKG53" s="312"/>
      <c r="WKH53" s="312"/>
      <c r="WKI53" s="312"/>
      <c r="WKJ53" s="312"/>
      <c r="WKK53" s="312"/>
      <c r="WKL53" s="312"/>
      <c r="WKM53" s="312"/>
      <c r="WKN53" s="312"/>
      <c r="WKO53" s="312"/>
      <c r="WKP53" s="312"/>
      <c r="WKQ53" s="312"/>
      <c r="WKR53" s="312"/>
      <c r="WKS53" s="312"/>
      <c r="WKT53" s="312"/>
      <c r="WKU53" s="312"/>
      <c r="WKV53" s="312"/>
      <c r="WKW53" s="312"/>
      <c r="WKX53" s="312"/>
      <c r="WKY53" s="312"/>
      <c r="WKZ53" s="312"/>
      <c r="WLA53" s="312"/>
      <c r="WLB53" s="312"/>
      <c r="WLC53" s="312"/>
      <c r="WLD53" s="312"/>
      <c r="WLE53" s="312"/>
      <c r="WLF53" s="312"/>
      <c r="WLG53" s="312"/>
      <c r="WLH53" s="312"/>
      <c r="WLI53" s="312"/>
      <c r="WLJ53" s="312"/>
      <c r="WLK53" s="312"/>
      <c r="WLL53" s="312"/>
      <c r="WLM53" s="312"/>
      <c r="WLN53" s="312"/>
      <c r="WLO53" s="312"/>
      <c r="WLP53" s="312"/>
      <c r="WLQ53" s="312"/>
      <c r="WLR53" s="312"/>
      <c r="WLS53" s="312"/>
      <c r="WLT53" s="312"/>
      <c r="WLU53" s="312"/>
      <c r="WLV53" s="312"/>
      <c r="WLW53" s="312"/>
      <c r="WLX53" s="312"/>
      <c r="WLY53" s="312"/>
      <c r="WLZ53" s="312"/>
      <c r="WMA53" s="312"/>
      <c r="WMB53" s="312"/>
      <c r="WMC53" s="312"/>
      <c r="WMD53" s="312"/>
      <c r="WME53" s="312"/>
      <c r="WMF53" s="312"/>
      <c r="WMG53" s="312"/>
      <c r="WMH53" s="312"/>
      <c r="WMI53" s="312"/>
      <c r="WMJ53" s="312"/>
      <c r="WMK53" s="312"/>
      <c r="WML53" s="312"/>
      <c r="WMM53" s="312"/>
      <c r="WMN53" s="312"/>
      <c r="WMO53" s="312"/>
      <c r="WMP53" s="312"/>
      <c r="WMQ53" s="312"/>
      <c r="WMR53" s="312"/>
      <c r="WMS53" s="312"/>
      <c r="WMT53" s="312"/>
      <c r="WMU53" s="312"/>
      <c r="WMV53" s="312"/>
      <c r="WMW53" s="312"/>
      <c r="WMX53" s="312"/>
      <c r="WMY53" s="312"/>
      <c r="WMZ53" s="312"/>
      <c r="WNA53" s="312"/>
      <c r="WNB53" s="312"/>
      <c r="WNC53" s="312"/>
      <c r="WND53" s="312"/>
      <c r="WNE53" s="312"/>
      <c r="WNF53" s="312"/>
      <c r="WNG53" s="312"/>
      <c r="WNH53" s="312"/>
      <c r="WNI53" s="312"/>
      <c r="WNJ53" s="312"/>
      <c r="WNK53" s="312"/>
      <c r="WNL53" s="312"/>
      <c r="WNM53" s="312"/>
      <c r="WNN53" s="312"/>
      <c r="WNO53" s="312"/>
      <c r="WNP53" s="312"/>
      <c r="WNQ53" s="312"/>
      <c r="WNR53" s="312"/>
      <c r="WNS53" s="312"/>
      <c r="WNT53" s="312"/>
      <c r="WNU53" s="312"/>
      <c r="WNV53" s="312"/>
      <c r="WNW53" s="312"/>
      <c r="WNX53" s="312"/>
      <c r="WNY53" s="312"/>
      <c r="WNZ53" s="312"/>
      <c r="WOA53" s="312"/>
      <c r="WOB53" s="312"/>
      <c r="WOC53" s="312"/>
      <c r="WOD53" s="312"/>
      <c r="WOE53" s="312"/>
      <c r="WOF53" s="312"/>
      <c r="WOG53" s="312"/>
      <c r="WOH53" s="312"/>
      <c r="WOI53" s="312"/>
      <c r="WOJ53" s="312"/>
      <c r="WOK53" s="312"/>
      <c r="WOL53" s="312"/>
      <c r="WOM53" s="312"/>
      <c r="WON53" s="312"/>
      <c r="WOO53" s="312"/>
      <c r="WOP53" s="312"/>
      <c r="WOQ53" s="312"/>
      <c r="WOR53" s="312"/>
      <c r="WOS53" s="312"/>
      <c r="WOT53" s="312"/>
      <c r="WOU53" s="312"/>
      <c r="WOV53" s="312"/>
      <c r="WOW53" s="312"/>
      <c r="WOX53" s="312"/>
      <c r="WOY53" s="312"/>
      <c r="WOZ53" s="312"/>
      <c r="WPA53" s="312"/>
      <c r="WPB53" s="312"/>
      <c r="WPC53" s="312"/>
      <c r="WPD53" s="312"/>
      <c r="WPE53" s="312"/>
      <c r="WPF53" s="312"/>
      <c r="WPG53" s="312"/>
      <c r="WPH53" s="312"/>
      <c r="WPI53" s="312"/>
      <c r="WPJ53" s="312"/>
      <c r="WPK53" s="312"/>
      <c r="WPL53" s="312"/>
      <c r="WPM53" s="312"/>
      <c r="WPN53" s="312"/>
      <c r="WPO53" s="312"/>
      <c r="WPP53" s="312"/>
      <c r="WPQ53" s="312"/>
      <c r="WPR53" s="312"/>
      <c r="WPS53" s="312"/>
      <c r="WPT53" s="312"/>
      <c r="WPU53" s="312"/>
      <c r="WPV53" s="312"/>
      <c r="WPW53" s="312"/>
      <c r="WPX53" s="312"/>
      <c r="WPY53" s="312"/>
      <c r="WPZ53" s="312"/>
      <c r="WQA53" s="312"/>
      <c r="WQB53" s="312"/>
      <c r="WQC53" s="312"/>
      <c r="WQD53" s="312"/>
      <c r="WQE53" s="312"/>
      <c r="WQF53" s="312"/>
      <c r="WQG53" s="312"/>
      <c r="WQH53" s="312"/>
      <c r="WQI53" s="312"/>
      <c r="WQJ53" s="312"/>
      <c r="WQK53" s="312"/>
      <c r="WQL53" s="312"/>
      <c r="WQM53" s="312"/>
      <c r="WQN53" s="312"/>
      <c r="WQO53" s="312"/>
      <c r="WQP53" s="312"/>
      <c r="WQQ53" s="312"/>
      <c r="WQR53" s="312"/>
      <c r="WQS53" s="312"/>
      <c r="WQT53" s="312"/>
      <c r="WQU53" s="312"/>
      <c r="WQV53" s="312"/>
      <c r="WQW53" s="312"/>
      <c r="WQX53" s="312"/>
      <c r="WQY53" s="312"/>
      <c r="WQZ53" s="312"/>
      <c r="WRA53" s="312"/>
      <c r="WRB53" s="312"/>
      <c r="WRC53" s="312"/>
      <c r="WRD53" s="312"/>
      <c r="WRE53" s="312"/>
      <c r="WRF53" s="312"/>
      <c r="WRG53" s="312"/>
      <c r="WRH53" s="312"/>
      <c r="WRI53" s="312"/>
      <c r="WRJ53" s="312"/>
      <c r="WRK53" s="312"/>
      <c r="WRL53" s="312"/>
      <c r="WRM53" s="312"/>
      <c r="WRN53" s="312"/>
      <c r="WRO53" s="312"/>
      <c r="WRP53" s="312"/>
      <c r="WRQ53" s="312"/>
      <c r="WRR53" s="312"/>
      <c r="WRS53" s="312"/>
      <c r="WRT53" s="312"/>
      <c r="WRU53" s="312"/>
      <c r="WRV53" s="312"/>
      <c r="WRW53" s="312"/>
      <c r="WRX53" s="312"/>
      <c r="WRY53" s="312"/>
      <c r="WRZ53" s="312"/>
      <c r="WSA53" s="312"/>
      <c r="WSB53" s="312"/>
      <c r="WSC53" s="312"/>
      <c r="WSD53" s="312"/>
      <c r="WSE53" s="312"/>
      <c r="WSF53" s="312"/>
      <c r="WSG53" s="312"/>
      <c r="WSH53" s="312"/>
      <c r="WSI53" s="312"/>
      <c r="WSJ53" s="312"/>
      <c r="WSK53" s="312"/>
      <c r="WSL53" s="312"/>
      <c r="WSM53" s="312"/>
      <c r="WSN53" s="312"/>
      <c r="WSO53" s="312"/>
      <c r="WSP53" s="312"/>
      <c r="WSQ53" s="312"/>
      <c r="WSR53" s="312"/>
      <c r="WSS53" s="312"/>
      <c r="WST53" s="312"/>
      <c r="WSU53" s="312"/>
      <c r="WSV53" s="312"/>
      <c r="WSW53" s="312"/>
      <c r="WSX53" s="312"/>
      <c r="WSY53" s="312"/>
      <c r="WSZ53" s="312"/>
      <c r="WTA53" s="312"/>
      <c r="WTB53" s="312"/>
      <c r="WTC53" s="312"/>
      <c r="WTD53" s="312"/>
      <c r="WTE53" s="312"/>
      <c r="WTF53" s="312"/>
      <c r="WTG53" s="312"/>
      <c r="WTH53" s="312"/>
      <c r="WTI53" s="312"/>
      <c r="WTJ53" s="312"/>
      <c r="WTK53" s="312"/>
      <c r="WTL53" s="312"/>
      <c r="WTM53" s="312"/>
      <c r="WTN53" s="312"/>
      <c r="WTO53" s="312"/>
      <c r="WTP53" s="312"/>
      <c r="WTQ53" s="312"/>
      <c r="WTR53" s="312"/>
      <c r="WTS53" s="312"/>
      <c r="WTT53" s="312"/>
      <c r="WTU53" s="312"/>
      <c r="WTV53" s="312"/>
      <c r="WTW53" s="312"/>
      <c r="WTX53" s="312"/>
      <c r="WTY53" s="312"/>
      <c r="WTZ53" s="312"/>
      <c r="WUA53" s="312"/>
      <c r="WUB53" s="312"/>
      <c r="WUC53" s="312"/>
      <c r="WUD53" s="312"/>
      <c r="WUE53" s="312"/>
      <c r="WUF53" s="312"/>
      <c r="WUG53" s="312"/>
      <c r="WUH53" s="312"/>
      <c r="WUI53" s="312"/>
      <c r="WUJ53" s="312"/>
      <c r="WUK53" s="312"/>
      <c r="WUL53" s="312"/>
      <c r="WUM53" s="312"/>
      <c r="WUN53" s="312"/>
      <c r="WUO53" s="312"/>
      <c r="WUP53" s="312"/>
      <c r="WUQ53" s="312"/>
      <c r="WUR53" s="312"/>
      <c r="WUS53" s="312"/>
      <c r="WUT53" s="312"/>
      <c r="WUU53" s="312"/>
      <c r="WUV53" s="312"/>
      <c r="WUW53" s="312"/>
      <c r="WUX53" s="312"/>
      <c r="WUY53" s="312"/>
      <c r="WUZ53" s="312"/>
      <c r="WVA53" s="312"/>
      <c r="WVB53" s="312"/>
      <c r="WVC53" s="312"/>
      <c r="WVD53" s="312"/>
      <c r="WVE53" s="312"/>
      <c r="WVF53" s="312"/>
      <c r="WVG53" s="312"/>
      <c r="WVH53" s="312"/>
      <c r="WVI53" s="312"/>
      <c r="WVJ53" s="312"/>
      <c r="WVK53" s="312"/>
      <c r="WVL53" s="312"/>
      <c r="WVM53" s="312"/>
      <c r="WVN53" s="312"/>
      <c r="WVO53" s="312"/>
      <c r="WVP53" s="312"/>
      <c r="WVQ53" s="312"/>
      <c r="WVR53" s="312"/>
      <c r="WVS53" s="312"/>
      <c r="WVT53" s="312"/>
      <c r="WVU53" s="312"/>
      <c r="WVV53" s="312"/>
      <c r="WVW53" s="312"/>
      <c r="WVX53" s="312"/>
      <c r="WVY53" s="312"/>
      <c r="WVZ53" s="312"/>
      <c r="WWA53" s="312"/>
      <c r="WWB53" s="312"/>
      <c r="WWC53" s="312"/>
      <c r="WWD53" s="312"/>
      <c r="WWE53" s="312"/>
      <c r="WWF53" s="312"/>
      <c r="WWG53" s="312"/>
      <c r="WWH53" s="312"/>
      <c r="WWI53" s="312"/>
      <c r="WWJ53" s="312"/>
      <c r="WWK53" s="312"/>
      <c r="WWL53" s="312"/>
      <c r="WWM53" s="312"/>
      <c r="WWN53" s="312"/>
      <c r="WWO53" s="312"/>
      <c r="WWP53" s="312"/>
      <c r="WWQ53" s="312"/>
      <c r="WWR53" s="312"/>
      <c r="WWS53" s="312"/>
      <c r="WWT53" s="312"/>
      <c r="WWU53" s="312"/>
      <c r="WWV53" s="312"/>
      <c r="WWW53" s="312"/>
      <c r="WWX53" s="312"/>
      <c r="WWY53" s="312"/>
      <c r="WWZ53" s="312"/>
      <c r="WXA53" s="312"/>
      <c r="WXB53" s="312"/>
      <c r="WXC53" s="312"/>
      <c r="WXD53" s="312"/>
      <c r="WXE53" s="312"/>
      <c r="WXF53" s="312"/>
      <c r="WXG53" s="312"/>
      <c r="WXH53" s="312"/>
      <c r="WXI53" s="312"/>
      <c r="WXJ53" s="312"/>
      <c r="WXK53" s="312"/>
      <c r="WXL53" s="312"/>
      <c r="WXM53" s="312"/>
      <c r="WXN53" s="312"/>
      <c r="WXO53" s="312"/>
      <c r="WXP53" s="312"/>
      <c r="WXQ53" s="312"/>
      <c r="WXR53" s="312"/>
      <c r="WXS53" s="312"/>
      <c r="WXT53" s="312"/>
      <c r="WXU53" s="312"/>
      <c r="WXV53" s="312"/>
      <c r="WXW53" s="312"/>
      <c r="WXX53" s="312"/>
      <c r="WXY53" s="312"/>
      <c r="WXZ53" s="312"/>
      <c r="WYA53" s="312"/>
      <c r="WYB53" s="312"/>
      <c r="WYC53" s="312"/>
      <c r="WYD53" s="312"/>
      <c r="WYE53" s="312"/>
      <c r="WYF53" s="312"/>
      <c r="WYG53" s="312"/>
      <c r="WYH53" s="312"/>
      <c r="WYI53" s="312"/>
      <c r="WYJ53" s="312"/>
      <c r="WYK53" s="312"/>
      <c r="WYL53" s="312"/>
      <c r="WYM53" s="312"/>
      <c r="WYN53" s="312"/>
      <c r="WYO53" s="312"/>
      <c r="WYP53" s="312"/>
      <c r="WYQ53" s="312"/>
      <c r="WYR53" s="312"/>
      <c r="WYS53" s="312"/>
      <c r="WYT53" s="312"/>
      <c r="WYU53" s="312"/>
      <c r="WYV53" s="312"/>
      <c r="WYW53" s="312"/>
      <c r="WYX53" s="312"/>
      <c r="WYY53" s="312"/>
      <c r="WYZ53" s="312"/>
      <c r="WZA53" s="312"/>
      <c r="WZB53" s="312"/>
      <c r="WZC53" s="312"/>
      <c r="WZD53" s="312"/>
      <c r="WZE53" s="312"/>
      <c r="WZF53" s="312"/>
      <c r="WZG53" s="312"/>
      <c r="WZH53" s="312"/>
      <c r="WZI53" s="312"/>
      <c r="WZJ53" s="312"/>
      <c r="WZK53" s="312"/>
      <c r="WZL53" s="312"/>
      <c r="WZM53" s="312"/>
      <c r="WZN53" s="312"/>
      <c r="WZO53" s="312"/>
      <c r="WZP53" s="312"/>
      <c r="WZQ53" s="312"/>
      <c r="WZR53" s="312"/>
      <c r="WZS53" s="312"/>
      <c r="WZT53" s="312"/>
      <c r="WZU53" s="312"/>
      <c r="WZV53" s="312"/>
      <c r="WZW53" s="312"/>
      <c r="WZX53" s="312"/>
      <c r="WZY53" s="312"/>
      <c r="WZZ53" s="312"/>
      <c r="XAA53" s="312"/>
      <c r="XAB53" s="312"/>
      <c r="XAC53" s="312"/>
      <c r="XAD53" s="312"/>
      <c r="XAE53" s="312"/>
      <c r="XAF53" s="312"/>
      <c r="XAG53" s="312"/>
      <c r="XAH53" s="312"/>
      <c r="XAI53" s="312"/>
      <c r="XAJ53" s="312"/>
      <c r="XAK53" s="312"/>
      <c r="XAL53" s="312"/>
      <c r="XAM53" s="312"/>
      <c r="XAN53" s="312"/>
      <c r="XAO53" s="312"/>
      <c r="XAP53" s="312"/>
      <c r="XAQ53" s="312"/>
      <c r="XAR53" s="312"/>
      <c r="XAS53" s="312"/>
      <c r="XAT53" s="312"/>
      <c r="XAU53" s="312"/>
      <c r="XAV53" s="312"/>
      <c r="XAW53" s="312"/>
      <c r="XAX53" s="312"/>
      <c r="XAY53" s="312"/>
      <c r="XAZ53" s="312"/>
      <c r="XBA53" s="312"/>
      <c r="XBB53" s="312"/>
      <c r="XBC53" s="312"/>
      <c r="XBD53" s="312"/>
      <c r="XBE53" s="312"/>
      <c r="XBF53" s="312"/>
      <c r="XBG53" s="312"/>
      <c r="XBH53" s="312"/>
      <c r="XBI53" s="312"/>
      <c r="XBJ53" s="312"/>
      <c r="XBK53" s="312"/>
      <c r="XBL53" s="312"/>
      <c r="XBM53" s="312"/>
      <c r="XBN53" s="312"/>
      <c r="XBO53" s="312"/>
      <c r="XBP53" s="312"/>
      <c r="XBQ53" s="312"/>
      <c r="XBR53" s="312"/>
      <c r="XBS53" s="312"/>
      <c r="XBT53" s="312"/>
      <c r="XBU53" s="312"/>
      <c r="XBV53" s="312"/>
      <c r="XBW53" s="312"/>
      <c r="XBX53" s="312"/>
      <c r="XBY53" s="312"/>
      <c r="XBZ53" s="312"/>
      <c r="XCA53" s="312"/>
      <c r="XCB53" s="312"/>
      <c r="XCC53" s="312"/>
      <c r="XCD53" s="312"/>
      <c r="XCE53" s="312"/>
      <c r="XCF53" s="312"/>
      <c r="XCG53" s="312"/>
      <c r="XCH53" s="312"/>
      <c r="XCI53" s="312"/>
      <c r="XCJ53" s="312"/>
      <c r="XCK53" s="312"/>
      <c r="XCL53" s="312"/>
      <c r="XCM53" s="312"/>
      <c r="XCN53" s="312"/>
      <c r="XCO53" s="312"/>
      <c r="XCP53" s="312"/>
      <c r="XCQ53" s="312"/>
      <c r="XCR53" s="312"/>
      <c r="XCS53" s="312"/>
      <c r="XCT53" s="312"/>
      <c r="XCU53" s="312"/>
      <c r="XCV53" s="312"/>
      <c r="XCW53" s="312"/>
      <c r="XCX53" s="312"/>
      <c r="XCY53" s="312"/>
      <c r="XCZ53" s="312"/>
      <c r="XDA53" s="312"/>
      <c r="XDB53" s="312"/>
      <c r="XDC53" s="312"/>
      <c r="XDD53" s="312"/>
      <c r="XDE53" s="312"/>
      <c r="XDF53" s="312"/>
      <c r="XDG53" s="312"/>
      <c r="XDH53" s="312"/>
      <c r="XDI53" s="312"/>
      <c r="XDJ53" s="312"/>
      <c r="XDK53" s="312"/>
      <c r="XDL53" s="312"/>
      <c r="XDM53" s="312"/>
      <c r="XDN53" s="312"/>
      <c r="XDO53" s="312"/>
      <c r="XDP53" s="312"/>
      <c r="XDQ53" s="312"/>
      <c r="XDR53" s="312"/>
      <c r="XDS53" s="312"/>
      <c r="XDT53" s="312"/>
      <c r="XDU53" s="312"/>
      <c r="XDV53" s="312"/>
      <c r="XDW53" s="312"/>
      <c r="XDX53" s="312"/>
      <c r="XDY53" s="312"/>
      <c r="XDZ53" s="312"/>
      <c r="XEA53" s="312"/>
      <c r="XEB53" s="312"/>
      <c r="XEC53" s="312"/>
      <c r="XED53" s="312"/>
      <c r="XEE53" s="312"/>
      <c r="XEF53" s="312"/>
      <c r="XEG53" s="312"/>
      <c r="XEH53" s="312"/>
      <c r="XEI53" s="312"/>
      <c r="XEJ53" s="312"/>
      <c r="XEK53" s="312"/>
      <c r="XEL53" s="312"/>
      <c r="XEM53" s="312"/>
      <c r="XEN53" s="312"/>
      <c r="XEO53" s="312"/>
      <c r="XEP53" s="312"/>
      <c r="XEQ53" s="312"/>
      <c r="XER53" s="312"/>
      <c r="XES53" s="312"/>
      <c r="XET53" s="312"/>
      <c r="XEU53" s="312"/>
      <c r="XEV53" s="312"/>
      <c r="XEW53" s="312"/>
      <c r="XEX53" s="312"/>
      <c r="XEY53" s="312"/>
      <c r="XEZ53" s="312"/>
      <c r="XFA53" s="312"/>
      <c r="XFB53" s="312"/>
      <c r="XFC53" s="312"/>
    </row>
    <row r="54" s="56" customFormat="1" ht="20" customHeight="1" spans="2:18">
      <c r="B54" s="43" t="s">
        <v>40</v>
      </c>
      <c r="C54" s="43"/>
      <c r="D54" s="43"/>
      <c r="E54" s="43"/>
      <c r="F54" s="43"/>
      <c r="G54" s="43"/>
      <c r="H54" s="43"/>
      <c r="I54" s="43"/>
      <c r="J54" s="43"/>
      <c r="K54" s="43"/>
      <c r="L54" s="43"/>
      <c r="M54" s="43"/>
      <c r="N54" s="43"/>
      <c r="O54" s="43"/>
      <c r="P54" s="338"/>
      <c r="R54" s="56" t="s">
        <v>41</v>
      </c>
    </row>
    <row r="55" s="1" customFormat="1" ht="7" customHeight="1" spans="5:16">
      <c r="E55" s="287"/>
      <c r="F55" s="287"/>
      <c r="G55" s="287"/>
      <c r="H55" s="287"/>
      <c r="I55" s="287"/>
      <c r="J55" s="287"/>
      <c r="K55" s="287"/>
      <c r="L55" s="287"/>
      <c r="M55" s="288"/>
      <c r="P55" s="283"/>
    </row>
    <row r="56" s="283" customFormat="1" ht="21" customHeight="1" spans="4:14">
      <c r="D56" s="314" t="s">
        <v>42</v>
      </c>
      <c r="E56" s="315" t="s">
        <v>43</v>
      </c>
      <c r="F56" s="315"/>
      <c r="G56" s="315"/>
      <c r="H56" s="315"/>
      <c r="I56" s="315"/>
      <c r="J56" s="315"/>
      <c r="K56" s="315"/>
      <c r="L56" s="315" t="s">
        <v>44</v>
      </c>
      <c r="M56" s="315" t="s">
        <v>45</v>
      </c>
      <c r="N56" s="340" t="s">
        <v>46</v>
      </c>
    </row>
    <row r="57" s="283" customFormat="1" customHeight="1" spans="4:14">
      <c r="D57" s="316"/>
      <c r="E57" s="317" t="s">
        <v>47</v>
      </c>
      <c r="F57" s="317"/>
      <c r="G57" s="317"/>
      <c r="H57" s="317"/>
      <c r="I57" s="317"/>
      <c r="J57" s="317"/>
      <c r="K57" s="317"/>
      <c r="L57" s="341">
        <f>E11</f>
        <v>2797899466.246</v>
      </c>
      <c r="M57" s="342">
        <f>F11</f>
        <v>1121931847.707</v>
      </c>
      <c r="N57" s="343"/>
    </row>
    <row r="58" s="1" customFormat="1" customHeight="1" spans="4:16">
      <c r="D58" s="316"/>
      <c r="E58" s="318" t="s">
        <v>48</v>
      </c>
      <c r="F58" s="318"/>
      <c r="G58" s="318"/>
      <c r="H58" s="318"/>
      <c r="I58" s="318"/>
      <c r="J58" s="318"/>
      <c r="K58" s="318"/>
      <c r="L58" s="344">
        <f>-7332800-97800000</f>
        <v>-105132800</v>
      </c>
      <c r="M58" s="345">
        <f>-7332800-97800000</f>
        <v>-105132800</v>
      </c>
      <c r="N58" s="346">
        <f>SUM(M58:M61)</f>
        <v>-404829085</v>
      </c>
      <c r="P58" s="283"/>
    </row>
    <row r="59" s="1" customFormat="1" customHeight="1" spans="4:16">
      <c r="D59" s="316"/>
      <c r="E59" s="318" t="s">
        <v>49</v>
      </c>
      <c r="F59" s="318"/>
      <c r="G59" s="318"/>
      <c r="H59" s="318"/>
      <c r="I59" s="318"/>
      <c r="J59" s="318"/>
      <c r="K59" s="318"/>
      <c r="L59" s="344">
        <f>-210000000-47320000</f>
        <v>-257320000</v>
      </c>
      <c r="M59" s="345">
        <f>-210000000-47320000</f>
        <v>-257320000</v>
      </c>
      <c r="N59" s="347"/>
      <c r="P59" s="283"/>
    </row>
    <row r="60" s="1" customFormat="1" customHeight="1" spans="4:16">
      <c r="D60" s="316"/>
      <c r="E60" s="318" t="s">
        <v>50</v>
      </c>
      <c r="F60" s="318"/>
      <c r="G60" s="318"/>
      <c r="H60" s="318"/>
      <c r="I60" s="318"/>
      <c r="J60" s="318"/>
      <c r="K60" s="318"/>
      <c r="L60" s="344">
        <f>-41626285</f>
        <v>-41626285</v>
      </c>
      <c r="M60" s="345">
        <f>-41626285</f>
        <v>-41626285</v>
      </c>
      <c r="N60" s="347"/>
      <c r="P60" s="283"/>
    </row>
    <row r="61" s="1" customFormat="1" customHeight="1" spans="4:16">
      <c r="D61" s="319"/>
      <c r="E61" s="318" t="s">
        <v>51</v>
      </c>
      <c r="F61" s="318"/>
      <c r="G61" s="320"/>
      <c r="H61" s="320"/>
      <c r="I61" s="320"/>
      <c r="J61" s="320"/>
      <c r="K61" s="320"/>
      <c r="L61" s="348">
        <v>-3000000</v>
      </c>
      <c r="M61" s="349">
        <v>-750000</v>
      </c>
      <c r="N61" s="347"/>
      <c r="P61" s="283"/>
    </row>
    <row r="62" s="283" customFormat="1" customHeight="1" spans="4:14">
      <c r="D62" s="321"/>
      <c r="E62" s="322" t="s">
        <v>52</v>
      </c>
      <c r="F62" s="322"/>
      <c r="G62" s="322"/>
      <c r="H62" s="322"/>
      <c r="I62" s="322"/>
      <c r="J62" s="322"/>
      <c r="K62" s="322"/>
      <c r="L62" s="350">
        <f>SUM(L57:L61)</f>
        <v>2390820381.246</v>
      </c>
      <c r="M62" s="350">
        <f>SUM(M57:M61)</f>
        <v>717102762.707</v>
      </c>
      <c r="N62" s="351"/>
    </row>
    <row r="63" s="1" customFormat="1" customHeight="1" spans="5:16">
      <c r="E63" s="287"/>
      <c r="F63" s="287"/>
      <c r="G63" s="287"/>
      <c r="H63" s="287"/>
      <c r="I63" s="287"/>
      <c r="J63" s="287"/>
      <c r="K63" s="287"/>
      <c r="L63" s="287"/>
      <c r="M63" s="288"/>
      <c r="P63" s="283"/>
    </row>
    <row r="64" s="1" customFormat="1" customHeight="1" spans="5:16">
      <c r="E64" s="287"/>
      <c r="F64" s="287"/>
      <c r="G64" s="287"/>
      <c r="H64" s="287"/>
      <c r="I64" s="287"/>
      <c r="J64" s="287"/>
      <c r="K64" s="287"/>
      <c r="L64" s="287"/>
      <c r="M64" s="288"/>
      <c r="P64" s="283"/>
    </row>
    <row r="65" s="1" customFormat="1" customHeight="1" spans="5:16">
      <c r="E65" s="287"/>
      <c r="F65" s="287"/>
      <c r="G65" s="287"/>
      <c r="H65" s="287"/>
      <c r="I65" s="287"/>
      <c r="J65" s="287"/>
      <c r="K65" s="287"/>
      <c r="L65" s="287">
        <f>322468401.12</f>
        <v>322468401.12</v>
      </c>
      <c r="M65" s="288"/>
      <c r="P65" s="283"/>
    </row>
    <row r="66" s="1" customFormat="1" customHeight="1" spans="5:16">
      <c r="E66" s="287"/>
      <c r="F66" s="287"/>
      <c r="G66" s="287"/>
      <c r="H66" s="287"/>
      <c r="I66" s="287"/>
      <c r="J66" s="287"/>
      <c r="K66" s="287"/>
      <c r="L66" s="287">
        <v>-210000000</v>
      </c>
      <c r="M66" s="288"/>
      <c r="P66" s="283"/>
    </row>
    <row r="67" s="1" customFormat="1" customHeight="1" spans="5:16">
      <c r="E67" s="287"/>
      <c r="F67" s="287"/>
      <c r="G67" s="287"/>
      <c r="H67" s="287"/>
      <c r="I67" s="287"/>
      <c r="J67" s="287"/>
      <c r="K67" s="287"/>
      <c r="L67" s="287">
        <v>-47320000</v>
      </c>
      <c r="M67" s="288"/>
      <c r="P67" s="283"/>
    </row>
  </sheetData>
  <mergeCells count="20">
    <mergeCell ref="B1:O1"/>
    <mergeCell ref="B2:C2"/>
    <mergeCell ref="D2:E2"/>
    <mergeCell ref="F2:J2"/>
    <mergeCell ref="K2:M2"/>
    <mergeCell ref="N2:O2"/>
    <mergeCell ref="B11:C11"/>
    <mergeCell ref="B13:O13"/>
    <mergeCell ref="B52:O52"/>
    <mergeCell ref="B53:O53"/>
    <mergeCell ref="B54:O54"/>
    <mergeCell ref="E56:F56"/>
    <mergeCell ref="E57:F57"/>
    <mergeCell ref="E58:F58"/>
    <mergeCell ref="E59:F59"/>
    <mergeCell ref="E60:F60"/>
    <mergeCell ref="E61:F61"/>
    <mergeCell ref="E62:F62"/>
    <mergeCell ref="D56:D62"/>
    <mergeCell ref="N58:N61"/>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349"/>
  <sheetViews>
    <sheetView tabSelected="1" topLeftCell="R1" workbookViewId="0">
      <pane ySplit="5" topLeftCell="A258" activePane="bottomLeft" state="frozen"/>
      <selection/>
      <selection pane="bottomLeft" activeCell="Y100" sqref="Y100"/>
    </sheetView>
  </sheetViews>
  <sheetFormatPr defaultColWidth="9" defaultRowHeight="18" customHeight="1"/>
  <cols>
    <col min="1" max="1" width="0.875" customWidth="1"/>
    <col min="2" max="2" width="5" style="61" customWidth="1"/>
    <col min="3" max="3" width="5.25" style="61" customWidth="1"/>
    <col min="4" max="4" width="13.875" style="233" customWidth="1"/>
    <col min="5" max="5" width="10.625" style="233" customWidth="1"/>
    <col min="6" max="6" width="9.625" style="233" customWidth="1"/>
    <col min="7" max="7" width="9.25" style="233" customWidth="1"/>
    <col min="8" max="8" width="9.625" style="233" customWidth="1"/>
    <col min="9" max="9" width="11.625" style="233" customWidth="1"/>
    <col min="10" max="10" width="5.875" style="61" customWidth="1"/>
    <col min="11" max="11" width="0.75" style="60" customWidth="1"/>
    <col min="12" max="12" width="5.25" customWidth="1"/>
    <col min="13" max="13" width="11.25" style="131" customWidth="1"/>
    <col min="14" max="14" width="11.125" style="61"/>
    <col min="15" max="15" width="10.5" style="251" customWidth="1"/>
    <col min="16" max="16" width="11.25" style="252" customWidth="1"/>
    <col min="17" max="17" width="15" style="233" customWidth="1"/>
    <col min="18" max="18" width="19.5" customWidth="1"/>
    <col min="19" max="19" width="21.75" customWidth="1"/>
    <col min="20" max="20" width="11.125" style="253"/>
    <col min="21" max="21" width="11.125"/>
    <col min="22" max="22" width="14.625" style="254" customWidth="1"/>
    <col min="23" max="23" width="17.875" style="254" customWidth="1"/>
    <col min="24" max="81" width="14.625" style="254" customWidth="1"/>
    <col min="82" max="84" width="16" style="254" customWidth="1"/>
    <col min="85" max="85" width="14" style="254" customWidth="1"/>
    <col min="86" max="86" width="16" style="254" customWidth="1"/>
    <col min="87" max="87" width="9.25" style="255"/>
  </cols>
  <sheetData>
    <row r="1" customFormat="1" ht="8" customHeight="1" spans="2:87">
      <c r="B1" s="61"/>
      <c r="C1" s="61"/>
      <c r="D1" s="233"/>
      <c r="E1" s="233"/>
      <c r="F1" s="233"/>
      <c r="G1" s="233"/>
      <c r="H1" s="233"/>
      <c r="I1" s="233"/>
      <c r="J1" s="61"/>
      <c r="K1" s="60"/>
      <c r="M1" s="131"/>
      <c r="N1" s="61"/>
      <c r="O1" s="251"/>
      <c r="P1" s="252"/>
      <c r="Q1" s="233"/>
      <c r="T1" s="253"/>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5"/>
    </row>
    <row r="2" s="57" customFormat="1" customHeight="1" spans="2:88">
      <c r="B2" s="62" t="s">
        <v>53</v>
      </c>
      <c r="C2" s="63"/>
      <c r="D2" s="177"/>
      <c r="E2" s="177"/>
      <c r="F2" s="177"/>
      <c r="G2" s="177"/>
      <c r="H2" s="177"/>
      <c r="I2" s="177"/>
      <c r="J2" s="73"/>
      <c r="K2" s="74"/>
      <c r="L2" s="75" t="s">
        <v>54</v>
      </c>
      <c r="M2" s="135"/>
      <c r="N2" s="76"/>
      <c r="O2" s="259"/>
      <c r="P2" s="260"/>
      <c r="Q2" s="267"/>
      <c r="R2" s="76"/>
      <c r="S2" s="76"/>
      <c r="T2" s="268"/>
      <c r="U2" s="92"/>
      <c r="V2" s="269" t="s">
        <v>55</v>
      </c>
      <c r="W2" s="110"/>
      <c r="X2" s="110"/>
      <c r="Y2" s="110"/>
      <c r="Z2" s="269" t="s">
        <v>55</v>
      </c>
      <c r="AA2" s="110"/>
      <c r="AB2" s="110"/>
      <c r="AC2" s="110"/>
      <c r="AD2" s="269" t="s">
        <v>55</v>
      </c>
      <c r="AE2" s="110"/>
      <c r="AF2" s="110"/>
      <c r="AG2" s="110"/>
      <c r="AH2" s="269" t="s">
        <v>55</v>
      </c>
      <c r="AI2" s="110"/>
      <c r="AJ2" s="110"/>
      <c r="AK2" s="110"/>
      <c r="AL2" s="269" t="s">
        <v>55</v>
      </c>
      <c r="AM2" s="110"/>
      <c r="AN2" s="110"/>
      <c r="AO2" s="110"/>
      <c r="AP2" s="269" t="s">
        <v>55</v>
      </c>
      <c r="AQ2" s="110"/>
      <c r="AR2" s="110"/>
      <c r="AS2" s="110"/>
      <c r="AT2" s="269" t="s">
        <v>55</v>
      </c>
      <c r="AU2" s="110"/>
      <c r="AV2" s="110"/>
      <c r="AW2" s="110"/>
      <c r="AX2" s="269" t="s">
        <v>55</v>
      </c>
      <c r="AY2" s="110"/>
      <c r="AZ2" s="110"/>
      <c r="BA2" s="110"/>
      <c r="BB2" s="269" t="s">
        <v>55</v>
      </c>
      <c r="BC2" s="110"/>
      <c r="BD2" s="110"/>
      <c r="BE2" s="110"/>
      <c r="BF2" s="269" t="s">
        <v>55</v>
      </c>
      <c r="BG2" s="110"/>
      <c r="BH2" s="110"/>
      <c r="BI2" s="110"/>
      <c r="BJ2" s="269" t="s">
        <v>55</v>
      </c>
      <c r="BK2" s="110"/>
      <c r="BL2" s="110"/>
      <c r="BM2" s="110"/>
      <c r="BN2" s="269" t="s">
        <v>55</v>
      </c>
      <c r="BO2" s="110"/>
      <c r="BP2" s="110"/>
      <c r="BQ2" s="110"/>
      <c r="BR2" s="269" t="s">
        <v>55</v>
      </c>
      <c r="BS2" s="110"/>
      <c r="BT2" s="110"/>
      <c r="BU2" s="110"/>
      <c r="BV2" s="269" t="s">
        <v>55</v>
      </c>
      <c r="BW2" s="110"/>
      <c r="BX2" s="110"/>
      <c r="BY2" s="110"/>
      <c r="BZ2" s="269" t="s">
        <v>55</v>
      </c>
      <c r="CA2" s="110"/>
      <c r="CB2" s="110"/>
      <c r="CC2" s="110"/>
      <c r="CD2" s="109" t="s">
        <v>56</v>
      </c>
      <c r="CE2" s="110"/>
      <c r="CF2" s="110"/>
      <c r="CG2" s="110"/>
      <c r="CH2" s="110"/>
      <c r="CI2" s="277"/>
      <c r="CJ2" s="111"/>
    </row>
    <row r="3" s="232" customFormat="1" ht="20" customHeight="1" spans="2:88">
      <c r="B3" s="64" t="s">
        <v>57</v>
      </c>
      <c r="C3" s="65" t="s">
        <v>58</v>
      </c>
      <c r="D3" s="66" t="s">
        <v>17</v>
      </c>
      <c r="E3" s="66" t="s">
        <v>59</v>
      </c>
      <c r="F3" s="66" t="s">
        <v>60</v>
      </c>
      <c r="G3" s="66" t="s">
        <v>61</v>
      </c>
      <c r="H3" s="66" t="s">
        <v>62</v>
      </c>
      <c r="I3" s="66" t="s">
        <v>63</v>
      </c>
      <c r="J3" s="77" t="s">
        <v>64</v>
      </c>
      <c r="K3" s="78"/>
      <c r="L3" s="79" t="s">
        <v>65</v>
      </c>
      <c r="M3" s="80" t="s">
        <v>65</v>
      </c>
      <c r="N3" s="80" t="s">
        <v>14</v>
      </c>
      <c r="O3" s="261" t="s">
        <v>66</v>
      </c>
      <c r="P3" s="81" t="s">
        <v>67</v>
      </c>
      <c r="Q3" s="270" t="s">
        <v>44</v>
      </c>
      <c r="R3" s="80" t="s">
        <v>68</v>
      </c>
      <c r="S3" s="80" t="s">
        <v>69</v>
      </c>
      <c r="T3" s="137" t="s">
        <v>70</v>
      </c>
      <c r="U3" s="95" t="s">
        <v>71</v>
      </c>
      <c r="V3" s="128" t="s">
        <v>72</v>
      </c>
      <c r="W3" s="85"/>
      <c r="X3" s="85"/>
      <c r="Y3" s="85"/>
      <c r="Z3" s="85" t="s">
        <v>73</v>
      </c>
      <c r="AA3" s="85"/>
      <c r="AB3" s="85"/>
      <c r="AC3" s="85"/>
      <c r="AD3" s="85" t="s">
        <v>74</v>
      </c>
      <c r="AE3" s="85"/>
      <c r="AF3" s="85"/>
      <c r="AG3" s="85"/>
      <c r="AH3" s="85" t="s">
        <v>75</v>
      </c>
      <c r="AI3" s="85"/>
      <c r="AJ3" s="85"/>
      <c r="AK3" s="85"/>
      <c r="AL3" s="85" t="s">
        <v>76</v>
      </c>
      <c r="AM3" s="85"/>
      <c r="AN3" s="85"/>
      <c r="AO3" s="85"/>
      <c r="AP3" s="85" t="s">
        <v>77</v>
      </c>
      <c r="AQ3" s="85"/>
      <c r="AR3" s="85"/>
      <c r="AS3" s="85"/>
      <c r="AT3" s="85" t="s">
        <v>78</v>
      </c>
      <c r="AU3" s="85"/>
      <c r="AV3" s="85"/>
      <c r="AW3" s="85"/>
      <c r="AX3" s="85" t="s">
        <v>79</v>
      </c>
      <c r="AY3" s="85"/>
      <c r="AZ3" s="85"/>
      <c r="BA3" s="85"/>
      <c r="BB3" s="85" t="s">
        <v>80</v>
      </c>
      <c r="BC3" s="85"/>
      <c r="BD3" s="85"/>
      <c r="BE3" s="85"/>
      <c r="BF3" s="85" t="s">
        <v>81</v>
      </c>
      <c r="BG3" s="85"/>
      <c r="BH3" s="85"/>
      <c r="BI3" s="85"/>
      <c r="BJ3" s="85" t="s">
        <v>82</v>
      </c>
      <c r="BK3" s="85"/>
      <c r="BL3" s="85"/>
      <c r="BM3" s="85"/>
      <c r="BN3" s="85" t="s">
        <v>83</v>
      </c>
      <c r="BO3" s="85"/>
      <c r="BP3" s="85"/>
      <c r="BQ3" s="85"/>
      <c r="BR3" s="85" t="s">
        <v>84</v>
      </c>
      <c r="BS3" s="85"/>
      <c r="BT3" s="85"/>
      <c r="BU3" s="85"/>
      <c r="BV3" s="85" t="s">
        <v>85</v>
      </c>
      <c r="BW3" s="85"/>
      <c r="BX3" s="85"/>
      <c r="BY3" s="85"/>
      <c r="BZ3" s="85" t="s">
        <v>86</v>
      </c>
      <c r="CA3" s="85"/>
      <c r="CB3" s="85"/>
      <c r="CC3" s="101"/>
      <c r="CD3" s="113" t="s">
        <v>87</v>
      </c>
      <c r="CE3" s="85" t="s">
        <v>88</v>
      </c>
      <c r="CF3" s="85" t="s">
        <v>89</v>
      </c>
      <c r="CG3" s="85" t="s">
        <v>90</v>
      </c>
      <c r="CH3" s="85" t="s">
        <v>91</v>
      </c>
      <c r="CI3" s="114" t="s">
        <v>24</v>
      </c>
      <c r="CJ3" s="115" t="s">
        <v>92</v>
      </c>
    </row>
    <row r="4" s="232" customFormat="1" ht="20" customHeight="1" spans="2:88">
      <c r="B4" s="64"/>
      <c r="C4" s="65"/>
      <c r="D4" s="66"/>
      <c r="E4" s="66"/>
      <c r="F4" s="66"/>
      <c r="G4" s="66"/>
      <c r="H4" s="66"/>
      <c r="I4" s="66"/>
      <c r="J4" s="77"/>
      <c r="K4" s="78"/>
      <c r="L4" s="79"/>
      <c r="M4" s="80"/>
      <c r="N4" s="80"/>
      <c r="O4" s="261"/>
      <c r="P4" s="81"/>
      <c r="Q4" s="270"/>
      <c r="R4" s="80"/>
      <c r="S4" s="80"/>
      <c r="T4" s="137"/>
      <c r="U4" s="95"/>
      <c r="V4" s="271" t="s">
        <v>93</v>
      </c>
      <c r="W4" s="99" t="s">
        <v>94</v>
      </c>
      <c r="X4" s="99" t="s">
        <v>95</v>
      </c>
      <c r="Y4" s="99" t="s">
        <v>96</v>
      </c>
      <c r="Z4" s="99" t="s">
        <v>93</v>
      </c>
      <c r="AA4" s="99" t="s">
        <v>94</v>
      </c>
      <c r="AB4" s="99" t="s">
        <v>95</v>
      </c>
      <c r="AC4" s="99" t="s">
        <v>96</v>
      </c>
      <c r="AD4" s="99" t="s">
        <v>93</v>
      </c>
      <c r="AE4" s="99" t="s">
        <v>94</v>
      </c>
      <c r="AF4" s="99" t="s">
        <v>95</v>
      </c>
      <c r="AG4" s="99" t="s">
        <v>96</v>
      </c>
      <c r="AH4" s="99" t="s">
        <v>93</v>
      </c>
      <c r="AI4" s="99" t="s">
        <v>94</v>
      </c>
      <c r="AJ4" s="99" t="s">
        <v>95</v>
      </c>
      <c r="AK4" s="99" t="s">
        <v>96</v>
      </c>
      <c r="AL4" s="99" t="s">
        <v>93</v>
      </c>
      <c r="AM4" s="99" t="s">
        <v>94</v>
      </c>
      <c r="AN4" s="99" t="s">
        <v>95</v>
      </c>
      <c r="AO4" s="99" t="s">
        <v>96</v>
      </c>
      <c r="AP4" s="99" t="s">
        <v>93</v>
      </c>
      <c r="AQ4" s="99" t="s">
        <v>94</v>
      </c>
      <c r="AR4" s="99" t="s">
        <v>95</v>
      </c>
      <c r="AS4" s="99" t="s">
        <v>96</v>
      </c>
      <c r="AT4" s="99" t="s">
        <v>93</v>
      </c>
      <c r="AU4" s="99" t="s">
        <v>94</v>
      </c>
      <c r="AV4" s="99" t="s">
        <v>95</v>
      </c>
      <c r="AW4" s="99" t="s">
        <v>96</v>
      </c>
      <c r="AX4" s="99" t="s">
        <v>93</v>
      </c>
      <c r="AY4" s="99" t="s">
        <v>94</v>
      </c>
      <c r="AZ4" s="99" t="s">
        <v>95</v>
      </c>
      <c r="BA4" s="99" t="s">
        <v>96</v>
      </c>
      <c r="BB4" s="99" t="s">
        <v>93</v>
      </c>
      <c r="BC4" s="99" t="s">
        <v>94</v>
      </c>
      <c r="BD4" s="99" t="s">
        <v>95</v>
      </c>
      <c r="BE4" s="99" t="s">
        <v>96</v>
      </c>
      <c r="BF4" s="99" t="s">
        <v>93</v>
      </c>
      <c r="BG4" s="99" t="s">
        <v>94</v>
      </c>
      <c r="BH4" s="99" t="s">
        <v>95</v>
      </c>
      <c r="BI4" s="99" t="s">
        <v>96</v>
      </c>
      <c r="BJ4" s="99" t="s">
        <v>93</v>
      </c>
      <c r="BK4" s="99" t="s">
        <v>94</v>
      </c>
      <c r="BL4" s="99" t="s">
        <v>95</v>
      </c>
      <c r="BM4" s="99" t="s">
        <v>96</v>
      </c>
      <c r="BN4" s="99" t="s">
        <v>93</v>
      </c>
      <c r="BO4" s="99" t="s">
        <v>94</v>
      </c>
      <c r="BP4" s="99" t="s">
        <v>95</v>
      </c>
      <c r="BQ4" s="99" t="s">
        <v>96</v>
      </c>
      <c r="BR4" s="99" t="s">
        <v>93</v>
      </c>
      <c r="BS4" s="99" t="s">
        <v>94</v>
      </c>
      <c r="BT4" s="99" t="s">
        <v>95</v>
      </c>
      <c r="BU4" s="99" t="s">
        <v>96</v>
      </c>
      <c r="BV4" s="99" t="s">
        <v>93</v>
      </c>
      <c r="BW4" s="99" t="s">
        <v>94</v>
      </c>
      <c r="BX4" s="99" t="s">
        <v>95</v>
      </c>
      <c r="BY4" s="99" t="s">
        <v>96</v>
      </c>
      <c r="BZ4" s="99" t="s">
        <v>93</v>
      </c>
      <c r="CA4" s="99" t="s">
        <v>94</v>
      </c>
      <c r="CB4" s="99" t="s">
        <v>95</v>
      </c>
      <c r="CC4" s="116" t="s">
        <v>96</v>
      </c>
      <c r="CD4" s="113"/>
      <c r="CE4" s="85"/>
      <c r="CF4" s="85"/>
      <c r="CG4" s="85"/>
      <c r="CH4" s="85"/>
      <c r="CI4" s="114"/>
      <c r="CJ4" s="115"/>
    </row>
    <row r="5" s="250" customFormat="1" ht="25" customHeight="1" spans="1:88">
      <c r="A5" s="253"/>
      <c r="B5" s="256" t="s">
        <v>97</v>
      </c>
      <c r="C5" s="257" t="s">
        <v>35</v>
      </c>
      <c r="D5" s="258">
        <f t="shared" ref="D5:I5" si="0">IF(ISERROR(SUM(D6:D901)),"-",SUM(D6:D901))</f>
        <v>1121931847.707</v>
      </c>
      <c r="E5" s="258">
        <f t="shared" si="0"/>
        <v>2352428</v>
      </c>
      <c r="F5" s="258">
        <f t="shared" si="0"/>
        <v>505981</v>
      </c>
      <c r="G5" s="258">
        <f t="shared" si="0"/>
        <v>634425.579999999</v>
      </c>
      <c r="H5" s="258">
        <f t="shared" si="0"/>
        <v>42418.7999999998</v>
      </c>
      <c r="I5" s="258">
        <f t="shared" si="0"/>
        <v>64589723.6449</v>
      </c>
      <c r="J5" s="262" t="s">
        <v>97</v>
      </c>
      <c r="K5" s="263"/>
      <c r="L5" s="264" t="s">
        <v>35</v>
      </c>
      <c r="M5" s="137"/>
      <c r="N5" s="137">
        <v>0</v>
      </c>
      <c r="O5" s="137">
        <v>0</v>
      </c>
      <c r="P5" s="85" t="s">
        <v>97</v>
      </c>
      <c r="Q5" s="272">
        <f>IF(ISERROR(SUM(Q6:Q901)),"-",SUM(Q6:Q901))</f>
        <v>2797899466.246</v>
      </c>
      <c r="R5" s="137">
        <f t="shared" ref="R5:AW5" si="1">IF(ISERROR(SUM(R6:R901)),"-",SUM(R6:R901))</f>
        <v>0</v>
      </c>
      <c r="S5" s="137">
        <f t="shared" si="1"/>
        <v>0</v>
      </c>
      <c r="T5" s="137">
        <f t="shared" si="1"/>
        <v>0</v>
      </c>
      <c r="U5" s="273">
        <f t="shared" si="1"/>
        <v>0</v>
      </c>
      <c r="V5" s="274">
        <f t="shared" si="1"/>
        <v>0</v>
      </c>
      <c r="W5" s="137">
        <f t="shared" si="1"/>
        <v>1277747901.2469</v>
      </c>
      <c r="X5" s="137">
        <f t="shared" si="1"/>
        <v>937171644.926</v>
      </c>
      <c r="Y5" s="137">
        <f t="shared" si="1"/>
        <v>912512032.216</v>
      </c>
      <c r="Z5" s="137">
        <f t="shared" si="1"/>
        <v>0</v>
      </c>
      <c r="AA5" s="137">
        <f t="shared" si="1"/>
        <v>486561460.1276</v>
      </c>
      <c r="AB5" s="137">
        <f t="shared" si="1"/>
        <v>146833187.9794</v>
      </c>
      <c r="AC5" s="137">
        <f t="shared" si="1"/>
        <v>135096752.071</v>
      </c>
      <c r="AD5" s="137">
        <f t="shared" si="1"/>
        <v>0</v>
      </c>
      <c r="AE5" s="137">
        <f t="shared" si="1"/>
        <v>427256966.842</v>
      </c>
      <c r="AF5" s="137">
        <f t="shared" si="1"/>
        <v>34982858.2265</v>
      </c>
      <c r="AG5" s="137">
        <f t="shared" si="1"/>
        <v>30916829.72</v>
      </c>
      <c r="AH5" s="137">
        <f t="shared" si="1"/>
        <v>0</v>
      </c>
      <c r="AI5" s="137">
        <f t="shared" si="1"/>
        <v>130542924.7695</v>
      </c>
      <c r="AJ5" s="137">
        <f t="shared" si="1"/>
        <v>19562529</v>
      </c>
      <c r="AK5" s="137">
        <f t="shared" si="1"/>
        <v>19483614.1</v>
      </c>
      <c r="AL5" s="137">
        <f t="shared" si="1"/>
        <v>0</v>
      </c>
      <c r="AM5" s="137">
        <f t="shared" si="1"/>
        <v>108467331.94</v>
      </c>
      <c r="AN5" s="137">
        <f t="shared" si="1"/>
        <v>23990730.6</v>
      </c>
      <c r="AO5" s="137">
        <f t="shared" si="1"/>
        <v>23922619.6</v>
      </c>
      <c r="AP5" s="137">
        <f t="shared" si="1"/>
        <v>0</v>
      </c>
      <c r="AQ5" s="137">
        <f t="shared" si="1"/>
        <v>72456491.84</v>
      </c>
      <c r="AR5" s="137">
        <f t="shared" si="1"/>
        <v>27515874</v>
      </c>
      <c r="AS5" s="137">
        <f t="shared" si="1"/>
        <v>0</v>
      </c>
      <c r="AT5" s="137">
        <f t="shared" si="1"/>
        <v>0</v>
      </c>
      <c r="AU5" s="137">
        <f t="shared" si="1"/>
        <v>60980580.97</v>
      </c>
      <c r="AV5" s="137">
        <f t="shared" si="1"/>
        <v>0</v>
      </c>
      <c r="AW5" s="137">
        <f t="shared" si="1"/>
        <v>0</v>
      </c>
      <c r="AX5" s="137">
        <f t="shared" ref="AX5:CC5" si="2">IF(ISERROR(SUM(AX6:AX901)),"-",SUM(AX6:AX901))</f>
        <v>0</v>
      </c>
      <c r="AY5" s="137">
        <f t="shared" si="2"/>
        <v>207972396.59</v>
      </c>
      <c r="AZ5" s="137">
        <f t="shared" si="2"/>
        <v>0</v>
      </c>
      <c r="BA5" s="137">
        <f t="shared" si="2"/>
        <v>0</v>
      </c>
      <c r="BB5" s="137">
        <f t="shared" si="2"/>
        <v>0</v>
      </c>
      <c r="BC5" s="137">
        <f t="shared" si="2"/>
        <v>13548116.72</v>
      </c>
      <c r="BD5" s="137">
        <f t="shared" si="2"/>
        <v>0</v>
      </c>
      <c r="BE5" s="137">
        <f t="shared" si="2"/>
        <v>0</v>
      </c>
      <c r="BF5" s="137">
        <f t="shared" si="2"/>
        <v>0</v>
      </c>
      <c r="BG5" s="137">
        <f t="shared" si="2"/>
        <v>8799804.2</v>
      </c>
      <c r="BH5" s="137">
        <f t="shared" si="2"/>
        <v>0</v>
      </c>
      <c r="BI5" s="137">
        <f t="shared" si="2"/>
        <v>0</v>
      </c>
      <c r="BJ5" s="137">
        <f t="shared" si="2"/>
        <v>0</v>
      </c>
      <c r="BK5" s="137">
        <f t="shared" si="2"/>
        <v>1587567.88</v>
      </c>
      <c r="BL5" s="137">
        <f t="shared" si="2"/>
        <v>0</v>
      </c>
      <c r="BM5" s="137">
        <f t="shared" si="2"/>
        <v>0</v>
      </c>
      <c r="BN5" s="137">
        <f t="shared" si="2"/>
        <v>0</v>
      </c>
      <c r="BO5" s="137">
        <f t="shared" si="2"/>
        <v>1977923.12</v>
      </c>
      <c r="BP5" s="137">
        <f t="shared" si="2"/>
        <v>0</v>
      </c>
      <c r="BQ5" s="137">
        <f t="shared" si="2"/>
        <v>0</v>
      </c>
      <c r="BR5" s="137">
        <f t="shared" si="2"/>
        <v>0</v>
      </c>
      <c r="BS5" s="137">
        <f t="shared" si="2"/>
        <v>0</v>
      </c>
      <c r="BT5" s="137">
        <f t="shared" si="2"/>
        <v>0</v>
      </c>
      <c r="BU5" s="137">
        <f t="shared" si="2"/>
        <v>0</v>
      </c>
      <c r="BV5" s="137">
        <f t="shared" si="2"/>
        <v>0</v>
      </c>
      <c r="BW5" s="137">
        <f t="shared" si="2"/>
        <v>0</v>
      </c>
      <c r="BX5" s="137">
        <f t="shared" si="2"/>
        <v>0</v>
      </c>
      <c r="BY5" s="137">
        <f t="shared" si="2"/>
        <v>0</v>
      </c>
      <c r="BZ5" s="137">
        <f t="shared" si="2"/>
        <v>0</v>
      </c>
      <c r="CA5" s="137">
        <f t="shared" si="2"/>
        <v>0</v>
      </c>
      <c r="CB5" s="137">
        <f t="shared" si="2"/>
        <v>0</v>
      </c>
      <c r="CC5" s="137">
        <f t="shared" si="2"/>
        <v>0</v>
      </c>
      <c r="CD5" s="278">
        <f t="shared" ref="CD5:CF5" si="3">W5+AA5+AE5+AI5+AM5+AQ5+AU5+AY5+BC5+BG5+BK5+BO5+BS5+BW5+CA5</f>
        <v>2797899466.246</v>
      </c>
      <c r="CE5" s="279">
        <f t="shared" si="3"/>
        <v>1190056824.7319</v>
      </c>
      <c r="CF5" s="279">
        <f t="shared" si="3"/>
        <v>1121931847.707</v>
      </c>
      <c r="CG5" s="279">
        <f t="shared" ref="CG5:CG11" si="4">E5+F5+G5+H5</f>
        <v>3535253.38</v>
      </c>
      <c r="CH5" s="280">
        <f t="shared" ref="CH5:CH11" si="5">Q5-CF5-CG5</f>
        <v>1672432365.159</v>
      </c>
      <c r="CI5" s="120">
        <f t="shared" ref="CI5:CI11" si="6">IF(ISERROR((CF5+CG5)/Q5),"-",(CF5+CG5)/Q5)</f>
        <v>0.402254303510434</v>
      </c>
      <c r="CJ5" s="281" t="str">
        <f t="shared" ref="CJ5:CJ11" si="7">IF(Q5-CD5=0,"数据正确","数据错误")</f>
        <v>数据正确</v>
      </c>
    </row>
    <row r="6" s="60" customFormat="1" customHeight="1" spans="2:88">
      <c r="B6" s="70" t="str">
        <f t="shared" ref="B6:B15" si="8">IF(I6=0,"-","申请中")</f>
        <v>申请中</v>
      </c>
      <c r="C6" s="71" t="str">
        <f t="shared" ref="C6:C15" si="9">IF(CI6=100%,"已付清","-")</f>
        <v>-</v>
      </c>
      <c r="D6" s="181">
        <f t="shared" ref="D6:D15" si="10">CF6</f>
        <v>60411447.8</v>
      </c>
      <c r="E6" s="181">
        <f>SUMIF(EPC合同!$L$6:$L$300,L6,EPC合同!$E$6:$E$300)</f>
        <v>788000</v>
      </c>
      <c r="F6" s="181">
        <f>SUMIF(EPC合同!$L$6:$L$300,L6,EPC合同!$F$6:$F$300)</f>
        <v>125438</v>
      </c>
      <c r="G6" s="181">
        <f>SUMIF(EPC合同!$L$6:$L$300,L6,EPC合同!$G$6:$G$300)</f>
        <v>0</v>
      </c>
      <c r="H6" s="181">
        <f>SUMIF(EPC合同!$L$6:$L$300,L6,EPC合同!$H$6:$H$300)</f>
        <v>2500</v>
      </c>
      <c r="I6" s="181">
        <f t="shared" ref="I6:I15" si="11">CE6-CF6-CG6</f>
        <v>27515874</v>
      </c>
      <c r="J6" s="86" t="s">
        <v>98</v>
      </c>
      <c r="K6" s="87"/>
      <c r="L6" s="88">
        <v>1</v>
      </c>
      <c r="M6" s="89" t="str">
        <f>VLOOKUP(L6,EPC合同!$L$6:$CC$300,2,0)</f>
        <v>YRKJEPC-170001</v>
      </c>
      <c r="N6" s="90" t="str">
        <f>VLOOKUP(L6,EPC合同!$L$6:$CC$300,3,0)</f>
        <v>EPC合同</v>
      </c>
      <c r="O6" s="265" t="str">
        <f>VLOOKUP(L6,EPC合同!$L$6:$CC$300,4,0)</f>
        <v>2017010004</v>
      </c>
      <c r="P6" s="266">
        <f>VLOOKUP(L6,EPC合同!$L$6:$CC$300,5,0)</f>
        <v>42805</v>
      </c>
      <c r="Q6" s="275">
        <f>VLOOKUP(L6,EPC合同!$L$6:$CC$300,6,0)</f>
        <v>394000000</v>
      </c>
      <c r="R6" s="89" t="str">
        <f>VLOOKUP(L6,EPC合同!$L$6:$CC$300,7,0)</f>
        <v>动力站EPC工程，含部分冷凝回收  合计</v>
      </c>
      <c r="S6" s="89" t="str">
        <f>VLOOKUP(L6,EPC合同!$L$6:$CC$300,8,0)</f>
        <v>中国联合工程公司</v>
      </c>
      <c r="T6" s="107" t="str">
        <f>VLOOKUP(L6,EPC合同!$L$6:$CC$300,9,0)</f>
        <v>动力站装置</v>
      </c>
      <c r="U6" s="103" t="str">
        <f>VLOOKUP(L6,EPC合同!$L$6:$CC$300,10,0)</f>
        <v>6个月承兑汇汇票70%/电汇30%</v>
      </c>
      <c r="V6" s="276" t="str">
        <f>VLOOKUP(L6,EPC合同!$L$6:$CC$300,11,0)</f>
        <v>-</v>
      </c>
      <c r="W6" s="102">
        <f>VLOOKUP(L6,EPC合同!$L$6:$CC$300,12,0)</f>
        <v>22945118.8</v>
      </c>
      <c r="X6" s="102">
        <f>VLOOKUP(L6,EPC合同!$L$6:$CC$300,13,0)</f>
        <v>22945118.8</v>
      </c>
      <c r="Y6" s="102">
        <f>VLOOKUP(L6,EPC合同!$L$6:$CC$300,14,0)</f>
        <v>22945118.8</v>
      </c>
      <c r="Z6" s="102">
        <f>VLOOKUP(L6,EPC合同!$L$6:$CC$300,15,0)</f>
        <v>0</v>
      </c>
      <c r="AA6" s="102">
        <f>VLOOKUP(L6,EPC合同!$L$6:$CC$300,16,0)</f>
        <v>3414960</v>
      </c>
      <c r="AB6" s="102">
        <f>VLOOKUP(L6,EPC合同!$L$6:$CC$300,17,0)</f>
        <v>7335339</v>
      </c>
      <c r="AC6" s="102">
        <f>VLOOKUP(L6,EPC合同!$L$6:$CC$300,18,0)</f>
        <v>6544839</v>
      </c>
      <c r="AD6" s="102">
        <f>VLOOKUP(L6,EPC合同!$L$6:$CC$300,19,0)</f>
        <v>0</v>
      </c>
      <c r="AE6" s="102">
        <f>VLOOKUP(L6,EPC合同!$L$6:$CC$300,20,0)</f>
        <v>213810812.8</v>
      </c>
      <c r="AF6" s="102">
        <f>VLOOKUP(L6,EPC合同!$L$6:$CC$300,21,0)</f>
        <v>7549407</v>
      </c>
      <c r="AG6" s="102">
        <f>VLOOKUP(L6,EPC合同!$L$6:$CC$300,22,0)</f>
        <v>7549407</v>
      </c>
      <c r="AH6" s="102">
        <f>VLOOKUP(L6,EPC合同!$L$6:$CC$300,23,0)</f>
        <v>0</v>
      </c>
      <c r="AI6" s="102">
        <f>VLOOKUP(L6,EPC合同!$L$6:$CC$300,24,0)</f>
        <v>26548969.3</v>
      </c>
      <c r="AJ6" s="102">
        <f>VLOOKUP(L6,EPC合同!$L$6:$CC$300,25,0)</f>
        <v>6993231</v>
      </c>
      <c r="AK6" s="102">
        <f>VLOOKUP(L6,EPC合同!$L$6:$CC$300,26,0)</f>
        <v>6935904</v>
      </c>
      <c r="AL6" s="102">
        <f>VLOOKUP(L6,EPC合同!$L$6:$CC$300,27,0)</f>
        <v>0</v>
      </c>
      <c r="AM6" s="102">
        <f>VLOOKUP(L6,EPC合同!$L$6:$CC$300,28,0)</f>
        <v>37452368.7</v>
      </c>
      <c r="AN6" s="102">
        <f>VLOOKUP(L6,EPC合同!$L$6:$CC$300,29,0)</f>
        <v>16504290</v>
      </c>
      <c r="AO6" s="102">
        <f>VLOOKUP(L6,EPC合同!$L$6:$CC$300,30,0)</f>
        <v>16436179</v>
      </c>
      <c r="AP6" s="102">
        <f>VLOOKUP(L6,EPC合同!$L$6:$CC$300,31,0)</f>
        <v>0</v>
      </c>
      <c r="AQ6" s="102">
        <f>VLOOKUP(L6,EPC合同!$L$6:$CC$300,32,0)</f>
        <v>37452368.7</v>
      </c>
      <c r="AR6" s="102">
        <f>VLOOKUP(L6,EPC合同!$L$6:$CC$300,33,0)</f>
        <v>27515874</v>
      </c>
      <c r="AS6" s="102">
        <f>VLOOKUP(L6,EPC合同!$L$6:$CC$300,34,0)</f>
        <v>0</v>
      </c>
      <c r="AT6" s="102">
        <f>VLOOKUP(L6,EPC合同!$L$6:$CC$300,35,0)</f>
        <v>0</v>
      </c>
      <c r="AU6" s="102">
        <f>VLOOKUP(L6,EPC合同!$L$6:$CC$300,36,0)</f>
        <v>29260441.7</v>
      </c>
      <c r="AV6" s="102">
        <f>VLOOKUP(L6,EPC合同!$L$6:$CC$300,37,0)</f>
        <v>0</v>
      </c>
      <c r="AW6" s="102">
        <f>VLOOKUP(L6,EPC合同!$L$6:$CC$300,38,0)</f>
        <v>0</v>
      </c>
      <c r="AX6" s="102">
        <f>VLOOKUP(L6,EPC合同!$L$6:$CC$300,39,0)</f>
        <v>0</v>
      </c>
      <c r="AY6" s="102">
        <f>VLOOKUP(L6,EPC合同!$L$6:$CC$300,40,0)</f>
        <v>19700000</v>
      </c>
      <c r="AZ6" s="102">
        <f>VLOOKUP(L6,EPC合同!$L$6:$CC$300,41,0)</f>
        <v>0</v>
      </c>
      <c r="BA6" s="102">
        <f>VLOOKUP(L6,EPC合同!$L$6:$CC$300,42,0)</f>
        <v>0</v>
      </c>
      <c r="BB6" s="102">
        <f>VLOOKUP(L6,EPC合同!$L$6:$CC$300,43,0)</f>
        <v>0</v>
      </c>
      <c r="BC6" s="102">
        <f>VLOOKUP(L6,EPC合同!$L$6:$CC$300,44,0)</f>
        <v>1138320</v>
      </c>
      <c r="BD6" s="102">
        <f>VLOOKUP(L6,EPC合同!$L$6:$CC$300,45,0)</f>
        <v>0</v>
      </c>
      <c r="BE6" s="102">
        <f>VLOOKUP(L6,EPC合同!$L$6:$CC$300,46,0)</f>
        <v>0</v>
      </c>
      <c r="BF6" s="102">
        <f>VLOOKUP(L6,EPC合同!$L$6:$CC$300,47,0)</f>
        <v>0</v>
      </c>
      <c r="BG6" s="102">
        <f>VLOOKUP(L6,EPC合同!$L$6:$CC$300,48,0)</f>
        <v>1138320</v>
      </c>
      <c r="BH6" s="102">
        <f>VLOOKUP(L6,EPC合同!$L$6:$CC$300,49,0)</f>
        <v>0</v>
      </c>
      <c r="BI6" s="102">
        <f>VLOOKUP(L6,EPC合同!$L$6:$CC$300,50,0)</f>
        <v>0</v>
      </c>
      <c r="BJ6" s="102">
        <f>VLOOKUP(L6,EPC合同!$L$6:$CC$300,51,0)</f>
        <v>0</v>
      </c>
      <c r="BK6" s="102">
        <f>VLOOKUP(L6,EPC合同!$L$6:$CC$300,52,0)</f>
        <v>569160</v>
      </c>
      <c r="BL6" s="102">
        <f>VLOOKUP(L6,EPC合同!$L$6:$CC$300,53,0)</f>
        <v>0</v>
      </c>
      <c r="BM6" s="102">
        <f>VLOOKUP(L6,EPC合同!$L$6:$CC$300,54,0)</f>
        <v>0</v>
      </c>
      <c r="BN6" s="102">
        <f>VLOOKUP(L6,EPC合同!$L$6:$CC$300,55,0)</f>
        <v>0</v>
      </c>
      <c r="BO6" s="102">
        <f>VLOOKUP(L6,EPC合同!$L$6:$CC$300,56,0)</f>
        <v>569160</v>
      </c>
      <c r="BP6" s="102">
        <f>VLOOKUP(L6,EPC合同!$L$6:$CC$300,57,0)</f>
        <v>0</v>
      </c>
      <c r="BQ6" s="102">
        <f>VLOOKUP(L6,EPC合同!$L$6:$CC$300,58,0)</f>
        <v>0</v>
      </c>
      <c r="BR6" s="102">
        <f>VLOOKUP(L6,EPC合同!$L$6:$CC$300,59,0)</f>
        <v>0</v>
      </c>
      <c r="BS6" s="102">
        <f>VLOOKUP(L6,EPC合同!$L$6:$CC$300,60,0)</f>
        <v>0</v>
      </c>
      <c r="BT6" s="102">
        <f>VLOOKUP(L6,EPC合同!$L$6:$CC$300,61,0)</f>
        <v>0</v>
      </c>
      <c r="BU6" s="102">
        <f>VLOOKUP(L6,EPC合同!$L$6:$CC$300,62,0)</f>
        <v>0</v>
      </c>
      <c r="BV6" s="102">
        <f>VLOOKUP(L6,EPC合同!$L$6:$CC$300,63,0)</f>
        <v>0</v>
      </c>
      <c r="BW6" s="102">
        <f>VLOOKUP(L6,EPC合同!$L$6:$CC$300,64,0)</f>
        <v>0</v>
      </c>
      <c r="BX6" s="102">
        <f>VLOOKUP(L6,EPC合同!$L$6:$CC$300,65,0)</f>
        <v>0</v>
      </c>
      <c r="BY6" s="102">
        <f>VLOOKUP(L6,EPC合同!$L$6:$CC$300,66,0)</f>
        <v>0</v>
      </c>
      <c r="BZ6" s="102">
        <f>VLOOKUP(L6,EPC合同!$L$6:$CC$300,67,0)</f>
        <v>0</v>
      </c>
      <c r="CA6" s="102">
        <f>VLOOKUP(L6,EPC合同!$L$6:$CC$300,68,0)</f>
        <v>0</v>
      </c>
      <c r="CB6" s="102">
        <f>VLOOKUP(L6,EPC合同!$L$6:$CC$300,69,0)</f>
        <v>0</v>
      </c>
      <c r="CC6" s="102">
        <f>VLOOKUP(L6,EPC合同!$L$6:$CC$300,70,0)</f>
        <v>0</v>
      </c>
      <c r="CD6" s="123">
        <f t="shared" ref="CD6:CF6" si="12">W6+AA6+AE6+AI6+AM6+AQ6+AU6+AY6+BC6+BG6+BK6+BO6+BS6+BW6+CA6</f>
        <v>394000000</v>
      </c>
      <c r="CE6" s="102">
        <f t="shared" si="12"/>
        <v>88843259.8</v>
      </c>
      <c r="CF6" s="102">
        <f t="shared" si="12"/>
        <v>60411447.8</v>
      </c>
      <c r="CG6" s="102">
        <f t="shared" si="4"/>
        <v>915938</v>
      </c>
      <c r="CH6" s="124">
        <f t="shared" si="5"/>
        <v>332672614.2</v>
      </c>
      <c r="CI6" s="125">
        <f t="shared" si="6"/>
        <v>0.155653263451777</v>
      </c>
      <c r="CJ6" s="126" t="str">
        <f t="shared" si="7"/>
        <v>数据正确</v>
      </c>
    </row>
    <row r="7" s="60" customFormat="1" customHeight="1" spans="2:88">
      <c r="B7" s="70" t="str">
        <f t="shared" si="8"/>
        <v>-</v>
      </c>
      <c r="C7" s="71" t="str">
        <f t="shared" si="9"/>
        <v>-</v>
      </c>
      <c r="D7" s="181">
        <f t="shared" si="10"/>
        <v>26916515.45</v>
      </c>
      <c r="E7" s="181">
        <f>SUMIF(EPC合同!$L$6:$L$300,L7,EPC合同!$E$6:$E$300)</f>
        <v>400000</v>
      </c>
      <c r="F7" s="181">
        <f>SUMIF(EPC合同!$L$6:$L$300,L7,EPC合同!$F$6:$F$300)</f>
        <v>0</v>
      </c>
      <c r="G7" s="181">
        <f>SUMIF(EPC合同!$L$6:$L$300,L7,EPC合同!$G$6:$G$300)</f>
        <v>86985.75</v>
      </c>
      <c r="H7" s="181">
        <f>SUMIF(EPC合同!$L$6:$L$300,L7,EPC合同!$H$6:$H$300)</f>
        <v>0</v>
      </c>
      <c r="I7" s="181">
        <f t="shared" si="11"/>
        <v>0</v>
      </c>
      <c r="J7" s="86" t="s">
        <v>98</v>
      </c>
      <c r="K7" s="87"/>
      <c r="L7" s="88">
        <v>2</v>
      </c>
      <c r="M7" s="89" t="str">
        <f>VLOOKUP(L7,EPC合同!$L$6:$CC$300,2,0)</f>
        <v>YRKJEPC-170002</v>
      </c>
      <c r="N7" s="90" t="str">
        <f>VLOOKUP(L7,EPC合同!$L$6:$CC$300,3,0)</f>
        <v>EPC合同</v>
      </c>
      <c r="O7" s="265" t="str">
        <f>VLOOKUP(L7,EPC合同!$L$6:$CC$300,4,0)</f>
        <v>2016120034</v>
      </c>
      <c r="P7" s="266">
        <f>VLOOKUP(L7,EPC合同!$L$6:$CC$300,5,0)</f>
        <v>42805</v>
      </c>
      <c r="Q7" s="275">
        <f>VLOOKUP(L7,EPC合同!$L$6:$CC$300,6,0)</f>
        <v>150000000</v>
      </c>
      <c r="R7" s="89" t="str">
        <f>VLOOKUP(L7,EPC合同!$L$6:$CC$300,7,0)</f>
        <v>双氧水EPC设置   合计</v>
      </c>
      <c r="S7" s="89" t="str">
        <f>VLOOKUP(L7,EPC合同!$L$6:$CC$300,8,0)</f>
        <v>湖南省工业设备安装有限公司</v>
      </c>
      <c r="T7" s="107" t="str">
        <f>VLOOKUP(L7,EPC合同!$L$6:$CC$300,9,0)</f>
        <v>双氧水装置</v>
      </c>
      <c r="U7" s="103" t="str">
        <f>VLOOKUP(L7,EPC合同!$L$6:$CC$300,10,0)</f>
        <v>6个月承兑汇汇票/电汇下浮1.5%</v>
      </c>
      <c r="V7" s="276" t="str">
        <f>VLOOKUP(L7,EPC合同!$L$6:$CC$300,11,0)</f>
        <v>-</v>
      </c>
      <c r="W7" s="102">
        <f>VLOOKUP(L7,EPC合同!$L$6:$CC$300,12,0)</f>
        <v>10298100</v>
      </c>
      <c r="X7" s="102">
        <f>VLOOKUP(L7,EPC合同!$L$6:$CC$300,13,0)</f>
        <v>5799050</v>
      </c>
      <c r="Y7" s="102">
        <f>VLOOKUP(L7,EPC合同!$L$6:$CC$300,14,0)</f>
        <v>5799050</v>
      </c>
      <c r="Z7" s="102">
        <f>VLOOKUP(L7,EPC合同!$L$6:$CC$300,15,0)</f>
        <v>0</v>
      </c>
      <c r="AA7" s="102">
        <f>VLOOKUP(L7,EPC合同!$L$6:$CC$300,16,0)</f>
        <v>3900000</v>
      </c>
      <c r="AB7" s="102">
        <f>VLOOKUP(L7,EPC合同!$L$6:$CC$300,17,0)</f>
        <v>3900000</v>
      </c>
      <c r="AC7" s="102">
        <f>VLOOKUP(L7,EPC合同!$L$6:$CC$300,18,0)</f>
        <v>3413014.25</v>
      </c>
      <c r="AD7" s="102">
        <f>VLOOKUP(L7,EPC合同!$L$6:$CC$300,19,0)</f>
        <v>0</v>
      </c>
      <c r="AE7" s="102">
        <f>VLOOKUP(L7,EPC合同!$L$6:$CC$300,20,0)</f>
        <v>21327200</v>
      </c>
      <c r="AF7" s="102">
        <f>VLOOKUP(L7,EPC合同!$L$6:$CC$300,21,0)</f>
        <v>3667702.6</v>
      </c>
      <c r="AG7" s="102">
        <f>VLOOKUP(L7,EPC合同!$L$6:$CC$300,22,0)</f>
        <v>3610300.5</v>
      </c>
      <c r="AH7" s="102">
        <f>VLOOKUP(L7,EPC合同!$L$6:$CC$300,23,0)</f>
        <v>0</v>
      </c>
      <c r="AI7" s="102">
        <f>VLOOKUP(L7,EPC合同!$L$6:$CC$300,24,0)</f>
        <v>29606100</v>
      </c>
      <c r="AJ7" s="102">
        <f>VLOOKUP(L7,EPC合同!$L$6:$CC$300,25,0)</f>
        <v>6550308</v>
      </c>
      <c r="AK7" s="102">
        <f>VLOOKUP(L7,EPC合同!$L$6:$CC$300,26,0)</f>
        <v>6607710.1</v>
      </c>
      <c r="AL7" s="102">
        <f>VLOOKUP(L7,EPC合同!$L$6:$CC$300,27,0)</f>
        <v>0</v>
      </c>
      <c r="AM7" s="102">
        <f>VLOOKUP(L7,EPC合同!$L$6:$CC$300,28,0)</f>
        <v>36997750</v>
      </c>
      <c r="AN7" s="102">
        <f>VLOOKUP(L7,EPC合同!$L$6:$CC$300,29,0)</f>
        <v>7486440.6</v>
      </c>
      <c r="AO7" s="102">
        <f>VLOOKUP(L7,EPC合同!$L$6:$CC$300,30,0)</f>
        <v>7486440.6</v>
      </c>
      <c r="AP7" s="102">
        <f>VLOOKUP(L7,EPC合同!$L$6:$CC$300,31,0)</f>
        <v>0</v>
      </c>
      <c r="AQ7" s="102">
        <f>VLOOKUP(L7,EPC合同!$L$6:$CC$300,32,0)</f>
        <v>6046550</v>
      </c>
      <c r="AR7" s="102">
        <f>VLOOKUP(L7,EPC合同!$L$6:$CC$300,33,0)</f>
        <v>0</v>
      </c>
      <c r="AS7" s="102">
        <f>VLOOKUP(L7,EPC合同!$L$6:$CC$300,34,0)</f>
        <v>0</v>
      </c>
      <c r="AT7" s="102">
        <f>VLOOKUP(L7,EPC合同!$L$6:$CC$300,35,0)</f>
        <v>0</v>
      </c>
      <c r="AU7" s="102">
        <f>VLOOKUP(L7,EPC合同!$L$6:$CC$300,36,0)</f>
        <v>12658100</v>
      </c>
      <c r="AV7" s="102">
        <f>VLOOKUP(L7,EPC合同!$L$6:$CC$300,37,0)</f>
        <v>0</v>
      </c>
      <c r="AW7" s="102">
        <f>VLOOKUP(L7,EPC合同!$L$6:$CC$300,38,0)</f>
        <v>0</v>
      </c>
      <c r="AX7" s="102">
        <f>VLOOKUP(L7,EPC合同!$L$6:$CC$300,39,0)</f>
        <v>0</v>
      </c>
      <c r="AY7" s="102">
        <f>VLOOKUP(L7,EPC合同!$L$6:$CC$300,40,0)</f>
        <v>12658100</v>
      </c>
      <c r="AZ7" s="102">
        <f>VLOOKUP(L7,EPC合同!$L$6:$CC$300,41,0)</f>
        <v>0</v>
      </c>
      <c r="BA7" s="102">
        <f>VLOOKUP(L7,EPC合同!$L$6:$CC$300,42,0)</f>
        <v>0</v>
      </c>
      <c r="BB7" s="102">
        <f>VLOOKUP(L7,EPC合同!$L$6:$CC$300,43,0)</f>
        <v>0</v>
      </c>
      <c r="BC7" s="102">
        <f>VLOOKUP(L7,EPC合同!$L$6:$CC$300,44,0)</f>
        <v>7484050</v>
      </c>
      <c r="BD7" s="102">
        <f>VLOOKUP(L7,EPC合同!$L$6:$CC$300,45,0)</f>
        <v>0</v>
      </c>
      <c r="BE7" s="102">
        <f>VLOOKUP(L7,EPC合同!$L$6:$CC$300,46,0)</f>
        <v>0</v>
      </c>
      <c r="BF7" s="102">
        <f>VLOOKUP(L7,EPC合同!$L$6:$CC$300,47,0)</f>
        <v>0</v>
      </c>
      <c r="BG7" s="102">
        <f>VLOOKUP(L7,EPC合同!$L$6:$CC$300,48,0)</f>
        <v>7484050</v>
      </c>
      <c r="BH7" s="102">
        <f>VLOOKUP(L7,EPC合同!$L$6:$CC$300,49,0)</f>
        <v>0</v>
      </c>
      <c r="BI7" s="102">
        <f>VLOOKUP(L7,EPC合同!$L$6:$CC$300,50,0)</f>
        <v>0</v>
      </c>
      <c r="BJ7" s="102">
        <f>VLOOKUP(L7,EPC合同!$L$6:$CC$300,51,0)</f>
        <v>0</v>
      </c>
      <c r="BK7" s="102">
        <f>VLOOKUP(L7,EPC合同!$L$6:$CC$300,52,0)</f>
        <v>770000</v>
      </c>
      <c r="BL7" s="102">
        <f>VLOOKUP(L7,EPC合同!$L$6:$CC$300,53,0)</f>
        <v>0</v>
      </c>
      <c r="BM7" s="102">
        <f>VLOOKUP(L7,EPC合同!$L$6:$CC$300,54,0)</f>
        <v>0</v>
      </c>
      <c r="BN7" s="102">
        <f>VLOOKUP(L7,EPC合同!$L$6:$CC$300,55,0)</f>
        <v>0</v>
      </c>
      <c r="BO7" s="102">
        <f>VLOOKUP(L7,EPC合同!$L$6:$CC$300,56,0)</f>
        <v>770000</v>
      </c>
      <c r="BP7" s="102">
        <f>VLOOKUP(L7,EPC合同!$L$6:$CC$300,57,0)</f>
        <v>0</v>
      </c>
      <c r="BQ7" s="102">
        <f>VLOOKUP(L7,EPC合同!$L$6:$CC$300,58,0)</f>
        <v>0</v>
      </c>
      <c r="BR7" s="102">
        <f>VLOOKUP(L7,EPC合同!$L$6:$CC$300,59,0)</f>
        <v>0</v>
      </c>
      <c r="BS7" s="102">
        <f>VLOOKUP(L7,EPC合同!$L$6:$CC$300,60,0)</f>
        <v>0</v>
      </c>
      <c r="BT7" s="102">
        <f>VLOOKUP(L7,EPC合同!$L$6:$CC$300,61,0)</f>
        <v>0</v>
      </c>
      <c r="BU7" s="102">
        <f>VLOOKUP(L7,EPC合同!$L$6:$CC$300,62,0)</f>
        <v>0</v>
      </c>
      <c r="BV7" s="102">
        <f>VLOOKUP(L7,EPC合同!$L$6:$CC$300,63,0)</f>
        <v>0</v>
      </c>
      <c r="BW7" s="102">
        <f>VLOOKUP(L7,EPC合同!$L$6:$CC$300,64,0)</f>
        <v>0</v>
      </c>
      <c r="BX7" s="102">
        <f>VLOOKUP(L7,EPC合同!$L$6:$CC$300,65,0)</f>
        <v>0</v>
      </c>
      <c r="BY7" s="102">
        <f>VLOOKUP(L7,EPC合同!$L$6:$CC$300,66,0)</f>
        <v>0</v>
      </c>
      <c r="BZ7" s="102">
        <f>VLOOKUP(L7,EPC合同!$L$6:$CC$300,67,0)</f>
        <v>0</v>
      </c>
      <c r="CA7" s="102">
        <f>VLOOKUP(L7,EPC合同!$L$6:$CC$300,68,0)</f>
        <v>0</v>
      </c>
      <c r="CB7" s="102">
        <f>VLOOKUP(L7,EPC合同!$L$6:$CC$300,69,0)</f>
        <v>0</v>
      </c>
      <c r="CC7" s="102">
        <f>VLOOKUP(L7,EPC合同!$L$6:$CC$300,70,0)</f>
        <v>0</v>
      </c>
      <c r="CD7" s="123">
        <f t="shared" ref="CD7:CF7" si="13">W7+AA7+AE7+AI7+AM7+AQ7+AU7+AY7+BC7+BG7+BK7+BO7+BS7+BW7+CA7</f>
        <v>150000000</v>
      </c>
      <c r="CE7" s="102">
        <f t="shared" si="13"/>
        <v>27403501.2</v>
      </c>
      <c r="CF7" s="102">
        <f t="shared" si="13"/>
        <v>26916515.45</v>
      </c>
      <c r="CG7" s="102">
        <f t="shared" si="4"/>
        <v>486985.75</v>
      </c>
      <c r="CH7" s="124">
        <f t="shared" si="5"/>
        <v>122596498.8</v>
      </c>
      <c r="CI7" s="125">
        <f t="shared" si="6"/>
        <v>0.182690008</v>
      </c>
      <c r="CJ7" s="126" t="str">
        <f t="shared" si="7"/>
        <v>数据正确</v>
      </c>
    </row>
    <row r="8" s="60" customFormat="1" customHeight="1" spans="2:88">
      <c r="B8" s="70" t="str">
        <f t="shared" si="8"/>
        <v>-</v>
      </c>
      <c r="C8" s="71" t="str">
        <f t="shared" si="9"/>
        <v>-</v>
      </c>
      <c r="D8" s="181">
        <f t="shared" si="10"/>
        <v>13506146.683</v>
      </c>
      <c r="E8" s="181">
        <f>SUMIF(EPC合同!$L$6:$L$300,L8,EPC合同!$E$6:$E$300)</f>
        <v>253800</v>
      </c>
      <c r="F8" s="181">
        <f>SUMIF(EPC合同!$L$6:$L$300,L8,EPC合同!$F$6:$F$300)</f>
        <v>6242</v>
      </c>
      <c r="G8" s="181">
        <f>SUMIF(EPC合同!$L$6:$L$300,L8,EPC合同!$G$6:$G$300)</f>
        <v>119400</v>
      </c>
      <c r="H8" s="181">
        <f>SUMIF(EPC合同!$L$6:$L$300,L8,EPC合同!$H$6:$H$300)</f>
        <v>0</v>
      </c>
      <c r="I8" s="181">
        <f t="shared" si="11"/>
        <v>0</v>
      </c>
      <c r="J8" s="86" t="s">
        <v>98</v>
      </c>
      <c r="K8" s="87"/>
      <c r="L8" s="88">
        <v>3</v>
      </c>
      <c r="M8" s="89" t="str">
        <f>VLOOKUP(L8,EPC合同!$L$6:$CC$300,2,0)</f>
        <v>YRKJEPC-170003</v>
      </c>
      <c r="N8" s="90" t="str">
        <f>VLOOKUP(L8,EPC合同!$L$6:$CC$300,3,0)</f>
        <v>EPC合同</v>
      </c>
      <c r="O8" s="265" t="str">
        <f>VLOOKUP(L8,EPC合同!$L$6:$CC$300,4,0)</f>
        <v>2016120035</v>
      </c>
      <c r="P8" s="266">
        <f>VLOOKUP(L8,EPC合同!$L$6:$CC$300,5,0)</f>
        <v>42806</v>
      </c>
      <c r="Q8" s="275">
        <f>VLOOKUP(L8,EPC合同!$L$6:$CC$300,6,0)</f>
        <v>84600000</v>
      </c>
      <c r="R8" s="89" t="str">
        <f>VLOOKUP(L8,EPC合同!$L$6:$CC$300,7,0)</f>
        <v>材料及工程设备采购费（硫酸装置EPC)  合计</v>
      </c>
      <c r="S8" s="89" t="str">
        <f>VLOOKUP(L8,EPC合同!$L$6:$CC$300,8,0)</f>
        <v>上海奥格利环保工程有限公司/浙江工程设计有限公司/浙江工业设备安装集团有限公司</v>
      </c>
      <c r="T8" s="107" t="str">
        <f>VLOOKUP(L8,EPC合同!$L$6:$CC$300,9,0)</f>
        <v>硫酸装置</v>
      </c>
      <c r="U8" s="103" t="str">
        <f>VLOOKUP(L8,EPC合同!$L$6:$CC$300,10,0)</f>
        <v>所有支付均为6个月承兑汇票，如采用现金转账，扣除付款金额的2%</v>
      </c>
      <c r="V8" s="276" t="str">
        <f>VLOOKUP(L8,EPC合同!$L$6:$CC$300,11,0)</f>
        <v>-</v>
      </c>
      <c r="W8" s="102">
        <f>VLOOKUP(L8,EPC合同!$L$6:$CC$300,12,0)</f>
        <v>5970000</v>
      </c>
      <c r="X8" s="102">
        <f>VLOOKUP(L8,EPC合同!$L$6:$CC$300,13,0)</f>
        <v>5970000</v>
      </c>
      <c r="Y8" s="102">
        <f>VLOOKUP(L8,EPC合同!$L$6:$CC$300,14,0)</f>
        <v>5850600</v>
      </c>
      <c r="Z8" s="102">
        <f>VLOOKUP(L8,EPC合同!$L$6:$CC$300,15,0)</f>
        <v>0</v>
      </c>
      <c r="AA8" s="102">
        <f>VLOOKUP(L8,EPC合同!$L$6:$CC$300,16,0)</f>
        <v>31400000</v>
      </c>
      <c r="AB8" s="102">
        <f>VLOOKUP(L8,EPC合同!$L$6:$CC$300,17,0)</f>
        <v>7915588.683</v>
      </c>
      <c r="AC8" s="102">
        <f>VLOOKUP(L8,EPC合同!$L$6:$CC$300,18,0)</f>
        <v>7655546.683</v>
      </c>
      <c r="AD8" s="102">
        <f>VLOOKUP(L8,EPC合同!$L$6:$CC$300,19,0)</f>
        <v>0</v>
      </c>
      <c r="AE8" s="102">
        <f>VLOOKUP(L8,EPC合同!$L$6:$CC$300,20,0)</f>
        <v>21310000</v>
      </c>
      <c r="AF8" s="102">
        <f>VLOOKUP(L8,EPC合同!$L$6:$CC$300,21,0)</f>
        <v>0</v>
      </c>
      <c r="AG8" s="102">
        <f>VLOOKUP(L8,EPC合同!$L$6:$CC$300,22,0)</f>
        <v>0</v>
      </c>
      <c r="AH8" s="102">
        <f>VLOOKUP(L8,EPC合同!$L$6:$CC$300,23,0)</f>
        <v>0</v>
      </c>
      <c r="AI8" s="102">
        <f>VLOOKUP(L8,EPC合同!$L$6:$CC$300,24,0)</f>
        <v>9000000</v>
      </c>
      <c r="AJ8" s="102">
        <f>VLOOKUP(L8,EPC合同!$L$6:$CC$300,25,0)</f>
        <v>0</v>
      </c>
      <c r="AK8" s="102">
        <f>VLOOKUP(L8,EPC合同!$L$6:$CC$300,26,0)</f>
        <v>0</v>
      </c>
      <c r="AL8" s="102">
        <f>VLOOKUP(L8,EPC合同!$L$6:$CC$300,27,0)</f>
        <v>0</v>
      </c>
      <c r="AM8" s="102">
        <f>VLOOKUP(L8,EPC合同!$L$6:$CC$300,28,0)</f>
        <v>4230000</v>
      </c>
      <c r="AN8" s="102">
        <f>VLOOKUP(L8,EPC合同!$L$6:$CC$300,29,0)</f>
        <v>0</v>
      </c>
      <c r="AO8" s="102">
        <f>VLOOKUP(L8,EPC合同!$L$6:$CC$300,30,0)</f>
        <v>0</v>
      </c>
      <c r="AP8" s="102">
        <f>VLOOKUP(L8,EPC合同!$L$6:$CC$300,31,0)</f>
        <v>0</v>
      </c>
      <c r="AQ8" s="102">
        <f>VLOOKUP(L8,EPC合同!$L$6:$CC$300,32,0)</f>
        <v>4230000</v>
      </c>
      <c r="AR8" s="102">
        <f>VLOOKUP(L8,EPC合同!$L$6:$CC$300,33,0)</f>
        <v>0</v>
      </c>
      <c r="AS8" s="102">
        <f>VLOOKUP(L8,EPC合同!$L$6:$CC$300,34,0)</f>
        <v>0</v>
      </c>
      <c r="AT8" s="102">
        <f>VLOOKUP(L8,EPC合同!$L$6:$CC$300,35,0)</f>
        <v>0</v>
      </c>
      <c r="AU8" s="102">
        <f>VLOOKUP(L8,EPC合同!$L$6:$CC$300,36,0)</f>
        <v>4230000</v>
      </c>
      <c r="AV8" s="102">
        <f>VLOOKUP(L8,EPC合同!$L$6:$CC$300,37,0)</f>
        <v>0</v>
      </c>
      <c r="AW8" s="102">
        <f>VLOOKUP(L8,EPC合同!$L$6:$CC$300,38,0)</f>
        <v>0</v>
      </c>
      <c r="AX8" s="102">
        <f>VLOOKUP(L8,EPC合同!$L$6:$CC$300,39,0)</f>
        <v>0</v>
      </c>
      <c r="AY8" s="102">
        <f>VLOOKUP(L8,EPC合同!$L$6:$CC$300,40,0)</f>
        <v>4230000</v>
      </c>
      <c r="AZ8" s="102">
        <f>VLOOKUP(L8,EPC合同!$L$6:$CC$300,41,0)</f>
        <v>0</v>
      </c>
      <c r="BA8" s="102">
        <f>VLOOKUP(L8,EPC合同!$L$6:$CC$300,42,0)</f>
        <v>0</v>
      </c>
      <c r="BB8" s="102">
        <f>VLOOKUP(L8,EPC合同!$L$6:$CC$300,43,0)</f>
        <v>0</v>
      </c>
      <c r="BC8" s="102">
        <f>VLOOKUP(L8,EPC合同!$L$6:$CC$300,44,0)</f>
        <v>0</v>
      </c>
      <c r="BD8" s="102">
        <f>VLOOKUP(L8,EPC合同!$L$6:$CC$300,45,0)</f>
        <v>0</v>
      </c>
      <c r="BE8" s="102">
        <f>VLOOKUP(L8,EPC合同!$L$6:$CC$300,46,0)</f>
        <v>0</v>
      </c>
      <c r="BF8" s="102">
        <f>VLOOKUP(L8,EPC合同!$L$6:$CC$300,47,0)</f>
        <v>0</v>
      </c>
      <c r="BG8" s="102">
        <f>VLOOKUP(L8,EPC合同!$L$6:$CC$300,48,0)</f>
        <v>0</v>
      </c>
      <c r="BH8" s="102">
        <f>VLOOKUP(L8,EPC合同!$L$6:$CC$300,49,0)</f>
        <v>0</v>
      </c>
      <c r="BI8" s="102">
        <f>VLOOKUP(L8,EPC合同!$L$6:$CC$300,50,0)</f>
        <v>0</v>
      </c>
      <c r="BJ8" s="102">
        <f>VLOOKUP(L8,EPC合同!$L$6:$CC$300,51,0)</f>
        <v>0</v>
      </c>
      <c r="BK8" s="102">
        <f>VLOOKUP(L8,EPC合同!$L$6:$CC$300,52,0)</f>
        <v>0</v>
      </c>
      <c r="BL8" s="102">
        <f>VLOOKUP(L8,EPC合同!$L$6:$CC$300,53,0)</f>
        <v>0</v>
      </c>
      <c r="BM8" s="102">
        <f>VLOOKUP(L8,EPC合同!$L$6:$CC$300,54,0)</f>
        <v>0</v>
      </c>
      <c r="BN8" s="102">
        <f>VLOOKUP(L8,EPC合同!$L$6:$CC$300,55,0)</f>
        <v>0</v>
      </c>
      <c r="BO8" s="102">
        <f>VLOOKUP(L8,EPC合同!$L$6:$CC$300,56,0)</f>
        <v>0</v>
      </c>
      <c r="BP8" s="102">
        <f>VLOOKUP(L8,EPC合同!$L$6:$CC$300,57,0)</f>
        <v>0</v>
      </c>
      <c r="BQ8" s="102">
        <f>VLOOKUP(L8,EPC合同!$L$6:$CC$300,58,0)</f>
        <v>0</v>
      </c>
      <c r="BR8" s="102">
        <f>VLOOKUP(L8,EPC合同!$L$6:$CC$300,59,0)</f>
        <v>0</v>
      </c>
      <c r="BS8" s="102">
        <f>VLOOKUP(L8,EPC合同!$L$6:$CC$300,60,0)</f>
        <v>0</v>
      </c>
      <c r="BT8" s="102">
        <f>VLOOKUP(L8,EPC合同!$L$6:$CC$300,61,0)</f>
        <v>0</v>
      </c>
      <c r="BU8" s="102">
        <f>VLOOKUP(L8,EPC合同!$L$6:$CC$300,62,0)</f>
        <v>0</v>
      </c>
      <c r="BV8" s="102">
        <f>VLOOKUP(L8,EPC合同!$L$6:$CC$300,63,0)</f>
        <v>0</v>
      </c>
      <c r="BW8" s="102">
        <f>VLOOKUP(L8,EPC合同!$L$6:$CC$300,64,0)</f>
        <v>0</v>
      </c>
      <c r="BX8" s="102">
        <f>VLOOKUP(L8,EPC合同!$L$6:$CC$300,65,0)</f>
        <v>0</v>
      </c>
      <c r="BY8" s="102">
        <f>VLOOKUP(L8,EPC合同!$L$6:$CC$300,66,0)</f>
        <v>0</v>
      </c>
      <c r="BZ8" s="102">
        <f>VLOOKUP(L8,EPC合同!$L$6:$CC$300,67,0)</f>
        <v>0</v>
      </c>
      <c r="CA8" s="102">
        <f>VLOOKUP(L8,EPC合同!$L$6:$CC$300,68,0)</f>
        <v>0</v>
      </c>
      <c r="CB8" s="102">
        <f>VLOOKUP(L8,EPC合同!$L$6:$CC$300,69,0)</f>
        <v>0</v>
      </c>
      <c r="CC8" s="102">
        <f>VLOOKUP(L8,EPC合同!$L$6:$CC$300,70,0)</f>
        <v>0</v>
      </c>
      <c r="CD8" s="123">
        <f t="shared" ref="CD8:CF8" si="14">W8+AA8+AE8+AI8+AM8+AQ8+AU8+AY8+BC8+BG8+BK8+BO8+BS8+BW8+CA8</f>
        <v>84600000</v>
      </c>
      <c r="CE8" s="102">
        <f t="shared" si="14"/>
        <v>13885588.683</v>
      </c>
      <c r="CF8" s="102">
        <f t="shared" si="14"/>
        <v>13506146.683</v>
      </c>
      <c r="CG8" s="102">
        <f t="shared" si="4"/>
        <v>379442</v>
      </c>
      <c r="CH8" s="124">
        <f t="shared" si="5"/>
        <v>70714411.317</v>
      </c>
      <c r="CI8" s="125">
        <f t="shared" si="6"/>
        <v>0.16413225393617</v>
      </c>
      <c r="CJ8" s="126" t="str">
        <f t="shared" si="7"/>
        <v>数据正确</v>
      </c>
    </row>
    <row r="9" s="60" customFormat="1" customHeight="1" spans="2:88">
      <c r="B9" s="70" t="str">
        <f t="shared" si="8"/>
        <v>-</v>
      </c>
      <c r="C9" s="71" t="str">
        <f t="shared" si="9"/>
        <v>-</v>
      </c>
      <c r="D9" s="181">
        <f t="shared" si="10"/>
        <v>1635000</v>
      </c>
      <c r="E9" s="181">
        <f>SUMIF(EPC合同!$L$6:$L$300,L9,EPC合同!$E$6:$E$300)</f>
        <v>0</v>
      </c>
      <c r="F9" s="181">
        <f>SUMIF(EPC合同!$L$6:$L$300,L9,EPC合同!$F$6:$F$300)</f>
        <v>0</v>
      </c>
      <c r="G9" s="181">
        <f>SUMIF(EPC合同!$L$6:$L$300,L9,EPC合同!$G$6:$G$300)</f>
        <v>0</v>
      </c>
      <c r="H9" s="181">
        <f>SUMIF(EPC合同!$L$6:$L$300,L9,EPC合同!$H$6:$H$300)</f>
        <v>0</v>
      </c>
      <c r="I9" s="181">
        <f t="shared" si="11"/>
        <v>0</v>
      </c>
      <c r="J9" s="86" t="s">
        <v>98</v>
      </c>
      <c r="K9" s="87"/>
      <c r="L9" s="88">
        <v>4</v>
      </c>
      <c r="M9" s="89" t="str">
        <f>VLOOKUP(L9,EPC合同!$L$6:$CC$300,2,0)</f>
        <v>YRKJEPC-170004</v>
      </c>
      <c r="N9" s="90" t="str">
        <f>VLOOKUP(L9,EPC合同!$L$6:$CC$300,3,0)</f>
        <v>EPC合同</v>
      </c>
      <c r="O9" s="265" t="str">
        <f>VLOOKUP(L9,EPC合同!$L$6:$CC$300,4,0)</f>
        <v>2017010038</v>
      </c>
      <c r="P9" s="266">
        <f>VLOOKUP(L9,EPC合同!$L$6:$CC$300,5,0)</f>
        <v>42816</v>
      </c>
      <c r="Q9" s="275">
        <f>VLOOKUP(L9,EPC合同!$L$6:$CC$300,6,0)</f>
        <v>10900000</v>
      </c>
      <c r="R9" s="89" t="str">
        <f>VLOOKUP(L9,EPC合同!$L$6:$CC$300,7,0)</f>
        <v>空分制氮装置EPC（不含土建施工）  合计</v>
      </c>
      <c r="S9" s="89" t="str">
        <f>VLOOKUP(L9,EPC合同!$L$6:$CC$300,8,0)</f>
        <v>杭州福斯达深冷装备股份有限公司/济宁市化工设计院唐山分院/江苏天目建设集团有限公司</v>
      </c>
      <c r="T9" s="107" t="str">
        <f>VLOOKUP(L9,EPC合同!$L$6:$CC$300,9,0)</f>
        <v>空分制氮装置</v>
      </c>
      <c r="U9" s="103" t="str">
        <f>VLOOKUP(L9,EPC合同!$L$6:$CC$300,10,0)</f>
        <v>6个月承兑汇汇票/电汇无下浮</v>
      </c>
      <c r="V9" s="276" t="str">
        <f>VLOOKUP(L9,EPC合同!$L$6:$CC$300,11,0)</f>
        <v>-</v>
      </c>
      <c r="W9" s="102">
        <f>VLOOKUP(L9,EPC合同!$L$6:$CC$300,12,0)</f>
        <v>1635000</v>
      </c>
      <c r="X9" s="102">
        <f>VLOOKUP(L9,EPC合同!$L$6:$CC$300,13,0)</f>
        <v>1635000</v>
      </c>
      <c r="Y9" s="102">
        <f>VLOOKUP(L9,EPC合同!$L$6:$CC$300,14,0)</f>
        <v>1635000</v>
      </c>
      <c r="Z9" s="102">
        <f>VLOOKUP(L9,EPC合同!$L$6:$CC$300,15,0)</f>
        <v>0</v>
      </c>
      <c r="AA9" s="102">
        <f>VLOOKUP(L9,EPC合同!$L$6:$CC$300,16,0)</f>
        <v>3815000</v>
      </c>
      <c r="AB9" s="102">
        <f>VLOOKUP(L9,EPC合同!$L$6:$CC$300,17,0)</f>
        <v>0</v>
      </c>
      <c r="AC9" s="102">
        <f>VLOOKUP(L9,EPC合同!$L$6:$CC$300,18,0)</f>
        <v>0</v>
      </c>
      <c r="AD9" s="102">
        <f>VLOOKUP(L9,EPC合同!$L$6:$CC$300,19,0)</f>
        <v>0</v>
      </c>
      <c r="AE9" s="102">
        <f>VLOOKUP(L9,EPC合同!$L$6:$CC$300,20,0)</f>
        <v>2180000</v>
      </c>
      <c r="AF9" s="102">
        <f>VLOOKUP(L9,EPC合同!$L$6:$CC$300,21,0)</f>
        <v>0</v>
      </c>
      <c r="AG9" s="102">
        <f>VLOOKUP(L9,EPC合同!$L$6:$CC$300,22,0)</f>
        <v>0</v>
      </c>
      <c r="AH9" s="102">
        <f>VLOOKUP(L9,EPC合同!$L$6:$CC$300,23,0)</f>
        <v>0</v>
      </c>
      <c r="AI9" s="102">
        <f>VLOOKUP(L9,EPC合同!$L$6:$CC$300,24,0)</f>
        <v>1090000</v>
      </c>
      <c r="AJ9" s="102">
        <f>VLOOKUP(L9,EPC合同!$L$6:$CC$300,25,0)</f>
        <v>0</v>
      </c>
      <c r="AK9" s="102">
        <f>VLOOKUP(L9,EPC合同!$L$6:$CC$300,26,0)</f>
        <v>0</v>
      </c>
      <c r="AL9" s="102">
        <f>VLOOKUP(L9,EPC合同!$L$6:$CC$300,27,0)</f>
        <v>0</v>
      </c>
      <c r="AM9" s="102">
        <f>VLOOKUP(L9,EPC合同!$L$6:$CC$300,28,0)</f>
        <v>1090000</v>
      </c>
      <c r="AN9" s="102">
        <f>VLOOKUP(L9,EPC合同!$L$6:$CC$300,29,0)</f>
        <v>0</v>
      </c>
      <c r="AO9" s="102">
        <f>VLOOKUP(L9,EPC合同!$L$6:$CC$300,30,0)</f>
        <v>0</v>
      </c>
      <c r="AP9" s="102">
        <f>VLOOKUP(L9,EPC合同!$L$6:$CC$300,31,0)</f>
        <v>0</v>
      </c>
      <c r="AQ9" s="102">
        <f>VLOOKUP(L9,EPC合同!$L$6:$CC$300,32,0)</f>
        <v>545000</v>
      </c>
      <c r="AR9" s="102">
        <f>VLOOKUP(L9,EPC合同!$L$6:$CC$300,33,0)</f>
        <v>0</v>
      </c>
      <c r="AS9" s="102">
        <f>VLOOKUP(L9,EPC合同!$L$6:$CC$300,34,0)</f>
        <v>0</v>
      </c>
      <c r="AT9" s="102">
        <f>VLOOKUP(L9,EPC合同!$L$6:$CC$300,35,0)</f>
        <v>0</v>
      </c>
      <c r="AU9" s="102">
        <f>VLOOKUP(L9,EPC合同!$L$6:$CC$300,36,0)</f>
        <v>545000</v>
      </c>
      <c r="AV9" s="102">
        <f>VLOOKUP(L9,EPC合同!$L$6:$CC$300,37,0)</f>
        <v>0</v>
      </c>
      <c r="AW9" s="102">
        <f>VLOOKUP(L9,EPC合同!$L$6:$CC$300,38,0)</f>
        <v>0</v>
      </c>
      <c r="AX9" s="102">
        <f>VLOOKUP(L9,EPC合同!$L$6:$CC$300,39,0)</f>
        <v>0</v>
      </c>
      <c r="AY9" s="102">
        <f>VLOOKUP(L9,EPC合同!$L$6:$CC$300,40,0)</f>
        <v>0</v>
      </c>
      <c r="AZ9" s="102">
        <f>VLOOKUP(L9,EPC合同!$L$6:$CC$300,41,0)</f>
        <v>0</v>
      </c>
      <c r="BA9" s="102">
        <f>VLOOKUP(L9,EPC合同!$L$6:$CC$300,42,0)</f>
        <v>0</v>
      </c>
      <c r="BB9" s="102">
        <f>VLOOKUP(L9,EPC合同!$L$6:$CC$300,43,0)</f>
        <v>0</v>
      </c>
      <c r="BC9" s="102">
        <f>VLOOKUP(L9,EPC合同!$L$6:$CC$300,44,0)</f>
        <v>0</v>
      </c>
      <c r="BD9" s="102">
        <f>VLOOKUP(L9,EPC合同!$L$6:$CC$300,45,0)</f>
        <v>0</v>
      </c>
      <c r="BE9" s="102">
        <f>VLOOKUP(L9,EPC合同!$L$6:$CC$300,46,0)</f>
        <v>0</v>
      </c>
      <c r="BF9" s="102">
        <f>VLOOKUP(L9,EPC合同!$L$6:$CC$300,47,0)</f>
        <v>0</v>
      </c>
      <c r="BG9" s="102">
        <f>VLOOKUP(L9,EPC合同!$L$6:$CC$300,48,0)</f>
        <v>0</v>
      </c>
      <c r="BH9" s="102">
        <f>VLOOKUP(L9,EPC合同!$L$6:$CC$300,49,0)</f>
        <v>0</v>
      </c>
      <c r="BI9" s="102">
        <f>VLOOKUP(L9,EPC合同!$L$6:$CC$300,50,0)</f>
        <v>0</v>
      </c>
      <c r="BJ9" s="102">
        <f>VLOOKUP(L9,EPC合同!$L$6:$CC$300,51,0)</f>
        <v>0</v>
      </c>
      <c r="BK9" s="102">
        <f>VLOOKUP(L9,EPC合同!$L$6:$CC$300,52,0)</f>
        <v>0</v>
      </c>
      <c r="BL9" s="102">
        <f>VLOOKUP(L9,EPC合同!$L$6:$CC$300,53,0)</f>
        <v>0</v>
      </c>
      <c r="BM9" s="102">
        <f>VLOOKUP(L9,EPC合同!$L$6:$CC$300,54,0)</f>
        <v>0</v>
      </c>
      <c r="BN9" s="102">
        <f>VLOOKUP(L9,EPC合同!$L$6:$CC$300,55,0)</f>
        <v>0</v>
      </c>
      <c r="BO9" s="102">
        <f>VLOOKUP(L9,EPC合同!$L$6:$CC$300,56,0)</f>
        <v>0</v>
      </c>
      <c r="BP9" s="102">
        <f>VLOOKUP(L9,EPC合同!$L$6:$CC$300,57,0)</f>
        <v>0</v>
      </c>
      <c r="BQ9" s="102">
        <f>VLOOKUP(L9,EPC合同!$L$6:$CC$300,58,0)</f>
        <v>0</v>
      </c>
      <c r="BR9" s="102">
        <f>VLOOKUP(L9,EPC合同!$L$6:$CC$300,59,0)</f>
        <v>0</v>
      </c>
      <c r="BS9" s="102">
        <f>VLOOKUP(L9,EPC合同!$L$6:$CC$300,60,0)</f>
        <v>0</v>
      </c>
      <c r="BT9" s="102">
        <f>VLOOKUP(L9,EPC合同!$L$6:$CC$300,61,0)</f>
        <v>0</v>
      </c>
      <c r="BU9" s="102">
        <f>VLOOKUP(L9,EPC合同!$L$6:$CC$300,62,0)</f>
        <v>0</v>
      </c>
      <c r="BV9" s="102">
        <f>VLOOKUP(L9,EPC合同!$L$6:$CC$300,63,0)</f>
        <v>0</v>
      </c>
      <c r="BW9" s="102">
        <f>VLOOKUP(L9,EPC合同!$L$6:$CC$300,64,0)</f>
        <v>0</v>
      </c>
      <c r="BX9" s="102">
        <f>VLOOKUP(L9,EPC合同!$L$6:$CC$300,65,0)</f>
        <v>0</v>
      </c>
      <c r="BY9" s="102">
        <f>VLOOKUP(L9,EPC合同!$L$6:$CC$300,66,0)</f>
        <v>0</v>
      </c>
      <c r="BZ9" s="102">
        <f>VLOOKUP(L9,EPC合同!$L$6:$CC$300,67,0)</f>
        <v>0</v>
      </c>
      <c r="CA9" s="102">
        <f>VLOOKUP(L9,EPC合同!$L$6:$CC$300,68,0)</f>
        <v>0</v>
      </c>
      <c r="CB9" s="102">
        <f>VLOOKUP(L9,EPC合同!$L$6:$CC$300,69,0)</f>
        <v>0</v>
      </c>
      <c r="CC9" s="102">
        <f>VLOOKUP(L9,EPC合同!$L$6:$CC$300,70,0)</f>
        <v>0</v>
      </c>
      <c r="CD9" s="123">
        <f t="shared" ref="CD9:CF9" si="15">W9+AA9+AE9+AI9+AM9+AQ9+AU9+AY9+BC9+BG9+BK9+BO9+BS9+BW9+CA9</f>
        <v>10900000</v>
      </c>
      <c r="CE9" s="102">
        <f t="shared" si="15"/>
        <v>1635000</v>
      </c>
      <c r="CF9" s="102">
        <f t="shared" si="15"/>
        <v>1635000</v>
      </c>
      <c r="CG9" s="102">
        <f t="shared" si="4"/>
        <v>0</v>
      </c>
      <c r="CH9" s="124">
        <f t="shared" si="5"/>
        <v>9265000</v>
      </c>
      <c r="CI9" s="125">
        <f t="shared" si="6"/>
        <v>0.15</v>
      </c>
      <c r="CJ9" s="126" t="str">
        <f t="shared" si="7"/>
        <v>数据正确</v>
      </c>
    </row>
    <row r="10" s="60" customFormat="1" customHeight="1" spans="2:88">
      <c r="B10" s="70" t="str">
        <f t="shared" si="8"/>
        <v>-</v>
      </c>
      <c r="C10" s="71" t="str">
        <f t="shared" si="9"/>
        <v>-</v>
      </c>
      <c r="D10" s="181">
        <f t="shared" si="10"/>
        <v>7910000</v>
      </c>
      <c r="E10" s="181">
        <f>SUMIF(设备合同!$L$6:$L$302,L10,设备合同!$E$6:$E$302)</f>
        <v>0</v>
      </c>
      <c r="F10" s="181">
        <f>SUMIF(设备合同!$L$6:$L$302,L10,设备合同!$F$6:$F$302)</f>
        <v>0</v>
      </c>
      <c r="G10" s="181">
        <f>SUMIF(设备合同!$L$6:$L$302,L10,设备合同!$G$6:$G$302)</f>
        <v>0</v>
      </c>
      <c r="H10" s="181">
        <f>SUMIF(设备合同!$L$6:$L$302,L10,设备合同!$H$6:$H$302)</f>
        <v>0</v>
      </c>
      <c r="I10" s="181">
        <f t="shared" si="11"/>
        <v>0</v>
      </c>
      <c r="J10" s="86" t="s">
        <v>98</v>
      </c>
      <c r="K10" s="87"/>
      <c r="L10" s="88">
        <v>5</v>
      </c>
      <c r="M10" s="89" t="str">
        <f>VLOOKUP(L10,设备合同!$L$6:$CC$302,2,0)</f>
        <v>YRKJEQ-170001</v>
      </c>
      <c r="N10" s="90" t="str">
        <f>VLOOKUP(L10,设备合同!$L$6:$CC$302,3,0)</f>
        <v>设备合同</v>
      </c>
      <c r="O10" s="265" t="str">
        <f>VLOOKUP(L10,设备合同!$L$6:$CC$302,4,0)</f>
        <v>2016080002</v>
      </c>
      <c r="P10" s="266">
        <f>VLOOKUP(L10,设备合同!$L$6:$CC$302,5,0)</f>
        <v>42772</v>
      </c>
      <c r="Q10" s="275">
        <f>VLOOKUP(L10,设备合同!$L$6:$CC$302,6,0)</f>
        <v>11300000</v>
      </c>
      <c r="R10" s="89" t="str">
        <f>VLOOKUP(L10,设备合同!$L$6:$CC$302,7,0)</f>
        <v>液氨球罐（原概算4台改成2台，含设计费等）</v>
      </c>
      <c r="S10" s="89" t="str">
        <f>VLOOKUP(L10,设备合同!$L$6:$CC$302,8,0)</f>
        <v>荆门宏图特种飞行器制造有限公司</v>
      </c>
      <c r="T10" s="107" t="str">
        <f>VLOOKUP(L10,设备合同!$L$6:$CC$302,9,0)</f>
        <v>    </v>
      </c>
      <c r="U10" s="103" t="str">
        <f>VLOOKUP(L10,设备合同!$L$6:$CC$302,10,0)</f>
        <v>6个月承兑汇票</v>
      </c>
      <c r="V10" s="276" t="str">
        <f>VLOOKUP(L10,设备合同!$L$6:$CC$302,11,0)</f>
        <v>乙方提供预付款等额的银行保函后10个工作日，支付20%预付款</v>
      </c>
      <c r="W10" s="102">
        <f>VLOOKUP(L10,设备合同!$L$6:$CC$302,12,0)</f>
        <v>2260000</v>
      </c>
      <c r="X10" s="102">
        <f>VLOOKUP(L10,设备合同!$L$6:$CC$302,13,0)</f>
        <v>2260000</v>
      </c>
      <c r="Y10" s="102">
        <f>VLOOKUP(L10,设备合同!$L$6:$CC$302,14,0)</f>
        <v>2260000</v>
      </c>
      <c r="Z10" s="102" t="str">
        <f>VLOOKUP(L10,设备合同!$L$6:$CC$302,15,0)</f>
        <v>乙方提供收款收据，全额17%专票等额的银行保函后10个工作日支付50%发货款</v>
      </c>
      <c r="AA10" s="102">
        <f>VLOOKUP(L10,设备合同!$L$6:$CC$302,16,0)</f>
        <v>5650000</v>
      </c>
      <c r="AB10" s="102">
        <f>VLOOKUP(L10,设备合同!$L$6:$CC$302,17,0)</f>
        <v>5650000</v>
      </c>
      <c r="AC10" s="102">
        <f>VLOOKUP(L10,设备合同!$L$6:$CC$302,18,0)</f>
        <v>5650000</v>
      </c>
      <c r="AD10" s="102" t="str">
        <f>VLOOKUP(L10,设备合同!$L$6:$CC$302,19,0)</f>
        <v>取得监检证后支付30%验收款</v>
      </c>
      <c r="AE10" s="102">
        <f>VLOOKUP(L10,设备合同!$L$6:$CC$302,20,0)</f>
        <v>3390000</v>
      </c>
      <c r="AF10" s="102">
        <f>VLOOKUP(L10,设备合同!$L$6:$CC$302,21,0)</f>
        <v>0</v>
      </c>
      <c r="AG10" s="102">
        <f>VLOOKUP(L10,设备合同!$L$6:$CC$302,22,0)</f>
        <v>0</v>
      </c>
      <c r="AH10" s="102">
        <f>VLOOKUP(L10,设备合同!$L$6:$CC$302,23,0)</f>
        <v>0</v>
      </c>
      <c r="AI10" s="102">
        <f>VLOOKUP(L10,设备合同!$L$6:$CC$302,24,0)</f>
        <v>0</v>
      </c>
      <c r="AJ10" s="102">
        <f>VLOOKUP(L10,设备合同!$L$6:$CC$302,25,0)</f>
        <v>0</v>
      </c>
      <c r="AK10" s="102">
        <f>VLOOKUP(L10,设备合同!$L$6:$CC$302,26,0)</f>
        <v>0</v>
      </c>
      <c r="AL10" s="102">
        <f>VLOOKUP(L10,设备合同!$L$6:$CC$302,27,0)</f>
        <v>0</v>
      </c>
      <c r="AM10" s="102">
        <f>VLOOKUP(L10,设备合同!$L$6:$CC$302,28,0)</f>
        <v>0</v>
      </c>
      <c r="AN10" s="102">
        <f>VLOOKUP(L10,设备合同!$L$6:$CC$302,29,0)</f>
        <v>0</v>
      </c>
      <c r="AO10" s="102">
        <f>VLOOKUP(L10,设备合同!$L$6:$CC$302,30,0)</f>
        <v>0</v>
      </c>
      <c r="AP10" s="102">
        <f>VLOOKUP(L10,设备合同!$L$6:$CC$302,31,0)</f>
        <v>0</v>
      </c>
      <c r="AQ10" s="102">
        <f>VLOOKUP(L10,设备合同!$L$6:$CC$302,32,0)</f>
        <v>0</v>
      </c>
      <c r="AR10" s="102">
        <f>VLOOKUP(L10,设备合同!$L$6:$CC$302,33,0)</f>
        <v>0</v>
      </c>
      <c r="AS10" s="102">
        <f>VLOOKUP(L10,设备合同!$L$6:$CC$302,34,0)</f>
        <v>0</v>
      </c>
      <c r="AT10" s="102">
        <f>VLOOKUP(L10,设备合同!$L$6:$CC$302,35,0)</f>
        <v>0</v>
      </c>
      <c r="AU10" s="102">
        <f>VLOOKUP(L10,设备合同!$L$6:$CC$302,36,0)</f>
        <v>0</v>
      </c>
      <c r="AV10" s="102">
        <f>VLOOKUP(L10,设备合同!$L$6:$CC$302,37,0)</f>
        <v>0</v>
      </c>
      <c r="AW10" s="102">
        <f>VLOOKUP(L10,设备合同!$L$6:$CC$302,38,0)</f>
        <v>0</v>
      </c>
      <c r="AX10" s="102">
        <f>VLOOKUP(L10,设备合同!$L$6:$CC$302,39,0)</f>
        <v>0</v>
      </c>
      <c r="AY10" s="102">
        <f>VLOOKUP(L10,设备合同!$L$6:$CC$302,40,0)</f>
        <v>0</v>
      </c>
      <c r="AZ10" s="102">
        <f>VLOOKUP(L10,设备合同!$L$6:$CC$302,41,0)</f>
        <v>0</v>
      </c>
      <c r="BA10" s="102">
        <f>VLOOKUP(L10,设备合同!$L$6:$CC$302,42,0)</f>
        <v>0</v>
      </c>
      <c r="BB10" s="102">
        <f>VLOOKUP(L10,设备合同!$L$6:$CC$302,43,0)</f>
        <v>0</v>
      </c>
      <c r="BC10" s="102">
        <f>VLOOKUP(L10,设备合同!$L$6:$CC$302,44,0)</f>
        <v>0</v>
      </c>
      <c r="BD10" s="102">
        <f>VLOOKUP(L10,设备合同!$L$6:$CC$302,45,0)</f>
        <v>0</v>
      </c>
      <c r="BE10" s="102">
        <f>VLOOKUP(L10,设备合同!$L$6:$CC$302,46,0)</f>
        <v>0</v>
      </c>
      <c r="BF10" s="102">
        <f>VLOOKUP(L10,设备合同!$L$6:$CC$302,47,0)</f>
        <v>0</v>
      </c>
      <c r="BG10" s="102">
        <f>VLOOKUP(L10,设备合同!$L$6:$CC$302,48,0)</f>
        <v>0</v>
      </c>
      <c r="BH10" s="102">
        <f>VLOOKUP(L10,设备合同!$L$6:$CC$302,49,0)</f>
        <v>0</v>
      </c>
      <c r="BI10" s="102">
        <f>VLOOKUP(L10,设备合同!$L$6:$CC$302,50,0)</f>
        <v>0</v>
      </c>
      <c r="BJ10" s="102">
        <f>VLOOKUP(L10,设备合同!$L$6:$CC$302,51,0)</f>
        <v>0</v>
      </c>
      <c r="BK10" s="102">
        <f>VLOOKUP(L10,设备合同!$L$6:$CC$302,52,0)</f>
        <v>0</v>
      </c>
      <c r="BL10" s="102">
        <f>VLOOKUP(L10,设备合同!$L$6:$CC$302,53,0)</f>
        <v>0</v>
      </c>
      <c r="BM10" s="102">
        <f>VLOOKUP(L10,设备合同!$L$6:$CC$302,54,0)</f>
        <v>0</v>
      </c>
      <c r="BN10" s="102">
        <f>VLOOKUP(L10,设备合同!$L$6:$CC$302,55,0)</f>
        <v>0</v>
      </c>
      <c r="BO10" s="102">
        <f>VLOOKUP(L10,设备合同!$L$6:$CC$302,56,0)</f>
        <v>0</v>
      </c>
      <c r="BP10" s="102">
        <f>VLOOKUP(L10,设备合同!$L$6:$CC$302,57,0)</f>
        <v>0</v>
      </c>
      <c r="BQ10" s="102">
        <f>VLOOKUP(L10,设备合同!$L$6:$CC$302,58,0)</f>
        <v>0</v>
      </c>
      <c r="BR10" s="102">
        <f>VLOOKUP(L10,设备合同!$L$6:$CC$302,59,0)</f>
        <v>0</v>
      </c>
      <c r="BS10" s="102">
        <f>VLOOKUP(L10,设备合同!$L$6:$CC$302,60,0)</f>
        <v>0</v>
      </c>
      <c r="BT10" s="102">
        <f>VLOOKUP(L10,设备合同!$L$6:$CC$302,61,0)</f>
        <v>0</v>
      </c>
      <c r="BU10" s="102">
        <f>VLOOKUP(L10,设备合同!$L$6:$CC$302,62,0)</f>
        <v>0</v>
      </c>
      <c r="BV10" s="102">
        <f>VLOOKUP(L10,设备合同!$L$6:$CC$302,63,0)</f>
        <v>0</v>
      </c>
      <c r="BW10" s="102">
        <f>VLOOKUP(L10,设备合同!$L$6:$CC$302,64,0)</f>
        <v>0</v>
      </c>
      <c r="BX10" s="102">
        <f>VLOOKUP(L10,设备合同!$L$6:$CC$302,65,0)</f>
        <v>0</v>
      </c>
      <c r="BY10" s="102">
        <f>VLOOKUP(L10,设备合同!$L$6:$CC$302,66,0)</f>
        <v>0</v>
      </c>
      <c r="BZ10" s="102">
        <f>VLOOKUP(L10,设备合同!$L$6:$CC$302,67,0)</f>
        <v>0</v>
      </c>
      <c r="CA10" s="102">
        <f>VLOOKUP(L10,设备合同!$L$6:$CC$302,68,0)</f>
        <v>0</v>
      </c>
      <c r="CB10" s="102">
        <f>VLOOKUP(L10,设备合同!$L$6:$CC$302,69,0)</f>
        <v>0</v>
      </c>
      <c r="CC10" s="102">
        <f>VLOOKUP(L10,设备合同!$L$6:$CC$302,70,0)</f>
        <v>0</v>
      </c>
      <c r="CD10" s="123">
        <f t="shared" ref="CD10:CF10" si="16">W10+AA10+AE10+AI10+AM10+AQ10+AU10+AY10+BC10+BG10+BK10+BO10+BS10+BW10+CA10</f>
        <v>11300000</v>
      </c>
      <c r="CE10" s="102">
        <f t="shared" si="16"/>
        <v>7910000</v>
      </c>
      <c r="CF10" s="102">
        <f t="shared" si="16"/>
        <v>7910000</v>
      </c>
      <c r="CG10" s="102">
        <f t="shared" si="4"/>
        <v>0</v>
      </c>
      <c r="CH10" s="124">
        <f t="shared" si="5"/>
        <v>3390000</v>
      </c>
      <c r="CI10" s="125">
        <f t="shared" si="6"/>
        <v>0.7</v>
      </c>
      <c r="CJ10" s="126" t="str">
        <f t="shared" si="7"/>
        <v>数据正确</v>
      </c>
    </row>
    <row r="11" s="60" customFormat="1" customHeight="1" spans="2:88">
      <c r="B11" s="70" t="str">
        <f t="shared" si="8"/>
        <v>-</v>
      </c>
      <c r="C11" s="71" t="str">
        <f t="shared" si="9"/>
        <v>已付清</v>
      </c>
      <c r="D11" s="181">
        <f t="shared" si="10"/>
        <v>0.001</v>
      </c>
      <c r="E11" s="181">
        <f>SUMIF(设备合同!$L$6:$L$302,L11,设备合同!$E$6:$E$302)</f>
        <v>0</v>
      </c>
      <c r="F11" s="181">
        <f>SUMIF(设备合同!$L$6:$L$302,L11,设备合同!$F$6:$F$302)</f>
        <v>0</v>
      </c>
      <c r="G11" s="181">
        <f>SUMIF(设备合同!$L$6:$L$302,L11,设备合同!$G$6:$G$302)</f>
        <v>0</v>
      </c>
      <c r="H11" s="181">
        <f>SUMIF(设备合同!$L$6:$L$302,L11,设备合同!$H$6:$H$302)</f>
        <v>0</v>
      </c>
      <c r="I11" s="181">
        <f t="shared" si="11"/>
        <v>0</v>
      </c>
      <c r="J11" s="86" t="s">
        <v>98</v>
      </c>
      <c r="K11" s="87"/>
      <c r="L11" s="88">
        <v>6</v>
      </c>
      <c r="M11" s="89" t="str">
        <f>VLOOKUP(L11,设备合同!$L$6:$CC$302,2,0)</f>
        <v>YRKJEQ-170002</v>
      </c>
      <c r="N11" s="90" t="str">
        <f>VLOOKUP(L11,设备合同!$L$6:$CC$302,3,0)</f>
        <v>设备合同</v>
      </c>
      <c r="O11" s="265">
        <f>VLOOKUP(L11,设备合同!$L$6:$CC$302,4,0)</f>
        <v>2016070031</v>
      </c>
      <c r="P11" s="266">
        <f>VLOOKUP(L11,设备合同!$L$6:$CC$302,5,0)</f>
        <v>42750</v>
      </c>
      <c r="Q11" s="275">
        <f>VLOOKUP(L11,设备合同!$L$6:$CC$302,6,0)</f>
        <v>0.001</v>
      </c>
      <c r="R11" s="89" t="str">
        <f>VLOOKUP(L11,设备合同!$L$6:$CC$302,7,0)</f>
        <v>离心机（同锦江香港合同一份）</v>
      </c>
      <c r="S11" s="89" t="str">
        <f>VLOOKUP(L11,设备合同!$L$6:$CC$302,8,0)</f>
        <v>安德里茨克玛有限公司</v>
      </c>
      <c r="T11" s="107">
        <f>VLOOKUP(L11,设备合同!$L$6:$CC$302,9,0)</f>
        <v>0</v>
      </c>
      <c r="U11" s="103" t="str">
        <f>VLOOKUP(L11,设备合同!$L$6:$CC$302,10,0)</f>
        <v>英文未知</v>
      </c>
      <c r="V11" s="276" t="str">
        <f>VLOOKUP(L11,设备合同!$L$6:$CC$302,11,0)</f>
        <v>英文未知</v>
      </c>
      <c r="W11" s="102">
        <f>VLOOKUP(L11,设备合同!$L$6:$CC$302,12,0)</f>
        <v>0.001</v>
      </c>
      <c r="X11" s="102">
        <f>VLOOKUP(L11,设备合同!$L$6:$CC$302,13,0)</f>
        <v>0.001</v>
      </c>
      <c r="Y11" s="102">
        <f>VLOOKUP(L11,设备合同!$L$6:$CC$302,14,0)</f>
        <v>0.001</v>
      </c>
      <c r="Z11" s="102">
        <f>VLOOKUP(L11,设备合同!$L$6:$CC$302,15,0)</f>
        <v>0</v>
      </c>
      <c r="AA11" s="102">
        <f>VLOOKUP(L11,设备合同!$L$6:$CC$302,16,0)</f>
        <v>0</v>
      </c>
      <c r="AB11" s="102">
        <f>VLOOKUP(L11,设备合同!$L$6:$CC$302,17,0)</f>
        <v>0</v>
      </c>
      <c r="AC11" s="102">
        <f>VLOOKUP(L11,设备合同!$L$6:$CC$302,18,0)</f>
        <v>0</v>
      </c>
      <c r="AD11" s="102">
        <f>VLOOKUP(L11,设备合同!$L$6:$CC$302,19,0)</f>
        <v>0</v>
      </c>
      <c r="AE11" s="102">
        <f>VLOOKUP(L11,设备合同!$L$6:$CC$302,20,0)</f>
        <v>0</v>
      </c>
      <c r="AF11" s="102">
        <f>VLOOKUP(L11,设备合同!$L$6:$CC$302,21,0)</f>
        <v>0</v>
      </c>
      <c r="AG11" s="102">
        <f>VLOOKUP(L11,设备合同!$L$6:$CC$302,22,0)</f>
        <v>0</v>
      </c>
      <c r="AH11" s="102">
        <f>VLOOKUP(L11,设备合同!$L$6:$CC$302,23,0)</f>
        <v>0</v>
      </c>
      <c r="AI11" s="102">
        <f>VLOOKUP(L11,设备合同!$L$6:$CC$302,24,0)</f>
        <v>0</v>
      </c>
      <c r="AJ11" s="102">
        <f>VLOOKUP(L11,设备合同!$L$6:$CC$302,25,0)</f>
        <v>0</v>
      </c>
      <c r="AK11" s="102">
        <f>VLOOKUP(L11,设备合同!$L$6:$CC$302,26,0)</f>
        <v>0</v>
      </c>
      <c r="AL11" s="102">
        <f>VLOOKUP(L11,设备合同!$L$6:$CC$302,27,0)</f>
        <v>0</v>
      </c>
      <c r="AM11" s="102">
        <f>VLOOKUP(L11,设备合同!$L$6:$CC$302,28,0)</f>
        <v>0</v>
      </c>
      <c r="AN11" s="102">
        <f>VLOOKUP(L11,设备合同!$L$6:$CC$302,29,0)</f>
        <v>0</v>
      </c>
      <c r="AO11" s="102">
        <f>VLOOKUP(L11,设备合同!$L$6:$CC$302,30,0)</f>
        <v>0</v>
      </c>
      <c r="AP11" s="102">
        <f>VLOOKUP(L11,设备合同!$L$6:$CC$302,31,0)</f>
        <v>0</v>
      </c>
      <c r="AQ11" s="102">
        <f>VLOOKUP(L11,设备合同!$L$6:$CC$302,32,0)</f>
        <v>0</v>
      </c>
      <c r="AR11" s="102">
        <f>VLOOKUP(L11,设备合同!$L$6:$CC$302,33,0)</f>
        <v>0</v>
      </c>
      <c r="AS11" s="102">
        <f>VLOOKUP(L11,设备合同!$L$6:$CC$302,34,0)</f>
        <v>0</v>
      </c>
      <c r="AT11" s="102">
        <f>VLOOKUP(L11,设备合同!$L$6:$CC$302,35,0)</f>
        <v>0</v>
      </c>
      <c r="AU11" s="102">
        <f>VLOOKUP(L11,设备合同!$L$6:$CC$302,36,0)</f>
        <v>0</v>
      </c>
      <c r="AV11" s="102">
        <f>VLOOKUP(L11,设备合同!$L$6:$CC$302,37,0)</f>
        <v>0</v>
      </c>
      <c r="AW11" s="102">
        <f>VLOOKUP(L11,设备合同!$L$6:$CC$302,38,0)</f>
        <v>0</v>
      </c>
      <c r="AX11" s="102">
        <f>VLOOKUP(L11,设备合同!$L$6:$CC$302,39,0)</f>
        <v>0</v>
      </c>
      <c r="AY11" s="102">
        <f>VLOOKUP(L11,设备合同!$L$6:$CC$302,40,0)</f>
        <v>0</v>
      </c>
      <c r="AZ11" s="102">
        <f>VLOOKUP(L11,设备合同!$L$6:$CC$302,41,0)</f>
        <v>0</v>
      </c>
      <c r="BA11" s="102">
        <f>VLOOKUP(L11,设备合同!$L$6:$CC$302,42,0)</f>
        <v>0</v>
      </c>
      <c r="BB11" s="102">
        <f>VLOOKUP(L11,设备合同!$L$6:$CC$302,43,0)</f>
        <v>0</v>
      </c>
      <c r="BC11" s="102">
        <f>VLOOKUP(L11,设备合同!$L$6:$CC$302,44,0)</f>
        <v>0</v>
      </c>
      <c r="BD11" s="102">
        <f>VLOOKUP(L11,设备合同!$L$6:$CC$302,45,0)</f>
        <v>0</v>
      </c>
      <c r="BE11" s="102">
        <f>VLOOKUP(L11,设备合同!$L$6:$CC$302,46,0)</f>
        <v>0</v>
      </c>
      <c r="BF11" s="102">
        <f>VLOOKUP(L11,设备合同!$L$6:$CC$302,47,0)</f>
        <v>0</v>
      </c>
      <c r="BG11" s="102">
        <f>VLOOKUP(L11,设备合同!$L$6:$CC$302,48,0)</f>
        <v>0</v>
      </c>
      <c r="BH11" s="102">
        <f>VLOOKUP(L11,设备合同!$L$6:$CC$302,49,0)</f>
        <v>0</v>
      </c>
      <c r="BI11" s="102">
        <f>VLOOKUP(L11,设备合同!$L$6:$CC$302,50,0)</f>
        <v>0</v>
      </c>
      <c r="BJ11" s="102">
        <f>VLOOKUP(L11,设备合同!$L$6:$CC$302,51,0)</f>
        <v>0</v>
      </c>
      <c r="BK11" s="102">
        <f>VLOOKUP(L11,设备合同!$L$6:$CC$302,52,0)</f>
        <v>0</v>
      </c>
      <c r="BL11" s="102">
        <f>VLOOKUP(L11,设备合同!$L$6:$CC$302,53,0)</f>
        <v>0</v>
      </c>
      <c r="BM11" s="102">
        <f>VLOOKUP(L11,设备合同!$L$6:$CC$302,54,0)</f>
        <v>0</v>
      </c>
      <c r="BN11" s="102">
        <f>VLOOKUP(L11,设备合同!$L$6:$CC$302,55,0)</f>
        <v>0</v>
      </c>
      <c r="BO11" s="102">
        <f>VLOOKUP(L11,设备合同!$L$6:$CC$302,56,0)</f>
        <v>0</v>
      </c>
      <c r="BP11" s="102">
        <f>VLOOKUP(L11,设备合同!$L$6:$CC$302,57,0)</f>
        <v>0</v>
      </c>
      <c r="BQ11" s="102">
        <f>VLOOKUP(L11,设备合同!$L$6:$CC$302,58,0)</f>
        <v>0</v>
      </c>
      <c r="BR11" s="102">
        <f>VLOOKUP(L11,设备合同!$L$6:$CC$302,59,0)</f>
        <v>0</v>
      </c>
      <c r="BS11" s="102">
        <f>VLOOKUP(L11,设备合同!$L$6:$CC$302,60,0)</f>
        <v>0</v>
      </c>
      <c r="BT11" s="102">
        <f>VLOOKUP(L11,设备合同!$L$6:$CC$302,61,0)</f>
        <v>0</v>
      </c>
      <c r="BU11" s="102">
        <f>VLOOKUP(L11,设备合同!$L$6:$CC$302,62,0)</f>
        <v>0</v>
      </c>
      <c r="BV11" s="102">
        <f>VLOOKUP(L11,设备合同!$L$6:$CC$302,63,0)</f>
        <v>0</v>
      </c>
      <c r="BW11" s="102">
        <f>VLOOKUP(L11,设备合同!$L$6:$CC$302,64,0)</f>
        <v>0</v>
      </c>
      <c r="BX11" s="102">
        <f>VLOOKUP(L11,设备合同!$L$6:$CC$302,65,0)</f>
        <v>0</v>
      </c>
      <c r="BY11" s="102">
        <f>VLOOKUP(L11,设备合同!$L$6:$CC$302,66,0)</f>
        <v>0</v>
      </c>
      <c r="BZ11" s="102">
        <f>VLOOKUP(L11,设备合同!$L$6:$CC$302,67,0)</f>
        <v>0</v>
      </c>
      <c r="CA11" s="102">
        <f>VLOOKUP(L11,设备合同!$L$6:$CC$302,68,0)</f>
        <v>0</v>
      </c>
      <c r="CB11" s="102">
        <f>VLOOKUP(L11,设备合同!$L$6:$CC$302,69,0)</f>
        <v>0</v>
      </c>
      <c r="CC11" s="102">
        <f>VLOOKUP(L11,设备合同!$L$6:$CC$302,70,0)</f>
        <v>0</v>
      </c>
      <c r="CD11" s="123">
        <f t="shared" ref="CD11:CF11" si="17">W11+AA11+AE11+AI11+AM11+AQ11+AU11+AY11+BC11+BG11+BK11+BO11+BS11+BW11+CA11</f>
        <v>0.001</v>
      </c>
      <c r="CE11" s="102">
        <f t="shared" si="17"/>
        <v>0.001</v>
      </c>
      <c r="CF11" s="102">
        <f t="shared" si="17"/>
        <v>0.001</v>
      </c>
      <c r="CG11" s="102">
        <f t="shared" si="4"/>
        <v>0</v>
      </c>
      <c r="CH11" s="124">
        <f t="shared" si="5"/>
        <v>0</v>
      </c>
      <c r="CI11" s="125">
        <f t="shared" si="6"/>
        <v>1</v>
      </c>
      <c r="CJ11" s="126" t="str">
        <f t="shared" si="7"/>
        <v>数据正确</v>
      </c>
    </row>
    <row r="12" s="60" customFormat="1" customHeight="1" spans="2:88">
      <c r="B12" s="70" t="str">
        <f t="shared" ref="B12:B75" si="18">IF(I12=0,"-","申请中")</f>
        <v>-</v>
      </c>
      <c r="C12" s="71" t="str">
        <f t="shared" ref="C12:C75" si="19">IF(CI12=100%,"已付清","-")</f>
        <v>-</v>
      </c>
      <c r="D12" s="181">
        <f t="shared" ref="D12:D75" si="20">CF12</f>
        <v>1152000</v>
      </c>
      <c r="E12" s="181">
        <f>SUMIF(设备合同!$L$6:$L$302,L12,设备合同!$E$6:$E$302)</f>
        <v>0</v>
      </c>
      <c r="F12" s="181">
        <f>SUMIF(设备合同!$L$6:$L$302,L12,设备合同!$F$6:$F$302)</f>
        <v>0</v>
      </c>
      <c r="G12" s="181">
        <f>SUMIF(设备合同!$L$6:$L$302,L12,设备合同!$G$6:$G$302)</f>
        <v>0</v>
      </c>
      <c r="H12" s="181">
        <f>SUMIF(设备合同!$L$6:$L$302,L12,设备合同!$H$6:$H$302)</f>
        <v>0</v>
      </c>
      <c r="I12" s="181">
        <f t="shared" ref="I12:I75" si="21">CE12-CF12-CG12</f>
        <v>0</v>
      </c>
      <c r="J12" s="86" t="s">
        <v>98</v>
      </c>
      <c r="K12" s="87"/>
      <c r="L12" s="88">
        <v>7</v>
      </c>
      <c r="M12" s="89" t="str">
        <f>VLOOKUP(L12,设备合同!$L$6:$CC$302,2,0)</f>
        <v>YRKJEQ-170003</v>
      </c>
      <c r="N12" s="90" t="str">
        <f>VLOOKUP(L12,设备合同!$L$6:$CC$302,3,0)</f>
        <v>设备合同</v>
      </c>
      <c r="O12" s="265" t="str">
        <f>VLOOKUP(L12,设备合同!$L$6:$CC$302,4,0)</f>
        <v>2017010003</v>
      </c>
      <c r="P12" s="266">
        <f>VLOOKUP(L12,设备合同!$L$6:$CC$302,5,0)</f>
        <v>42758</v>
      </c>
      <c r="Q12" s="275">
        <f>VLOOKUP(L12,设备合同!$L$6:$CC$302,6,0)</f>
        <v>1280000</v>
      </c>
      <c r="R12" s="89" t="str">
        <f>VLOOKUP(L12,设备合同!$L$6:$CC$302,7,0)</f>
        <v>16吨高喷消防车共2辆</v>
      </c>
      <c r="S12" s="89" t="str">
        <f>VLOOKUP(L12,设备合同!$L$6:$CC$302,8,0)</f>
        <v>陕西银河消防科技装备股份有限公司</v>
      </c>
      <c r="T12" s="107" t="str">
        <f>VLOOKUP(L12,设备合同!$L$6:$CC$302,9,0)</f>
        <v>安全环保部</v>
      </c>
      <c r="U12" s="103" t="str">
        <f>VLOOKUP(L12,设备合同!$L$6:$CC$302,10,0)</f>
        <v>6个月承兑汇票</v>
      </c>
      <c r="V12" s="276" t="str">
        <f>VLOOKUP(L12,设备合同!$L$6:$CC$302,11,0)</f>
        <v>承揽人提交完整车辆资料（含上牌照资料）经定作人确认；提交合同总价100%车辆购置专用发票后，十个工作日内付货物全款的90%验收合格款，每延迟一日，定作人按合同总价的0.3%计算承揽人支付违约金。</v>
      </c>
      <c r="W12" s="102">
        <f>VLOOKUP(L12,设备合同!$L$6:$CC$302,12,0)</f>
        <v>1152000</v>
      </c>
      <c r="X12" s="102">
        <f>VLOOKUP(L12,设备合同!$L$6:$CC$302,13,0)</f>
        <v>1152000</v>
      </c>
      <c r="Y12" s="102">
        <f>VLOOKUP(L12,设备合同!$L$6:$CC$302,14,0)</f>
        <v>1152000</v>
      </c>
      <c r="Z12" s="102" t="str">
        <f>VLOOKUP(L12,设备合同!$L$6:$CC$302,15,0)</f>
        <v>本合同总金额的10%留作质量保证金，满一年后十个工作日付清，每延迟一日，定作人按合同总价的0.3%计算承揽人支付违约金。</v>
      </c>
      <c r="AA12" s="102">
        <f>VLOOKUP(L12,设备合同!$L$6:$CC$302,16,0)</f>
        <v>128000</v>
      </c>
      <c r="AB12" s="102">
        <f>VLOOKUP(L12,设备合同!$L$6:$CC$302,17,0)</f>
        <v>0</v>
      </c>
      <c r="AC12" s="102">
        <f>VLOOKUP(L12,设备合同!$L$6:$CC$302,18,0)</f>
        <v>0</v>
      </c>
      <c r="AD12" s="102">
        <f>VLOOKUP(L12,设备合同!$L$6:$CC$302,19,0)</f>
        <v>0</v>
      </c>
      <c r="AE12" s="102">
        <f>VLOOKUP(L12,设备合同!$L$6:$CC$302,20,0)</f>
        <v>0</v>
      </c>
      <c r="AF12" s="102">
        <f>VLOOKUP(L12,设备合同!$L$6:$CC$302,21,0)</f>
        <v>0</v>
      </c>
      <c r="AG12" s="102">
        <f>VLOOKUP(L12,设备合同!$L$6:$CC$302,22,0)</f>
        <v>0</v>
      </c>
      <c r="AH12" s="102">
        <f>VLOOKUP(L12,设备合同!$L$6:$CC$302,23,0)</f>
        <v>0</v>
      </c>
      <c r="AI12" s="102">
        <f>VLOOKUP(L12,设备合同!$L$6:$CC$302,24,0)</f>
        <v>0</v>
      </c>
      <c r="AJ12" s="102">
        <f>VLOOKUP(L12,设备合同!$L$6:$CC$302,25,0)</f>
        <v>0</v>
      </c>
      <c r="AK12" s="102">
        <f>VLOOKUP(L12,设备合同!$L$6:$CC$302,26,0)</f>
        <v>0</v>
      </c>
      <c r="AL12" s="102">
        <f>VLOOKUP(L12,设备合同!$L$6:$CC$302,27,0)</f>
        <v>0</v>
      </c>
      <c r="AM12" s="102">
        <f>VLOOKUP(L12,设备合同!$L$6:$CC$302,28,0)</f>
        <v>0</v>
      </c>
      <c r="AN12" s="102">
        <f>VLOOKUP(L12,设备合同!$L$6:$CC$302,29,0)</f>
        <v>0</v>
      </c>
      <c r="AO12" s="102">
        <f>VLOOKUP(L12,设备合同!$L$6:$CC$302,30,0)</f>
        <v>0</v>
      </c>
      <c r="AP12" s="102">
        <f>VLOOKUP(L12,设备合同!$L$6:$CC$302,31,0)</f>
        <v>0</v>
      </c>
      <c r="AQ12" s="102">
        <f>VLOOKUP(L12,设备合同!$L$6:$CC$302,32,0)</f>
        <v>0</v>
      </c>
      <c r="AR12" s="102">
        <f>VLOOKUP(L12,设备合同!$L$6:$CC$302,33,0)</f>
        <v>0</v>
      </c>
      <c r="AS12" s="102">
        <f>VLOOKUP(L12,设备合同!$L$6:$CC$302,34,0)</f>
        <v>0</v>
      </c>
      <c r="AT12" s="102">
        <f>VLOOKUP(L12,设备合同!$L$6:$CC$302,35,0)</f>
        <v>0</v>
      </c>
      <c r="AU12" s="102">
        <f>VLOOKUP(L12,设备合同!$L$6:$CC$302,36,0)</f>
        <v>0</v>
      </c>
      <c r="AV12" s="102">
        <f>VLOOKUP(L12,设备合同!$L$6:$CC$302,37,0)</f>
        <v>0</v>
      </c>
      <c r="AW12" s="102">
        <f>VLOOKUP(L12,设备合同!$L$6:$CC$302,38,0)</f>
        <v>0</v>
      </c>
      <c r="AX12" s="102">
        <f>VLOOKUP(L12,设备合同!$L$6:$CC$302,39,0)</f>
        <v>0</v>
      </c>
      <c r="AY12" s="102">
        <f>VLOOKUP(L12,设备合同!$L$6:$CC$302,40,0)</f>
        <v>0</v>
      </c>
      <c r="AZ12" s="102">
        <f>VLOOKUP(L12,设备合同!$L$6:$CC$302,41,0)</f>
        <v>0</v>
      </c>
      <c r="BA12" s="102">
        <f>VLOOKUP(L12,设备合同!$L$6:$CC$302,42,0)</f>
        <v>0</v>
      </c>
      <c r="BB12" s="102">
        <f>VLOOKUP(L12,设备合同!$L$6:$CC$302,43,0)</f>
        <v>0</v>
      </c>
      <c r="BC12" s="102">
        <f>VLOOKUP(L12,设备合同!$L$6:$CC$302,44,0)</f>
        <v>0</v>
      </c>
      <c r="BD12" s="102">
        <f>VLOOKUP(L12,设备合同!$L$6:$CC$302,45,0)</f>
        <v>0</v>
      </c>
      <c r="BE12" s="102">
        <f>VLOOKUP(L12,设备合同!$L$6:$CC$302,46,0)</f>
        <v>0</v>
      </c>
      <c r="BF12" s="102">
        <f>VLOOKUP(L12,设备合同!$L$6:$CC$302,47,0)</f>
        <v>0</v>
      </c>
      <c r="BG12" s="102">
        <f>VLOOKUP(L12,设备合同!$L$6:$CC$302,48,0)</f>
        <v>0</v>
      </c>
      <c r="BH12" s="102">
        <f>VLOOKUP(L12,设备合同!$L$6:$CC$302,49,0)</f>
        <v>0</v>
      </c>
      <c r="BI12" s="102">
        <f>VLOOKUP(L12,设备合同!$L$6:$CC$302,50,0)</f>
        <v>0</v>
      </c>
      <c r="BJ12" s="102">
        <f>VLOOKUP(L12,设备合同!$L$6:$CC$302,51,0)</f>
        <v>0</v>
      </c>
      <c r="BK12" s="102">
        <f>VLOOKUP(L12,设备合同!$L$6:$CC$302,52,0)</f>
        <v>0</v>
      </c>
      <c r="BL12" s="102">
        <f>VLOOKUP(L12,设备合同!$L$6:$CC$302,53,0)</f>
        <v>0</v>
      </c>
      <c r="BM12" s="102">
        <f>VLOOKUP(L12,设备合同!$L$6:$CC$302,54,0)</f>
        <v>0</v>
      </c>
      <c r="BN12" s="102">
        <f>VLOOKUP(L12,设备合同!$L$6:$CC$302,55,0)</f>
        <v>0</v>
      </c>
      <c r="BO12" s="102">
        <f>VLOOKUP(L12,设备合同!$L$6:$CC$302,56,0)</f>
        <v>0</v>
      </c>
      <c r="BP12" s="102">
        <f>VLOOKUP(L12,设备合同!$L$6:$CC$302,57,0)</f>
        <v>0</v>
      </c>
      <c r="BQ12" s="102">
        <f>VLOOKUP(L12,设备合同!$L$6:$CC$302,58,0)</f>
        <v>0</v>
      </c>
      <c r="BR12" s="102">
        <f>VLOOKUP(L12,设备合同!$L$6:$CC$302,59,0)</f>
        <v>0</v>
      </c>
      <c r="BS12" s="102">
        <f>VLOOKUP(L12,设备合同!$L$6:$CC$302,60,0)</f>
        <v>0</v>
      </c>
      <c r="BT12" s="102">
        <f>VLOOKUP(L12,设备合同!$L$6:$CC$302,61,0)</f>
        <v>0</v>
      </c>
      <c r="BU12" s="102">
        <f>VLOOKUP(L12,设备合同!$L$6:$CC$302,62,0)</f>
        <v>0</v>
      </c>
      <c r="BV12" s="102">
        <f>VLOOKUP(L12,设备合同!$L$6:$CC$302,63,0)</f>
        <v>0</v>
      </c>
      <c r="BW12" s="102">
        <f>VLOOKUP(L12,设备合同!$L$6:$CC$302,64,0)</f>
        <v>0</v>
      </c>
      <c r="BX12" s="102">
        <f>VLOOKUP(L12,设备合同!$L$6:$CC$302,65,0)</f>
        <v>0</v>
      </c>
      <c r="BY12" s="102">
        <f>VLOOKUP(L12,设备合同!$L$6:$CC$302,66,0)</f>
        <v>0</v>
      </c>
      <c r="BZ12" s="102">
        <f>VLOOKUP(L12,设备合同!$L$6:$CC$302,67,0)</f>
        <v>0</v>
      </c>
      <c r="CA12" s="102">
        <f>VLOOKUP(L12,设备合同!$L$6:$CC$302,68,0)</f>
        <v>0</v>
      </c>
      <c r="CB12" s="102">
        <f>VLOOKUP(L12,设备合同!$L$6:$CC$302,69,0)</f>
        <v>0</v>
      </c>
      <c r="CC12" s="102">
        <f>VLOOKUP(L12,设备合同!$L$6:$CC$302,70,0)</f>
        <v>0</v>
      </c>
      <c r="CD12" s="123">
        <f t="shared" ref="CD12:CD75" si="22">W12+AA12+AE12+AI12+AM12+AQ12+AU12+AY12+BC12+BG12+BK12+BO12+BS12+BW12+CA12</f>
        <v>1280000</v>
      </c>
      <c r="CE12" s="102">
        <f t="shared" ref="CE12:CE75" si="23">X12+AB12+AF12+AJ12+AN12+AR12+AV12+AZ12+BD12+BH12+BL12+BP12+BT12+BX12+CB12</f>
        <v>1152000</v>
      </c>
      <c r="CF12" s="102">
        <f t="shared" ref="CF12:CF75" si="24">Y12+AC12+AG12+AK12+AO12+AS12+AW12+BA12+BE12+BI12+BM12+BQ12+BU12+BY12+CC12</f>
        <v>1152000</v>
      </c>
      <c r="CG12" s="102">
        <f t="shared" ref="CG12:CG75" si="25">E12+F12+G12+H12</f>
        <v>0</v>
      </c>
      <c r="CH12" s="124">
        <f t="shared" ref="CH12:CH75" si="26">Q12-CF12-CG12</f>
        <v>128000</v>
      </c>
      <c r="CI12" s="125">
        <f t="shared" ref="CI12:CI75" si="27">IF(ISERROR((CF12+CG12)/Q12),"-",(CF12+CG12)/Q12)</f>
        <v>0.9</v>
      </c>
      <c r="CJ12" s="126" t="str">
        <f t="shared" ref="CJ12:CJ75" si="28">IF(Q12-CD12=0,"数据正确","数据错误")</f>
        <v>数据正确</v>
      </c>
    </row>
    <row r="13" s="60" customFormat="1" customHeight="1" spans="2:88">
      <c r="B13" s="70" t="str">
        <f t="shared" si="18"/>
        <v>-</v>
      </c>
      <c r="C13" s="71" t="str">
        <f t="shared" si="19"/>
        <v>-</v>
      </c>
      <c r="D13" s="181">
        <f t="shared" si="20"/>
        <v>8498000</v>
      </c>
      <c r="E13" s="181">
        <f>SUMIF(设备合同!$L$6:$L$302,L13,设备合同!$E$6:$E$302)</f>
        <v>0</v>
      </c>
      <c r="F13" s="181">
        <f>SUMIF(设备合同!$L$6:$L$302,L13,设备合同!$F$6:$F$302)</f>
        <v>0</v>
      </c>
      <c r="G13" s="181">
        <f>SUMIF(设备合同!$L$6:$L$302,L13,设备合同!$G$6:$G$302)</f>
        <v>0</v>
      </c>
      <c r="H13" s="181">
        <f>SUMIF(设备合同!$L$6:$L$302,L13,设备合同!$H$6:$H$302)</f>
        <v>0</v>
      </c>
      <c r="I13" s="181">
        <f t="shared" si="21"/>
        <v>0</v>
      </c>
      <c r="J13" s="86" t="s">
        <v>98</v>
      </c>
      <c r="K13" s="87"/>
      <c r="L13" s="88">
        <v>8</v>
      </c>
      <c r="M13" s="89" t="str">
        <f>VLOOKUP(L13,设备合同!$L$6:$CC$302,2,0)</f>
        <v>YRKJEQ-170004</v>
      </c>
      <c r="N13" s="90" t="str">
        <f>VLOOKUP(L13,设备合同!$L$6:$CC$302,3,0)</f>
        <v>设备合同</v>
      </c>
      <c r="O13" s="265" t="str">
        <f>VLOOKUP(L13,设备合同!$L$6:$CC$302,4,0)</f>
        <v>2017010002</v>
      </c>
      <c r="P13" s="266">
        <f>VLOOKUP(L13,设备合同!$L$6:$CC$302,5,0)</f>
        <v>42817</v>
      </c>
      <c r="Q13" s="275">
        <f>VLOOKUP(L13,设备合同!$L$6:$CC$302,6,0)</f>
        <v>76580000</v>
      </c>
      <c r="R13" s="89" t="str">
        <f>VLOOKUP(L13,设备合同!$L$6:$CC$302,7,0)</f>
        <v>氨肟化反应分离系统  合计</v>
      </c>
      <c r="S13" s="89" t="str">
        <f>VLOOKUP(L13,设备合同!$L$6:$CC$302,8,0)</f>
        <v>河北美邦工程科技股份有限公司</v>
      </c>
      <c r="T13" s="107" t="str">
        <f>VLOOKUP(L13,设备合同!$L$6:$CC$302,9,0)</f>
        <v>氨肟化装置（氨肟化装置金属膜反应分离系统1套）</v>
      </c>
      <c r="U13" s="103" t="str">
        <f>VLOOKUP(L13,设备合同!$L$6:$CC$302,10,0)</f>
        <v>电汇或6个月承汇</v>
      </c>
      <c r="V13" s="276" t="str">
        <f>VLOOKUP(L13,设备合同!$L$6:$CC$302,11,0)</f>
        <v>-</v>
      </c>
      <c r="W13" s="102">
        <f>VLOOKUP(L13,设备合同!$L$6:$CC$302,12,0)</f>
        <v>14858000</v>
      </c>
      <c r="X13" s="102">
        <f>VLOOKUP(L13,设备合同!$L$6:$CC$302,13,0)</f>
        <v>8498000</v>
      </c>
      <c r="Y13" s="102">
        <f>VLOOKUP(L13,设备合同!$L$6:$CC$302,14,0)</f>
        <v>8498000</v>
      </c>
      <c r="Z13" s="102">
        <f>VLOOKUP(L13,设备合同!$L$6:$CC$302,15,0)</f>
        <v>0</v>
      </c>
      <c r="AA13" s="102">
        <f>VLOOKUP(L13,设备合同!$L$6:$CC$302,16,0)</f>
        <v>16542000</v>
      </c>
      <c r="AB13" s="102">
        <f>VLOOKUP(L13,设备合同!$L$6:$CC$302,17,0)</f>
        <v>0</v>
      </c>
      <c r="AC13" s="102">
        <f>VLOOKUP(L13,设备合同!$L$6:$CC$302,18,0)</f>
        <v>0</v>
      </c>
      <c r="AD13" s="102">
        <f>VLOOKUP(L13,设备合同!$L$6:$CC$302,19,0)</f>
        <v>0</v>
      </c>
      <c r="AE13" s="102">
        <f>VLOOKUP(L13,设备合同!$L$6:$CC$302,20,0)</f>
        <v>16542000</v>
      </c>
      <c r="AF13" s="102">
        <f>VLOOKUP(L13,设备合同!$L$6:$CC$302,21,0)</f>
        <v>0</v>
      </c>
      <c r="AG13" s="102">
        <f>VLOOKUP(L13,设备合同!$L$6:$CC$302,22,0)</f>
        <v>0</v>
      </c>
      <c r="AH13" s="102">
        <f>VLOOKUP(L13,设备合同!$L$6:$CC$302,23,0)</f>
        <v>0</v>
      </c>
      <c r="AI13" s="102">
        <f>VLOOKUP(L13,设备合同!$L$6:$CC$302,24,0)</f>
        <v>13044000</v>
      </c>
      <c r="AJ13" s="102">
        <f>VLOOKUP(L13,设备合同!$L$6:$CC$302,25,0)</f>
        <v>0</v>
      </c>
      <c r="AK13" s="102">
        <f>VLOOKUP(L13,设备合同!$L$6:$CC$302,26,0)</f>
        <v>0</v>
      </c>
      <c r="AL13" s="102">
        <f>VLOOKUP(L13,设备合同!$L$6:$CC$302,27,0)</f>
        <v>0</v>
      </c>
      <c r="AM13" s="102">
        <f>VLOOKUP(L13,设备合同!$L$6:$CC$302,28,0)</f>
        <v>9546000</v>
      </c>
      <c r="AN13" s="102">
        <f>VLOOKUP(L13,设备合同!$L$6:$CC$302,29,0)</f>
        <v>0</v>
      </c>
      <c r="AO13" s="102">
        <f>VLOOKUP(L13,设备合同!$L$6:$CC$302,30,0)</f>
        <v>0</v>
      </c>
      <c r="AP13" s="102">
        <f>VLOOKUP(L13,设备合同!$L$6:$CC$302,31,0)</f>
        <v>0</v>
      </c>
      <c r="AQ13" s="102">
        <f>VLOOKUP(L13,设备合同!$L$6:$CC$302,32,0)</f>
        <v>6048000</v>
      </c>
      <c r="AR13" s="102">
        <f>VLOOKUP(L13,设备合同!$L$6:$CC$302,33,0)</f>
        <v>0</v>
      </c>
      <c r="AS13" s="102">
        <f>VLOOKUP(L13,设备合同!$L$6:$CC$302,34,0)</f>
        <v>0</v>
      </c>
      <c r="AT13" s="102">
        <f>VLOOKUP(L13,设备合同!$L$6:$CC$302,35,0)</f>
        <v>0</v>
      </c>
      <c r="AU13" s="102">
        <f>VLOOKUP(L13,设备合同!$L$6:$CC$302,36,0)</f>
        <v>0</v>
      </c>
      <c r="AV13" s="102">
        <f>VLOOKUP(L13,设备合同!$L$6:$CC$302,37,0)</f>
        <v>0</v>
      </c>
      <c r="AW13" s="102">
        <f>VLOOKUP(L13,设备合同!$L$6:$CC$302,38,0)</f>
        <v>0</v>
      </c>
      <c r="AX13" s="102">
        <f>VLOOKUP(L13,设备合同!$L$6:$CC$302,39,0)</f>
        <v>0</v>
      </c>
      <c r="AY13" s="102">
        <f>VLOOKUP(L13,设备合同!$L$6:$CC$302,40,0)</f>
        <v>0</v>
      </c>
      <c r="AZ13" s="102">
        <f>VLOOKUP(L13,设备合同!$L$6:$CC$302,41,0)</f>
        <v>0</v>
      </c>
      <c r="BA13" s="102">
        <f>VLOOKUP(L13,设备合同!$L$6:$CC$302,42,0)</f>
        <v>0</v>
      </c>
      <c r="BB13" s="102">
        <f>VLOOKUP(L13,设备合同!$L$6:$CC$302,43,0)</f>
        <v>0</v>
      </c>
      <c r="BC13" s="102">
        <f>VLOOKUP(L13,设备合同!$L$6:$CC$302,44,0)</f>
        <v>0</v>
      </c>
      <c r="BD13" s="102">
        <f>VLOOKUP(L13,设备合同!$L$6:$CC$302,45,0)</f>
        <v>0</v>
      </c>
      <c r="BE13" s="102">
        <f>VLOOKUP(L13,设备合同!$L$6:$CC$302,46,0)</f>
        <v>0</v>
      </c>
      <c r="BF13" s="102">
        <f>VLOOKUP(L13,设备合同!$L$6:$CC$302,47,0)</f>
        <v>0</v>
      </c>
      <c r="BG13" s="102">
        <f>VLOOKUP(L13,设备合同!$L$6:$CC$302,48,0)</f>
        <v>0</v>
      </c>
      <c r="BH13" s="102">
        <f>VLOOKUP(L13,设备合同!$L$6:$CC$302,49,0)</f>
        <v>0</v>
      </c>
      <c r="BI13" s="102">
        <f>VLOOKUP(L13,设备合同!$L$6:$CC$302,50,0)</f>
        <v>0</v>
      </c>
      <c r="BJ13" s="102">
        <f>VLOOKUP(L13,设备合同!$L$6:$CC$302,51,0)</f>
        <v>0</v>
      </c>
      <c r="BK13" s="102">
        <f>VLOOKUP(L13,设备合同!$L$6:$CC$302,52,0)</f>
        <v>0</v>
      </c>
      <c r="BL13" s="102">
        <f>VLOOKUP(L13,设备合同!$L$6:$CC$302,53,0)</f>
        <v>0</v>
      </c>
      <c r="BM13" s="102">
        <f>VLOOKUP(L13,设备合同!$L$6:$CC$302,54,0)</f>
        <v>0</v>
      </c>
      <c r="BN13" s="102">
        <f>VLOOKUP(L13,设备合同!$L$6:$CC$302,55,0)</f>
        <v>0</v>
      </c>
      <c r="BO13" s="102">
        <f>VLOOKUP(L13,设备合同!$L$6:$CC$302,56,0)</f>
        <v>0</v>
      </c>
      <c r="BP13" s="102">
        <f>VLOOKUP(L13,设备合同!$L$6:$CC$302,57,0)</f>
        <v>0</v>
      </c>
      <c r="BQ13" s="102">
        <f>VLOOKUP(L13,设备合同!$L$6:$CC$302,58,0)</f>
        <v>0</v>
      </c>
      <c r="BR13" s="102">
        <f>VLOOKUP(L13,设备合同!$L$6:$CC$302,59,0)</f>
        <v>0</v>
      </c>
      <c r="BS13" s="102">
        <f>VLOOKUP(L13,设备合同!$L$6:$CC$302,60,0)</f>
        <v>0</v>
      </c>
      <c r="BT13" s="102">
        <f>VLOOKUP(L13,设备合同!$L$6:$CC$302,61,0)</f>
        <v>0</v>
      </c>
      <c r="BU13" s="102">
        <f>VLOOKUP(L13,设备合同!$L$6:$CC$302,62,0)</f>
        <v>0</v>
      </c>
      <c r="BV13" s="102">
        <f>VLOOKUP(L13,设备合同!$L$6:$CC$302,63,0)</f>
        <v>0</v>
      </c>
      <c r="BW13" s="102">
        <f>VLOOKUP(L13,设备合同!$L$6:$CC$302,64,0)</f>
        <v>0</v>
      </c>
      <c r="BX13" s="102">
        <f>VLOOKUP(L13,设备合同!$L$6:$CC$302,65,0)</f>
        <v>0</v>
      </c>
      <c r="BY13" s="102">
        <f>VLOOKUP(L13,设备合同!$L$6:$CC$302,66,0)</f>
        <v>0</v>
      </c>
      <c r="BZ13" s="102">
        <f>VLOOKUP(L13,设备合同!$L$6:$CC$302,67,0)</f>
        <v>0</v>
      </c>
      <c r="CA13" s="102">
        <f>VLOOKUP(L13,设备合同!$L$6:$CC$302,68,0)</f>
        <v>0</v>
      </c>
      <c r="CB13" s="102">
        <f>VLOOKUP(L13,设备合同!$L$6:$CC$302,69,0)</f>
        <v>0</v>
      </c>
      <c r="CC13" s="102">
        <f>VLOOKUP(L13,设备合同!$L$6:$CC$302,70,0)</f>
        <v>0</v>
      </c>
      <c r="CD13" s="123">
        <f t="shared" si="22"/>
        <v>76580000</v>
      </c>
      <c r="CE13" s="102">
        <f t="shared" si="23"/>
        <v>8498000</v>
      </c>
      <c r="CF13" s="102">
        <f t="shared" si="24"/>
        <v>8498000</v>
      </c>
      <c r="CG13" s="102">
        <f t="shared" si="25"/>
        <v>0</v>
      </c>
      <c r="CH13" s="124">
        <f t="shared" si="26"/>
        <v>68082000</v>
      </c>
      <c r="CI13" s="125">
        <f t="shared" si="27"/>
        <v>0.110968921389397</v>
      </c>
      <c r="CJ13" s="126" t="str">
        <f t="shared" si="28"/>
        <v>数据正确</v>
      </c>
    </row>
    <row r="14" s="60" customFormat="1" customHeight="1" spans="2:88">
      <c r="B14" s="70" t="str">
        <f t="shared" si="18"/>
        <v>-</v>
      </c>
      <c r="C14" s="71" t="str">
        <f t="shared" si="19"/>
        <v>-</v>
      </c>
      <c r="D14" s="181">
        <f t="shared" si="20"/>
        <v>1258200</v>
      </c>
      <c r="E14" s="181">
        <f>SUMIF(设备合同!$L$6:$L$302,L14,设备合同!$E$6:$E$302)</f>
        <v>0</v>
      </c>
      <c r="F14" s="181">
        <f>SUMIF(设备合同!$L$6:$L$302,L14,设备合同!$F$6:$F$302)</f>
        <v>0</v>
      </c>
      <c r="G14" s="181">
        <f>SUMIF(设备合同!$L$6:$L$302,L14,设备合同!$G$6:$G$302)</f>
        <v>0</v>
      </c>
      <c r="H14" s="181">
        <f>SUMIF(设备合同!$L$6:$L$302,L14,设备合同!$H$6:$H$302)</f>
        <v>0</v>
      </c>
      <c r="I14" s="181">
        <f t="shared" si="21"/>
        <v>0</v>
      </c>
      <c r="J14" s="86" t="s">
        <v>98</v>
      </c>
      <c r="K14" s="87"/>
      <c r="L14" s="88">
        <v>9</v>
      </c>
      <c r="M14" s="89" t="str">
        <f>VLOOKUP(L14,设备合同!$L$6:$CC$302,2,0)</f>
        <v>YRKJEQ-170005</v>
      </c>
      <c r="N14" s="90" t="str">
        <f>VLOOKUP(L14,设备合同!$L$6:$CC$302,3,0)</f>
        <v>设备合同</v>
      </c>
      <c r="O14" s="265" t="str">
        <f>VLOOKUP(L14,设备合同!$L$6:$CC$302,4,0)</f>
        <v>2016110032</v>
      </c>
      <c r="P14" s="266">
        <f>VLOOKUP(L14,设备合同!$L$6:$CC$302,5,0)</f>
        <v>42793</v>
      </c>
      <c r="Q14" s="275">
        <f>VLOOKUP(L14,设备合同!$L$6:$CC$302,6,0)</f>
        <v>1398000</v>
      </c>
      <c r="R14" s="89" t="str">
        <f>VLOOKUP(L14,设备合同!$L$6:$CC$302,7,0)</f>
        <v>板式换热器5台(叔丁醇循环冷却器1台+结晶器冷凝器4台)</v>
      </c>
      <c r="S14" s="89" t="str">
        <f>VLOOKUP(L14,设备合同!$L$6:$CC$302,8,0)</f>
        <v>阿法拉伐（上海）技术有限公司</v>
      </c>
      <c r="T14" s="107" t="str">
        <f>VLOOKUP(L14,设备合同!$L$6:$CC$302,9,0)</f>
        <v>氨肟化装置1台3.6万元，硫铵装置4台136.2万元</v>
      </c>
      <c r="U14" s="103" t="str">
        <f>VLOOKUP(L14,设备合同!$L$6:$CC$302,10,0)</f>
        <v>电汇</v>
      </c>
      <c r="V14" s="276" t="str">
        <f>VLOOKUP(L14,设备合同!$L$6:$CC$302,11,0)</f>
        <v>乙方开具有效期为发货后30天内，合同总价20%预付款保函和本合同20%总价之财务收据后15个工作日内，甲方支付20%预付款。10%的履约保函</v>
      </c>
      <c r="W14" s="102">
        <f>VLOOKUP(L14,设备合同!$L$6:$CC$302,12,0)</f>
        <v>279600</v>
      </c>
      <c r="X14" s="102">
        <f>VLOOKUP(L14,设备合同!$L$6:$CC$302,13,0)</f>
        <v>279600</v>
      </c>
      <c r="Y14" s="102">
        <f>VLOOKUP(L14,设备合同!$L$6:$CC$302,14,0)</f>
        <v>279600</v>
      </c>
      <c r="Z14" s="102" t="str">
        <f>VLOOKUP(L14,设备合同!$L$6:$CC$302,15,0)</f>
        <v>乙方开具有效期为发货后30天内，本合同总价70%发货款保函和本合同100%总价之17%增值税专用发票、以及本合同标的物对应完整资料后15个工作日内，甲方支付70%发货款。</v>
      </c>
      <c r="AA14" s="102">
        <f>VLOOKUP(L14,设备合同!$L$6:$CC$302,16,0)</f>
        <v>978600</v>
      </c>
      <c r="AB14" s="102">
        <f>VLOOKUP(L14,设备合同!$L$6:$CC$302,17,0)</f>
        <v>978600</v>
      </c>
      <c r="AC14" s="102">
        <f>VLOOKUP(L14,设备合同!$L$6:$CC$302,18,0)</f>
        <v>978600</v>
      </c>
      <c r="AD14" s="102" t="str">
        <f>VLOOKUP(L14,设备合同!$L$6:$CC$302,19,0)</f>
        <v> </v>
      </c>
      <c r="AE14" s="102">
        <f>VLOOKUP(L14,设备合同!$L$6:$CC$302,20,0)</f>
        <v>139800</v>
      </c>
      <c r="AF14" s="102">
        <f>VLOOKUP(L14,设备合同!$L$6:$CC$302,21,0)</f>
        <v>0</v>
      </c>
      <c r="AG14" s="102">
        <f>VLOOKUP(L14,设备合同!$L$6:$CC$302,22,0)</f>
        <v>0</v>
      </c>
      <c r="AH14" s="102">
        <f>VLOOKUP(L14,设备合同!$L$6:$CC$302,23,0)</f>
        <v>0</v>
      </c>
      <c r="AI14" s="102">
        <f>VLOOKUP(L14,设备合同!$L$6:$CC$302,24,0)</f>
        <v>0</v>
      </c>
      <c r="AJ14" s="102">
        <f>VLOOKUP(L14,设备合同!$L$6:$CC$302,25,0)</f>
        <v>0</v>
      </c>
      <c r="AK14" s="102">
        <f>VLOOKUP(L14,设备合同!$L$6:$CC$302,26,0)</f>
        <v>0</v>
      </c>
      <c r="AL14" s="102">
        <f>VLOOKUP(L14,设备合同!$L$6:$CC$302,27,0)</f>
        <v>0</v>
      </c>
      <c r="AM14" s="102">
        <f>VLOOKUP(L14,设备合同!$L$6:$CC$302,28,0)</f>
        <v>0</v>
      </c>
      <c r="AN14" s="102">
        <f>VLOOKUP(L14,设备合同!$L$6:$CC$302,29,0)</f>
        <v>0</v>
      </c>
      <c r="AO14" s="102">
        <f>VLOOKUP(L14,设备合同!$L$6:$CC$302,30,0)</f>
        <v>0</v>
      </c>
      <c r="AP14" s="102">
        <f>VLOOKUP(L14,设备合同!$L$6:$CC$302,31,0)</f>
        <v>0</v>
      </c>
      <c r="AQ14" s="102">
        <f>VLOOKUP(L14,设备合同!$L$6:$CC$302,32,0)</f>
        <v>0</v>
      </c>
      <c r="AR14" s="102">
        <f>VLOOKUP(L14,设备合同!$L$6:$CC$302,33,0)</f>
        <v>0</v>
      </c>
      <c r="AS14" s="102">
        <f>VLOOKUP(L14,设备合同!$L$6:$CC$302,34,0)</f>
        <v>0</v>
      </c>
      <c r="AT14" s="102">
        <f>VLOOKUP(L14,设备合同!$L$6:$CC$302,35,0)</f>
        <v>0</v>
      </c>
      <c r="AU14" s="102">
        <f>VLOOKUP(L14,设备合同!$L$6:$CC$302,36,0)</f>
        <v>0</v>
      </c>
      <c r="AV14" s="102">
        <f>VLOOKUP(L14,设备合同!$L$6:$CC$302,37,0)</f>
        <v>0</v>
      </c>
      <c r="AW14" s="102">
        <f>VLOOKUP(L14,设备合同!$L$6:$CC$302,38,0)</f>
        <v>0</v>
      </c>
      <c r="AX14" s="102">
        <f>VLOOKUP(L14,设备合同!$L$6:$CC$302,39,0)</f>
        <v>0</v>
      </c>
      <c r="AY14" s="102">
        <f>VLOOKUP(L14,设备合同!$L$6:$CC$302,40,0)</f>
        <v>0</v>
      </c>
      <c r="AZ14" s="102">
        <f>VLOOKUP(L14,设备合同!$L$6:$CC$302,41,0)</f>
        <v>0</v>
      </c>
      <c r="BA14" s="102">
        <f>VLOOKUP(L14,设备合同!$L$6:$CC$302,42,0)</f>
        <v>0</v>
      </c>
      <c r="BB14" s="102">
        <f>VLOOKUP(L14,设备合同!$L$6:$CC$302,43,0)</f>
        <v>0</v>
      </c>
      <c r="BC14" s="102">
        <f>VLOOKUP(L14,设备合同!$L$6:$CC$302,44,0)</f>
        <v>0</v>
      </c>
      <c r="BD14" s="102">
        <f>VLOOKUP(L14,设备合同!$L$6:$CC$302,45,0)</f>
        <v>0</v>
      </c>
      <c r="BE14" s="102">
        <f>VLOOKUP(L14,设备合同!$L$6:$CC$302,46,0)</f>
        <v>0</v>
      </c>
      <c r="BF14" s="102">
        <f>VLOOKUP(L14,设备合同!$L$6:$CC$302,47,0)</f>
        <v>0</v>
      </c>
      <c r="BG14" s="102">
        <f>VLOOKUP(L14,设备合同!$L$6:$CC$302,48,0)</f>
        <v>0</v>
      </c>
      <c r="BH14" s="102">
        <f>VLOOKUP(L14,设备合同!$L$6:$CC$302,49,0)</f>
        <v>0</v>
      </c>
      <c r="BI14" s="102">
        <f>VLOOKUP(L14,设备合同!$L$6:$CC$302,50,0)</f>
        <v>0</v>
      </c>
      <c r="BJ14" s="102">
        <f>VLOOKUP(L14,设备合同!$L$6:$CC$302,51,0)</f>
        <v>0</v>
      </c>
      <c r="BK14" s="102">
        <f>VLOOKUP(L14,设备合同!$L$6:$CC$302,52,0)</f>
        <v>0</v>
      </c>
      <c r="BL14" s="102">
        <f>VLOOKUP(L14,设备合同!$L$6:$CC$302,53,0)</f>
        <v>0</v>
      </c>
      <c r="BM14" s="102">
        <f>VLOOKUP(L14,设备合同!$L$6:$CC$302,54,0)</f>
        <v>0</v>
      </c>
      <c r="BN14" s="102">
        <f>VLOOKUP(L14,设备合同!$L$6:$CC$302,55,0)</f>
        <v>0</v>
      </c>
      <c r="BO14" s="102">
        <f>VLOOKUP(L14,设备合同!$L$6:$CC$302,56,0)</f>
        <v>0</v>
      </c>
      <c r="BP14" s="102">
        <f>VLOOKUP(L14,设备合同!$L$6:$CC$302,57,0)</f>
        <v>0</v>
      </c>
      <c r="BQ14" s="102">
        <f>VLOOKUP(L14,设备合同!$L$6:$CC$302,58,0)</f>
        <v>0</v>
      </c>
      <c r="BR14" s="102">
        <f>VLOOKUP(L14,设备合同!$L$6:$CC$302,59,0)</f>
        <v>0</v>
      </c>
      <c r="BS14" s="102">
        <f>VLOOKUP(L14,设备合同!$L$6:$CC$302,60,0)</f>
        <v>0</v>
      </c>
      <c r="BT14" s="102">
        <f>VLOOKUP(L14,设备合同!$L$6:$CC$302,61,0)</f>
        <v>0</v>
      </c>
      <c r="BU14" s="102">
        <f>VLOOKUP(L14,设备合同!$L$6:$CC$302,62,0)</f>
        <v>0</v>
      </c>
      <c r="BV14" s="102">
        <f>VLOOKUP(L14,设备合同!$L$6:$CC$302,63,0)</f>
        <v>0</v>
      </c>
      <c r="BW14" s="102">
        <f>VLOOKUP(L14,设备合同!$L$6:$CC$302,64,0)</f>
        <v>0</v>
      </c>
      <c r="BX14" s="102">
        <f>VLOOKUP(L14,设备合同!$L$6:$CC$302,65,0)</f>
        <v>0</v>
      </c>
      <c r="BY14" s="102">
        <f>VLOOKUP(L14,设备合同!$L$6:$CC$302,66,0)</f>
        <v>0</v>
      </c>
      <c r="BZ14" s="102">
        <f>VLOOKUP(L14,设备合同!$L$6:$CC$302,67,0)</f>
        <v>0</v>
      </c>
      <c r="CA14" s="102">
        <f>VLOOKUP(L14,设备合同!$L$6:$CC$302,68,0)</f>
        <v>0</v>
      </c>
      <c r="CB14" s="102">
        <f>VLOOKUP(L14,设备合同!$L$6:$CC$302,69,0)</f>
        <v>0</v>
      </c>
      <c r="CC14" s="102">
        <f>VLOOKUP(L14,设备合同!$L$6:$CC$302,70,0)</f>
        <v>0</v>
      </c>
      <c r="CD14" s="123">
        <f t="shared" si="22"/>
        <v>1398000</v>
      </c>
      <c r="CE14" s="102">
        <f t="shared" si="23"/>
        <v>1258200</v>
      </c>
      <c r="CF14" s="102">
        <f t="shared" si="24"/>
        <v>1258200</v>
      </c>
      <c r="CG14" s="102">
        <f t="shared" si="25"/>
        <v>0</v>
      </c>
      <c r="CH14" s="124">
        <f t="shared" si="26"/>
        <v>139800</v>
      </c>
      <c r="CI14" s="125">
        <f t="shared" si="27"/>
        <v>0.9</v>
      </c>
      <c r="CJ14" s="126" t="str">
        <f t="shared" si="28"/>
        <v>数据正确</v>
      </c>
    </row>
    <row r="15" s="60" customFormat="1" customHeight="1" spans="2:88">
      <c r="B15" s="70" t="str">
        <f t="shared" si="18"/>
        <v>-</v>
      </c>
      <c r="C15" s="71" t="str">
        <f t="shared" si="19"/>
        <v>-</v>
      </c>
      <c r="D15" s="181">
        <f t="shared" si="20"/>
        <v>166000</v>
      </c>
      <c r="E15" s="181">
        <f>SUMIF(设备合同!$L$6:$L$302,L15,设备合同!$E$6:$E$302)</f>
        <v>0</v>
      </c>
      <c r="F15" s="181">
        <f>SUMIF(设备合同!$L$6:$L$302,L15,设备合同!$F$6:$F$302)</f>
        <v>0</v>
      </c>
      <c r="G15" s="181">
        <f>SUMIF(设备合同!$L$6:$L$302,L15,设备合同!$G$6:$G$302)</f>
        <v>0</v>
      </c>
      <c r="H15" s="181">
        <f>SUMIF(设备合同!$L$6:$L$302,L15,设备合同!$H$6:$H$302)</f>
        <v>0</v>
      </c>
      <c r="I15" s="181">
        <f t="shared" si="21"/>
        <v>0</v>
      </c>
      <c r="J15" s="86" t="s">
        <v>98</v>
      </c>
      <c r="K15" s="87"/>
      <c r="L15" s="88">
        <v>10</v>
      </c>
      <c r="M15" s="89" t="str">
        <f>VLOOKUP(L15,设备合同!$L$6:$CC$302,2,0)</f>
        <v>YRKJEQ-170006</v>
      </c>
      <c r="N15" s="90" t="str">
        <f>VLOOKUP(L15,设备合同!$L$6:$CC$302,3,0)</f>
        <v>设备合同</v>
      </c>
      <c r="O15" s="265" t="str">
        <f>VLOOKUP(L15,设备合同!$L$6:$CC$302,4,0)</f>
        <v>2016110024</v>
      </c>
      <c r="P15" s="266">
        <f>VLOOKUP(L15,设备合同!$L$6:$CC$302,5,0)</f>
        <v>42817</v>
      </c>
      <c r="Q15" s="275">
        <f>VLOOKUP(L15,设备合同!$L$6:$CC$302,6,0)</f>
        <v>830000</v>
      </c>
      <c r="R15" s="89" t="str">
        <f>VLOOKUP(L15,设备合同!$L$6:$CC$302,7,0)</f>
        <v>降膜蒸发器（第二叔丁醇回收塔再沸器）</v>
      </c>
      <c r="S15" s="89" t="str">
        <f>VLOOKUP(L15,设备合同!$L$6:$CC$302,8,0)</f>
        <v>无锡化工装备股份有限公司</v>
      </c>
      <c r="T15" s="107">
        <f>VLOOKUP(L15,设备合同!$L$6:$CC$302,9,0)</f>
        <v>0</v>
      </c>
      <c r="U15" s="103" t="str">
        <f>VLOOKUP(L15,设备合同!$L$6:$CC$302,10,0)</f>
        <v>6个月承兑汇票</v>
      </c>
      <c r="V15" s="276" t="str">
        <f>VLOOKUP(L15,设备合同!$L$6:$CC$302,11,0)</f>
        <v>乙方开具有效期至货物到达交货地点后15个工作日预付款等额的保函和等额的17%专票后15个工作日支付20%预付款</v>
      </c>
      <c r="W15" s="102">
        <f>VLOOKUP(L15,设备合同!$L$6:$CC$302,12,0)</f>
        <v>166000</v>
      </c>
      <c r="X15" s="102">
        <f>VLOOKUP(L15,设备合同!$L$6:$CC$302,13,0)</f>
        <v>166000</v>
      </c>
      <c r="Y15" s="102">
        <f>VLOOKUP(L15,设备合同!$L$6:$CC$302,14,0)</f>
        <v>166000</v>
      </c>
      <c r="Z15" s="102" t="str">
        <f>VLOOKUP(L15,设备合同!$L$6:$CC$302,15,0)</f>
        <v>甲方相关人员检验及收到80%专票后15个工作日，支付60%发货款，乙方收到发货款安排发货</v>
      </c>
      <c r="AA15" s="102">
        <f>VLOOKUP(L15,设备合同!$L$6:$CC$302,16,0)</f>
        <v>498000</v>
      </c>
      <c r="AB15" s="102">
        <f>VLOOKUP(L15,设备合同!$L$6:$CC$302,17,0)</f>
        <v>0</v>
      </c>
      <c r="AC15" s="102">
        <f>VLOOKUP(L15,设备合同!$L$6:$CC$302,18,0)</f>
        <v>0</v>
      </c>
      <c r="AD15" s="102" t="str">
        <f>VLOOKUP(L15,设备合同!$L$6:$CC$302,19,0)</f>
        <v>货物到达甲方验收合格后2个月或货到现场后6个月，乙方开具到货后24个月质量保函后15个工作日，支付10%验收款</v>
      </c>
      <c r="AE15" s="102">
        <f>VLOOKUP(L15,设备合同!$L$6:$CC$302,20,0)</f>
        <v>83000</v>
      </c>
      <c r="AF15" s="102">
        <f>VLOOKUP(L15,设备合同!$L$6:$CC$302,21,0)</f>
        <v>0</v>
      </c>
      <c r="AG15" s="102">
        <f>VLOOKUP(L15,设备合同!$L$6:$CC$302,22,0)</f>
        <v>0</v>
      </c>
      <c r="AH15" s="102" t="str">
        <f>VLOOKUP(L15,设备合同!$L$6:$CC$302,23,0)</f>
        <v>本合同的10%为质量保函，验收合格后18个月或货到现场24个月后，甲方退还乙方</v>
      </c>
      <c r="AI15" s="102">
        <f>VLOOKUP(L15,设备合同!$L$6:$CC$302,24,0)</f>
        <v>83000</v>
      </c>
      <c r="AJ15" s="102">
        <f>VLOOKUP(L15,设备合同!$L$6:$CC$302,25,0)</f>
        <v>0</v>
      </c>
      <c r="AK15" s="102">
        <f>VLOOKUP(L15,设备合同!$L$6:$CC$302,26,0)</f>
        <v>0</v>
      </c>
      <c r="AL15" s="102">
        <f>VLOOKUP(L15,设备合同!$L$6:$CC$302,27,0)</f>
        <v>0</v>
      </c>
      <c r="AM15" s="102">
        <f>VLOOKUP(L15,设备合同!$L$6:$CC$302,28,0)</f>
        <v>0</v>
      </c>
      <c r="AN15" s="102">
        <f>VLOOKUP(L15,设备合同!$L$6:$CC$302,29,0)</f>
        <v>0</v>
      </c>
      <c r="AO15" s="102">
        <f>VLOOKUP(L15,设备合同!$L$6:$CC$302,30,0)</f>
        <v>0</v>
      </c>
      <c r="AP15" s="102">
        <f>VLOOKUP(L15,设备合同!$L$6:$CC$302,31,0)</f>
        <v>0</v>
      </c>
      <c r="AQ15" s="102">
        <f>VLOOKUP(L15,设备合同!$L$6:$CC$302,32,0)</f>
        <v>0</v>
      </c>
      <c r="AR15" s="102">
        <f>VLOOKUP(L15,设备合同!$L$6:$CC$302,33,0)</f>
        <v>0</v>
      </c>
      <c r="AS15" s="102">
        <f>VLOOKUP(L15,设备合同!$L$6:$CC$302,34,0)</f>
        <v>0</v>
      </c>
      <c r="AT15" s="102">
        <f>VLOOKUP(L15,设备合同!$L$6:$CC$302,35,0)</f>
        <v>0</v>
      </c>
      <c r="AU15" s="102">
        <f>VLOOKUP(L15,设备合同!$L$6:$CC$302,36,0)</f>
        <v>0</v>
      </c>
      <c r="AV15" s="102">
        <f>VLOOKUP(L15,设备合同!$L$6:$CC$302,37,0)</f>
        <v>0</v>
      </c>
      <c r="AW15" s="102">
        <f>VLOOKUP(L15,设备合同!$L$6:$CC$302,38,0)</f>
        <v>0</v>
      </c>
      <c r="AX15" s="102">
        <f>VLOOKUP(L15,设备合同!$L$6:$CC$302,39,0)</f>
        <v>0</v>
      </c>
      <c r="AY15" s="102">
        <f>VLOOKUP(L15,设备合同!$L$6:$CC$302,40,0)</f>
        <v>0</v>
      </c>
      <c r="AZ15" s="102">
        <f>VLOOKUP(L15,设备合同!$L$6:$CC$302,41,0)</f>
        <v>0</v>
      </c>
      <c r="BA15" s="102">
        <f>VLOOKUP(L15,设备合同!$L$6:$CC$302,42,0)</f>
        <v>0</v>
      </c>
      <c r="BB15" s="102">
        <f>VLOOKUP(L15,设备合同!$L$6:$CC$302,43,0)</f>
        <v>0</v>
      </c>
      <c r="BC15" s="102">
        <f>VLOOKUP(L15,设备合同!$L$6:$CC$302,44,0)</f>
        <v>0</v>
      </c>
      <c r="BD15" s="102">
        <f>VLOOKUP(L15,设备合同!$L$6:$CC$302,45,0)</f>
        <v>0</v>
      </c>
      <c r="BE15" s="102">
        <f>VLOOKUP(L15,设备合同!$L$6:$CC$302,46,0)</f>
        <v>0</v>
      </c>
      <c r="BF15" s="102">
        <f>VLOOKUP(L15,设备合同!$L$6:$CC$302,47,0)</f>
        <v>0</v>
      </c>
      <c r="BG15" s="102">
        <f>VLOOKUP(L15,设备合同!$L$6:$CC$302,48,0)</f>
        <v>0</v>
      </c>
      <c r="BH15" s="102">
        <f>VLOOKUP(L15,设备合同!$L$6:$CC$302,49,0)</f>
        <v>0</v>
      </c>
      <c r="BI15" s="102">
        <f>VLOOKUP(L15,设备合同!$L$6:$CC$302,50,0)</f>
        <v>0</v>
      </c>
      <c r="BJ15" s="102">
        <f>VLOOKUP(L15,设备合同!$L$6:$CC$302,51,0)</f>
        <v>0</v>
      </c>
      <c r="BK15" s="102">
        <f>VLOOKUP(L15,设备合同!$L$6:$CC$302,52,0)</f>
        <v>0</v>
      </c>
      <c r="BL15" s="102">
        <f>VLOOKUP(L15,设备合同!$L$6:$CC$302,53,0)</f>
        <v>0</v>
      </c>
      <c r="BM15" s="102">
        <f>VLOOKUP(L15,设备合同!$L$6:$CC$302,54,0)</f>
        <v>0</v>
      </c>
      <c r="BN15" s="102">
        <f>VLOOKUP(L15,设备合同!$L$6:$CC$302,55,0)</f>
        <v>0</v>
      </c>
      <c r="BO15" s="102">
        <f>VLOOKUP(L15,设备合同!$L$6:$CC$302,56,0)</f>
        <v>0</v>
      </c>
      <c r="BP15" s="102">
        <f>VLOOKUP(L15,设备合同!$L$6:$CC$302,57,0)</f>
        <v>0</v>
      </c>
      <c r="BQ15" s="102">
        <f>VLOOKUP(L15,设备合同!$L$6:$CC$302,58,0)</f>
        <v>0</v>
      </c>
      <c r="BR15" s="102">
        <f>VLOOKUP(L15,设备合同!$L$6:$CC$302,59,0)</f>
        <v>0</v>
      </c>
      <c r="BS15" s="102">
        <f>VLOOKUP(L15,设备合同!$L$6:$CC$302,60,0)</f>
        <v>0</v>
      </c>
      <c r="BT15" s="102">
        <f>VLOOKUP(L15,设备合同!$L$6:$CC$302,61,0)</f>
        <v>0</v>
      </c>
      <c r="BU15" s="102">
        <f>VLOOKUP(L15,设备合同!$L$6:$CC$302,62,0)</f>
        <v>0</v>
      </c>
      <c r="BV15" s="102">
        <f>VLOOKUP(L15,设备合同!$L$6:$CC$302,63,0)</f>
        <v>0</v>
      </c>
      <c r="BW15" s="102">
        <f>VLOOKUP(L15,设备合同!$L$6:$CC$302,64,0)</f>
        <v>0</v>
      </c>
      <c r="BX15" s="102">
        <f>VLOOKUP(L15,设备合同!$L$6:$CC$302,65,0)</f>
        <v>0</v>
      </c>
      <c r="BY15" s="102">
        <f>VLOOKUP(L15,设备合同!$L$6:$CC$302,66,0)</f>
        <v>0</v>
      </c>
      <c r="BZ15" s="102">
        <f>VLOOKUP(L15,设备合同!$L$6:$CC$302,67,0)</f>
        <v>0</v>
      </c>
      <c r="CA15" s="102">
        <f>VLOOKUP(L15,设备合同!$L$6:$CC$302,68,0)</f>
        <v>0</v>
      </c>
      <c r="CB15" s="102">
        <f>VLOOKUP(L15,设备合同!$L$6:$CC$302,69,0)</f>
        <v>0</v>
      </c>
      <c r="CC15" s="102">
        <f>VLOOKUP(L15,设备合同!$L$6:$CC$302,70,0)</f>
        <v>0</v>
      </c>
      <c r="CD15" s="123">
        <f t="shared" si="22"/>
        <v>830000</v>
      </c>
      <c r="CE15" s="102">
        <f t="shared" si="23"/>
        <v>166000</v>
      </c>
      <c r="CF15" s="102">
        <f t="shared" si="24"/>
        <v>166000</v>
      </c>
      <c r="CG15" s="102">
        <f t="shared" si="25"/>
        <v>0</v>
      </c>
      <c r="CH15" s="124">
        <f t="shared" si="26"/>
        <v>664000</v>
      </c>
      <c r="CI15" s="125">
        <f t="shared" si="27"/>
        <v>0.2</v>
      </c>
      <c r="CJ15" s="126" t="str">
        <f t="shared" si="28"/>
        <v>数据正确</v>
      </c>
    </row>
    <row r="16" s="60" customFormat="1" customHeight="1" spans="2:88">
      <c r="B16" s="70" t="str">
        <f t="shared" si="18"/>
        <v>-</v>
      </c>
      <c r="C16" s="71" t="str">
        <f t="shared" si="19"/>
        <v>-</v>
      </c>
      <c r="D16" s="181">
        <f t="shared" si="20"/>
        <v>824000</v>
      </c>
      <c r="E16" s="181">
        <f>SUMIF(设备合同!$L$6:$L$302,L16,设备合同!$E$6:$E$302)</f>
        <v>0</v>
      </c>
      <c r="F16" s="181">
        <f>SUMIF(设备合同!$L$6:$L$302,L16,设备合同!$F$6:$F$302)</f>
        <v>0</v>
      </c>
      <c r="G16" s="181">
        <f>SUMIF(设备合同!$L$6:$L$302,L16,设备合同!$G$6:$G$302)</f>
        <v>0</v>
      </c>
      <c r="H16" s="181">
        <f>SUMIF(设备合同!$L$6:$L$302,L16,设备合同!$H$6:$H$302)</f>
        <v>0</v>
      </c>
      <c r="I16" s="181">
        <f t="shared" si="21"/>
        <v>0</v>
      </c>
      <c r="J16" s="86" t="s">
        <v>98</v>
      </c>
      <c r="K16" s="87"/>
      <c r="L16" s="88">
        <v>11</v>
      </c>
      <c r="M16" s="89" t="str">
        <f>VLOOKUP(L16,设备合同!$L$6:$CC$302,2,0)</f>
        <v>YRKJEQ-170007</v>
      </c>
      <c r="N16" s="90" t="str">
        <f>VLOOKUP(L16,设备合同!$L$6:$CC$302,3,0)</f>
        <v>设备合同</v>
      </c>
      <c r="O16" s="265" t="str">
        <f>VLOOKUP(L16,设备合同!$L$6:$CC$302,4,0)</f>
        <v>2016090032</v>
      </c>
      <c r="P16" s="266">
        <f>VLOOKUP(L16,设备合同!$L$6:$CC$302,5,0)</f>
        <v>42788</v>
      </c>
      <c r="Q16" s="275">
        <f>VLOOKUP(L16,设备合同!$L$6:$CC$302,6,0)</f>
        <v>4120000</v>
      </c>
      <c r="R16" s="89" t="str">
        <f>VLOOKUP(L16,设备合同!$L$6:$CC$302,7,0)</f>
        <v>硫铵干燥系统 成套设备</v>
      </c>
      <c r="S16" s="89" t="str">
        <f>VLOOKUP(L16,设备合同!$L$6:$CC$302,8,0)</f>
        <v>山东天力能源股份有限公司</v>
      </c>
      <c r="T16" s="107">
        <f>VLOOKUP(L16,设备合同!$L$6:$CC$302,9,0)</f>
        <v>0</v>
      </c>
      <c r="U16" s="103" t="str">
        <f>VLOOKUP(L16,设备合同!$L$6:$CC$302,10,0)</f>
        <v>6个月承兑汇票</v>
      </c>
      <c r="V16" s="276" t="str">
        <f>VLOOKUP(L16,设备合同!$L$6:$CC$302,11,0)</f>
        <v>乙方提供10%合同金额的银行履约保函，预付款等额的银行保函和对应款的收据后10个工作日支付20%预付款</v>
      </c>
      <c r="W16" s="102">
        <f>VLOOKUP(L16,设备合同!$L$6:$CC$302,12,0)</f>
        <v>824000</v>
      </c>
      <c r="X16" s="102">
        <f>VLOOKUP(L16,设备合同!$L$6:$CC$302,13,0)</f>
        <v>824000</v>
      </c>
      <c r="Y16" s="102">
        <f>VLOOKUP(L16,设备合同!$L$6:$CC$302,14,0)</f>
        <v>824000</v>
      </c>
      <c r="Z16" s="102" t="str">
        <f>VLOOKUP(L16,设备合同!$L$6:$CC$302,15,0)</f>
        <v>甲方初步验收合格后，收到乙方60%合同金额的银行保函，对应款项收据以及全额的17%专票后7日内支付60%提货款</v>
      </c>
      <c r="AA16" s="102">
        <f>VLOOKUP(L16,设备合同!$L$6:$CC$302,16,0)</f>
        <v>2472000</v>
      </c>
      <c r="AB16" s="102">
        <f>VLOOKUP(L16,设备合同!$L$6:$CC$302,17,0)</f>
        <v>0</v>
      </c>
      <c r="AC16" s="102">
        <f>VLOOKUP(L16,设备合同!$L$6:$CC$302,18,0)</f>
        <v>0</v>
      </c>
      <c r="AD16" s="102" t="str">
        <f>VLOOKUP(L16,设备合同!$L$6:$CC$302,19,0)</f>
        <v>安装调试验收合格后支付10%验收款</v>
      </c>
      <c r="AE16" s="102">
        <f>VLOOKUP(L16,设备合同!$L$6:$CC$302,20,0)</f>
        <v>412000</v>
      </c>
      <c r="AF16" s="102">
        <f>VLOOKUP(L16,设备合同!$L$6:$CC$302,21,0)</f>
        <v>0</v>
      </c>
      <c r="AG16" s="102">
        <f>VLOOKUP(L16,设备合同!$L$6:$CC$302,22,0)</f>
        <v>0</v>
      </c>
      <c r="AH16" s="102" t="str">
        <f>VLOOKUP(L16,设备合同!$L$6:$CC$302,23,0)</f>
        <v>质量保质期满后支付10%的质量保证金</v>
      </c>
      <c r="AI16" s="102">
        <f>VLOOKUP(L16,设备合同!$L$6:$CC$302,24,0)</f>
        <v>412000</v>
      </c>
      <c r="AJ16" s="102">
        <f>VLOOKUP(L16,设备合同!$L$6:$CC$302,25,0)</f>
        <v>0</v>
      </c>
      <c r="AK16" s="102">
        <f>VLOOKUP(L16,设备合同!$L$6:$CC$302,26,0)</f>
        <v>0</v>
      </c>
      <c r="AL16" s="102">
        <f>VLOOKUP(L16,设备合同!$L$6:$CC$302,27,0)</f>
        <v>0</v>
      </c>
      <c r="AM16" s="102">
        <f>VLOOKUP(L16,设备合同!$L$6:$CC$302,28,0)</f>
        <v>0</v>
      </c>
      <c r="AN16" s="102">
        <f>VLOOKUP(L16,设备合同!$L$6:$CC$302,29,0)</f>
        <v>0</v>
      </c>
      <c r="AO16" s="102">
        <f>VLOOKUP(L16,设备合同!$L$6:$CC$302,30,0)</f>
        <v>0</v>
      </c>
      <c r="AP16" s="102">
        <f>VLOOKUP(L16,设备合同!$L$6:$CC$302,31,0)</f>
        <v>0</v>
      </c>
      <c r="AQ16" s="102">
        <f>VLOOKUP(L16,设备合同!$L$6:$CC$302,32,0)</f>
        <v>0</v>
      </c>
      <c r="AR16" s="102">
        <f>VLOOKUP(L16,设备合同!$L$6:$CC$302,33,0)</f>
        <v>0</v>
      </c>
      <c r="AS16" s="102">
        <f>VLOOKUP(L16,设备合同!$L$6:$CC$302,34,0)</f>
        <v>0</v>
      </c>
      <c r="AT16" s="102">
        <f>VLOOKUP(L16,设备合同!$L$6:$CC$302,35,0)</f>
        <v>0</v>
      </c>
      <c r="AU16" s="102">
        <f>VLOOKUP(L16,设备合同!$L$6:$CC$302,36,0)</f>
        <v>0</v>
      </c>
      <c r="AV16" s="102">
        <f>VLOOKUP(L16,设备合同!$L$6:$CC$302,37,0)</f>
        <v>0</v>
      </c>
      <c r="AW16" s="102">
        <f>VLOOKUP(L16,设备合同!$L$6:$CC$302,38,0)</f>
        <v>0</v>
      </c>
      <c r="AX16" s="102">
        <f>VLOOKUP(L16,设备合同!$L$6:$CC$302,39,0)</f>
        <v>0</v>
      </c>
      <c r="AY16" s="102">
        <f>VLOOKUP(L16,设备合同!$L$6:$CC$302,40,0)</f>
        <v>0</v>
      </c>
      <c r="AZ16" s="102">
        <f>VLOOKUP(L16,设备合同!$L$6:$CC$302,41,0)</f>
        <v>0</v>
      </c>
      <c r="BA16" s="102">
        <f>VLOOKUP(L16,设备合同!$L$6:$CC$302,42,0)</f>
        <v>0</v>
      </c>
      <c r="BB16" s="102">
        <f>VLOOKUP(L16,设备合同!$L$6:$CC$302,43,0)</f>
        <v>0</v>
      </c>
      <c r="BC16" s="102">
        <f>VLOOKUP(L16,设备合同!$L$6:$CC$302,44,0)</f>
        <v>0</v>
      </c>
      <c r="BD16" s="102">
        <f>VLOOKUP(L16,设备合同!$L$6:$CC$302,45,0)</f>
        <v>0</v>
      </c>
      <c r="BE16" s="102">
        <f>VLOOKUP(L16,设备合同!$L$6:$CC$302,46,0)</f>
        <v>0</v>
      </c>
      <c r="BF16" s="102">
        <f>VLOOKUP(L16,设备合同!$L$6:$CC$302,47,0)</f>
        <v>0</v>
      </c>
      <c r="BG16" s="102">
        <f>VLOOKUP(L16,设备合同!$L$6:$CC$302,48,0)</f>
        <v>0</v>
      </c>
      <c r="BH16" s="102">
        <f>VLOOKUP(L16,设备合同!$L$6:$CC$302,49,0)</f>
        <v>0</v>
      </c>
      <c r="BI16" s="102">
        <f>VLOOKUP(L16,设备合同!$L$6:$CC$302,50,0)</f>
        <v>0</v>
      </c>
      <c r="BJ16" s="102">
        <f>VLOOKUP(L16,设备合同!$L$6:$CC$302,51,0)</f>
        <v>0</v>
      </c>
      <c r="BK16" s="102">
        <f>VLOOKUP(L16,设备合同!$L$6:$CC$302,52,0)</f>
        <v>0</v>
      </c>
      <c r="BL16" s="102">
        <f>VLOOKUP(L16,设备合同!$L$6:$CC$302,53,0)</f>
        <v>0</v>
      </c>
      <c r="BM16" s="102">
        <f>VLOOKUP(L16,设备合同!$L$6:$CC$302,54,0)</f>
        <v>0</v>
      </c>
      <c r="BN16" s="102">
        <f>VLOOKUP(L16,设备合同!$L$6:$CC$302,55,0)</f>
        <v>0</v>
      </c>
      <c r="BO16" s="102">
        <f>VLOOKUP(L16,设备合同!$L$6:$CC$302,56,0)</f>
        <v>0</v>
      </c>
      <c r="BP16" s="102">
        <f>VLOOKUP(L16,设备合同!$L$6:$CC$302,57,0)</f>
        <v>0</v>
      </c>
      <c r="BQ16" s="102">
        <f>VLOOKUP(L16,设备合同!$L$6:$CC$302,58,0)</f>
        <v>0</v>
      </c>
      <c r="BR16" s="102">
        <f>VLOOKUP(L16,设备合同!$L$6:$CC$302,59,0)</f>
        <v>0</v>
      </c>
      <c r="BS16" s="102">
        <f>VLOOKUP(L16,设备合同!$L$6:$CC$302,60,0)</f>
        <v>0</v>
      </c>
      <c r="BT16" s="102">
        <f>VLOOKUP(L16,设备合同!$L$6:$CC$302,61,0)</f>
        <v>0</v>
      </c>
      <c r="BU16" s="102">
        <f>VLOOKUP(L16,设备合同!$L$6:$CC$302,62,0)</f>
        <v>0</v>
      </c>
      <c r="BV16" s="102">
        <f>VLOOKUP(L16,设备合同!$L$6:$CC$302,63,0)</f>
        <v>0</v>
      </c>
      <c r="BW16" s="102">
        <f>VLOOKUP(L16,设备合同!$L$6:$CC$302,64,0)</f>
        <v>0</v>
      </c>
      <c r="BX16" s="102">
        <f>VLOOKUP(L16,设备合同!$L$6:$CC$302,65,0)</f>
        <v>0</v>
      </c>
      <c r="BY16" s="102">
        <f>VLOOKUP(L16,设备合同!$L$6:$CC$302,66,0)</f>
        <v>0</v>
      </c>
      <c r="BZ16" s="102">
        <f>VLOOKUP(L16,设备合同!$L$6:$CC$302,67,0)</f>
        <v>0</v>
      </c>
      <c r="CA16" s="102">
        <f>VLOOKUP(L16,设备合同!$L$6:$CC$302,68,0)</f>
        <v>0</v>
      </c>
      <c r="CB16" s="102">
        <f>VLOOKUP(L16,设备合同!$L$6:$CC$302,69,0)</f>
        <v>0</v>
      </c>
      <c r="CC16" s="102">
        <f>VLOOKUP(L16,设备合同!$L$6:$CC$302,70,0)</f>
        <v>0</v>
      </c>
      <c r="CD16" s="123">
        <f t="shared" si="22"/>
        <v>4120000</v>
      </c>
      <c r="CE16" s="102">
        <f t="shared" si="23"/>
        <v>824000</v>
      </c>
      <c r="CF16" s="102">
        <f t="shared" si="24"/>
        <v>824000</v>
      </c>
      <c r="CG16" s="102">
        <f t="shared" si="25"/>
        <v>0</v>
      </c>
      <c r="CH16" s="124">
        <f t="shared" si="26"/>
        <v>3296000</v>
      </c>
      <c r="CI16" s="125">
        <f t="shared" si="27"/>
        <v>0.2</v>
      </c>
      <c r="CJ16" s="126" t="str">
        <f t="shared" si="28"/>
        <v>数据正确</v>
      </c>
    </row>
    <row r="17" s="60" customFormat="1" customHeight="1" spans="2:88">
      <c r="B17" s="70" t="str">
        <f t="shared" si="18"/>
        <v>-</v>
      </c>
      <c r="C17" s="71" t="str">
        <f t="shared" si="19"/>
        <v>-</v>
      </c>
      <c r="D17" s="181">
        <f t="shared" si="20"/>
        <v>0</v>
      </c>
      <c r="E17" s="181">
        <f>SUMIF(设备合同!$L$6:$L$302,L17,设备合同!$E$6:$E$302)</f>
        <v>0</v>
      </c>
      <c r="F17" s="181">
        <f>SUMIF(设备合同!$L$6:$L$302,L17,设备合同!$F$6:$F$302)</f>
        <v>0</v>
      </c>
      <c r="G17" s="181">
        <f>SUMIF(设备合同!$L$6:$L$302,L17,设备合同!$G$6:$G$302)</f>
        <v>0</v>
      </c>
      <c r="H17" s="181">
        <f>SUMIF(设备合同!$L$6:$L$302,L17,设备合同!$H$6:$H$302)</f>
        <v>0</v>
      </c>
      <c r="I17" s="181">
        <f t="shared" si="21"/>
        <v>0</v>
      </c>
      <c r="J17" s="86" t="s">
        <v>98</v>
      </c>
      <c r="K17" s="87"/>
      <c r="L17" s="88">
        <v>12</v>
      </c>
      <c r="M17" s="89" t="str">
        <f>VLOOKUP(L17,设备合同!$L$6:$CC$302,2,0)</f>
        <v>YRKJEQ-170008</v>
      </c>
      <c r="N17" s="90" t="str">
        <f>VLOOKUP(L17,设备合同!$L$6:$CC$302,3,0)</f>
        <v>设备合同</v>
      </c>
      <c r="O17" s="265" t="str">
        <f>VLOOKUP(L17,设备合同!$L$6:$CC$302,4,0)</f>
        <v>2017010030</v>
      </c>
      <c r="P17" s="266">
        <f>VLOOKUP(L17,设备合同!$L$6:$CC$302,5,0)</f>
        <v>42788</v>
      </c>
      <c r="Q17" s="275">
        <f>VLOOKUP(L17,设备合同!$L$6:$CC$302,6,0)</f>
        <v>500000</v>
      </c>
      <c r="R17" s="89" t="str">
        <f>VLOOKUP(L17,设备合同!$L$6:$CC$302,7,0)</f>
        <v>聚结器2台（第一聚结器、第二聚结器）</v>
      </c>
      <c r="S17" s="89" t="str">
        <f>VLOOKUP(L17,设备合同!$L$6:$CC$302,8,0)</f>
        <v>张家港市常洁机械有限公司</v>
      </c>
      <c r="T17" s="107">
        <f>VLOOKUP(L17,设备合同!$L$6:$CC$302,9,0)</f>
        <v>0</v>
      </c>
      <c r="U17" s="103" t="str">
        <f>VLOOKUP(L17,设备合同!$L$6:$CC$302,10,0)</f>
        <v>6个月承兑汇票</v>
      </c>
      <c r="V17" s="276" t="str">
        <f>VLOOKUP(L17,设备合同!$L$6:$CC$302,11,0)</f>
        <v>收到乙方全额的17%专票，货到交货点后15个工作日支付80%货款</v>
      </c>
      <c r="W17" s="102">
        <f>VLOOKUP(L17,设备合同!$L$6:$CC$302,12,0)</f>
        <v>400000</v>
      </c>
      <c r="X17" s="102">
        <f>VLOOKUP(L17,设备合同!$L$6:$CC$302,13,0)</f>
        <v>0</v>
      </c>
      <c r="Y17" s="102">
        <f>VLOOKUP(L17,设备合同!$L$6:$CC$302,14,0)</f>
        <v>0</v>
      </c>
      <c r="Z17" s="102" t="str">
        <f>VLOOKUP(L17,设备合同!$L$6:$CC$302,15,0)</f>
        <v>验收合格或货到现场6个月后支付10%验收款</v>
      </c>
      <c r="AA17" s="102">
        <f>VLOOKUP(L17,设备合同!$L$6:$CC$302,16,0)</f>
        <v>50000</v>
      </c>
      <c r="AB17" s="102">
        <f>VLOOKUP(L17,设备合同!$L$6:$CC$302,17,0)</f>
        <v>0</v>
      </c>
      <c r="AC17" s="102">
        <f>VLOOKUP(L17,设备合同!$L$6:$CC$302,18,0)</f>
        <v>0</v>
      </c>
      <c r="AD17" s="102" t="str">
        <f>VLOOKUP(L17,设备合同!$L$6:$CC$302,19,0)</f>
        <v>质保期满6个月后支付质保金5%</v>
      </c>
      <c r="AE17" s="102">
        <f>VLOOKUP(L17,设备合同!$L$6:$CC$302,20,0)</f>
        <v>25000</v>
      </c>
      <c r="AF17" s="102">
        <f>VLOOKUP(L17,设备合同!$L$6:$CC$302,21,0)</f>
        <v>0</v>
      </c>
      <c r="AG17" s="102">
        <f>VLOOKUP(L17,设备合同!$L$6:$CC$302,22,0)</f>
        <v>0</v>
      </c>
      <c r="AH17" s="102" t="str">
        <f>VLOOKUP(L17,设备合同!$L$6:$CC$302,23,0)</f>
        <v>质保期满24个月后支付5%</v>
      </c>
      <c r="AI17" s="102">
        <f>VLOOKUP(L17,设备合同!$L$6:$CC$302,24,0)</f>
        <v>25000</v>
      </c>
      <c r="AJ17" s="102">
        <f>VLOOKUP(L17,设备合同!$L$6:$CC$302,25,0)</f>
        <v>0</v>
      </c>
      <c r="AK17" s="102">
        <f>VLOOKUP(L17,设备合同!$L$6:$CC$302,26,0)</f>
        <v>0</v>
      </c>
      <c r="AL17" s="102">
        <f>VLOOKUP(L17,设备合同!$L$6:$CC$302,27,0)</f>
        <v>0</v>
      </c>
      <c r="AM17" s="102">
        <f>VLOOKUP(L17,设备合同!$L$6:$CC$302,28,0)</f>
        <v>0</v>
      </c>
      <c r="AN17" s="102">
        <f>VLOOKUP(L17,设备合同!$L$6:$CC$302,29,0)</f>
        <v>0</v>
      </c>
      <c r="AO17" s="102">
        <f>VLOOKUP(L17,设备合同!$L$6:$CC$302,30,0)</f>
        <v>0</v>
      </c>
      <c r="AP17" s="102">
        <f>VLOOKUP(L17,设备合同!$L$6:$CC$302,31,0)</f>
        <v>0</v>
      </c>
      <c r="AQ17" s="102">
        <f>VLOOKUP(L17,设备合同!$L$6:$CC$302,32,0)</f>
        <v>0</v>
      </c>
      <c r="AR17" s="102">
        <f>VLOOKUP(L17,设备合同!$L$6:$CC$302,33,0)</f>
        <v>0</v>
      </c>
      <c r="AS17" s="102">
        <f>VLOOKUP(L17,设备合同!$L$6:$CC$302,34,0)</f>
        <v>0</v>
      </c>
      <c r="AT17" s="102">
        <f>VLOOKUP(L17,设备合同!$L$6:$CC$302,35,0)</f>
        <v>0</v>
      </c>
      <c r="AU17" s="102">
        <f>VLOOKUP(L17,设备合同!$L$6:$CC$302,36,0)</f>
        <v>0</v>
      </c>
      <c r="AV17" s="102">
        <f>VLOOKUP(L17,设备合同!$L$6:$CC$302,37,0)</f>
        <v>0</v>
      </c>
      <c r="AW17" s="102">
        <f>VLOOKUP(L17,设备合同!$L$6:$CC$302,38,0)</f>
        <v>0</v>
      </c>
      <c r="AX17" s="102">
        <f>VLOOKUP(L17,设备合同!$L$6:$CC$302,39,0)</f>
        <v>0</v>
      </c>
      <c r="AY17" s="102">
        <f>VLOOKUP(L17,设备合同!$L$6:$CC$302,40,0)</f>
        <v>0</v>
      </c>
      <c r="AZ17" s="102">
        <f>VLOOKUP(L17,设备合同!$L$6:$CC$302,41,0)</f>
        <v>0</v>
      </c>
      <c r="BA17" s="102">
        <f>VLOOKUP(L17,设备合同!$L$6:$CC$302,42,0)</f>
        <v>0</v>
      </c>
      <c r="BB17" s="102">
        <f>VLOOKUP(L17,设备合同!$L$6:$CC$302,43,0)</f>
        <v>0</v>
      </c>
      <c r="BC17" s="102">
        <f>VLOOKUP(L17,设备合同!$L$6:$CC$302,44,0)</f>
        <v>0</v>
      </c>
      <c r="BD17" s="102">
        <f>VLOOKUP(L17,设备合同!$L$6:$CC$302,45,0)</f>
        <v>0</v>
      </c>
      <c r="BE17" s="102">
        <f>VLOOKUP(L17,设备合同!$L$6:$CC$302,46,0)</f>
        <v>0</v>
      </c>
      <c r="BF17" s="102">
        <f>VLOOKUP(L17,设备合同!$L$6:$CC$302,47,0)</f>
        <v>0</v>
      </c>
      <c r="BG17" s="102">
        <f>VLOOKUP(L17,设备合同!$L$6:$CC$302,48,0)</f>
        <v>0</v>
      </c>
      <c r="BH17" s="102">
        <f>VLOOKUP(L17,设备合同!$L$6:$CC$302,49,0)</f>
        <v>0</v>
      </c>
      <c r="BI17" s="102">
        <f>VLOOKUP(L17,设备合同!$L$6:$CC$302,50,0)</f>
        <v>0</v>
      </c>
      <c r="BJ17" s="102">
        <f>VLOOKUP(L17,设备合同!$L$6:$CC$302,51,0)</f>
        <v>0</v>
      </c>
      <c r="BK17" s="102">
        <f>VLOOKUP(L17,设备合同!$L$6:$CC$302,52,0)</f>
        <v>0</v>
      </c>
      <c r="BL17" s="102">
        <f>VLOOKUP(L17,设备合同!$L$6:$CC$302,53,0)</f>
        <v>0</v>
      </c>
      <c r="BM17" s="102">
        <f>VLOOKUP(L17,设备合同!$L$6:$CC$302,54,0)</f>
        <v>0</v>
      </c>
      <c r="BN17" s="102">
        <f>VLOOKUP(L17,设备合同!$L$6:$CC$302,55,0)</f>
        <v>0</v>
      </c>
      <c r="BO17" s="102">
        <f>VLOOKUP(L17,设备合同!$L$6:$CC$302,56,0)</f>
        <v>0</v>
      </c>
      <c r="BP17" s="102">
        <f>VLOOKUP(L17,设备合同!$L$6:$CC$302,57,0)</f>
        <v>0</v>
      </c>
      <c r="BQ17" s="102">
        <f>VLOOKUP(L17,设备合同!$L$6:$CC$302,58,0)</f>
        <v>0</v>
      </c>
      <c r="BR17" s="102">
        <f>VLOOKUP(L17,设备合同!$L$6:$CC$302,59,0)</f>
        <v>0</v>
      </c>
      <c r="BS17" s="102">
        <f>VLOOKUP(L17,设备合同!$L$6:$CC$302,60,0)</f>
        <v>0</v>
      </c>
      <c r="BT17" s="102">
        <f>VLOOKUP(L17,设备合同!$L$6:$CC$302,61,0)</f>
        <v>0</v>
      </c>
      <c r="BU17" s="102">
        <f>VLOOKUP(L17,设备合同!$L$6:$CC$302,62,0)</f>
        <v>0</v>
      </c>
      <c r="BV17" s="102">
        <f>VLOOKUP(L17,设备合同!$L$6:$CC$302,63,0)</f>
        <v>0</v>
      </c>
      <c r="BW17" s="102">
        <f>VLOOKUP(L17,设备合同!$L$6:$CC$302,64,0)</f>
        <v>0</v>
      </c>
      <c r="BX17" s="102">
        <f>VLOOKUP(L17,设备合同!$L$6:$CC$302,65,0)</f>
        <v>0</v>
      </c>
      <c r="BY17" s="102">
        <f>VLOOKUP(L17,设备合同!$L$6:$CC$302,66,0)</f>
        <v>0</v>
      </c>
      <c r="BZ17" s="102">
        <f>VLOOKUP(L17,设备合同!$L$6:$CC$302,67,0)</f>
        <v>0</v>
      </c>
      <c r="CA17" s="102">
        <f>VLOOKUP(L17,设备合同!$L$6:$CC$302,68,0)</f>
        <v>0</v>
      </c>
      <c r="CB17" s="102">
        <f>VLOOKUP(L17,设备合同!$L$6:$CC$302,69,0)</f>
        <v>0</v>
      </c>
      <c r="CC17" s="102">
        <f>VLOOKUP(L17,设备合同!$L$6:$CC$302,70,0)</f>
        <v>0</v>
      </c>
      <c r="CD17" s="123">
        <f t="shared" si="22"/>
        <v>500000</v>
      </c>
      <c r="CE17" s="102">
        <f t="shared" si="23"/>
        <v>0</v>
      </c>
      <c r="CF17" s="102">
        <f t="shared" si="24"/>
        <v>0</v>
      </c>
      <c r="CG17" s="102">
        <f t="shared" si="25"/>
        <v>0</v>
      </c>
      <c r="CH17" s="124">
        <f t="shared" si="26"/>
        <v>500000</v>
      </c>
      <c r="CI17" s="125">
        <f t="shared" si="27"/>
        <v>0</v>
      </c>
      <c r="CJ17" s="126" t="str">
        <f t="shared" si="28"/>
        <v>数据正确</v>
      </c>
    </row>
    <row r="18" s="60" customFormat="1" customHeight="1" spans="2:88">
      <c r="B18" s="70" t="str">
        <f t="shared" si="18"/>
        <v>-</v>
      </c>
      <c r="C18" s="71" t="str">
        <f t="shared" si="19"/>
        <v>-</v>
      </c>
      <c r="D18" s="181">
        <f t="shared" si="20"/>
        <v>89900</v>
      </c>
      <c r="E18" s="181">
        <f>SUMIF(设备合同!$L$6:$L$302,L18,设备合同!$E$6:$E$302)</f>
        <v>0</v>
      </c>
      <c r="F18" s="181">
        <f>SUMIF(设备合同!$L$6:$L$302,L18,设备合同!$F$6:$F$302)</f>
        <v>0</v>
      </c>
      <c r="G18" s="181">
        <f>SUMIF(设备合同!$L$6:$L$302,L18,设备合同!$G$6:$G$302)</f>
        <v>0</v>
      </c>
      <c r="H18" s="181">
        <f>SUMIF(设备合同!$L$6:$L$302,L18,设备合同!$H$6:$H$302)</f>
        <v>0</v>
      </c>
      <c r="I18" s="181">
        <f t="shared" si="21"/>
        <v>0</v>
      </c>
      <c r="J18" s="86" t="s">
        <v>98</v>
      </c>
      <c r="K18" s="87"/>
      <c r="L18" s="88">
        <v>13</v>
      </c>
      <c r="M18" s="89" t="str">
        <f>VLOOKUP(L18,设备合同!$L$6:$CC$302,2,0)</f>
        <v>YRKJEQ-170009</v>
      </c>
      <c r="N18" s="90" t="str">
        <f>VLOOKUP(L18,设备合同!$L$6:$CC$302,3,0)</f>
        <v>设备合同</v>
      </c>
      <c r="O18" s="265" t="str">
        <f>VLOOKUP(L18,设备合同!$L$6:$CC$302,4,0)</f>
        <v>2016110028</v>
      </c>
      <c r="P18" s="266">
        <f>VLOOKUP(L18,设备合同!$L$6:$CC$302,5,0)</f>
        <v>42800</v>
      </c>
      <c r="Q18" s="275">
        <f>VLOOKUP(L18,设备合同!$L$6:$CC$302,6,0)</f>
        <v>899000</v>
      </c>
      <c r="R18" s="89" t="str">
        <f>VLOOKUP(L18,设备合同!$L$6:$CC$302,7,0)</f>
        <v>水蒸汽喷射真空系统</v>
      </c>
      <c r="S18" s="89" t="str">
        <f>VLOOKUP(L18,设备合同!$L$6:$CC$302,8,0)</f>
        <v>浙江杭真能源科技股份有限公司</v>
      </c>
      <c r="T18" s="107" t="str">
        <f>VLOOKUP(L18,设备合同!$L$6:$CC$302,9,0)</f>
        <v>氨肟化装置3套10.02万元，己内酰胺精装置5套79.88万元</v>
      </c>
      <c r="U18" s="103" t="str">
        <f>VLOOKUP(L18,设备合同!$L$6:$CC$302,10,0)</f>
        <v>6个月承兑汇票</v>
      </c>
      <c r="V18" s="276" t="str">
        <f>VLOOKUP(L18,设备合同!$L$6:$CC$302,11,0)</f>
        <v>乙方开具有效期至2017年9月30日10%的预付款保函和预付款保函，合同总价10%增值税专用发票</v>
      </c>
      <c r="W18" s="102">
        <f>VLOOKUP(L18,设备合同!$L$6:$CC$302,12,0)</f>
        <v>89900</v>
      </c>
      <c r="X18" s="102">
        <f>VLOOKUP(L18,设备合同!$L$6:$CC$302,13,0)</f>
        <v>89900</v>
      </c>
      <c r="Y18" s="102">
        <f>VLOOKUP(L18,设备合同!$L$6:$CC$302,14,0)</f>
        <v>89900</v>
      </c>
      <c r="Z18" s="102" t="str">
        <f>VLOOKUP(L18,设备合同!$L$6:$CC$302,15,0)</f>
        <v>货物到达交货地点后，甲方收到本合同总价的90%的增值税专用发票，以及本合同标的物对应完整资料后15个工作日内，甲方支付70%</v>
      </c>
      <c r="AA18" s="102">
        <f>VLOOKUP(L18,设备合同!$L$6:$CC$302,16,0)</f>
        <v>629300</v>
      </c>
      <c r="AB18" s="102">
        <f>VLOOKUP(L18,设备合同!$L$6:$CC$302,17,0)</f>
        <v>0</v>
      </c>
      <c r="AC18" s="102">
        <f>VLOOKUP(L18,设备合同!$L$6:$CC$302,18,0)</f>
        <v>0</v>
      </c>
      <c r="AD18" s="102" t="str">
        <f>VLOOKUP(L18,设备合同!$L$6:$CC$302,19,0)</f>
        <v>货物到达甲方现场验收合格或货到现场6个月（以两者先到为准）乙方开具有效期为货物到货之日起24个月、本合同总价10%的质量保函后15个工作日，甲方支付20%验收款</v>
      </c>
      <c r="AE18" s="102">
        <f>VLOOKUP(L18,设备合同!$L$6:$CC$302,20,0)</f>
        <v>179800</v>
      </c>
      <c r="AF18" s="102">
        <f>VLOOKUP(L18,设备合同!$L$6:$CC$302,21,0)</f>
        <v>0</v>
      </c>
      <c r="AG18" s="102">
        <f>VLOOKUP(L18,设备合同!$L$6:$CC$302,22,0)</f>
        <v>0</v>
      </c>
      <c r="AH18" s="102">
        <f>VLOOKUP(L18,设备合同!$L$6:$CC$302,23,0)</f>
        <v>0</v>
      </c>
      <c r="AI18" s="102">
        <f>VLOOKUP(L18,设备合同!$L$6:$CC$302,24,0)</f>
        <v>0</v>
      </c>
      <c r="AJ18" s="102">
        <f>VLOOKUP(L18,设备合同!$L$6:$CC$302,25,0)</f>
        <v>0</v>
      </c>
      <c r="AK18" s="102">
        <f>VLOOKUP(L18,设备合同!$L$6:$CC$302,26,0)</f>
        <v>0</v>
      </c>
      <c r="AL18" s="102">
        <f>VLOOKUP(L18,设备合同!$L$6:$CC$302,27,0)</f>
        <v>0</v>
      </c>
      <c r="AM18" s="102">
        <f>VLOOKUP(L18,设备合同!$L$6:$CC$302,28,0)</f>
        <v>0</v>
      </c>
      <c r="AN18" s="102">
        <f>VLOOKUP(L18,设备合同!$L$6:$CC$302,29,0)</f>
        <v>0</v>
      </c>
      <c r="AO18" s="102">
        <f>VLOOKUP(L18,设备合同!$L$6:$CC$302,30,0)</f>
        <v>0</v>
      </c>
      <c r="AP18" s="102">
        <f>VLOOKUP(L18,设备合同!$L$6:$CC$302,31,0)</f>
        <v>0</v>
      </c>
      <c r="AQ18" s="102">
        <f>VLOOKUP(L18,设备合同!$L$6:$CC$302,32,0)</f>
        <v>0</v>
      </c>
      <c r="AR18" s="102">
        <f>VLOOKUP(L18,设备合同!$L$6:$CC$302,33,0)</f>
        <v>0</v>
      </c>
      <c r="AS18" s="102">
        <f>VLOOKUP(L18,设备合同!$L$6:$CC$302,34,0)</f>
        <v>0</v>
      </c>
      <c r="AT18" s="102">
        <f>VLOOKUP(L18,设备合同!$L$6:$CC$302,35,0)</f>
        <v>0</v>
      </c>
      <c r="AU18" s="102">
        <f>VLOOKUP(L18,设备合同!$L$6:$CC$302,36,0)</f>
        <v>0</v>
      </c>
      <c r="AV18" s="102">
        <f>VLOOKUP(L18,设备合同!$L$6:$CC$302,37,0)</f>
        <v>0</v>
      </c>
      <c r="AW18" s="102">
        <f>VLOOKUP(L18,设备合同!$L$6:$CC$302,38,0)</f>
        <v>0</v>
      </c>
      <c r="AX18" s="102">
        <f>VLOOKUP(L18,设备合同!$L$6:$CC$302,39,0)</f>
        <v>0</v>
      </c>
      <c r="AY18" s="102">
        <f>VLOOKUP(L18,设备合同!$L$6:$CC$302,40,0)</f>
        <v>0</v>
      </c>
      <c r="AZ18" s="102">
        <f>VLOOKUP(L18,设备合同!$L$6:$CC$302,41,0)</f>
        <v>0</v>
      </c>
      <c r="BA18" s="102">
        <f>VLOOKUP(L18,设备合同!$L$6:$CC$302,42,0)</f>
        <v>0</v>
      </c>
      <c r="BB18" s="102">
        <f>VLOOKUP(L18,设备合同!$L$6:$CC$302,43,0)</f>
        <v>0</v>
      </c>
      <c r="BC18" s="102">
        <f>VLOOKUP(L18,设备合同!$L$6:$CC$302,44,0)</f>
        <v>0</v>
      </c>
      <c r="BD18" s="102">
        <f>VLOOKUP(L18,设备合同!$L$6:$CC$302,45,0)</f>
        <v>0</v>
      </c>
      <c r="BE18" s="102">
        <f>VLOOKUP(L18,设备合同!$L$6:$CC$302,46,0)</f>
        <v>0</v>
      </c>
      <c r="BF18" s="102">
        <f>VLOOKUP(L18,设备合同!$L$6:$CC$302,47,0)</f>
        <v>0</v>
      </c>
      <c r="BG18" s="102">
        <f>VLOOKUP(L18,设备合同!$L$6:$CC$302,48,0)</f>
        <v>0</v>
      </c>
      <c r="BH18" s="102">
        <f>VLOOKUP(L18,设备合同!$L$6:$CC$302,49,0)</f>
        <v>0</v>
      </c>
      <c r="BI18" s="102">
        <f>VLOOKUP(L18,设备合同!$L$6:$CC$302,50,0)</f>
        <v>0</v>
      </c>
      <c r="BJ18" s="102">
        <f>VLOOKUP(L18,设备合同!$L$6:$CC$302,51,0)</f>
        <v>0</v>
      </c>
      <c r="BK18" s="102">
        <f>VLOOKUP(L18,设备合同!$L$6:$CC$302,52,0)</f>
        <v>0</v>
      </c>
      <c r="BL18" s="102">
        <f>VLOOKUP(L18,设备合同!$L$6:$CC$302,53,0)</f>
        <v>0</v>
      </c>
      <c r="BM18" s="102">
        <f>VLOOKUP(L18,设备合同!$L$6:$CC$302,54,0)</f>
        <v>0</v>
      </c>
      <c r="BN18" s="102">
        <f>VLOOKUP(L18,设备合同!$L$6:$CC$302,55,0)</f>
        <v>0</v>
      </c>
      <c r="BO18" s="102">
        <f>VLOOKUP(L18,设备合同!$L$6:$CC$302,56,0)</f>
        <v>0</v>
      </c>
      <c r="BP18" s="102">
        <f>VLOOKUP(L18,设备合同!$L$6:$CC$302,57,0)</f>
        <v>0</v>
      </c>
      <c r="BQ18" s="102">
        <f>VLOOKUP(L18,设备合同!$L$6:$CC$302,58,0)</f>
        <v>0</v>
      </c>
      <c r="BR18" s="102">
        <f>VLOOKUP(L18,设备合同!$L$6:$CC$302,59,0)</f>
        <v>0</v>
      </c>
      <c r="BS18" s="102">
        <f>VLOOKUP(L18,设备合同!$L$6:$CC$302,60,0)</f>
        <v>0</v>
      </c>
      <c r="BT18" s="102">
        <f>VLOOKUP(L18,设备合同!$L$6:$CC$302,61,0)</f>
        <v>0</v>
      </c>
      <c r="BU18" s="102">
        <f>VLOOKUP(L18,设备合同!$L$6:$CC$302,62,0)</f>
        <v>0</v>
      </c>
      <c r="BV18" s="102">
        <f>VLOOKUP(L18,设备合同!$L$6:$CC$302,63,0)</f>
        <v>0</v>
      </c>
      <c r="BW18" s="102">
        <f>VLOOKUP(L18,设备合同!$L$6:$CC$302,64,0)</f>
        <v>0</v>
      </c>
      <c r="BX18" s="102">
        <f>VLOOKUP(L18,设备合同!$L$6:$CC$302,65,0)</f>
        <v>0</v>
      </c>
      <c r="BY18" s="102">
        <f>VLOOKUP(L18,设备合同!$L$6:$CC$302,66,0)</f>
        <v>0</v>
      </c>
      <c r="BZ18" s="102">
        <f>VLOOKUP(L18,设备合同!$L$6:$CC$302,67,0)</f>
        <v>0</v>
      </c>
      <c r="CA18" s="102">
        <f>VLOOKUP(L18,设备合同!$L$6:$CC$302,68,0)</f>
        <v>0</v>
      </c>
      <c r="CB18" s="102">
        <f>VLOOKUP(L18,设备合同!$L$6:$CC$302,69,0)</f>
        <v>0</v>
      </c>
      <c r="CC18" s="102">
        <f>VLOOKUP(L18,设备合同!$L$6:$CC$302,70,0)</f>
        <v>0</v>
      </c>
      <c r="CD18" s="123">
        <f t="shared" si="22"/>
        <v>899000</v>
      </c>
      <c r="CE18" s="102">
        <f t="shared" si="23"/>
        <v>89900</v>
      </c>
      <c r="CF18" s="102">
        <f t="shared" si="24"/>
        <v>89900</v>
      </c>
      <c r="CG18" s="102">
        <f t="shared" si="25"/>
        <v>0</v>
      </c>
      <c r="CH18" s="124">
        <f t="shared" si="26"/>
        <v>809100</v>
      </c>
      <c r="CI18" s="125">
        <f t="shared" si="27"/>
        <v>0.1</v>
      </c>
      <c r="CJ18" s="126" t="str">
        <f t="shared" si="28"/>
        <v>数据正确</v>
      </c>
    </row>
    <row r="19" s="60" customFormat="1" customHeight="1" spans="2:88">
      <c r="B19" s="70" t="str">
        <f t="shared" si="18"/>
        <v>-</v>
      </c>
      <c r="C19" s="71" t="str">
        <f t="shared" si="19"/>
        <v>-</v>
      </c>
      <c r="D19" s="181">
        <f t="shared" si="20"/>
        <v>390000</v>
      </c>
      <c r="E19" s="181">
        <f>SUMIF(设备合同!$L$6:$L$302,L19,设备合同!$E$6:$E$302)</f>
        <v>0</v>
      </c>
      <c r="F19" s="181">
        <f>SUMIF(设备合同!$L$6:$L$302,L19,设备合同!$F$6:$F$302)</f>
        <v>0</v>
      </c>
      <c r="G19" s="181">
        <f>SUMIF(设备合同!$L$6:$L$302,L19,设备合同!$G$6:$G$302)</f>
        <v>0</v>
      </c>
      <c r="H19" s="181">
        <f>SUMIF(设备合同!$L$6:$L$302,L19,设备合同!$H$6:$H$302)</f>
        <v>0</v>
      </c>
      <c r="I19" s="181">
        <f t="shared" si="21"/>
        <v>0</v>
      </c>
      <c r="J19" s="86" t="s">
        <v>98</v>
      </c>
      <c r="K19" s="87"/>
      <c r="L19" s="88">
        <v>14</v>
      </c>
      <c r="M19" s="89" t="str">
        <f>VLOOKUP(L19,设备合同!$L$6:$CC$302,2,0)</f>
        <v>YRKJEQ-170010</v>
      </c>
      <c r="N19" s="90" t="str">
        <f>VLOOKUP(L19,设备合同!$L$6:$CC$302,3,0)</f>
        <v>设备合同</v>
      </c>
      <c r="O19" s="265">
        <f>VLOOKUP(L19,设备合同!$L$6:$CC$302,4,0)</f>
        <v>2017020054</v>
      </c>
      <c r="P19" s="266">
        <f>VLOOKUP(L19,设备合同!$L$6:$CC$302,5,0)</f>
        <v>42807</v>
      </c>
      <c r="Q19" s="275">
        <f>VLOOKUP(L19,设备合同!$L$6:$CC$302,6,0)</f>
        <v>1950000</v>
      </c>
      <c r="R19" s="89" t="str">
        <f>VLOOKUP(L19,设备合同!$L$6:$CC$302,7,0)</f>
        <v>氨肟化装置塔内件</v>
      </c>
      <c r="S19" s="89" t="str">
        <f>VLOOKUP(L19,设备合同!$L$6:$CC$302,8,0)</f>
        <v>岳阳恒忠机械工程技术有限公司</v>
      </c>
      <c r="T19" s="107" t="str">
        <f>VLOOKUP(L19,设备合同!$L$6:$CC$302,9,0)</f>
        <v>氨肟化装置195万元</v>
      </c>
      <c r="U19" s="103" t="str">
        <f>VLOOKUP(L19,设备合同!$L$6:$CC$302,10,0)</f>
        <v>6个月承兑汇票</v>
      </c>
      <c r="V19" s="276" t="str">
        <f>VLOOKUP(L19,设备合同!$L$6:$CC$302,11,0)</f>
        <v>甲方收到乙方开具有效期为到货后30天内合同金额的20%预付款保函，合同20%的17%专票后的15个工作日支付20%预付款</v>
      </c>
      <c r="W19" s="102">
        <f>VLOOKUP(L19,设备合同!$L$6:$CC$302,12,0)</f>
        <v>390000</v>
      </c>
      <c r="X19" s="102">
        <f>VLOOKUP(L19,设备合同!$L$6:$CC$302,13,0)</f>
        <v>390000</v>
      </c>
      <c r="Y19" s="102">
        <f>VLOOKUP(L19,设备合同!$L$6:$CC$302,14,0)</f>
        <v>390000</v>
      </c>
      <c r="Z19" s="102" t="str">
        <f>VLOOKUP(L19,设备合同!$L$6:$CC$302,15,0)</f>
        <v>甲方确认满足发货条件，收到合同金额30%的17%专票后15个工作日，支付30%发货款</v>
      </c>
      <c r="AA19" s="102">
        <f>VLOOKUP(L19,设备合同!$L$6:$CC$302,16,0)</f>
        <v>585000</v>
      </c>
      <c r="AB19" s="102">
        <f>VLOOKUP(L19,设备合同!$L$6:$CC$302,17,0)</f>
        <v>0</v>
      </c>
      <c r="AC19" s="102">
        <f>VLOOKUP(L19,设备合同!$L$6:$CC$302,18,0)</f>
        <v>0</v>
      </c>
      <c r="AD19" s="102" t="str">
        <f>VLOOKUP(L19,设备合同!$L$6:$CC$302,19,0)</f>
        <v>货物到达甲方验收合格，收到合同金额的50%专票后15个工作日支付20%到货款</v>
      </c>
      <c r="AE19" s="102">
        <f>VLOOKUP(L19,设备合同!$L$6:$CC$302,20,0)</f>
        <v>390000</v>
      </c>
      <c r="AF19" s="102">
        <f>VLOOKUP(L19,设备合同!$L$6:$CC$302,21,0)</f>
        <v>0</v>
      </c>
      <c r="AG19" s="102">
        <f>VLOOKUP(L19,设备合同!$L$6:$CC$302,22,0)</f>
        <v>0</v>
      </c>
      <c r="AH19" s="102" t="str">
        <f>VLOOKUP(L19,设备合同!$L$6:$CC$302,23,0)</f>
        <v>三个月内验收或到货后6个月，支付20%验收合格款</v>
      </c>
      <c r="AI19" s="102">
        <f>VLOOKUP(L19,设备合同!$L$6:$CC$302,24,0)</f>
        <v>390000</v>
      </c>
      <c r="AJ19" s="102">
        <f>VLOOKUP(L19,设备合同!$L$6:$CC$302,25,0)</f>
        <v>0</v>
      </c>
      <c r="AK19" s="102">
        <f>VLOOKUP(L19,设备合同!$L$6:$CC$302,26,0)</f>
        <v>0</v>
      </c>
      <c r="AL19" s="102" t="str">
        <f>VLOOKUP(L19,设备合同!$L$6:$CC$302,27,0)</f>
        <v>质保期24个月后15个工作日支付10%</v>
      </c>
      <c r="AM19" s="102">
        <f>VLOOKUP(L19,设备合同!$L$6:$CC$302,28,0)</f>
        <v>195000</v>
      </c>
      <c r="AN19" s="102">
        <f>VLOOKUP(L19,设备合同!$L$6:$CC$302,29,0)</f>
        <v>0</v>
      </c>
      <c r="AO19" s="102">
        <f>VLOOKUP(L19,设备合同!$L$6:$CC$302,30,0)</f>
        <v>0</v>
      </c>
      <c r="AP19" s="102">
        <f>VLOOKUP(L19,设备合同!$L$6:$CC$302,31,0)</f>
        <v>0</v>
      </c>
      <c r="AQ19" s="102">
        <f>VLOOKUP(L19,设备合同!$L$6:$CC$302,32,0)</f>
        <v>0</v>
      </c>
      <c r="AR19" s="102">
        <f>VLOOKUP(L19,设备合同!$L$6:$CC$302,33,0)</f>
        <v>0</v>
      </c>
      <c r="AS19" s="102">
        <f>VLOOKUP(L19,设备合同!$L$6:$CC$302,34,0)</f>
        <v>0</v>
      </c>
      <c r="AT19" s="102">
        <f>VLOOKUP(L19,设备合同!$L$6:$CC$302,35,0)</f>
        <v>0</v>
      </c>
      <c r="AU19" s="102">
        <f>VLOOKUP(L19,设备合同!$L$6:$CC$302,36,0)</f>
        <v>0</v>
      </c>
      <c r="AV19" s="102">
        <f>VLOOKUP(L19,设备合同!$L$6:$CC$302,37,0)</f>
        <v>0</v>
      </c>
      <c r="AW19" s="102">
        <f>VLOOKUP(L19,设备合同!$L$6:$CC$302,38,0)</f>
        <v>0</v>
      </c>
      <c r="AX19" s="102">
        <f>VLOOKUP(L19,设备合同!$L$6:$CC$302,39,0)</f>
        <v>0</v>
      </c>
      <c r="AY19" s="102">
        <f>VLOOKUP(L19,设备合同!$L$6:$CC$302,40,0)</f>
        <v>0</v>
      </c>
      <c r="AZ19" s="102">
        <f>VLOOKUP(L19,设备合同!$L$6:$CC$302,41,0)</f>
        <v>0</v>
      </c>
      <c r="BA19" s="102">
        <f>VLOOKUP(L19,设备合同!$L$6:$CC$302,42,0)</f>
        <v>0</v>
      </c>
      <c r="BB19" s="102">
        <f>VLOOKUP(L19,设备合同!$L$6:$CC$302,43,0)</f>
        <v>0</v>
      </c>
      <c r="BC19" s="102">
        <f>VLOOKUP(L19,设备合同!$L$6:$CC$302,44,0)</f>
        <v>0</v>
      </c>
      <c r="BD19" s="102">
        <f>VLOOKUP(L19,设备合同!$L$6:$CC$302,45,0)</f>
        <v>0</v>
      </c>
      <c r="BE19" s="102">
        <f>VLOOKUP(L19,设备合同!$L$6:$CC$302,46,0)</f>
        <v>0</v>
      </c>
      <c r="BF19" s="102">
        <f>VLOOKUP(L19,设备合同!$L$6:$CC$302,47,0)</f>
        <v>0</v>
      </c>
      <c r="BG19" s="102">
        <f>VLOOKUP(L19,设备合同!$L$6:$CC$302,48,0)</f>
        <v>0</v>
      </c>
      <c r="BH19" s="102">
        <f>VLOOKUP(L19,设备合同!$L$6:$CC$302,49,0)</f>
        <v>0</v>
      </c>
      <c r="BI19" s="102">
        <f>VLOOKUP(L19,设备合同!$L$6:$CC$302,50,0)</f>
        <v>0</v>
      </c>
      <c r="BJ19" s="102">
        <f>VLOOKUP(L19,设备合同!$L$6:$CC$302,51,0)</f>
        <v>0</v>
      </c>
      <c r="BK19" s="102">
        <f>VLOOKUP(L19,设备合同!$L$6:$CC$302,52,0)</f>
        <v>0</v>
      </c>
      <c r="BL19" s="102">
        <f>VLOOKUP(L19,设备合同!$L$6:$CC$302,53,0)</f>
        <v>0</v>
      </c>
      <c r="BM19" s="102">
        <f>VLOOKUP(L19,设备合同!$L$6:$CC$302,54,0)</f>
        <v>0</v>
      </c>
      <c r="BN19" s="102">
        <f>VLOOKUP(L19,设备合同!$L$6:$CC$302,55,0)</f>
        <v>0</v>
      </c>
      <c r="BO19" s="102">
        <f>VLOOKUP(L19,设备合同!$L$6:$CC$302,56,0)</f>
        <v>0</v>
      </c>
      <c r="BP19" s="102">
        <f>VLOOKUP(L19,设备合同!$L$6:$CC$302,57,0)</f>
        <v>0</v>
      </c>
      <c r="BQ19" s="102">
        <f>VLOOKUP(L19,设备合同!$L$6:$CC$302,58,0)</f>
        <v>0</v>
      </c>
      <c r="BR19" s="102">
        <f>VLOOKUP(L19,设备合同!$L$6:$CC$302,59,0)</f>
        <v>0</v>
      </c>
      <c r="BS19" s="102">
        <f>VLOOKUP(L19,设备合同!$L$6:$CC$302,60,0)</f>
        <v>0</v>
      </c>
      <c r="BT19" s="102">
        <f>VLOOKUP(L19,设备合同!$L$6:$CC$302,61,0)</f>
        <v>0</v>
      </c>
      <c r="BU19" s="102">
        <f>VLOOKUP(L19,设备合同!$L$6:$CC$302,62,0)</f>
        <v>0</v>
      </c>
      <c r="BV19" s="102">
        <f>VLOOKUP(L19,设备合同!$L$6:$CC$302,63,0)</f>
        <v>0</v>
      </c>
      <c r="BW19" s="102">
        <f>VLOOKUP(L19,设备合同!$L$6:$CC$302,64,0)</f>
        <v>0</v>
      </c>
      <c r="BX19" s="102">
        <f>VLOOKUP(L19,设备合同!$L$6:$CC$302,65,0)</f>
        <v>0</v>
      </c>
      <c r="BY19" s="102">
        <f>VLOOKUP(L19,设备合同!$L$6:$CC$302,66,0)</f>
        <v>0</v>
      </c>
      <c r="BZ19" s="102">
        <f>VLOOKUP(L19,设备合同!$L$6:$CC$302,67,0)</f>
        <v>0</v>
      </c>
      <c r="CA19" s="102">
        <f>VLOOKUP(L19,设备合同!$L$6:$CC$302,68,0)</f>
        <v>0</v>
      </c>
      <c r="CB19" s="102">
        <f>VLOOKUP(L19,设备合同!$L$6:$CC$302,69,0)</f>
        <v>0</v>
      </c>
      <c r="CC19" s="102">
        <f>VLOOKUP(L19,设备合同!$L$6:$CC$302,70,0)</f>
        <v>0</v>
      </c>
      <c r="CD19" s="123">
        <f t="shared" si="22"/>
        <v>1950000</v>
      </c>
      <c r="CE19" s="102">
        <f t="shared" si="23"/>
        <v>390000</v>
      </c>
      <c r="CF19" s="102">
        <f t="shared" si="24"/>
        <v>390000</v>
      </c>
      <c r="CG19" s="102">
        <f t="shared" si="25"/>
        <v>0</v>
      </c>
      <c r="CH19" s="124">
        <f t="shared" si="26"/>
        <v>1560000</v>
      </c>
      <c r="CI19" s="125">
        <f t="shared" si="27"/>
        <v>0.2</v>
      </c>
      <c r="CJ19" s="126" t="str">
        <f t="shared" si="28"/>
        <v>数据正确</v>
      </c>
    </row>
    <row r="20" s="60" customFormat="1" customHeight="1" spans="2:88">
      <c r="B20" s="70" t="str">
        <f t="shared" si="18"/>
        <v>-</v>
      </c>
      <c r="C20" s="71" t="str">
        <f t="shared" si="19"/>
        <v>-</v>
      </c>
      <c r="D20" s="181">
        <f t="shared" si="20"/>
        <v>0</v>
      </c>
      <c r="E20" s="181">
        <f>SUMIF(设备合同!$L$6:$L$302,L20,设备合同!$E$6:$E$302)</f>
        <v>0</v>
      </c>
      <c r="F20" s="181">
        <f>SUMIF(设备合同!$L$6:$L$302,L20,设备合同!$F$6:$F$302)</f>
        <v>0</v>
      </c>
      <c r="G20" s="181">
        <f>SUMIF(设备合同!$L$6:$L$302,L20,设备合同!$G$6:$G$302)</f>
        <v>0</v>
      </c>
      <c r="H20" s="181">
        <f>SUMIF(设备合同!$L$6:$L$302,L20,设备合同!$H$6:$H$302)</f>
        <v>0</v>
      </c>
      <c r="I20" s="181">
        <f t="shared" si="21"/>
        <v>0</v>
      </c>
      <c r="J20" s="86" t="s">
        <v>98</v>
      </c>
      <c r="K20" s="87"/>
      <c r="L20" s="88">
        <v>15</v>
      </c>
      <c r="M20" s="89" t="str">
        <f>VLOOKUP(L20,设备合同!$L$6:$CC$302,2,0)</f>
        <v>YRKJEQ-170011</v>
      </c>
      <c r="N20" s="90" t="str">
        <f>VLOOKUP(L20,设备合同!$L$6:$CC$302,3,0)</f>
        <v>设备合同</v>
      </c>
      <c r="O20" s="265">
        <f>VLOOKUP(L20,设备合同!$L$6:$CC$302,4,0)</f>
        <v>2017020026</v>
      </c>
      <c r="P20" s="266">
        <f>VLOOKUP(L20,设备合同!$L$6:$CC$302,5,0)</f>
        <v>42807</v>
      </c>
      <c r="Q20" s="275">
        <f>VLOOKUP(L20,设备合同!$L$6:$CC$302,6,0)</f>
        <v>794000</v>
      </c>
      <c r="R20" s="89" t="str">
        <f>VLOOKUP(L20,设备合同!$L$6:$CC$302,7,0)</f>
        <v>塔装置内件共8套</v>
      </c>
      <c r="S20" s="89" t="str">
        <f>VLOOKUP(L20,设备合同!$L$6:$CC$302,8,0)</f>
        <v>北洋国家精馏技术工程发展有限公司</v>
      </c>
      <c r="T20" s="107">
        <f>VLOOKUP(L20,设备合同!$L$6:$CC$302,9,0)</f>
        <v>0</v>
      </c>
      <c r="U20" s="103" t="str">
        <f>VLOOKUP(L20,设备合同!$L$6:$CC$302,10,0)</f>
        <v>6个月承兑汇票</v>
      </c>
      <c r="V20" s="276" t="str">
        <f>VLOOKUP(L20,设备合同!$L$6:$CC$302,11,0)</f>
        <v>乙方货物制造完成，甲方人员在乙方工厂清点验货无误，并收到60%的专票（17%）后15个工作日支付60%发货款</v>
      </c>
      <c r="W20" s="102">
        <f>VLOOKUP(L20,设备合同!$L$6:$CC$302,12,0)</f>
        <v>476400</v>
      </c>
      <c r="X20" s="102">
        <f>VLOOKUP(L20,设备合同!$L$6:$CC$302,13,0)</f>
        <v>0</v>
      </c>
      <c r="Y20" s="102">
        <f>VLOOKUP(L20,设备合同!$L$6:$CC$302,14,0)</f>
        <v>0</v>
      </c>
      <c r="Z20" s="102" t="str">
        <f>VLOOKUP(L20,设备合同!$L$6:$CC$302,15,0)</f>
        <v>货物到达甲方指定地点后一个月内验收并收到40%专票（17%）的15个工作日内支付30%货款</v>
      </c>
      <c r="AA20" s="102">
        <f>VLOOKUP(L20,设备合同!$L$6:$CC$302,16,0)</f>
        <v>238200</v>
      </c>
      <c r="AB20" s="102">
        <f>VLOOKUP(L20,设备合同!$L$6:$CC$302,17,0)</f>
        <v>0</v>
      </c>
      <c r="AC20" s="102">
        <f>VLOOKUP(L20,设备合同!$L$6:$CC$302,18,0)</f>
        <v>0</v>
      </c>
      <c r="AD20" s="102" t="str">
        <f>VLOOKUP(L20,设备合同!$L$6:$CC$302,19,0)</f>
        <v>10%总价作质保金，在24个月质保期满后15个工作日内支付</v>
      </c>
      <c r="AE20" s="102">
        <f>VLOOKUP(L20,设备合同!$L$6:$CC$302,20,0)</f>
        <v>79400</v>
      </c>
      <c r="AF20" s="102">
        <f>VLOOKUP(L20,设备合同!$L$6:$CC$302,21,0)</f>
        <v>0</v>
      </c>
      <c r="AG20" s="102">
        <f>VLOOKUP(L20,设备合同!$L$6:$CC$302,22,0)</f>
        <v>0</v>
      </c>
      <c r="AH20" s="102">
        <f>VLOOKUP(L20,设备合同!$L$6:$CC$302,23,0)</f>
        <v>0</v>
      </c>
      <c r="AI20" s="102">
        <f>VLOOKUP(L20,设备合同!$L$6:$CC$302,24,0)</f>
        <v>0</v>
      </c>
      <c r="AJ20" s="102">
        <f>VLOOKUP(L20,设备合同!$L$6:$CC$302,25,0)</f>
        <v>0</v>
      </c>
      <c r="AK20" s="102">
        <f>VLOOKUP(L20,设备合同!$L$6:$CC$302,26,0)</f>
        <v>0</v>
      </c>
      <c r="AL20" s="102">
        <f>VLOOKUP(L20,设备合同!$L$6:$CC$302,27,0)</f>
        <v>0</v>
      </c>
      <c r="AM20" s="102">
        <f>VLOOKUP(L20,设备合同!$L$6:$CC$302,28,0)</f>
        <v>0</v>
      </c>
      <c r="AN20" s="102">
        <f>VLOOKUP(L20,设备合同!$L$6:$CC$302,29,0)</f>
        <v>0</v>
      </c>
      <c r="AO20" s="102">
        <f>VLOOKUP(L20,设备合同!$L$6:$CC$302,30,0)</f>
        <v>0</v>
      </c>
      <c r="AP20" s="102">
        <f>VLOOKUP(L20,设备合同!$L$6:$CC$302,31,0)</f>
        <v>0</v>
      </c>
      <c r="AQ20" s="102">
        <f>VLOOKUP(L20,设备合同!$L$6:$CC$302,32,0)</f>
        <v>0</v>
      </c>
      <c r="AR20" s="102">
        <f>VLOOKUP(L20,设备合同!$L$6:$CC$302,33,0)</f>
        <v>0</v>
      </c>
      <c r="AS20" s="102">
        <f>VLOOKUP(L20,设备合同!$L$6:$CC$302,34,0)</f>
        <v>0</v>
      </c>
      <c r="AT20" s="102">
        <f>VLOOKUP(L20,设备合同!$L$6:$CC$302,35,0)</f>
        <v>0</v>
      </c>
      <c r="AU20" s="102">
        <f>VLOOKUP(L20,设备合同!$L$6:$CC$302,36,0)</f>
        <v>0</v>
      </c>
      <c r="AV20" s="102">
        <f>VLOOKUP(L20,设备合同!$L$6:$CC$302,37,0)</f>
        <v>0</v>
      </c>
      <c r="AW20" s="102">
        <f>VLOOKUP(L20,设备合同!$L$6:$CC$302,38,0)</f>
        <v>0</v>
      </c>
      <c r="AX20" s="102">
        <f>VLOOKUP(L20,设备合同!$L$6:$CC$302,39,0)</f>
        <v>0</v>
      </c>
      <c r="AY20" s="102">
        <f>VLOOKUP(L20,设备合同!$L$6:$CC$302,40,0)</f>
        <v>0</v>
      </c>
      <c r="AZ20" s="102">
        <f>VLOOKUP(L20,设备合同!$L$6:$CC$302,41,0)</f>
        <v>0</v>
      </c>
      <c r="BA20" s="102">
        <f>VLOOKUP(L20,设备合同!$L$6:$CC$302,42,0)</f>
        <v>0</v>
      </c>
      <c r="BB20" s="102">
        <f>VLOOKUP(L20,设备合同!$L$6:$CC$302,43,0)</f>
        <v>0</v>
      </c>
      <c r="BC20" s="102">
        <f>VLOOKUP(L20,设备合同!$L$6:$CC$302,44,0)</f>
        <v>0</v>
      </c>
      <c r="BD20" s="102">
        <f>VLOOKUP(L20,设备合同!$L$6:$CC$302,45,0)</f>
        <v>0</v>
      </c>
      <c r="BE20" s="102">
        <f>VLOOKUP(L20,设备合同!$L$6:$CC$302,46,0)</f>
        <v>0</v>
      </c>
      <c r="BF20" s="102">
        <f>VLOOKUP(L20,设备合同!$L$6:$CC$302,47,0)</f>
        <v>0</v>
      </c>
      <c r="BG20" s="102">
        <f>VLOOKUP(L20,设备合同!$L$6:$CC$302,48,0)</f>
        <v>0</v>
      </c>
      <c r="BH20" s="102">
        <f>VLOOKUP(L20,设备合同!$L$6:$CC$302,49,0)</f>
        <v>0</v>
      </c>
      <c r="BI20" s="102">
        <f>VLOOKUP(L20,设备合同!$L$6:$CC$302,50,0)</f>
        <v>0</v>
      </c>
      <c r="BJ20" s="102">
        <f>VLOOKUP(L20,设备合同!$L$6:$CC$302,51,0)</f>
        <v>0</v>
      </c>
      <c r="BK20" s="102">
        <f>VLOOKUP(L20,设备合同!$L$6:$CC$302,52,0)</f>
        <v>0</v>
      </c>
      <c r="BL20" s="102">
        <f>VLOOKUP(L20,设备合同!$L$6:$CC$302,53,0)</f>
        <v>0</v>
      </c>
      <c r="BM20" s="102">
        <f>VLOOKUP(L20,设备合同!$L$6:$CC$302,54,0)</f>
        <v>0</v>
      </c>
      <c r="BN20" s="102">
        <f>VLOOKUP(L20,设备合同!$L$6:$CC$302,55,0)</f>
        <v>0</v>
      </c>
      <c r="BO20" s="102">
        <f>VLOOKUP(L20,设备合同!$L$6:$CC$302,56,0)</f>
        <v>0</v>
      </c>
      <c r="BP20" s="102">
        <f>VLOOKUP(L20,设备合同!$L$6:$CC$302,57,0)</f>
        <v>0</v>
      </c>
      <c r="BQ20" s="102">
        <f>VLOOKUP(L20,设备合同!$L$6:$CC$302,58,0)</f>
        <v>0</v>
      </c>
      <c r="BR20" s="102">
        <f>VLOOKUP(L20,设备合同!$L$6:$CC$302,59,0)</f>
        <v>0</v>
      </c>
      <c r="BS20" s="102">
        <f>VLOOKUP(L20,设备合同!$L$6:$CC$302,60,0)</f>
        <v>0</v>
      </c>
      <c r="BT20" s="102">
        <f>VLOOKUP(L20,设备合同!$L$6:$CC$302,61,0)</f>
        <v>0</v>
      </c>
      <c r="BU20" s="102">
        <f>VLOOKUP(L20,设备合同!$L$6:$CC$302,62,0)</f>
        <v>0</v>
      </c>
      <c r="BV20" s="102">
        <f>VLOOKUP(L20,设备合同!$L$6:$CC$302,63,0)</f>
        <v>0</v>
      </c>
      <c r="BW20" s="102">
        <f>VLOOKUP(L20,设备合同!$L$6:$CC$302,64,0)</f>
        <v>0</v>
      </c>
      <c r="BX20" s="102">
        <f>VLOOKUP(L20,设备合同!$L$6:$CC$302,65,0)</f>
        <v>0</v>
      </c>
      <c r="BY20" s="102">
        <f>VLOOKUP(L20,设备合同!$L$6:$CC$302,66,0)</f>
        <v>0</v>
      </c>
      <c r="BZ20" s="102">
        <f>VLOOKUP(L20,设备合同!$L$6:$CC$302,67,0)</f>
        <v>0</v>
      </c>
      <c r="CA20" s="102">
        <f>VLOOKUP(L20,设备合同!$L$6:$CC$302,68,0)</f>
        <v>0</v>
      </c>
      <c r="CB20" s="102">
        <f>VLOOKUP(L20,设备合同!$L$6:$CC$302,69,0)</f>
        <v>0</v>
      </c>
      <c r="CC20" s="102">
        <f>VLOOKUP(L20,设备合同!$L$6:$CC$302,70,0)</f>
        <v>0</v>
      </c>
      <c r="CD20" s="123">
        <f t="shared" si="22"/>
        <v>794000</v>
      </c>
      <c r="CE20" s="102">
        <f t="shared" si="23"/>
        <v>0</v>
      </c>
      <c r="CF20" s="102">
        <f t="shared" si="24"/>
        <v>0</v>
      </c>
      <c r="CG20" s="102">
        <f t="shared" si="25"/>
        <v>0</v>
      </c>
      <c r="CH20" s="124">
        <f t="shared" si="26"/>
        <v>794000</v>
      </c>
      <c r="CI20" s="125">
        <f t="shared" si="27"/>
        <v>0</v>
      </c>
      <c r="CJ20" s="126" t="str">
        <f t="shared" si="28"/>
        <v>数据正确</v>
      </c>
    </row>
    <row r="21" s="60" customFormat="1" customHeight="1" spans="2:88">
      <c r="B21" s="70" t="str">
        <f t="shared" si="18"/>
        <v>-</v>
      </c>
      <c r="C21" s="71" t="str">
        <f t="shared" si="19"/>
        <v>-</v>
      </c>
      <c r="D21" s="181">
        <f t="shared" si="20"/>
        <v>978000</v>
      </c>
      <c r="E21" s="181">
        <f>SUMIF(设备合同!$L$6:$L$302,L21,设备合同!$E$6:$E$302)</f>
        <v>0</v>
      </c>
      <c r="F21" s="181">
        <f>SUMIF(设备合同!$L$6:$L$302,L21,设备合同!$F$6:$F$302)</f>
        <v>0</v>
      </c>
      <c r="G21" s="181">
        <f>SUMIF(设备合同!$L$6:$L$302,L21,设备合同!$G$6:$G$302)</f>
        <v>0</v>
      </c>
      <c r="H21" s="181">
        <f>SUMIF(设备合同!$L$6:$L$302,L21,设备合同!$H$6:$H$302)</f>
        <v>0</v>
      </c>
      <c r="I21" s="181">
        <f t="shared" si="21"/>
        <v>0</v>
      </c>
      <c r="J21" s="86" t="s">
        <v>98</v>
      </c>
      <c r="K21" s="87"/>
      <c r="L21" s="88">
        <v>16</v>
      </c>
      <c r="M21" s="89" t="str">
        <f>VLOOKUP(L21,设备合同!$L$6:$CC$302,2,0)</f>
        <v>YRKJEQ-170012</v>
      </c>
      <c r="N21" s="90" t="str">
        <f>VLOOKUP(L21,设备合同!$L$6:$CC$302,3,0)</f>
        <v>设备合同</v>
      </c>
      <c r="O21" s="265">
        <f>VLOOKUP(L21,设备合同!$L$6:$CC$302,4,0)</f>
        <v>2017020025</v>
      </c>
      <c r="P21" s="266">
        <f>VLOOKUP(L21,设备合同!$L$6:$CC$302,5,0)</f>
        <v>42833</v>
      </c>
      <c r="Q21" s="275">
        <f>VLOOKUP(L21,设备合同!$L$6:$CC$302,6,0)</f>
        <v>4890000</v>
      </c>
      <c r="R21" s="89" t="str">
        <f>VLOOKUP(L21,设备合同!$L$6:$CC$302,7,0)</f>
        <v>化工流程泵共83台</v>
      </c>
      <c r="S21" s="89" t="str">
        <f>VLOOKUP(L21,设备合同!$L$6:$CC$302,8,0)</f>
        <v>江苏双达泵阀集团有限公司</v>
      </c>
      <c r="T21" s="107" t="str">
        <f>VLOOKUP(L21,设备合同!$L$6:$CC$302,9,0)</f>
        <v>氨肟化装置24台共358.922万元，己内酰胺精装置59台共130.078万元</v>
      </c>
      <c r="U21" s="103" t="str">
        <f>VLOOKUP(L21,设备合同!$L$6:$CC$302,10,0)</f>
        <v>6个月承兑汇票，如采用现金转账，扣除付款金额的2%</v>
      </c>
      <c r="V21" s="276" t="str">
        <f>VLOOKUP(L21,设备合同!$L$6:$CC$302,11,0)</f>
        <v>乙方开具有效期为货到后30天内、本合同总价20%预付款保函和本合同20%总价之17%增值税专用发票后15个工作日内，甲方支付20%预付款。</v>
      </c>
      <c r="W21" s="102">
        <f>VLOOKUP(L21,设备合同!$L$6:$CC$302,12,0)</f>
        <v>978000</v>
      </c>
      <c r="X21" s="102">
        <f>VLOOKUP(L21,设备合同!$L$6:$CC$302,13,0)</f>
        <v>978000</v>
      </c>
      <c r="Y21" s="102">
        <f>VLOOKUP(L21,设备合同!$L$6:$CC$302,14,0)</f>
        <v>978000</v>
      </c>
      <c r="Z21" s="102" t="str">
        <f>VLOOKUP(L21,设备合同!$L$6:$CC$302,15,0)</f>
        <v>乙方生产的本合同标的物具备发货条件并通知甲方人员确认满足要求，以及收到本合同30%的17%增值税专用发票，以及本合同标的物对应完整资料后15个工作日，甲方支付30%发货款。</v>
      </c>
      <c r="AA21" s="102">
        <f>VLOOKUP(L21,设备合同!$L$6:$CC$302,16,0)</f>
        <v>1467000</v>
      </c>
      <c r="AB21" s="102">
        <f>VLOOKUP(L21,设备合同!$L$6:$CC$302,17,0)</f>
        <v>0</v>
      </c>
      <c r="AC21" s="102">
        <f>VLOOKUP(L21,设备合同!$L$6:$CC$302,18,0)</f>
        <v>0</v>
      </c>
      <c r="AD21" s="102" t="str">
        <f>VLOOKUP(L21,设备合同!$L$6:$CC$302,19,0)</f>
        <v>货物到达甲方指定地点初验合格且甲方收到乙方提交的本合同50%总价之17%增值税专用发票后，15个工作日内支付20%到货款。</v>
      </c>
      <c r="AE21" s="102">
        <f>VLOOKUP(L21,设备合同!$L$6:$CC$302,20,0)</f>
        <v>978000</v>
      </c>
      <c r="AF21" s="102">
        <f>VLOOKUP(L21,设备合同!$L$6:$CC$302,21,0)</f>
        <v>0</v>
      </c>
      <c r="AG21" s="102">
        <f>VLOOKUP(L21,设备合同!$L$6:$CC$302,22,0)</f>
        <v>0</v>
      </c>
      <c r="AH21" s="102" t="str">
        <f>VLOOKUP(L21,设备合同!$L$6:$CC$302,23,0)</f>
        <v>货物到达甲方现场三个月内验收或货到现场6个月内（以条件先到者为准）甲方在15个工作日内支付20%验收合格款。</v>
      </c>
      <c r="AI21" s="102">
        <f>VLOOKUP(L21,设备合同!$L$6:$CC$302,24,0)</f>
        <v>978000</v>
      </c>
      <c r="AJ21" s="102">
        <f>VLOOKUP(L21,设备合同!$L$6:$CC$302,25,0)</f>
        <v>0</v>
      </c>
      <c r="AK21" s="102">
        <f>VLOOKUP(L21,设备合同!$L$6:$CC$302,26,0)</f>
        <v>0</v>
      </c>
      <c r="AL21" s="102" t="str">
        <f>VLOOKUP(L21,设备合同!$L$6:$CC$302,27,0)</f>
        <v>本合同10%总价留作质保金，验收合格后18个月或货到现场24个月（以条件先到者为准）后15个工作日内支付</v>
      </c>
      <c r="AM21" s="102">
        <f>VLOOKUP(L21,设备合同!$L$6:$CC$302,28,0)</f>
        <v>489000</v>
      </c>
      <c r="AN21" s="102">
        <f>VLOOKUP(L21,设备合同!$L$6:$CC$302,29,0)</f>
        <v>0</v>
      </c>
      <c r="AO21" s="102">
        <f>VLOOKUP(L21,设备合同!$L$6:$CC$302,30,0)</f>
        <v>0</v>
      </c>
      <c r="AP21" s="102">
        <f>VLOOKUP(L21,设备合同!$L$6:$CC$302,31,0)</f>
        <v>0</v>
      </c>
      <c r="AQ21" s="102">
        <f>VLOOKUP(L21,设备合同!$L$6:$CC$302,32,0)</f>
        <v>0</v>
      </c>
      <c r="AR21" s="102">
        <f>VLOOKUP(L21,设备合同!$L$6:$CC$302,33,0)</f>
        <v>0</v>
      </c>
      <c r="AS21" s="102">
        <f>VLOOKUP(L21,设备合同!$L$6:$CC$302,34,0)</f>
        <v>0</v>
      </c>
      <c r="AT21" s="102">
        <f>VLOOKUP(L21,设备合同!$L$6:$CC$302,35,0)</f>
        <v>0</v>
      </c>
      <c r="AU21" s="102">
        <f>VLOOKUP(L21,设备合同!$L$6:$CC$302,36,0)</f>
        <v>0</v>
      </c>
      <c r="AV21" s="102">
        <f>VLOOKUP(L21,设备合同!$L$6:$CC$302,37,0)</f>
        <v>0</v>
      </c>
      <c r="AW21" s="102">
        <f>VLOOKUP(L21,设备合同!$L$6:$CC$302,38,0)</f>
        <v>0</v>
      </c>
      <c r="AX21" s="102">
        <f>VLOOKUP(L21,设备合同!$L$6:$CC$302,39,0)</f>
        <v>0</v>
      </c>
      <c r="AY21" s="102">
        <f>VLOOKUP(L21,设备合同!$L$6:$CC$302,40,0)</f>
        <v>0</v>
      </c>
      <c r="AZ21" s="102">
        <f>VLOOKUP(L21,设备合同!$L$6:$CC$302,41,0)</f>
        <v>0</v>
      </c>
      <c r="BA21" s="102">
        <f>VLOOKUP(L21,设备合同!$L$6:$CC$302,42,0)</f>
        <v>0</v>
      </c>
      <c r="BB21" s="102">
        <f>VLOOKUP(L21,设备合同!$L$6:$CC$302,43,0)</f>
        <v>0</v>
      </c>
      <c r="BC21" s="102">
        <f>VLOOKUP(L21,设备合同!$L$6:$CC$302,44,0)</f>
        <v>0</v>
      </c>
      <c r="BD21" s="102">
        <f>VLOOKUP(L21,设备合同!$L$6:$CC$302,45,0)</f>
        <v>0</v>
      </c>
      <c r="BE21" s="102">
        <f>VLOOKUP(L21,设备合同!$L$6:$CC$302,46,0)</f>
        <v>0</v>
      </c>
      <c r="BF21" s="102">
        <f>VLOOKUP(L21,设备合同!$L$6:$CC$302,47,0)</f>
        <v>0</v>
      </c>
      <c r="BG21" s="102">
        <f>VLOOKUP(L21,设备合同!$L$6:$CC$302,48,0)</f>
        <v>0</v>
      </c>
      <c r="BH21" s="102">
        <f>VLOOKUP(L21,设备合同!$L$6:$CC$302,49,0)</f>
        <v>0</v>
      </c>
      <c r="BI21" s="102">
        <f>VLOOKUP(L21,设备合同!$L$6:$CC$302,50,0)</f>
        <v>0</v>
      </c>
      <c r="BJ21" s="102">
        <f>VLOOKUP(L21,设备合同!$L$6:$CC$302,51,0)</f>
        <v>0</v>
      </c>
      <c r="BK21" s="102">
        <f>VLOOKUP(L21,设备合同!$L$6:$CC$302,52,0)</f>
        <v>0</v>
      </c>
      <c r="BL21" s="102">
        <f>VLOOKUP(L21,设备合同!$L$6:$CC$302,53,0)</f>
        <v>0</v>
      </c>
      <c r="BM21" s="102">
        <f>VLOOKUP(L21,设备合同!$L$6:$CC$302,54,0)</f>
        <v>0</v>
      </c>
      <c r="BN21" s="102">
        <f>VLOOKUP(L21,设备合同!$L$6:$CC$302,55,0)</f>
        <v>0</v>
      </c>
      <c r="BO21" s="102">
        <f>VLOOKUP(L21,设备合同!$L$6:$CC$302,56,0)</f>
        <v>0</v>
      </c>
      <c r="BP21" s="102">
        <f>VLOOKUP(L21,设备合同!$L$6:$CC$302,57,0)</f>
        <v>0</v>
      </c>
      <c r="BQ21" s="102">
        <f>VLOOKUP(L21,设备合同!$L$6:$CC$302,58,0)</f>
        <v>0</v>
      </c>
      <c r="BR21" s="102">
        <f>VLOOKUP(L21,设备合同!$L$6:$CC$302,59,0)</f>
        <v>0</v>
      </c>
      <c r="BS21" s="102">
        <f>VLOOKUP(L21,设备合同!$L$6:$CC$302,60,0)</f>
        <v>0</v>
      </c>
      <c r="BT21" s="102">
        <f>VLOOKUP(L21,设备合同!$L$6:$CC$302,61,0)</f>
        <v>0</v>
      </c>
      <c r="BU21" s="102">
        <f>VLOOKUP(L21,设备合同!$L$6:$CC$302,62,0)</f>
        <v>0</v>
      </c>
      <c r="BV21" s="102">
        <f>VLOOKUP(L21,设备合同!$L$6:$CC$302,63,0)</f>
        <v>0</v>
      </c>
      <c r="BW21" s="102">
        <f>VLOOKUP(L21,设备合同!$L$6:$CC$302,64,0)</f>
        <v>0</v>
      </c>
      <c r="BX21" s="102">
        <f>VLOOKUP(L21,设备合同!$L$6:$CC$302,65,0)</f>
        <v>0</v>
      </c>
      <c r="BY21" s="102">
        <f>VLOOKUP(L21,设备合同!$L$6:$CC$302,66,0)</f>
        <v>0</v>
      </c>
      <c r="BZ21" s="102">
        <f>VLOOKUP(L21,设备合同!$L$6:$CC$302,67,0)</f>
        <v>0</v>
      </c>
      <c r="CA21" s="102">
        <f>VLOOKUP(L21,设备合同!$L$6:$CC$302,68,0)</f>
        <v>0</v>
      </c>
      <c r="CB21" s="102">
        <f>VLOOKUP(L21,设备合同!$L$6:$CC$302,69,0)</f>
        <v>0</v>
      </c>
      <c r="CC21" s="102">
        <f>VLOOKUP(L21,设备合同!$L$6:$CC$302,70,0)</f>
        <v>0</v>
      </c>
      <c r="CD21" s="123">
        <f t="shared" si="22"/>
        <v>4890000</v>
      </c>
      <c r="CE21" s="102">
        <f t="shared" si="23"/>
        <v>978000</v>
      </c>
      <c r="CF21" s="102">
        <f t="shared" si="24"/>
        <v>978000</v>
      </c>
      <c r="CG21" s="102">
        <f t="shared" si="25"/>
        <v>0</v>
      </c>
      <c r="CH21" s="124">
        <f t="shared" si="26"/>
        <v>3912000</v>
      </c>
      <c r="CI21" s="125">
        <f t="shared" si="27"/>
        <v>0.2</v>
      </c>
      <c r="CJ21" s="126" t="str">
        <f t="shared" si="28"/>
        <v>数据正确</v>
      </c>
    </row>
    <row r="22" s="60" customFormat="1" customHeight="1" spans="2:88">
      <c r="B22" s="70" t="str">
        <f t="shared" si="18"/>
        <v>-</v>
      </c>
      <c r="C22" s="71" t="str">
        <f t="shared" si="19"/>
        <v>-</v>
      </c>
      <c r="D22" s="181">
        <f t="shared" si="20"/>
        <v>0</v>
      </c>
      <c r="E22" s="181">
        <f>SUMIF(设备合同!$L$6:$L$302,L22,设备合同!$E$6:$E$302)</f>
        <v>0</v>
      </c>
      <c r="F22" s="181">
        <f>SUMIF(设备合同!$L$6:$L$302,L22,设备合同!$F$6:$F$302)</f>
        <v>0</v>
      </c>
      <c r="G22" s="181">
        <f>SUMIF(设备合同!$L$6:$L$302,L22,设备合同!$G$6:$G$302)</f>
        <v>0</v>
      </c>
      <c r="H22" s="181">
        <f>SUMIF(设备合同!$L$6:$L$302,L22,设备合同!$H$6:$H$302)</f>
        <v>0</v>
      </c>
      <c r="I22" s="181">
        <f t="shared" si="21"/>
        <v>0</v>
      </c>
      <c r="J22" s="86" t="s">
        <v>98</v>
      </c>
      <c r="K22" s="87"/>
      <c r="L22" s="88">
        <v>17</v>
      </c>
      <c r="M22" s="89" t="str">
        <f>VLOOKUP(L22,设备合同!$L$6:$CC$302,2,0)</f>
        <v>YRKJEQ-170013</v>
      </c>
      <c r="N22" s="90" t="str">
        <f>VLOOKUP(L22,设备合同!$L$6:$CC$302,3,0)</f>
        <v>设备合同</v>
      </c>
      <c r="O22" s="265">
        <f>VLOOKUP(L22,设备合同!$L$6:$CC$302,4,0)</f>
        <v>2017020016</v>
      </c>
      <c r="P22" s="266">
        <f>VLOOKUP(L22,设备合同!$L$6:$CC$302,5,0)</f>
        <v>42830</v>
      </c>
      <c r="Q22" s="275">
        <f>VLOOKUP(L22,设备合同!$L$6:$CC$302,6,0)</f>
        <v>5000000</v>
      </c>
      <c r="R22" s="89" t="str">
        <f>VLOOKUP(L22,设备合同!$L$6:$CC$302,7,0)</f>
        <v>己萃塔1台</v>
      </c>
      <c r="S22" s="89" t="str">
        <f>VLOOKUP(L22,设备合同!$L$6:$CC$302,8,0)</f>
        <v>长沙博能科技发展有限公司</v>
      </c>
      <c r="T22" s="107" t="str">
        <f>VLOOKUP(L22,设备合同!$L$6:$CC$302,9,0)</f>
        <v>己内酰胺精制装置500万元</v>
      </c>
      <c r="U22" s="103" t="str">
        <f>VLOOKUP(L22,设备合同!$L$6:$CC$302,10,0)</f>
        <v>电汇</v>
      </c>
      <c r="V22" s="276" t="str">
        <f>VLOOKUP(L22,设备合同!$L$6:$CC$302,11,0)</f>
        <v>乙方开具有效期为货到后30天内（2017年11月30日）、本合同总价20%预付款保函和本合同20%总价之乙方财务收据后5个工作日内，甲方支付20%预付款</v>
      </c>
      <c r="W22" s="102">
        <f>VLOOKUP(L22,设备合同!$L$6:$CC$302,12,0)</f>
        <v>1000000</v>
      </c>
      <c r="X22" s="102">
        <f>VLOOKUP(L22,设备合同!$L$6:$CC$302,13,0)</f>
        <v>0</v>
      </c>
      <c r="Y22" s="102">
        <f>VLOOKUP(L22,设备合同!$L$6:$CC$302,14,0)</f>
        <v>0</v>
      </c>
      <c r="Z22" s="102" t="str">
        <f>VLOOKUP(L22,设备合同!$L$6:$CC$302,15,0)</f>
        <v>本合同标的物生产完成具备发货条件、甲方人员在乙方现场确认无误，且收到乙方提交的本合同100%总价之17%增值税专用发票后15个工作日内，甲方支付40%发货款。</v>
      </c>
      <c r="AA22" s="102">
        <f>VLOOKUP(L22,设备合同!$L$6:$CC$302,16,0)</f>
        <v>2000000</v>
      </c>
      <c r="AB22" s="102">
        <f>VLOOKUP(L22,设备合同!$L$6:$CC$302,17,0)</f>
        <v>0</v>
      </c>
      <c r="AC22" s="102">
        <f>VLOOKUP(L22,设备合同!$L$6:$CC$302,18,0)</f>
        <v>0</v>
      </c>
      <c r="AD22" s="102" t="str">
        <f>VLOOKUP(L22,设备合同!$L$6:$CC$302,19,0)</f>
        <v>货物到达甲方指定地点后一个月内初验合格或货到现场1个月后（以条件先到者为准），甲方在15个工作日内支付10%到货款。</v>
      </c>
      <c r="AE22" s="102">
        <f>VLOOKUP(L22,设备合同!$L$6:$CC$302,20,0)</f>
        <v>500000</v>
      </c>
      <c r="AF22" s="102">
        <f>VLOOKUP(L22,设备合同!$L$6:$CC$302,21,0)</f>
        <v>0</v>
      </c>
      <c r="AG22" s="102">
        <f>VLOOKUP(L22,设备合同!$L$6:$CC$302,22,0)</f>
        <v>0</v>
      </c>
      <c r="AH22" s="102" t="str">
        <f>VLOOKUP(L22,设备合同!$L$6:$CC$302,23,0)</f>
        <v>货物到达甲方指定地点后一个月内初验收或货到现场1个月后（以条件先到者为准）甲方在15个工作日内支付10%验收合格款。</v>
      </c>
      <c r="AI22" s="102">
        <f>VLOOKUP(L22,设备合同!$L$6:$CC$302,24,0)</f>
        <v>1000000</v>
      </c>
      <c r="AJ22" s="102">
        <f>VLOOKUP(L22,设备合同!$L$6:$CC$302,25,0)</f>
        <v>0</v>
      </c>
      <c r="AK22" s="102">
        <f>VLOOKUP(L22,设备合同!$L$6:$CC$302,26,0)</f>
        <v>0</v>
      </c>
      <c r="AL22" s="102" t="str">
        <f>VLOOKUP(L22,设备合同!$L$6:$CC$302,27,0)</f>
        <v>本合同10%总价留作质保金，在24个月质保期满后15个工作日内支付</v>
      </c>
      <c r="AM22" s="102">
        <f>VLOOKUP(L22,设备合同!$L$6:$CC$302,28,0)</f>
        <v>500000</v>
      </c>
      <c r="AN22" s="102">
        <f>VLOOKUP(L22,设备合同!$L$6:$CC$302,29,0)</f>
        <v>0</v>
      </c>
      <c r="AO22" s="102">
        <f>VLOOKUP(L22,设备合同!$L$6:$CC$302,30,0)</f>
        <v>0</v>
      </c>
      <c r="AP22" s="102">
        <f>VLOOKUP(L22,设备合同!$L$6:$CC$302,31,0)</f>
        <v>0</v>
      </c>
      <c r="AQ22" s="102">
        <f>VLOOKUP(L22,设备合同!$L$6:$CC$302,32,0)</f>
        <v>0</v>
      </c>
      <c r="AR22" s="102">
        <f>VLOOKUP(L22,设备合同!$L$6:$CC$302,33,0)</f>
        <v>0</v>
      </c>
      <c r="AS22" s="102">
        <f>VLOOKUP(L22,设备合同!$L$6:$CC$302,34,0)</f>
        <v>0</v>
      </c>
      <c r="AT22" s="102">
        <f>VLOOKUP(L22,设备合同!$L$6:$CC$302,35,0)</f>
        <v>0</v>
      </c>
      <c r="AU22" s="102">
        <f>VLOOKUP(L22,设备合同!$L$6:$CC$302,36,0)</f>
        <v>0</v>
      </c>
      <c r="AV22" s="102">
        <f>VLOOKUP(L22,设备合同!$L$6:$CC$302,37,0)</f>
        <v>0</v>
      </c>
      <c r="AW22" s="102">
        <f>VLOOKUP(L22,设备合同!$L$6:$CC$302,38,0)</f>
        <v>0</v>
      </c>
      <c r="AX22" s="102">
        <f>VLOOKUP(L22,设备合同!$L$6:$CC$302,39,0)</f>
        <v>0</v>
      </c>
      <c r="AY22" s="102">
        <f>VLOOKUP(L22,设备合同!$L$6:$CC$302,40,0)</f>
        <v>0</v>
      </c>
      <c r="AZ22" s="102">
        <f>VLOOKUP(L22,设备合同!$L$6:$CC$302,41,0)</f>
        <v>0</v>
      </c>
      <c r="BA22" s="102">
        <f>VLOOKUP(L22,设备合同!$L$6:$CC$302,42,0)</f>
        <v>0</v>
      </c>
      <c r="BB22" s="102">
        <f>VLOOKUP(L22,设备合同!$L$6:$CC$302,43,0)</f>
        <v>0</v>
      </c>
      <c r="BC22" s="102">
        <f>VLOOKUP(L22,设备合同!$L$6:$CC$302,44,0)</f>
        <v>0</v>
      </c>
      <c r="BD22" s="102">
        <f>VLOOKUP(L22,设备合同!$L$6:$CC$302,45,0)</f>
        <v>0</v>
      </c>
      <c r="BE22" s="102">
        <f>VLOOKUP(L22,设备合同!$L$6:$CC$302,46,0)</f>
        <v>0</v>
      </c>
      <c r="BF22" s="102">
        <f>VLOOKUP(L22,设备合同!$L$6:$CC$302,47,0)</f>
        <v>0</v>
      </c>
      <c r="BG22" s="102">
        <f>VLOOKUP(L22,设备合同!$L$6:$CC$302,48,0)</f>
        <v>0</v>
      </c>
      <c r="BH22" s="102">
        <f>VLOOKUP(L22,设备合同!$L$6:$CC$302,49,0)</f>
        <v>0</v>
      </c>
      <c r="BI22" s="102">
        <f>VLOOKUP(L22,设备合同!$L$6:$CC$302,50,0)</f>
        <v>0</v>
      </c>
      <c r="BJ22" s="102">
        <f>VLOOKUP(L22,设备合同!$L$6:$CC$302,51,0)</f>
        <v>0</v>
      </c>
      <c r="BK22" s="102">
        <f>VLOOKUP(L22,设备合同!$L$6:$CC$302,52,0)</f>
        <v>0</v>
      </c>
      <c r="BL22" s="102">
        <f>VLOOKUP(L22,设备合同!$L$6:$CC$302,53,0)</f>
        <v>0</v>
      </c>
      <c r="BM22" s="102">
        <f>VLOOKUP(L22,设备合同!$L$6:$CC$302,54,0)</f>
        <v>0</v>
      </c>
      <c r="BN22" s="102">
        <f>VLOOKUP(L22,设备合同!$L$6:$CC$302,55,0)</f>
        <v>0</v>
      </c>
      <c r="BO22" s="102">
        <f>VLOOKUP(L22,设备合同!$L$6:$CC$302,56,0)</f>
        <v>0</v>
      </c>
      <c r="BP22" s="102">
        <f>VLOOKUP(L22,设备合同!$L$6:$CC$302,57,0)</f>
        <v>0</v>
      </c>
      <c r="BQ22" s="102">
        <f>VLOOKUP(L22,设备合同!$L$6:$CC$302,58,0)</f>
        <v>0</v>
      </c>
      <c r="BR22" s="102">
        <f>VLOOKUP(L22,设备合同!$L$6:$CC$302,59,0)</f>
        <v>0</v>
      </c>
      <c r="BS22" s="102">
        <f>VLOOKUP(L22,设备合同!$L$6:$CC$302,60,0)</f>
        <v>0</v>
      </c>
      <c r="BT22" s="102">
        <f>VLOOKUP(L22,设备合同!$L$6:$CC$302,61,0)</f>
        <v>0</v>
      </c>
      <c r="BU22" s="102">
        <f>VLOOKUP(L22,设备合同!$L$6:$CC$302,62,0)</f>
        <v>0</v>
      </c>
      <c r="BV22" s="102">
        <f>VLOOKUP(L22,设备合同!$L$6:$CC$302,63,0)</f>
        <v>0</v>
      </c>
      <c r="BW22" s="102">
        <f>VLOOKUP(L22,设备合同!$L$6:$CC$302,64,0)</f>
        <v>0</v>
      </c>
      <c r="BX22" s="102">
        <f>VLOOKUP(L22,设备合同!$L$6:$CC$302,65,0)</f>
        <v>0</v>
      </c>
      <c r="BY22" s="102">
        <f>VLOOKUP(L22,设备合同!$L$6:$CC$302,66,0)</f>
        <v>0</v>
      </c>
      <c r="BZ22" s="102">
        <f>VLOOKUP(L22,设备合同!$L$6:$CC$302,67,0)</f>
        <v>0</v>
      </c>
      <c r="CA22" s="102">
        <f>VLOOKUP(L22,设备合同!$L$6:$CC$302,68,0)</f>
        <v>0</v>
      </c>
      <c r="CB22" s="102">
        <f>VLOOKUP(L22,设备合同!$L$6:$CC$302,69,0)</f>
        <v>0</v>
      </c>
      <c r="CC22" s="102">
        <f>VLOOKUP(L22,设备合同!$L$6:$CC$302,70,0)</f>
        <v>0</v>
      </c>
      <c r="CD22" s="123">
        <f t="shared" si="22"/>
        <v>5000000</v>
      </c>
      <c r="CE22" s="102">
        <f t="shared" si="23"/>
        <v>0</v>
      </c>
      <c r="CF22" s="102">
        <f t="shared" si="24"/>
        <v>0</v>
      </c>
      <c r="CG22" s="102">
        <f t="shared" si="25"/>
        <v>0</v>
      </c>
      <c r="CH22" s="124">
        <f t="shared" si="26"/>
        <v>5000000</v>
      </c>
      <c r="CI22" s="125">
        <f t="shared" si="27"/>
        <v>0</v>
      </c>
      <c r="CJ22" s="126" t="str">
        <f t="shared" si="28"/>
        <v>数据正确</v>
      </c>
    </row>
    <row r="23" s="60" customFormat="1" customHeight="1" spans="2:88">
      <c r="B23" s="70" t="str">
        <f t="shared" si="18"/>
        <v>申请中</v>
      </c>
      <c r="C23" s="71" t="str">
        <f t="shared" si="19"/>
        <v>-</v>
      </c>
      <c r="D23" s="181">
        <f t="shared" si="20"/>
        <v>0</v>
      </c>
      <c r="E23" s="181">
        <f>SUMIF(设备合同!$L$6:$L$302,L23,设备合同!$E$6:$E$302)</f>
        <v>0</v>
      </c>
      <c r="F23" s="181">
        <f>SUMIF(设备合同!$L$6:$L$302,L23,设备合同!$F$6:$F$302)</f>
        <v>0</v>
      </c>
      <c r="G23" s="181">
        <f>SUMIF(设备合同!$L$6:$L$302,L23,设备合同!$G$6:$G$302)</f>
        <v>0</v>
      </c>
      <c r="H23" s="181">
        <f>SUMIF(设备合同!$L$6:$L$302,L23,设备合同!$H$6:$H$302)</f>
        <v>0</v>
      </c>
      <c r="I23" s="181">
        <f t="shared" si="21"/>
        <v>312000</v>
      </c>
      <c r="J23" s="86" t="s">
        <v>98</v>
      </c>
      <c r="K23" s="87"/>
      <c r="L23" s="88">
        <v>18</v>
      </c>
      <c r="M23" s="89" t="str">
        <f>VLOOKUP(L23,设备合同!$L$6:$CC$302,2,0)</f>
        <v>YRKJEQ-170014</v>
      </c>
      <c r="N23" s="90" t="str">
        <f>VLOOKUP(L23,设备合同!$L$6:$CC$302,3,0)</f>
        <v>设备合同</v>
      </c>
      <c r="O23" s="265">
        <f>VLOOKUP(L23,设备合同!$L$6:$CC$302,4,0)</f>
        <v>2017020024</v>
      </c>
      <c r="P23" s="266">
        <f>VLOOKUP(L23,设备合同!$L$6:$CC$302,5,0)</f>
        <v>42832</v>
      </c>
      <c r="Q23" s="275">
        <f>VLOOKUP(L23,设备合同!$L$6:$CC$302,6,0)</f>
        <v>1560000</v>
      </c>
      <c r="R23" s="89" t="str">
        <f>VLOOKUP(L23,设备合同!$L$6:$CC$302,7,0)</f>
        <v>晶浆泵及配件一批</v>
      </c>
      <c r="S23" s="89" t="str">
        <f>VLOOKUP(L23,设备合同!$L$6:$CC$302,8,0)</f>
        <v>昆明嘉和科技股份有限公司</v>
      </c>
      <c r="T23" s="107">
        <f>VLOOKUP(L23,设备合同!$L$6:$CC$302,9,0)</f>
        <v>0</v>
      </c>
      <c r="U23" s="103" t="str">
        <f>VLOOKUP(L23,设备合同!$L$6:$CC$302,10,0)</f>
        <v>6个月承兑汇票，电汇的话按153万元算</v>
      </c>
      <c r="V23" s="276" t="str">
        <f>VLOOKUP(L23,设备合同!$L$6:$CC$302,11,0)</f>
        <v>甲方接到货物后，收到乙方提供的20%预付款保函，并收到等额的专票后支付20%货款。乙方提供10%履约保函</v>
      </c>
      <c r="W23" s="102">
        <f>VLOOKUP(L23,设备合同!$L$6:$CC$302,12,0)</f>
        <v>312000</v>
      </c>
      <c r="X23" s="102">
        <f>VLOOKUP(L23,设备合同!$L$6:$CC$302,13,0)</f>
        <v>312000</v>
      </c>
      <c r="Y23" s="102">
        <f>VLOOKUP(L23,设备合同!$L$6:$CC$302,14,0)</f>
        <v>0</v>
      </c>
      <c r="Z23" s="102" t="str">
        <f>VLOOKUP(L23,设备合同!$L$6:$CC$302,15,0)</f>
        <v>收到乙方提供的30%发货款保函，甲方至乙方工厂初步检验合格后，并收到等额的专票后支付30%的货款</v>
      </c>
      <c r="AA23" s="102">
        <f>VLOOKUP(L23,设备合同!$L$6:$CC$302,16,0)</f>
        <v>468000</v>
      </c>
      <c r="AB23" s="102">
        <f>VLOOKUP(L23,设备合同!$L$6:$CC$302,17,0)</f>
        <v>0</v>
      </c>
      <c r="AC23" s="102">
        <f>VLOOKUP(L23,设备合同!$L$6:$CC$302,18,0)</f>
        <v>0</v>
      </c>
      <c r="AD23" s="102" t="str">
        <f>VLOOKUP(L23,设备合同!$L$6:$CC$302,19,0)</f>
        <v>甲方收到货物，并收到等额的专票后，支付30%的货款</v>
      </c>
      <c r="AE23" s="102">
        <f>VLOOKUP(L23,设备合同!$L$6:$CC$302,20,0)</f>
        <v>468000</v>
      </c>
      <c r="AF23" s="102">
        <f>VLOOKUP(L23,设备合同!$L$6:$CC$302,21,0)</f>
        <v>0</v>
      </c>
      <c r="AG23" s="102">
        <f>VLOOKUP(L23,设备合同!$L$6:$CC$302,22,0)</f>
        <v>0</v>
      </c>
      <c r="AH23" s="102" t="str">
        <f>VLOOKUP(L23,设备合同!$L$6:$CC$302,23,0)</f>
        <v>甲方验收合格后，并收到乙方等额的专票后支付10%的验收款</v>
      </c>
      <c r="AI23" s="102">
        <f>VLOOKUP(L23,设备合同!$L$6:$CC$302,24,0)</f>
        <v>156000</v>
      </c>
      <c r="AJ23" s="102">
        <f>VLOOKUP(L23,设备合同!$L$6:$CC$302,25,0)</f>
        <v>0</v>
      </c>
      <c r="AK23" s="102">
        <f>VLOOKUP(L23,设备合同!$L$6:$CC$302,26,0)</f>
        <v>0</v>
      </c>
      <c r="AL23" s="102" t="str">
        <f>VLOOKUP(L23,设备合同!$L$6:$CC$302,27,0)</f>
        <v>10%作为质保金，质保期满后并收到乙方等额的专票后支付10%货款</v>
      </c>
      <c r="AM23" s="102">
        <f>VLOOKUP(L23,设备合同!$L$6:$CC$302,28,0)</f>
        <v>156000</v>
      </c>
      <c r="AN23" s="102">
        <f>VLOOKUP(L23,设备合同!$L$6:$CC$302,29,0)</f>
        <v>0</v>
      </c>
      <c r="AO23" s="102">
        <f>VLOOKUP(L23,设备合同!$L$6:$CC$302,30,0)</f>
        <v>0</v>
      </c>
      <c r="AP23" s="102">
        <f>VLOOKUP(L23,设备合同!$L$6:$CC$302,31,0)</f>
        <v>0</v>
      </c>
      <c r="AQ23" s="102">
        <f>VLOOKUP(L23,设备合同!$L$6:$CC$302,32,0)</f>
        <v>0</v>
      </c>
      <c r="AR23" s="102">
        <f>VLOOKUP(L23,设备合同!$L$6:$CC$302,33,0)</f>
        <v>0</v>
      </c>
      <c r="AS23" s="102">
        <f>VLOOKUP(L23,设备合同!$L$6:$CC$302,34,0)</f>
        <v>0</v>
      </c>
      <c r="AT23" s="102">
        <f>VLOOKUP(L23,设备合同!$L$6:$CC$302,35,0)</f>
        <v>0</v>
      </c>
      <c r="AU23" s="102">
        <f>VLOOKUP(L23,设备合同!$L$6:$CC$302,36,0)</f>
        <v>0</v>
      </c>
      <c r="AV23" s="102">
        <f>VLOOKUP(L23,设备合同!$L$6:$CC$302,37,0)</f>
        <v>0</v>
      </c>
      <c r="AW23" s="102">
        <f>VLOOKUP(L23,设备合同!$L$6:$CC$302,38,0)</f>
        <v>0</v>
      </c>
      <c r="AX23" s="102">
        <f>VLOOKUP(L23,设备合同!$L$6:$CC$302,39,0)</f>
        <v>0</v>
      </c>
      <c r="AY23" s="102">
        <f>VLOOKUP(L23,设备合同!$L$6:$CC$302,40,0)</f>
        <v>0</v>
      </c>
      <c r="AZ23" s="102">
        <f>VLOOKUP(L23,设备合同!$L$6:$CC$302,41,0)</f>
        <v>0</v>
      </c>
      <c r="BA23" s="102">
        <f>VLOOKUP(L23,设备合同!$L$6:$CC$302,42,0)</f>
        <v>0</v>
      </c>
      <c r="BB23" s="102">
        <f>VLOOKUP(L23,设备合同!$L$6:$CC$302,43,0)</f>
        <v>0</v>
      </c>
      <c r="BC23" s="102">
        <f>VLOOKUP(L23,设备合同!$L$6:$CC$302,44,0)</f>
        <v>0</v>
      </c>
      <c r="BD23" s="102">
        <f>VLOOKUP(L23,设备合同!$L$6:$CC$302,45,0)</f>
        <v>0</v>
      </c>
      <c r="BE23" s="102">
        <f>VLOOKUP(L23,设备合同!$L$6:$CC$302,46,0)</f>
        <v>0</v>
      </c>
      <c r="BF23" s="102">
        <f>VLOOKUP(L23,设备合同!$L$6:$CC$302,47,0)</f>
        <v>0</v>
      </c>
      <c r="BG23" s="102">
        <f>VLOOKUP(L23,设备合同!$L$6:$CC$302,48,0)</f>
        <v>0</v>
      </c>
      <c r="BH23" s="102">
        <f>VLOOKUP(L23,设备合同!$L$6:$CC$302,49,0)</f>
        <v>0</v>
      </c>
      <c r="BI23" s="102">
        <f>VLOOKUP(L23,设备合同!$L$6:$CC$302,50,0)</f>
        <v>0</v>
      </c>
      <c r="BJ23" s="102">
        <f>VLOOKUP(L23,设备合同!$L$6:$CC$302,51,0)</f>
        <v>0</v>
      </c>
      <c r="BK23" s="102">
        <f>VLOOKUP(L23,设备合同!$L$6:$CC$302,52,0)</f>
        <v>0</v>
      </c>
      <c r="BL23" s="102">
        <f>VLOOKUP(L23,设备合同!$L$6:$CC$302,53,0)</f>
        <v>0</v>
      </c>
      <c r="BM23" s="102">
        <f>VLOOKUP(L23,设备合同!$L$6:$CC$302,54,0)</f>
        <v>0</v>
      </c>
      <c r="BN23" s="102">
        <f>VLOOKUP(L23,设备合同!$L$6:$CC$302,55,0)</f>
        <v>0</v>
      </c>
      <c r="BO23" s="102">
        <f>VLOOKUP(L23,设备合同!$L$6:$CC$302,56,0)</f>
        <v>0</v>
      </c>
      <c r="BP23" s="102">
        <f>VLOOKUP(L23,设备合同!$L$6:$CC$302,57,0)</f>
        <v>0</v>
      </c>
      <c r="BQ23" s="102">
        <f>VLOOKUP(L23,设备合同!$L$6:$CC$302,58,0)</f>
        <v>0</v>
      </c>
      <c r="BR23" s="102">
        <f>VLOOKUP(L23,设备合同!$L$6:$CC$302,59,0)</f>
        <v>0</v>
      </c>
      <c r="BS23" s="102">
        <f>VLOOKUP(L23,设备合同!$L$6:$CC$302,60,0)</f>
        <v>0</v>
      </c>
      <c r="BT23" s="102">
        <f>VLOOKUP(L23,设备合同!$L$6:$CC$302,61,0)</f>
        <v>0</v>
      </c>
      <c r="BU23" s="102">
        <f>VLOOKUP(L23,设备合同!$L$6:$CC$302,62,0)</f>
        <v>0</v>
      </c>
      <c r="BV23" s="102">
        <f>VLOOKUP(L23,设备合同!$L$6:$CC$302,63,0)</f>
        <v>0</v>
      </c>
      <c r="BW23" s="102">
        <f>VLOOKUP(L23,设备合同!$L$6:$CC$302,64,0)</f>
        <v>0</v>
      </c>
      <c r="BX23" s="102">
        <f>VLOOKUP(L23,设备合同!$L$6:$CC$302,65,0)</f>
        <v>0</v>
      </c>
      <c r="BY23" s="102">
        <f>VLOOKUP(L23,设备合同!$L$6:$CC$302,66,0)</f>
        <v>0</v>
      </c>
      <c r="BZ23" s="102">
        <f>VLOOKUP(L23,设备合同!$L$6:$CC$302,67,0)</f>
        <v>0</v>
      </c>
      <c r="CA23" s="102">
        <f>VLOOKUP(L23,设备合同!$L$6:$CC$302,68,0)</f>
        <v>0</v>
      </c>
      <c r="CB23" s="102">
        <f>VLOOKUP(L23,设备合同!$L$6:$CC$302,69,0)</f>
        <v>0</v>
      </c>
      <c r="CC23" s="102">
        <f>VLOOKUP(L23,设备合同!$L$6:$CC$302,70,0)</f>
        <v>0</v>
      </c>
      <c r="CD23" s="123">
        <f t="shared" si="22"/>
        <v>1560000</v>
      </c>
      <c r="CE23" s="102">
        <f t="shared" si="23"/>
        <v>312000</v>
      </c>
      <c r="CF23" s="102">
        <f t="shared" si="24"/>
        <v>0</v>
      </c>
      <c r="CG23" s="102">
        <f t="shared" si="25"/>
        <v>0</v>
      </c>
      <c r="CH23" s="124">
        <f t="shared" si="26"/>
        <v>1560000</v>
      </c>
      <c r="CI23" s="125">
        <f t="shared" si="27"/>
        <v>0</v>
      </c>
      <c r="CJ23" s="126" t="str">
        <f t="shared" si="28"/>
        <v>数据正确</v>
      </c>
    </row>
    <row r="24" s="60" customFormat="1" customHeight="1" spans="2:88">
      <c r="B24" s="70" t="str">
        <f t="shared" si="18"/>
        <v>-</v>
      </c>
      <c r="C24" s="71" t="str">
        <f t="shared" si="19"/>
        <v>-</v>
      </c>
      <c r="D24" s="181">
        <f t="shared" si="20"/>
        <v>0</v>
      </c>
      <c r="E24" s="181">
        <f>SUMIF(设备合同!$L$6:$L$302,L24,设备合同!$E$6:$E$302)</f>
        <v>0</v>
      </c>
      <c r="F24" s="181">
        <f>SUMIF(设备合同!$L$6:$L$302,L24,设备合同!$F$6:$F$302)</f>
        <v>0</v>
      </c>
      <c r="G24" s="181">
        <f>SUMIF(设备合同!$L$6:$L$302,L24,设备合同!$G$6:$G$302)</f>
        <v>0</v>
      </c>
      <c r="H24" s="181">
        <f>SUMIF(设备合同!$L$6:$L$302,L24,设备合同!$H$6:$H$302)</f>
        <v>0</v>
      </c>
      <c r="I24" s="181">
        <f t="shared" si="21"/>
        <v>0</v>
      </c>
      <c r="J24" s="86" t="s">
        <v>98</v>
      </c>
      <c r="K24" s="87"/>
      <c r="L24" s="88">
        <v>19</v>
      </c>
      <c r="M24" s="89" t="str">
        <f>VLOOKUP(L24,设备合同!$L$6:$CC$302,2,0)</f>
        <v>YRKJEQ-170015</v>
      </c>
      <c r="N24" s="90" t="str">
        <f>VLOOKUP(L24,设备合同!$L$6:$CC$302,3,0)</f>
        <v>设备合同</v>
      </c>
      <c r="O24" s="265">
        <f>VLOOKUP(L24,设备合同!$L$6:$CC$302,4,0)</f>
        <v>2017020022</v>
      </c>
      <c r="P24" s="266">
        <f>VLOOKUP(L24,设备合同!$L$6:$CC$302,5,0)</f>
        <v>42832</v>
      </c>
      <c r="Q24" s="275">
        <f>VLOOKUP(L24,设备合同!$L$6:$CC$302,6,0)</f>
        <v>386588</v>
      </c>
      <c r="R24" s="89" t="str">
        <f>VLOOKUP(L24,设备合同!$L$6:$CC$302,7,0)</f>
        <v>磁力泵及配件</v>
      </c>
      <c r="S24" s="89" t="str">
        <f>VLOOKUP(L24,设备合同!$L$6:$CC$302,8,0)</f>
        <v>丹东克隆集团有限责任公司</v>
      </c>
      <c r="T24" s="107">
        <f>VLOOKUP(L24,设备合同!$L$6:$CC$302,9,0)</f>
        <v>0</v>
      </c>
      <c r="U24" s="103" t="str">
        <f>VLOOKUP(L24,设备合同!$L$6:$CC$302,10,0)</f>
        <v>6个月承兑汇票</v>
      </c>
      <c r="V24" s="276" t="str">
        <f>VLOOKUP(L24,设备合同!$L$6:$CC$302,11,0)</f>
        <v>甲方收到乙方提供的20%预付款保函，乙方提供10%履约保函</v>
      </c>
      <c r="W24" s="102">
        <f>VLOOKUP(L24,设备合同!$L$6:$CC$302,12,0)</f>
        <v>77317.6</v>
      </c>
      <c r="X24" s="102">
        <f>VLOOKUP(L24,设备合同!$L$6:$CC$302,13,0)</f>
        <v>0</v>
      </c>
      <c r="Y24" s="102">
        <f>VLOOKUP(L24,设备合同!$L$6:$CC$302,14,0)</f>
        <v>0</v>
      </c>
      <c r="Z24" s="102" t="str">
        <f>VLOOKUP(L24,设备合同!$L$6:$CC$302,15,0)</f>
        <v>收到乙方提供的30%发货款保函，甲方至乙方工厂初步检验合格后，并收到等额的专票后支付30%的货款</v>
      </c>
      <c r="AA24" s="102">
        <f>VLOOKUP(L24,设备合同!$L$6:$CC$302,16,0)</f>
        <v>115976.4</v>
      </c>
      <c r="AB24" s="102">
        <f>VLOOKUP(L24,设备合同!$L$6:$CC$302,17,0)</f>
        <v>0</v>
      </c>
      <c r="AC24" s="102">
        <f>VLOOKUP(L24,设备合同!$L$6:$CC$302,18,0)</f>
        <v>0</v>
      </c>
      <c r="AD24" s="102" t="str">
        <f>VLOOKUP(L24,设备合同!$L$6:$CC$302,19,0)</f>
        <v>甲方收到货物后支付20%的货款</v>
      </c>
      <c r="AE24" s="102">
        <f>VLOOKUP(L24,设备合同!$L$6:$CC$302,20,0)</f>
        <v>77317.6</v>
      </c>
      <c r="AF24" s="102">
        <f>VLOOKUP(L24,设备合同!$L$6:$CC$302,21,0)</f>
        <v>0</v>
      </c>
      <c r="AG24" s="102">
        <f>VLOOKUP(L24,设备合同!$L$6:$CC$302,22,0)</f>
        <v>0</v>
      </c>
      <c r="AH24" s="102" t="str">
        <f>VLOOKUP(L24,设备合同!$L$6:$CC$302,23,0)</f>
        <v>甲方验收合格后，并收到乙方90%的专票后支付20%的验收款</v>
      </c>
      <c r="AI24" s="102">
        <f>VLOOKUP(L24,设备合同!$L$6:$CC$302,24,0)</f>
        <v>77317.6</v>
      </c>
      <c r="AJ24" s="102">
        <f>VLOOKUP(L24,设备合同!$L$6:$CC$302,25,0)</f>
        <v>0</v>
      </c>
      <c r="AK24" s="102">
        <f>VLOOKUP(L24,设备合同!$L$6:$CC$302,26,0)</f>
        <v>0</v>
      </c>
      <c r="AL24" s="102" t="str">
        <f>VLOOKUP(L24,设备合同!$L$6:$CC$302,27,0)</f>
        <v>10%作为质保金，质保期满后并收到乙方等额的专票后支付10%货款</v>
      </c>
      <c r="AM24" s="102">
        <f>VLOOKUP(L24,设备合同!$L$6:$CC$302,28,0)</f>
        <v>38658.8</v>
      </c>
      <c r="AN24" s="102">
        <f>VLOOKUP(L24,设备合同!$L$6:$CC$302,29,0)</f>
        <v>0</v>
      </c>
      <c r="AO24" s="102">
        <f>VLOOKUP(L24,设备合同!$L$6:$CC$302,30,0)</f>
        <v>0</v>
      </c>
      <c r="AP24" s="102">
        <f>VLOOKUP(L24,设备合同!$L$6:$CC$302,31,0)</f>
        <v>0</v>
      </c>
      <c r="AQ24" s="102">
        <f>VLOOKUP(L24,设备合同!$L$6:$CC$302,32,0)</f>
        <v>0</v>
      </c>
      <c r="AR24" s="102">
        <f>VLOOKUP(L24,设备合同!$L$6:$CC$302,33,0)</f>
        <v>0</v>
      </c>
      <c r="AS24" s="102">
        <f>VLOOKUP(L24,设备合同!$L$6:$CC$302,34,0)</f>
        <v>0</v>
      </c>
      <c r="AT24" s="102">
        <f>VLOOKUP(L24,设备合同!$L$6:$CC$302,35,0)</f>
        <v>0</v>
      </c>
      <c r="AU24" s="102">
        <f>VLOOKUP(L24,设备合同!$L$6:$CC$302,36,0)</f>
        <v>0</v>
      </c>
      <c r="AV24" s="102">
        <f>VLOOKUP(L24,设备合同!$L$6:$CC$302,37,0)</f>
        <v>0</v>
      </c>
      <c r="AW24" s="102">
        <f>VLOOKUP(L24,设备合同!$L$6:$CC$302,38,0)</f>
        <v>0</v>
      </c>
      <c r="AX24" s="102">
        <f>VLOOKUP(L24,设备合同!$L$6:$CC$302,39,0)</f>
        <v>0</v>
      </c>
      <c r="AY24" s="102">
        <f>VLOOKUP(L24,设备合同!$L$6:$CC$302,40,0)</f>
        <v>0</v>
      </c>
      <c r="AZ24" s="102">
        <f>VLOOKUP(L24,设备合同!$L$6:$CC$302,41,0)</f>
        <v>0</v>
      </c>
      <c r="BA24" s="102">
        <f>VLOOKUP(L24,设备合同!$L$6:$CC$302,42,0)</f>
        <v>0</v>
      </c>
      <c r="BB24" s="102">
        <f>VLOOKUP(L24,设备合同!$L$6:$CC$302,43,0)</f>
        <v>0</v>
      </c>
      <c r="BC24" s="102">
        <f>VLOOKUP(L24,设备合同!$L$6:$CC$302,44,0)</f>
        <v>0</v>
      </c>
      <c r="BD24" s="102">
        <f>VLOOKUP(L24,设备合同!$L$6:$CC$302,45,0)</f>
        <v>0</v>
      </c>
      <c r="BE24" s="102">
        <f>VLOOKUP(L24,设备合同!$L$6:$CC$302,46,0)</f>
        <v>0</v>
      </c>
      <c r="BF24" s="102">
        <f>VLOOKUP(L24,设备合同!$L$6:$CC$302,47,0)</f>
        <v>0</v>
      </c>
      <c r="BG24" s="102">
        <f>VLOOKUP(L24,设备合同!$L$6:$CC$302,48,0)</f>
        <v>0</v>
      </c>
      <c r="BH24" s="102">
        <f>VLOOKUP(L24,设备合同!$L$6:$CC$302,49,0)</f>
        <v>0</v>
      </c>
      <c r="BI24" s="102">
        <f>VLOOKUP(L24,设备合同!$L$6:$CC$302,50,0)</f>
        <v>0</v>
      </c>
      <c r="BJ24" s="102">
        <f>VLOOKUP(L24,设备合同!$L$6:$CC$302,51,0)</f>
        <v>0</v>
      </c>
      <c r="BK24" s="102">
        <f>VLOOKUP(L24,设备合同!$L$6:$CC$302,52,0)</f>
        <v>0</v>
      </c>
      <c r="BL24" s="102">
        <f>VLOOKUP(L24,设备合同!$L$6:$CC$302,53,0)</f>
        <v>0</v>
      </c>
      <c r="BM24" s="102">
        <f>VLOOKUP(L24,设备合同!$L$6:$CC$302,54,0)</f>
        <v>0</v>
      </c>
      <c r="BN24" s="102">
        <f>VLOOKUP(L24,设备合同!$L$6:$CC$302,55,0)</f>
        <v>0</v>
      </c>
      <c r="BO24" s="102">
        <f>VLOOKUP(L24,设备合同!$L$6:$CC$302,56,0)</f>
        <v>0</v>
      </c>
      <c r="BP24" s="102">
        <f>VLOOKUP(L24,设备合同!$L$6:$CC$302,57,0)</f>
        <v>0</v>
      </c>
      <c r="BQ24" s="102">
        <f>VLOOKUP(L24,设备合同!$L$6:$CC$302,58,0)</f>
        <v>0</v>
      </c>
      <c r="BR24" s="102">
        <f>VLOOKUP(L24,设备合同!$L$6:$CC$302,59,0)</f>
        <v>0</v>
      </c>
      <c r="BS24" s="102">
        <f>VLOOKUP(L24,设备合同!$L$6:$CC$302,60,0)</f>
        <v>0</v>
      </c>
      <c r="BT24" s="102">
        <f>VLOOKUP(L24,设备合同!$L$6:$CC$302,61,0)</f>
        <v>0</v>
      </c>
      <c r="BU24" s="102">
        <f>VLOOKUP(L24,设备合同!$L$6:$CC$302,62,0)</f>
        <v>0</v>
      </c>
      <c r="BV24" s="102">
        <f>VLOOKUP(L24,设备合同!$L$6:$CC$302,63,0)</f>
        <v>0</v>
      </c>
      <c r="BW24" s="102">
        <f>VLOOKUP(L24,设备合同!$L$6:$CC$302,64,0)</f>
        <v>0</v>
      </c>
      <c r="BX24" s="102">
        <f>VLOOKUP(L24,设备合同!$L$6:$CC$302,65,0)</f>
        <v>0</v>
      </c>
      <c r="BY24" s="102">
        <f>VLOOKUP(L24,设备合同!$L$6:$CC$302,66,0)</f>
        <v>0</v>
      </c>
      <c r="BZ24" s="102">
        <f>VLOOKUP(L24,设备合同!$L$6:$CC$302,67,0)</f>
        <v>0</v>
      </c>
      <c r="CA24" s="102">
        <f>VLOOKUP(L24,设备合同!$L$6:$CC$302,68,0)</f>
        <v>0</v>
      </c>
      <c r="CB24" s="102">
        <f>VLOOKUP(L24,设备合同!$L$6:$CC$302,69,0)</f>
        <v>0</v>
      </c>
      <c r="CC24" s="102">
        <f>VLOOKUP(L24,设备合同!$L$6:$CC$302,70,0)</f>
        <v>0</v>
      </c>
      <c r="CD24" s="123">
        <f t="shared" si="22"/>
        <v>386588</v>
      </c>
      <c r="CE24" s="102">
        <f t="shared" si="23"/>
        <v>0</v>
      </c>
      <c r="CF24" s="102">
        <f t="shared" si="24"/>
        <v>0</v>
      </c>
      <c r="CG24" s="102">
        <f t="shared" si="25"/>
        <v>0</v>
      </c>
      <c r="CH24" s="124">
        <f t="shared" si="26"/>
        <v>386588</v>
      </c>
      <c r="CI24" s="125">
        <f t="shared" si="27"/>
        <v>0</v>
      </c>
      <c r="CJ24" s="126" t="str">
        <f t="shared" si="28"/>
        <v>数据正确</v>
      </c>
    </row>
    <row r="25" s="60" customFormat="1" customHeight="1" spans="2:88">
      <c r="B25" s="70" t="str">
        <f t="shared" si="18"/>
        <v>-</v>
      </c>
      <c r="C25" s="71" t="str">
        <f t="shared" si="19"/>
        <v>-</v>
      </c>
      <c r="D25" s="181">
        <f t="shared" si="20"/>
        <v>3692000</v>
      </c>
      <c r="E25" s="181">
        <f>SUMIF(设备合同!$L$6:$L$302,L25,设备合同!$E$6:$E$302)</f>
        <v>0</v>
      </c>
      <c r="F25" s="181">
        <f>SUMIF(设备合同!$L$6:$L$302,L25,设备合同!$F$6:$F$302)</f>
        <v>0</v>
      </c>
      <c r="G25" s="181">
        <f>SUMIF(设备合同!$L$6:$L$302,L25,设备合同!$G$6:$G$302)</f>
        <v>0</v>
      </c>
      <c r="H25" s="181">
        <f>SUMIF(设备合同!$L$6:$L$302,L25,设备合同!$H$6:$H$302)</f>
        <v>0</v>
      </c>
      <c r="I25" s="181">
        <f t="shared" si="21"/>
        <v>0</v>
      </c>
      <c r="J25" s="86" t="s">
        <v>98</v>
      </c>
      <c r="K25" s="87"/>
      <c r="L25" s="88">
        <v>20</v>
      </c>
      <c r="M25" s="89" t="str">
        <f>VLOOKUP(L25,设备合同!$L$6:$CC$302,2,0)</f>
        <v>YRKJEQ-170016</v>
      </c>
      <c r="N25" s="90" t="str">
        <f>VLOOKUP(L25,设备合同!$L$6:$CC$302,3,0)</f>
        <v>设备合同</v>
      </c>
      <c r="O25" s="265">
        <f>VLOOKUP(L25,设备合同!$L$6:$CC$302,4,0)</f>
        <v>2017030067</v>
      </c>
      <c r="P25" s="266">
        <f>VLOOKUP(L25,设备合同!$L$6:$CC$302,5,0)</f>
        <v>42832</v>
      </c>
      <c r="Q25" s="275">
        <f>VLOOKUP(L25,设备合同!$L$6:$CC$302,6,0)</f>
        <v>18460000</v>
      </c>
      <c r="R25" s="89" t="str">
        <f>VLOOKUP(L25,设备合同!$L$6:$CC$302,7,0)</f>
        <v>压缩机与汽轮机1套</v>
      </c>
      <c r="S25" s="89" t="str">
        <f>VLOOKUP(L25,设备合同!$L$6:$CC$302,8,0)</f>
        <v>上海晗益流体设备有限公司</v>
      </c>
      <c r="T25" s="107" t="str">
        <f>VLOOKUP(L25,设备合同!$L$6:$CC$302,9,0)</f>
        <v>双氧水装置1846万元</v>
      </c>
      <c r="U25" s="103" t="str">
        <f>VLOOKUP(L25,设备合同!$L$6:$CC$302,10,0)</f>
        <v>电汇</v>
      </c>
      <c r="V25" s="276" t="str">
        <f>VLOOKUP(L25,设备合同!$L$6:$CC$302,11,0)</f>
        <v>买方应于收到卖方递交的合同总额20%的以买方为受益人的银行预付款保函后15个工作日内向卖方以电汇方式支付合同总额20%</v>
      </c>
      <c r="W25" s="102">
        <f>VLOOKUP(L25,设备合同!$L$6:$CC$302,12,0)</f>
        <v>3692000</v>
      </c>
      <c r="X25" s="102">
        <f>VLOOKUP(L25,设备合同!$L$6:$CC$302,13,0)</f>
        <v>3692000</v>
      </c>
      <c r="Y25" s="102">
        <f>VLOOKUP(L25,设备合同!$L$6:$CC$302,14,0)</f>
        <v>3692000</v>
      </c>
      <c r="Z25" s="102" t="str">
        <f>VLOOKUP(L25,设备合同!$L$6:$CC$302,15,0)</f>
        <v>余款80%于收到卖方递交的合同总金额5%的以买方为受益人的银行质量保函，及全额增值税发票后，在交货前壹个月以电汇全部付清</v>
      </c>
      <c r="AA25" s="102">
        <f>VLOOKUP(L25,设备合同!$L$6:$CC$302,16,0)</f>
        <v>14768000</v>
      </c>
      <c r="AB25" s="102">
        <f>VLOOKUP(L25,设备合同!$L$6:$CC$302,17,0)</f>
        <v>0</v>
      </c>
      <c r="AC25" s="102">
        <f>VLOOKUP(L25,设备合同!$L$6:$CC$302,18,0)</f>
        <v>0</v>
      </c>
      <c r="AD25" s="102">
        <f>VLOOKUP(L25,设备合同!$L$6:$CC$302,19,0)</f>
        <v>0</v>
      </c>
      <c r="AE25" s="102">
        <f>VLOOKUP(L25,设备合同!$L$6:$CC$302,20,0)</f>
        <v>0</v>
      </c>
      <c r="AF25" s="102">
        <f>VLOOKUP(L25,设备合同!$L$6:$CC$302,21,0)</f>
        <v>0</v>
      </c>
      <c r="AG25" s="102">
        <f>VLOOKUP(L25,设备合同!$L$6:$CC$302,22,0)</f>
        <v>0</v>
      </c>
      <c r="AH25" s="102">
        <f>VLOOKUP(L25,设备合同!$L$6:$CC$302,23,0)</f>
        <v>0</v>
      </c>
      <c r="AI25" s="102">
        <f>VLOOKUP(L25,设备合同!$L$6:$CC$302,24,0)</f>
        <v>0</v>
      </c>
      <c r="AJ25" s="102">
        <f>VLOOKUP(L25,设备合同!$L$6:$CC$302,25,0)</f>
        <v>0</v>
      </c>
      <c r="AK25" s="102">
        <f>VLOOKUP(L25,设备合同!$L$6:$CC$302,26,0)</f>
        <v>0</v>
      </c>
      <c r="AL25" s="102">
        <f>VLOOKUP(L25,设备合同!$L$6:$CC$302,27,0)</f>
        <v>0</v>
      </c>
      <c r="AM25" s="102">
        <f>VLOOKUP(L25,设备合同!$L$6:$CC$302,28,0)</f>
        <v>0</v>
      </c>
      <c r="AN25" s="102">
        <f>VLOOKUP(L25,设备合同!$L$6:$CC$302,29,0)</f>
        <v>0</v>
      </c>
      <c r="AO25" s="102">
        <f>VLOOKUP(L25,设备合同!$L$6:$CC$302,30,0)</f>
        <v>0</v>
      </c>
      <c r="AP25" s="102">
        <f>VLOOKUP(L25,设备合同!$L$6:$CC$302,31,0)</f>
        <v>0</v>
      </c>
      <c r="AQ25" s="102">
        <f>VLOOKUP(L25,设备合同!$L$6:$CC$302,32,0)</f>
        <v>0</v>
      </c>
      <c r="AR25" s="102">
        <f>VLOOKUP(L25,设备合同!$L$6:$CC$302,33,0)</f>
        <v>0</v>
      </c>
      <c r="AS25" s="102">
        <f>VLOOKUP(L25,设备合同!$L$6:$CC$302,34,0)</f>
        <v>0</v>
      </c>
      <c r="AT25" s="102">
        <f>VLOOKUP(L25,设备合同!$L$6:$CC$302,35,0)</f>
        <v>0</v>
      </c>
      <c r="AU25" s="102">
        <f>VLOOKUP(L25,设备合同!$L$6:$CC$302,36,0)</f>
        <v>0</v>
      </c>
      <c r="AV25" s="102">
        <f>VLOOKUP(L25,设备合同!$L$6:$CC$302,37,0)</f>
        <v>0</v>
      </c>
      <c r="AW25" s="102">
        <f>VLOOKUP(L25,设备合同!$L$6:$CC$302,38,0)</f>
        <v>0</v>
      </c>
      <c r="AX25" s="102">
        <f>VLOOKUP(L25,设备合同!$L$6:$CC$302,39,0)</f>
        <v>0</v>
      </c>
      <c r="AY25" s="102">
        <f>VLOOKUP(L25,设备合同!$L$6:$CC$302,40,0)</f>
        <v>0</v>
      </c>
      <c r="AZ25" s="102">
        <f>VLOOKUP(L25,设备合同!$L$6:$CC$302,41,0)</f>
        <v>0</v>
      </c>
      <c r="BA25" s="102">
        <f>VLOOKUP(L25,设备合同!$L$6:$CC$302,42,0)</f>
        <v>0</v>
      </c>
      <c r="BB25" s="102">
        <f>VLOOKUP(L25,设备合同!$L$6:$CC$302,43,0)</f>
        <v>0</v>
      </c>
      <c r="BC25" s="102">
        <f>VLOOKUP(L25,设备合同!$L$6:$CC$302,44,0)</f>
        <v>0</v>
      </c>
      <c r="BD25" s="102">
        <f>VLOOKUP(L25,设备合同!$L$6:$CC$302,45,0)</f>
        <v>0</v>
      </c>
      <c r="BE25" s="102">
        <f>VLOOKUP(L25,设备合同!$L$6:$CC$302,46,0)</f>
        <v>0</v>
      </c>
      <c r="BF25" s="102">
        <f>VLOOKUP(L25,设备合同!$L$6:$CC$302,47,0)</f>
        <v>0</v>
      </c>
      <c r="BG25" s="102">
        <f>VLOOKUP(L25,设备合同!$L$6:$CC$302,48,0)</f>
        <v>0</v>
      </c>
      <c r="BH25" s="102">
        <f>VLOOKUP(L25,设备合同!$L$6:$CC$302,49,0)</f>
        <v>0</v>
      </c>
      <c r="BI25" s="102">
        <f>VLOOKUP(L25,设备合同!$L$6:$CC$302,50,0)</f>
        <v>0</v>
      </c>
      <c r="BJ25" s="102">
        <f>VLOOKUP(L25,设备合同!$L$6:$CC$302,51,0)</f>
        <v>0</v>
      </c>
      <c r="BK25" s="102">
        <f>VLOOKUP(L25,设备合同!$L$6:$CC$302,52,0)</f>
        <v>0</v>
      </c>
      <c r="BL25" s="102">
        <f>VLOOKUP(L25,设备合同!$L$6:$CC$302,53,0)</f>
        <v>0</v>
      </c>
      <c r="BM25" s="102">
        <f>VLOOKUP(L25,设备合同!$L$6:$CC$302,54,0)</f>
        <v>0</v>
      </c>
      <c r="BN25" s="102">
        <f>VLOOKUP(L25,设备合同!$L$6:$CC$302,55,0)</f>
        <v>0</v>
      </c>
      <c r="BO25" s="102">
        <f>VLOOKUP(L25,设备合同!$L$6:$CC$302,56,0)</f>
        <v>0</v>
      </c>
      <c r="BP25" s="102">
        <f>VLOOKUP(L25,设备合同!$L$6:$CC$302,57,0)</f>
        <v>0</v>
      </c>
      <c r="BQ25" s="102">
        <f>VLOOKUP(L25,设备合同!$L$6:$CC$302,58,0)</f>
        <v>0</v>
      </c>
      <c r="BR25" s="102">
        <f>VLOOKUP(L25,设备合同!$L$6:$CC$302,59,0)</f>
        <v>0</v>
      </c>
      <c r="BS25" s="102">
        <f>VLOOKUP(L25,设备合同!$L$6:$CC$302,60,0)</f>
        <v>0</v>
      </c>
      <c r="BT25" s="102">
        <f>VLOOKUP(L25,设备合同!$L$6:$CC$302,61,0)</f>
        <v>0</v>
      </c>
      <c r="BU25" s="102">
        <f>VLOOKUP(L25,设备合同!$L$6:$CC$302,62,0)</f>
        <v>0</v>
      </c>
      <c r="BV25" s="102">
        <f>VLOOKUP(L25,设备合同!$L$6:$CC$302,63,0)</f>
        <v>0</v>
      </c>
      <c r="BW25" s="102">
        <f>VLOOKUP(L25,设备合同!$L$6:$CC$302,64,0)</f>
        <v>0</v>
      </c>
      <c r="BX25" s="102">
        <f>VLOOKUP(L25,设备合同!$L$6:$CC$302,65,0)</f>
        <v>0</v>
      </c>
      <c r="BY25" s="102">
        <f>VLOOKUP(L25,设备合同!$L$6:$CC$302,66,0)</f>
        <v>0</v>
      </c>
      <c r="BZ25" s="102">
        <f>VLOOKUP(L25,设备合同!$L$6:$CC$302,67,0)</f>
        <v>0</v>
      </c>
      <c r="CA25" s="102">
        <f>VLOOKUP(L25,设备合同!$L$6:$CC$302,68,0)</f>
        <v>0</v>
      </c>
      <c r="CB25" s="102">
        <f>VLOOKUP(L25,设备合同!$L$6:$CC$302,69,0)</f>
        <v>0</v>
      </c>
      <c r="CC25" s="102">
        <f>VLOOKUP(L25,设备合同!$L$6:$CC$302,70,0)</f>
        <v>0</v>
      </c>
      <c r="CD25" s="123">
        <f t="shared" si="22"/>
        <v>18460000</v>
      </c>
      <c r="CE25" s="102">
        <f t="shared" si="23"/>
        <v>3692000</v>
      </c>
      <c r="CF25" s="102">
        <f t="shared" si="24"/>
        <v>3692000</v>
      </c>
      <c r="CG25" s="102">
        <f t="shared" si="25"/>
        <v>0</v>
      </c>
      <c r="CH25" s="124">
        <f t="shared" si="26"/>
        <v>14768000</v>
      </c>
      <c r="CI25" s="125">
        <f t="shared" si="27"/>
        <v>0.2</v>
      </c>
      <c r="CJ25" s="126" t="str">
        <f t="shared" si="28"/>
        <v>数据正确</v>
      </c>
    </row>
    <row r="26" s="60" customFormat="1" customHeight="1" spans="2:88">
      <c r="B26" s="70" t="str">
        <f t="shared" si="18"/>
        <v>-</v>
      </c>
      <c r="C26" s="71" t="str">
        <f t="shared" si="19"/>
        <v>-</v>
      </c>
      <c r="D26" s="181">
        <f t="shared" si="20"/>
        <v>35880000</v>
      </c>
      <c r="E26" s="181">
        <f>SUMIF(设备合同!$L$6:$L$302,L26,设备合同!$E$6:$E$302)</f>
        <v>0</v>
      </c>
      <c r="F26" s="181">
        <f>SUMIF(设备合同!$L$6:$L$302,L26,设备合同!$F$6:$F$302)</f>
        <v>0</v>
      </c>
      <c r="G26" s="181">
        <f>SUMIF(设备合同!$L$6:$L$302,L26,设备合同!$G$6:$G$302)</f>
        <v>0</v>
      </c>
      <c r="H26" s="181">
        <f>SUMIF(设备合同!$L$6:$L$302,L26,设备合同!$H$6:$H$302)</f>
        <v>0</v>
      </c>
      <c r="I26" s="181">
        <f t="shared" si="21"/>
        <v>0</v>
      </c>
      <c r="J26" s="86" t="s">
        <v>98</v>
      </c>
      <c r="K26" s="87"/>
      <c r="L26" s="88">
        <v>21</v>
      </c>
      <c r="M26" s="89" t="str">
        <f>VLOOKUP(L26,设备合同!$L$6:$CC$302,2,0)</f>
        <v>YRKJEQ-170018</v>
      </c>
      <c r="N26" s="90" t="str">
        <f>VLOOKUP(L26,设备合同!$L$6:$CC$302,3,0)</f>
        <v>设备合同</v>
      </c>
      <c r="O26" s="265">
        <f>VLOOKUP(L26,设备合同!$L$6:$CC$302,4,0)</f>
        <v>2017030076</v>
      </c>
      <c r="P26" s="266">
        <f>VLOOKUP(L26,设备合同!$L$6:$CC$302,5,0)</f>
        <v>42857</v>
      </c>
      <c r="Q26" s="275">
        <f>VLOOKUP(L26,设备合同!$L$6:$CC$302,6,0)</f>
        <v>59800000</v>
      </c>
      <c r="R26" s="89" t="str">
        <f>VLOOKUP(L26,设备合同!$L$6:$CC$302,7,0)</f>
        <v>环己酮装置哈氏合金设备24台</v>
      </c>
      <c r="S26" s="89" t="str">
        <f>VLOOKUP(L26,设备合同!$L$6:$CC$302,8,0)</f>
        <v>上海勃冠自动化设备有限公司</v>
      </c>
      <c r="T26" s="107" t="str">
        <f>VLOOKUP(L26,设备合同!$L$6:$CC$302,9,0)</f>
        <v>环己酮装置</v>
      </c>
      <c r="U26" s="103" t="str">
        <f>VLOOKUP(L26,设备合同!$L$6:$CC$302,10,0)</f>
        <v>电汇</v>
      </c>
      <c r="V26" s="276" t="str">
        <f>VLOOKUP(L26,设备合同!$L$6:$CC$302,11,0)</f>
        <v>合同签订后1周内卖方向买方提交本合同总价20%财务收据后15天内，买方向卖方支付合同总价的20%</v>
      </c>
      <c r="W26" s="102">
        <f>VLOOKUP(L26,设备合同!$L$6:$CC$302,12,0)</f>
        <v>11960000</v>
      </c>
      <c r="X26" s="102">
        <f>VLOOKUP(L26,设备合同!$L$6:$CC$302,13,0)</f>
        <v>11960000</v>
      </c>
      <c r="Y26" s="102">
        <f>VLOOKUP(L26,设备合同!$L$6:$CC$302,14,0)</f>
        <v>11960000</v>
      </c>
      <c r="Z26" s="102" t="str">
        <f>VLOOKUP(L26,设备合同!$L$6:$CC$302,15,0)</f>
        <v>合同签订后4个月内买方见证卖方进度（见证三分技术协议）中丙方已签订的哈式合金板材订购合同、复合板订购合同、哈式合金内盘管订购合同、主要锻件订购合同、减速机订购合同、机械密封订购合同、以上均为无价格原始合同，且收到卖方支付本合同总价40%的进度款</v>
      </c>
      <c r="AA26" s="102">
        <f>VLOOKUP(L26,设备合同!$L$6:$CC$302,16,0)</f>
        <v>23920000</v>
      </c>
      <c r="AB26" s="102">
        <f>VLOOKUP(L26,设备合同!$L$6:$CC$302,17,0)</f>
        <v>23920000</v>
      </c>
      <c r="AC26" s="102">
        <f>VLOOKUP(L26,设备合同!$L$6:$CC$302,18,0)</f>
        <v>23920000</v>
      </c>
      <c r="AD26" s="102" t="str">
        <f>VLOOKUP(L26,设备合同!$L$6:$CC$302,19,0)</f>
        <v>本合同全部设备生产制造完成，并由三方技术协议中丙方提交完整对应资料，买方受到卖方提交本合同总价100%增值税专用发票以及本合同总价5%的质量保函（质量保函失效期为2020年5月9日）后15天内，支付合同总价40%的发货款</v>
      </c>
      <c r="AE26" s="102">
        <f>VLOOKUP(L26,设备合同!$L$6:$CC$302,20,0)</f>
        <v>23920000</v>
      </c>
      <c r="AF26" s="102">
        <f>VLOOKUP(L26,设备合同!$L$6:$CC$302,21,0)</f>
        <v>0</v>
      </c>
      <c r="AG26" s="102">
        <f>VLOOKUP(L26,设备合同!$L$6:$CC$302,22,0)</f>
        <v>0</v>
      </c>
      <c r="AH26" s="102" t="str">
        <f>VLOOKUP(L26,设备合同!$L$6:$CC$302,23,0)</f>
        <v>卖方收到买方发货款后3天内将本合同货物全部发出，并对出厂全部货物购买对应运输保险</v>
      </c>
      <c r="AI26" s="102">
        <f>VLOOKUP(L26,设备合同!$L$6:$CC$302,24,0)</f>
        <v>0</v>
      </c>
      <c r="AJ26" s="102">
        <f>VLOOKUP(L26,设备合同!$L$6:$CC$302,25,0)</f>
        <v>0</v>
      </c>
      <c r="AK26" s="102">
        <f>VLOOKUP(L26,设备合同!$L$6:$CC$302,26,0)</f>
        <v>0</v>
      </c>
      <c r="AL26" s="102">
        <f>VLOOKUP(L26,设备合同!$L$6:$CC$302,27,0)</f>
        <v>0</v>
      </c>
      <c r="AM26" s="102">
        <f>VLOOKUP(L26,设备合同!$L$6:$CC$302,28,0)</f>
        <v>0</v>
      </c>
      <c r="AN26" s="102">
        <f>VLOOKUP(L26,设备合同!$L$6:$CC$302,29,0)</f>
        <v>0</v>
      </c>
      <c r="AO26" s="102">
        <f>VLOOKUP(L26,设备合同!$L$6:$CC$302,30,0)</f>
        <v>0</v>
      </c>
      <c r="AP26" s="102">
        <f>VLOOKUP(L26,设备合同!$L$6:$CC$302,31,0)</f>
        <v>0</v>
      </c>
      <c r="AQ26" s="102">
        <f>VLOOKUP(L26,设备合同!$L$6:$CC$302,32,0)</f>
        <v>0</v>
      </c>
      <c r="AR26" s="102">
        <f>VLOOKUP(L26,设备合同!$L$6:$CC$302,33,0)</f>
        <v>0</v>
      </c>
      <c r="AS26" s="102">
        <f>VLOOKUP(L26,设备合同!$L$6:$CC$302,34,0)</f>
        <v>0</v>
      </c>
      <c r="AT26" s="102">
        <f>VLOOKUP(L26,设备合同!$L$6:$CC$302,35,0)</f>
        <v>0</v>
      </c>
      <c r="AU26" s="102">
        <f>VLOOKUP(L26,设备合同!$L$6:$CC$302,36,0)</f>
        <v>0</v>
      </c>
      <c r="AV26" s="102">
        <f>VLOOKUP(L26,设备合同!$L$6:$CC$302,37,0)</f>
        <v>0</v>
      </c>
      <c r="AW26" s="102">
        <f>VLOOKUP(L26,设备合同!$L$6:$CC$302,38,0)</f>
        <v>0</v>
      </c>
      <c r="AX26" s="102">
        <f>VLOOKUP(L26,设备合同!$L$6:$CC$302,39,0)</f>
        <v>0</v>
      </c>
      <c r="AY26" s="102">
        <f>VLOOKUP(L26,设备合同!$L$6:$CC$302,40,0)</f>
        <v>0</v>
      </c>
      <c r="AZ26" s="102">
        <f>VLOOKUP(L26,设备合同!$L$6:$CC$302,41,0)</f>
        <v>0</v>
      </c>
      <c r="BA26" s="102">
        <f>VLOOKUP(L26,设备合同!$L$6:$CC$302,42,0)</f>
        <v>0</v>
      </c>
      <c r="BB26" s="102">
        <f>VLOOKUP(L26,设备合同!$L$6:$CC$302,43,0)</f>
        <v>0</v>
      </c>
      <c r="BC26" s="102">
        <f>VLOOKUP(L26,设备合同!$L$6:$CC$302,44,0)</f>
        <v>0</v>
      </c>
      <c r="BD26" s="102">
        <f>VLOOKUP(L26,设备合同!$L$6:$CC$302,45,0)</f>
        <v>0</v>
      </c>
      <c r="BE26" s="102">
        <f>VLOOKUP(L26,设备合同!$L$6:$CC$302,46,0)</f>
        <v>0</v>
      </c>
      <c r="BF26" s="102">
        <f>VLOOKUP(L26,设备合同!$L$6:$CC$302,47,0)</f>
        <v>0</v>
      </c>
      <c r="BG26" s="102">
        <f>VLOOKUP(L26,设备合同!$L$6:$CC$302,48,0)</f>
        <v>0</v>
      </c>
      <c r="BH26" s="102">
        <f>VLOOKUP(L26,设备合同!$L$6:$CC$302,49,0)</f>
        <v>0</v>
      </c>
      <c r="BI26" s="102">
        <f>VLOOKUP(L26,设备合同!$L$6:$CC$302,50,0)</f>
        <v>0</v>
      </c>
      <c r="BJ26" s="102">
        <f>VLOOKUP(L26,设备合同!$L$6:$CC$302,51,0)</f>
        <v>0</v>
      </c>
      <c r="BK26" s="102">
        <f>VLOOKUP(L26,设备合同!$L$6:$CC$302,52,0)</f>
        <v>0</v>
      </c>
      <c r="BL26" s="102">
        <f>VLOOKUP(L26,设备合同!$L$6:$CC$302,53,0)</f>
        <v>0</v>
      </c>
      <c r="BM26" s="102">
        <f>VLOOKUP(L26,设备合同!$L$6:$CC$302,54,0)</f>
        <v>0</v>
      </c>
      <c r="BN26" s="102">
        <f>VLOOKUP(L26,设备合同!$L$6:$CC$302,55,0)</f>
        <v>0</v>
      </c>
      <c r="BO26" s="102">
        <f>VLOOKUP(L26,设备合同!$L$6:$CC$302,56,0)</f>
        <v>0</v>
      </c>
      <c r="BP26" s="102">
        <f>VLOOKUP(L26,设备合同!$L$6:$CC$302,57,0)</f>
        <v>0</v>
      </c>
      <c r="BQ26" s="102">
        <f>VLOOKUP(L26,设备合同!$L$6:$CC$302,58,0)</f>
        <v>0</v>
      </c>
      <c r="BR26" s="102">
        <f>VLOOKUP(L26,设备合同!$L$6:$CC$302,59,0)</f>
        <v>0</v>
      </c>
      <c r="BS26" s="102">
        <f>VLOOKUP(L26,设备合同!$L$6:$CC$302,60,0)</f>
        <v>0</v>
      </c>
      <c r="BT26" s="102">
        <f>VLOOKUP(L26,设备合同!$L$6:$CC$302,61,0)</f>
        <v>0</v>
      </c>
      <c r="BU26" s="102">
        <f>VLOOKUP(L26,设备合同!$L$6:$CC$302,62,0)</f>
        <v>0</v>
      </c>
      <c r="BV26" s="102">
        <f>VLOOKUP(L26,设备合同!$L$6:$CC$302,63,0)</f>
        <v>0</v>
      </c>
      <c r="BW26" s="102">
        <f>VLOOKUP(L26,设备合同!$L$6:$CC$302,64,0)</f>
        <v>0</v>
      </c>
      <c r="BX26" s="102">
        <f>VLOOKUP(L26,设备合同!$L$6:$CC$302,65,0)</f>
        <v>0</v>
      </c>
      <c r="BY26" s="102">
        <f>VLOOKUP(L26,设备合同!$L$6:$CC$302,66,0)</f>
        <v>0</v>
      </c>
      <c r="BZ26" s="102">
        <f>VLOOKUP(L26,设备合同!$L$6:$CC$302,67,0)</f>
        <v>0</v>
      </c>
      <c r="CA26" s="102">
        <f>VLOOKUP(L26,设备合同!$L$6:$CC$302,68,0)</f>
        <v>0</v>
      </c>
      <c r="CB26" s="102">
        <f>VLOOKUP(L26,设备合同!$L$6:$CC$302,69,0)</f>
        <v>0</v>
      </c>
      <c r="CC26" s="102">
        <f>VLOOKUP(L26,设备合同!$L$6:$CC$302,70,0)</f>
        <v>0</v>
      </c>
      <c r="CD26" s="123">
        <f t="shared" si="22"/>
        <v>59800000</v>
      </c>
      <c r="CE26" s="102">
        <f t="shared" si="23"/>
        <v>35880000</v>
      </c>
      <c r="CF26" s="102">
        <f t="shared" si="24"/>
        <v>35880000</v>
      </c>
      <c r="CG26" s="102">
        <f t="shared" si="25"/>
        <v>0</v>
      </c>
      <c r="CH26" s="124">
        <f t="shared" si="26"/>
        <v>23920000</v>
      </c>
      <c r="CI26" s="125">
        <f t="shared" si="27"/>
        <v>0.6</v>
      </c>
      <c r="CJ26" s="126" t="str">
        <f t="shared" si="28"/>
        <v>数据正确</v>
      </c>
    </row>
    <row r="27" s="60" customFormat="1" customHeight="1" spans="2:88">
      <c r="B27" s="70" t="str">
        <f t="shared" si="18"/>
        <v>-</v>
      </c>
      <c r="C27" s="71" t="str">
        <f t="shared" si="19"/>
        <v>-</v>
      </c>
      <c r="D27" s="181">
        <f t="shared" si="20"/>
        <v>0</v>
      </c>
      <c r="E27" s="181">
        <f>SUMIF(设备合同!$L$6:$L$302,L27,设备合同!$E$6:$E$302)</f>
        <v>0</v>
      </c>
      <c r="F27" s="181">
        <f>SUMIF(设备合同!$L$6:$L$302,L27,设备合同!$F$6:$F$302)</f>
        <v>0</v>
      </c>
      <c r="G27" s="181">
        <f>SUMIF(设备合同!$L$6:$L$302,L27,设备合同!$G$6:$G$302)</f>
        <v>0</v>
      </c>
      <c r="H27" s="181">
        <f>SUMIF(设备合同!$L$6:$L$302,L27,设备合同!$H$6:$H$302)</f>
        <v>0</v>
      </c>
      <c r="I27" s="181">
        <f t="shared" si="21"/>
        <v>0</v>
      </c>
      <c r="J27" s="86" t="s">
        <v>98</v>
      </c>
      <c r="K27" s="87"/>
      <c r="L27" s="88">
        <v>22</v>
      </c>
      <c r="M27" s="89" t="str">
        <f>VLOOKUP(L27,设备合同!$L$6:$CC$302,2,0)</f>
        <v>YRKJEQ-170019</v>
      </c>
      <c r="N27" s="90" t="str">
        <f>VLOOKUP(L27,设备合同!$L$6:$CC$302,3,0)</f>
        <v>设备合同</v>
      </c>
      <c r="O27" s="265">
        <f>VLOOKUP(L27,设备合同!$L$6:$CC$302,4,0)</f>
        <v>2017040001</v>
      </c>
      <c r="P27" s="266">
        <f>VLOOKUP(L27,设备合同!$L$6:$CC$302,5,0)</f>
        <v>42859</v>
      </c>
      <c r="Q27" s="275">
        <f>VLOOKUP(L27,设备合同!$L$6:$CC$302,6,0)</f>
        <v>1460000</v>
      </c>
      <c r="R27" s="89" t="str">
        <f>VLOOKUP(L27,设备合同!$L$6:$CC$302,7,0)</f>
        <v>洗涤塔塔内件</v>
      </c>
      <c r="S27" s="89" t="str">
        <f>VLOOKUP(L27,设备合同!$L$6:$CC$302,8,0)</f>
        <v>长沙市弘达石化设备有限公司</v>
      </c>
      <c r="T27" s="107">
        <f>VLOOKUP(L27,设备合同!$L$6:$CC$302,9,0)</f>
        <v>0</v>
      </c>
      <c r="U27" s="103" t="str">
        <f>VLOOKUP(L27,设备合同!$L$6:$CC$302,10,0)</f>
        <v>6个月承兑汇票</v>
      </c>
      <c r="V27" s="276" t="str">
        <f>VLOOKUP(L27,设备合同!$L$6:$CC$302,11,0)</f>
        <v>甲方至乙方工厂清点验货无误后，收到乙方30%的银行保函，并收到17%专票后15个工作日内支付</v>
      </c>
      <c r="W27" s="102">
        <f>VLOOKUP(L27,设备合同!$L$6:$CC$302,12,0)</f>
        <v>438000</v>
      </c>
      <c r="X27" s="102">
        <f>VLOOKUP(L27,设备合同!$L$6:$CC$302,13,0)</f>
        <v>0</v>
      </c>
      <c r="Y27" s="102">
        <f>VLOOKUP(L27,设备合同!$L$6:$CC$302,14,0)</f>
        <v>0</v>
      </c>
      <c r="Z27" s="102" t="str">
        <f>VLOOKUP(L27,设备合同!$L$6:$CC$302,15,0)</f>
        <v>甲方验收合格后，15个工作日内支付60%的货款</v>
      </c>
      <c r="AA27" s="102">
        <f>VLOOKUP(L27,设备合同!$L$6:$CC$302,16,0)</f>
        <v>876000</v>
      </c>
      <c r="AB27" s="102">
        <f>VLOOKUP(L27,设备合同!$L$6:$CC$302,17,0)</f>
        <v>0</v>
      </c>
      <c r="AC27" s="102">
        <f>VLOOKUP(L27,设备合同!$L$6:$CC$302,18,0)</f>
        <v>0</v>
      </c>
      <c r="AD27" s="102" t="str">
        <f>VLOOKUP(L27,设备合同!$L$6:$CC$302,19,0)</f>
        <v>10%的货款作为质保金，验收合格后18个月后支付</v>
      </c>
      <c r="AE27" s="102">
        <f>VLOOKUP(L27,设备合同!$L$6:$CC$302,20,0)</f>
        <v>146000</v>
      </c>
      <c r="AF27" s="102">
        <f>VLOOKUP(L27,设备合同!$L$6:$CC$302,21,0)</f>
        <v>0</v>
      </c>
      <c r="AG27" s="102">
        <f>VLOOKUP(L27,设备合同!$L$6:$CC$302,22,0)</f>
        <v>0</v>
      </c>
      <c r="AH27" s="102">
        <f>VLOOKUP(L27,设备合同!$L$6:$CC$302,23,0)</f>
        <v>0</v>
      </c>
      <c r="AI27" s="102">
        <f>VLOOKUP(L27,设备合同!$L$6:$CC$302,24,0)</f>
        <v>0</v>
      </c>
      <c r="AJ27" s="102">
        <f>VLOOKUP(L27,设备合同!$L$6:$CC$302,25,0)</f>
        <v>0</v>
      </c>
      <c r="AK27" s="102">
        <f>VLOOKUP(L27,设备合同!$L$6:$CC$302,26,0)</f>
        <v>0</v>
      </c>
      <c r="AL27" s="102">
        <f>VLOOKUP(L27,设备合同!$L$6:$CC$302,27,0)</f>
        <v>0</v>
      </c>
      <c r="AM27" s="102">
        <f>VLOOKUP(L27,设备合同!$L$6:$CC$302,28,0)</f>
        <v>0</v>
      </c>
      <c r="AN27" s="102">
        <f>VLOOKUP(L27,设备合同!$L$6:$CC$302,29,0)</f>
        <v>0</v>
      </c>
      <c r="AO27" s="102">
        <f>VLOOKUP(L27,设备合同!$L$6:$CC$302,30,0)</f>
        <v>0</v>
      </c>
      <c r="AP27" s="102">
        <f>VLOOKUP(L27,设备合同!$L$6:$CC$302,31,0)</f>
        <v>0</v>
      </c>
      <c r="AQ27" s="102">
        <f>VLOOKUP(L27,设备合同!$L$6:$CC$302,32,0)</f>
        <v>0</v>
      </c>
      <c r="AR27" s="102">
        <f>VLOOKUP(L27,设备合同!$L$6:$CC$302,33,0)</f>
        <v>0</v>
      </c>
      <c r="AS27" s="102">
        <f>VLOOKUP(L27,设备合同!$L$6:$CC$302,34,0)</f>
        <v>0</v>
      </c>
      <c r="AT27" s="102">
        <f>VLOOKUP(L27,设备合同!$L$6:$CC$302,35,0)</f>
        <v>0</v>
      </c>
      <c r="AU27" s="102">
        <f>VLOOKUP(L27,设备合同!$L$6:$CC$302,36,0)</f>
        <v>0</v>
      </c>
      <c r="AV27" s="102">
        <f>VLOOKUP(L27,设备合同!$L$6:$CC$302,37,0)</f>
        <v>0</v>
      </c>
      <c r="AW27" s="102">
        <f>VLOOKUP(L27,设备合同!$L$6:$CC$302,38,0)</f>
        <v>0</v>
      </c>
      <c r="AX27" s="102">
        <f>VLOOKUP(L27,设备合同!$L$6:$CC$302,39,0)</f>
        <v>0</v>
      </c>
      <c r="AY27" s="102">
        <f>VLOOKUP(L27,设备合同!$L$6:$CC$302,40,0)</f>
        <v>0</v>
      </c>
      <c r="AZ27" s="102">
        <f>VLOOKUP(L27,设备合同!$L$6:$CC$302,41,0)</f>
        <v>0</v>
      </c>
      <c r="BA27" s="102">
        <f>VLOOKUP(L27,设备合同!$L$6:$CC$302,42,0)</f>
        <v>0</v>
      </c>
      <c r="BB27" s="102">
        <f>VLOOKUP(L27,设备合同!$L$6:$CC$302,43,0)</f>
        <v>0</v>
      </c>
      <c r="BC27" s="102">
        <f>VLOOKUP(L27,设备合同!$L$6:$CC$302,44,0)</f>
        <v>0</v>
      </c>
      <c r="BD27" s="102">
        <f>VLOOKUP(L27,设备合同!$L$6:$CC$302,45,0)</f>
        <v>0</v>
      </c>
      <c r="BE27" s="102">
        <f>VLOOKUP(L27,设备合同!$L$6:$CC$302,46,0)</f>
        <v>0</v>
      </c>
      <c r="BF27" s="102">
        <f>VLOOKUP(L27,设备合同!$L$6:$CC$302,47,0)</f>
        <v>0</v>
      </c>
      <c r="BG27" s="102">
        <f>VLOOKUP(L27,设备合同!$L$6:$CC$302,48,0)</f>
        <v>0</v>
      </c>
      <c r="BH27" s="102">
        <f>VLOOKUP(L27,设备合同!$L$6:$CC$302,49,0)</f>
        <v>0</v>
      </c>
      <c r="BI27" s="102">
        <f>VLOOKUP(L27,设备合同!$L$6:$CC$302,50,0)</f>
        <v>0</v>
      </c>
      <c r="BJ27" s="102">
        <f>VLOOKUP(L27,设备合同!$L$6:$CC$302,51,0)</f>
        <v>0</v>
      </c>
      <c r="BK27" s="102">
        <f>VLOOKUP(L27,设备合同!$L$6:$CC$302,52,0)</f>
        <v>0</v>
      </c>
      <c r="BL27" s="102">
        <f>VLOOKUP(L27,设备合同!$L$6:$CC$302,53,0)</f>
        <v>0</v>
      </c>
      <c r="BM27" s="102">
        <f>VLOOKUP(L27,设备合同!$L$6:$CC$302,54,0)</f>
        <v>0</v>
      </c>
      <c r="BN27" s="102">
        <f>VLOOKUP(L27,设备合同!$L$6:$CC$302,55,0)</f>
        <v>0</v>
      </c>
      <c r="BO27" s="102">
        <f>VLOOKUP(L27,设备合同!$L$6:$CC$302,56,0)</f>
        <v>0</v>
      </c>
      <c r="BP27" s="102">
        <f>VLOOKUP(L27,设备合同!$L$6:$CC$302,57,0)</f>
        <v>0</v>
      </c>
      <c r="BQ27" s="102">
        <f>VLOOKUP(L27,设备合同!$L$6:$CC$302,58,0)</f>
        <v>0</v>
      </c>
      <c r="BR27" s="102">
        <f>VLOOKUP(L27,设备合同!$L$6:$CC$302,59,0)</f>
        <v>0</v>
      </c>
      <c r="BS27" s="102">
        <f>VLOOKUP(L27,设备合同!$L$6:$CC$302,60,0)</f>
        <v>0</v>
      </c>
      <c r="BT27" s="102">
        <f>VLOOKUP(L27,设备合同!$L$6:$CC$302,61,0)</f>
        <v>0</v>
      </c>
      <c r="BU27" s="102">
        <f>VLOOKUP(L27,设备合同!$L$6:$CC$302,62,0)</f>
        <v>0</v>
      </c>
      <c r="BV27" s="102">
        <f>VLOOKUP(L27,设备合同!$L$6:$CC$302,63,0)</f>
        <v>0</v>
      </c>
      <c r="BW27" s="102">
        <f>VLOOKUP(L27,设备合同!$L$6:$CC$302,64,0)</f>
        <v>0</v>
      </c>
      <c r="BX27" s="102">
        <f>VLOOKUP(L27,设备合同!$L$6:$CC$302,65,0)</f>
        <v>0</v>
      </c>
      <c r="BY27" s="102">
        <f>VLOOKUP(L27,设备合同!$L$6:$CC$302,66,0)</f>
        <v>0</v>
      </c>
      <c r="BZ27" s="102">
        <f>VLOOKUP(L27,设备合同!$L$6:$CC$302,67,0)</f>
        <v>0</v>
      </c>
      <c r="CA27" s="102">
        <f>VLOOKUP(L27,设备合同!$L$6:$CC$302,68,0)</f>
        <v>0</v>
      </c>
      <c r="CB27" s="102">
        <f>VLOOKUP(L27,设备合同!$L$6:$CC$302,69,0)</f>
        <v>0</v>
      </c>
      <c r="CC27" s="102">
        <f>VLOOKUP(L27,设备合同!$L$6:$CC$302,70,0)</f>
        <v>0</v>
      </c>
      <c r="CD27" s="123">
        <f t="shared" si="22"/>
        <v>1460000</v>
      </c>
      <c r="CE27" s="102">
        <f t="shared" si="23"/>
        <v>0</v>
      </c>
      <c r="CF27" s="102">
        <f t="shared" si="24"/>
        <v>0</v>
      </c>
      <c r="CG27" s="102">
        <f t="shared" si="25"/>
        <v>0</v>
      </c>
      <c r="CH27" s="124">
        <f t="shared" si="26"/>
        <v>1460000</v>
      </c>
      <c r="CI27" s="125">
        <f t="shared" si="27"/>
        <v>0</v>
      </c>
      <c r="CJ27" s="126" t="str">
        <f t="shared" si="28"/>
        <v>数据正确</v>
      </c>
    </row>
    <row r="28" s="60" customFormat="1" customHeight="1" spans="2:88">
      <c r="B28" s="70" t="str">
        <f t="shared" si="18"/>
        <v>-</v>
      </c>
      <c r="C28" s="71" t="str">
        <f t="shared" si="19"/>
        <v>-</v>
      </c>
      <c r="D28" s="181">
        <f t="shared" si="20"/>
        <v>710000</v>
      </c>
      <c r="E28" s="181">
        <f>SUMIF(设备合同!$L$6:$L$302,L28,设备合同!$E$6:$E$302)</f>
        <v>0</v>
      </c>
      <c r="F28" s="181">
        <f>SUMIF(设备合同!$L$6:$L$302,L28,设备合同!$F$6:$F$302)</f>
        <v>0</v>
      </c>
      <c r="G28" s="181">
        <f>SUMIF(设备合同!$L$6:$L$302,L28,设备合同!$G$6:$G$302)</f>
        <v>0</v>
      </c>
      <c r="H28" s="181">
        <f>SUMIF(设备合同!$L$6:$L$302,L28,设备合同!$H$6:$H$302)</f>
        <v>0</v>
      </c>
      <c r="I28" s="181">
        <f t="shared" si="21"/>
        <v>0</v>
      </c>
      <c r="J28" s="86" t="s">
        <v>98</v>
      </c>
      <c r="K28" s="87"/>
      <c r="L28" s="88">
        <v>23</v>
      </c>
      <c r="M28" s="89" t="str">
        <f>VLOOKUP(L28,设备合同!$L$6:$CC$302,2,0)</f>
        <v>YRKJEQ-170021</v>
      </c>
      <c r="N28" s="90" t="str">
        <f>VLOOKUP(L28,设备合同!$L$6:$CC$302,3,0)</f>
        <v>设备合同</v>
      </c>
      <c r="O28" s="265">
        <f>VLOOKUP(L28,设备合同!$L$6:$CC$302,4,0)</f>
        <v>2017040050</v>
      </c>
      <c r="P28" s="266">
        <f>VLOOKUP(L28,设备合同!$L$6:$CC$302,5,0)</f>
        <v>42898</v>
      </c>
      <c r="Q28" s="275">
        <f>VLOOKUP(L28,设备合同!$L$6:$CC$302,6,0)</f>
        <v>3550000</v>
      </c>
      <c r="R28" s="89" t="str">
        <f>VLOOKUP(L28,设备合同!$L$6:$CC$302,7,0)</f>
        <v>硫铵自动包装线</v>
      </c>
      <c r="S28" s="89" t="str">
        <f>VLOOKUP(L28,设备合同!$L$6:$CC$302,8,0)</f>
        <v>无锡力马化工机械有限公司</v>
      </c>
      <c r="T28" s="107" t="str">
        <f>VLOOKUP(L28,设备合同!$L$6:$CC$302,9,0)</f>
        <v>硫铵装置</v>
      </c>
      <c r="U28" s="103" t="str">
        <f>VLOOKUP(L28,设备合同!$L$6:$CC$302,10,0)</f>
        <v>6个月承兑汇票</v>
      </c>
      <c r="V28" s="276" t="str">
        <f>VLOOKUP(L28,设备合同!$L$6:$CC$302,11,0)</f>
        <v>收到乙方有效期2018年3月1日合同20%预付保函和20%财务收据后15个工作日内支付20%预付款</v>
      </c>
      <c r="W28" s="102">
        <f>VLOOKUP(L28,设备合同!$L$6:$CC$302,12,0)</f>
        <v>710000</v>
      </c>
      <c r="X28" s="102">
        <f>VLOOKUP(L28,设备合同!$L$6:$CC$302,13,0)</f>
        <v>710000</v>
      </c>
      <c r="Y28" s="102">
        <f>VLOOKUP(L28,设备合同!$L$6:$CC$302,14,0)</f>
        <v>710000</v>
      </c>
      <c r="Z28" s="102" t="str">
        <f>VLOOKUP(L28,设备合同!$L$6:$CC$302,15,0)</f>
        <v>甲方到乙方现场确认无误后，收到17%全额专票，15个工作日内支付40%发货款</v>
      </c>
      <c r="AA28" s="102">
        <f>VLOOKUP(L28,设备合同!$L$6:$CC$302,16,0)</f>
        <v>1420000</v>
      </c>
      <c r="AB28" s="102">
        <f>VLOOKUP(L28,设备合同!$L$6:$CC$302,17,0)</f>
        <v>0</v>
      </c>
      <c r="AC28" s="102">
        <f>VLOOKUP(L28,设备合同!$L$6:$CC$302,18,0)</f>
        <v>0</v>
      </c>
      <c r="AD28" s="102" t="str">
        <f>VLOOKUP(L28,设备合同!$L$6:$CC$302,19,0)</f>
        <v>货物到达甲方清点无误，收到6个月（有效期2018年9月1日）履约保函后，15个工作日内支付30%货款</v>
      </c>
      <c r="AE28" s="102">
        <f>VLOOKUP(L28,设备合同!$L$6:$CC$302,20,0)</f>
        <v>1065000</v>
      </c>
      <c r="AF28" s="102">
        <f>VLOOKUP(L28,设备合同!$L$6:$CC$302,21,0)</f>
        <v>0</v>
      </c>
      <c r="AG28" s="102">
        <f>VLOOKUP(L28,设备合同!$L$6:$CC$302,22,0)</f>
        <v>0</v>
      </c>
      <c r="AH28" s="102" t="str">
        <f>VLOOKUP(L28,设备合同!$L$6:$CC$302,23,0)</f>
        <v>10%总价作为质保金，验收合格后12个月保期满后15个工作日支付</v>
      </c>
      <c r="AI28" s="102">
        <f>VLOOKUP(L28,设备合同!$L$6:$CC$302,24,0)</f>
        <v>355000</v>
      </c>
      <c r="AJ28" s="102">
        <f>VLOOKUP(L28,设备合同!$L$6:$CC$302,25,0)</f>
        <v>0</v>
      </c>
      <c r="AK28" s="102">
        <f>VLOOKUP(L28,设备合同!$L$6:$CC$302,26,0)</f>
        <v>0</v>
      </c>
      <c r="AL28" s="102">
        <f>VLOOKUP(L28,设备合同!$L$6:$CC$302,27,0)</f>
        <v>0</v>
      </c>
      <c r="AM28" s="102">
        <f>VLOOKUP(L28,设备合同!$L$6:$CC$302,28,0)</f>
        <v>0</v>
      </c>
      <c r="AN28" s="102">
        <f>VLOOKUP(L28,设备合同!$L$6:$CC$302,29,0)</f>
        <v>0</v>
      </c>
      <c r="AO28" s="102">
        <f>VLOOKUP(L28,设备合同!$L$6:$CC$302,30,0)</f>
        <v>0</v>
      </c>
      <c r="AP28" s="102">
        <f>VLOOKUP(L28,设备合同!$L$6:$CC$302,31,0)</f>
        <v>0</v>
      </c>
      <c r="AQ28" s="102">
        <f>VLOOKUP(L28,设备合同!$L$6:$CC$302,32,0)</f>
        <v>0</v>
      </c>
      <c r="AR28" s="102">
        <f>VLOOKUP(L28,设备合同!$L$6:$CC$302,33,0)</f>
        <v>0</v>
      </c>
      <c r="AS28" s="102">
        <f>VLOOKUP(L28,设备合同!$L$6:$CC$302,34,0)</f>
        <v>0</v>
      </c>
      <c r="AT28" s="102">
        <f>VLOOKUP(L28,设备合同!$L$6:$CC$302,35,0)</f>
        <v>0</v>
      </c>
      <c r="AU28" s="102">
        <f>VLOOKUP(L28,设备合同!$L$6:$CC$302,36,0)</f>
        <v>0</v>
      </c>
      <c r="AV28" s="102">
        <f>VLOOKUP(L28,设备合同!$L$6:$CC$302,37,0)</f>
        <v>0</v>
      </c>
      <c r="AW28" s="102">
        <f>VLOOKUP(L28,设备合同!$L$6:$CC$302,38,0)</f>
        <v>0</v>
      </c>
      <c r="AX28" s="102">
        <f>VLOOKUP(L28,设备合同!$L$6:$CC$302,39,0)</f>
        <v>0</v>
      </c>
      <c r="AY28" s="102">
        <f>VLOOKUP(L28,设备合同!$L$6:$CC$302,40,0)</f>
        <v>0</v>
      </c>
      <c r="AZ28" s="102">
        <f>VLOOKUP(L28,设备合同!$L$6:$CC$302,41,0)</f>
        <v>0</v>
      </c>
      <c r="BA28" s="102">
        <f>VLOOKUP(L28,设备合同!$L$6:$CC$302,42,0)</f>
        <v>0</v>
      </c>
      <c r="BB28" s="102">
        <f>VLOOKUP(L28,设备合同!$L$6:$CC$302,43,0)</f>
        <v>0</v>
      </c>
      <c r="BC28" s="102">
        <f>VLOOKUP(L28,设备合同!$L$6:$CC$302,44,0)</f>
        <v>0</v>
      </c>
      <c r="BD28" s="102">
        <f>VLOOKUP(L28,设备合同!$L$6:$CC$302,45,0)</f>
        <v>0</v>
      </c>
      <c r="BE28" s="102">
        <f>VLOOKUP(L28,设备合同!$L$6:$CC$302,46,0)</f>
        <v>0</v>
      </c>
      <c r="BF28" s="102">
        <f>VLOOKUP(L28,设备合同!$L$6:$CC$302,47,0)</f>
        <v>0</v>
      </c>
      <c r="BG28" s="102">
        <f>VLOOKUP(L28,设备合同!$L$6:$CC$302,48,0)</f>
        <v>0</v>
      </c>
      <c r="BH28" s="102">
        <f>VLOOKUP(L28,设备合同!$L$6:$CC$302,49,0)</f>
        <v>0</v>
      </c>
      <c r="BI28" s="102">
        <f>VLOOKUP(L28,设备合同!$L$6:$CC$302,50,0)</f>
        <v>0</v>
      </c>
      <c r="BJ28" s="102">
        <f>VLOOKUP(L28,设备合同!$L$6:$CC$302,51,0)</f>
        <v>0</v>
      </c>
      <c r="BK28" s="102">
        <f>VLOOKUP(L28,设备合同!$L$6:$CC$302,52,0)</f>
        <v>0</v>
      </c>
      <c r="BL28" s="102">
        <f>VLOOKUP(L28,设备合同!$L$6:$CC$302,53,0)</f>
        <v>0</v>
      </c>
      <c r="BM28" s="102">
        <f>VLOOKUP(L28,设备合同!$L$6:$CC$302,54,0)</f>
        <v>0</v>
      </c>
      <c r="BN28" s="102">
        <f>VLOOKUP(L28,设备合同!$L$6:$CC$302,55,0)</f>
        <v>0</v>
      </c>
      <c r="BO28" s="102">
        <f>VLOOKUP(L28,设备合同!$L$6:$CC$302,56,0)</f>
        <v>0</v>
      </c>
      <c r="BP28" s="102">
        <f>VLOOKUP(L28,设备合同!$L$6:$CC$302,57,0)</f>
        <v>0</v>
      </c>
      <c r="BQ28" s="102">
        <f>VLOOKUP(L28,设备合同!$L$6:$CC$302,58,0)</f>
        <v>0</v>
      </c>
      <c r="BR28" s="102">
        <f>VLOOKUP(L28,设备合同!$L$6:$CC$302,59,0)</f>
        <v>0</v>
      </c>
      <c r="BS28" s="102">
        <f>VLOOKUP(L28,设备合同!$L$6:$CC$302,60,0)</f>
        <v>0</v>
      </c>
      <c r="BT28" s="102">
        <f>VLOOKUP(L28,设备合同!$L$6:$CC$302,61,0)</f>
        <v>0</v>
      </c>
      <c r="BU28" s="102">
        <f>VLOOKUP(L28,设备合同!$L$6:$CC$302,62,0)</f>
        <v>0</v>
      </c>
      <c r="BV28" s="102">
        <f>VLOOKUP(L28,设备合同!$L$6:$CC$302,63,0)</f>
        <v>0</v>
      </c>
      <c r="BW28" s="102">
        <f>VLOOKUP(L28,设备合同!$L$6:$CC$302,64,0)</f>
        <v>0</v>
      </c>
      <c r="BX28" s="102">
        <f>VLOOKUP(L28,设备合同!$L$6:$CC$302,65,0)</f>
        <v>0</v>
      </c>
      <c r="BY28" s="102">
        <f>VLOOKUP(L28,设备合同!$L$6:$CC$302,66,0)</f>
        <v>0</v>
      </c>
      <c r="BZ28" s="102">
        <f>VLOOKUP(L28,设备合同!$L$6:$CC$302,67,0)</f>
        <v>0</v>
      </c>
      <c r="CA28" s="102">
        <f>VLOOKUP(L28,设备合同!$L$6:$CC$302,68,0)</f>
        <v>0</v>
      </c>
      <c r="CB28" s="102">
        <f>VLOOKUP(L28,设备合同!$L$6:$CC$302,69,0)</f>
        <v>0</v>
      </c>
      <c r="CC28" s="102">
        <f>VLOOKUP(L28,设备合同!$L$6:$CC$302,70,0)</f>
        <v>0</v>
      </c>
      <c r="CD28" s="123">
        <f t="shared" si="22"/>
        <v>3550000</v>
      </c>
      <c r="CE28" s="102">
        <f t="shared" si="23"/>
        <v>710000</v>
      </c>
      <c r="CF28" s="102">
        <f t="shared" si="24"/>
        <v>710000</v>
      </c>
      <c r="CG28" s="102">
        <f t="shared" si="25"/>
        <v>0</v>
      </c>
      <c r="CH28" s="124">
        <f t="shared" si="26"/>
        <v>2840000</v>
      </c>
      <c r="CI28" s="125">
        <f t="shared" si="27"/>
        <v>0.2</v>
      </c>
      <c r="CJ28" s="126" t="str">
        <f t="shared" si="28"/>
        <v>数据正确</v>
      </c>
    </row>
    <row r="29" s="60" customFormat="1" customHeight="1" spans="2:88">
      <c r="B29" s="70" t="str">
        <f t="shared" si="18"/>
        <v>-</v>
      </c>
      <c r="C29" s="71" t="str">
        <f t="shared" si="19"/>
        <v>-</v>
      </c>
      <c r="D29" s="181">
        <f t="shared" si="20"/>
        <v>0</v>
      </c>
      <c r="E29" s="181">
        <f>SUMIF(设备合同!$L$6:$L$302,L29,设备合同!$E$6:$E$302)</f>
        <v>0</v>
      </c>
      <c r="F29" s="181">
        <f>SUMIF(设备合同!$L$6:$L$302,L29,设备合同!$F$6:$F$302)</f>
        <v>0</v>
      </c>
      <c r="G29" s="181">
        <f>SUMIF(设备合同!$L$6:$L$302,L29,设备合同!$G$6:$G$302)</f>
        <v>0</v>
      </c>
      <c r="H29" s="181">
        <f>SUMIF(设备合同!$L$6:$L$302,L29,设备合同!$H$6:$H$302)</f>
        <v>0</v>
      </c>
      <c r="I29" s="181">
        <f t="shared" si="21"/>
        <v>0</v>
      </c>
      <c r="J29" s="86" t="s">
        <v>98</v>
      </c>
      <c r="K29" s="87"/>
      <c r="L29" s="88">
        <v>24</v>
      </c>
      <c r="M29" s="89" t="str">
        <f>VLOOKUP(L29,设备合同!$L$6:$CC$302,2,0)</f>
        <v>YRKJEQ-170024</v>
      </c>
      <c r="N29" s="90" t="str">
        <f>VLOOKUP(L29,设备合同!$L$6:$CC$302,3,0)</f>
        <v>设备合同</v>
      </c>
      <c r="O29" s="265">
        <f>VLOOKUP(L29,设备合同!$L$6:$CC$302,4,0)</f>
        <v>2017050008</v>
      </c>
      <c r="P29" s="266">
        <f>VLOOKUP(L29,设备合同!$L$6:$CC$302,5,0)</f>
        <v>42892</v>
      </c>
      <c r="Q29" s="275">
        <f>VLOOKUP(L29,设备合同!$L$6:$CC$302,6,0)</f>
        <v>745000</v>
      </c>
      <c r="R29" s="89" t="str">
        <f>VLOOKUP(L29,设备合同!$L$6:$CC$302,7,0)</f>
        <v>第一批过滤器</v>
      </c>
      <c r="S29" s="89" t="str">
        <f>VLOOKUP(L29,设备合同!$L$6:$CC$302,8,0)</f>
        <v>上海泽尔石化设备有限公司</v>
      </c>
      <c r="T29" s="107">
        <f>VLOOKUP(L29,设备合同!$L$6:$CC$302,9,0)</f>
        <v>0</v>
      </c>
      <c r="U29" s="103" t="str">
        <f>VLOOKUP(L29,设备合同!$L$6:$CC$302,10,0)</f>
        <v>承兑汇票</v>
      </c>
      <c r="V29" s="276" t="str">
        <f>VLOOKUP(L29,设备合同!$L$6:$CC$302,11,0)</f>
        <v>乙方工厂初步验收后支付60%作为发货款。乙方提供10%的履约保证金</v>
      </c>
      <c r="W29" s="102">
        <f>VLOOKUP(L29,设备合同!$L$6:$CC$302,12,0)</f>
        <v>447000</v>
      </c>
      <c r="X29" s="102">
        <f>VLOOKUP(L29,设备合同!$L$6:$CC$302,13,0)</f>
        <v>0</v>
      </c>
      <c r="Y29" s="102">
        <f>VLOOKUP(L29,设备合同!$L$6:$CC$302,14,0)</f>
        <v>0</v>
      </c>
      <c r="Z29" s="102" t="str">
        <f>VLOOKUP(L29,设备合同!$L$6:$CC$302,15,0)</f>
        <v>甲方验收合格后，且受到全额的增值税发票，30个工作日内支付30%的货款。</v>
      </c>
      <c r="AA29" s="102">
        <f>VLOOKUP(L29,设备合同!$L$6:$CC$302,16,0)</f>
        <v>223500</v>
      </c>
      <c r="AB29" s="102">
        <f>VLOOKUP(L29,设备合同!$L$6:$CC$302,17,0)</f>
        <v>0</v>
      </c>
      <c r="AC29" s="102">
        <f>VLOOKUP(L29,设备合同!$L$6:$CC$302,18,0)</f>
        <v>0</v>
      </c>
      <c r="AD29" s="102" t="str">
        <f>VLOOKUP(L29,设备合同!$L$6:$CC$302,19,0)</f>
        <v>本合同的10%作为质量包装呢赶紧，自验收合格后18个月后支付</v>
      </c>
      <c r="AE29" s="102">
        <f>VLOOKUP(L29,设备合同!$L$6:$CC$302,20,0)</f>
        <v>74500</v>
      </c>
      <c r="AF29" s="102">
        <f>VLOOKUP(L29,设备合同!$L$6:$CC$302,21,0)</f>
        <v>0</v>
      </c>
      <c r="AG29" s="102">
        <f>VLOOKUP(L29,设备合同!$L$6:$CC$302,22,0)</f>
        <v>0</v>
      </c>
      <c r="AH29" s="102">
        <f>VLOOKUP(L29,设备合同!$L$6:$CC$302,23,0)</f>
        <v>0</v>
      </c>
      <c r="AI29" s="102">
        <f>VLOOKUP(L29,设备合同!$L$6:$CC$302,24,0)</f>
        <v>0</v>
      </c>
      <c r="AJ29" s="102">
        <f>VLOOKUP(L29,设备合同!$L$6:$CC$302,25,0)</f>
        <v>0</v>
      </c>
      <c r="AK29" s="102">
        <f>VLOOKUP(L29,设备合同!$L$6:$CC$302,26,0)</f>
        <v>0</v>
      </c>
      <c r="AL29" s="102">
        <f>VLOOKUP(L29,设备合同!$L$6:$CC$302,27,0)</f>
        <v>0</v>
      </c>
      <c r="AM29" s="102">
        <f>VLOOKUP(L29,设备合同!$L$6:$CC$302,28,0)</f>
        <v>0</v>
      </c>
      <c r="AN29" s="102">
        <f>VLOOKUP(L29,设备合同!$L$6:$CC$302,29,0)</f>
        <v>0</v>
      </c>
      <c r="AO29" s="102">
        <f>VLOOKUP(L29,设备合同!$L$6:$CC$302,30,0)</f>
        <v>0</v>
      </c>
      <c r="AP29" s="102">
        <f>VLOOKUP(L29,设备合同!$L$6:$CC$302,31,0)</f>
        <v>0</v>
      </c>
      <c r="AQ29" s="102">
        <f>VLOOKUP(L29,设备合同!$L$6:$CC$302,32,0)</f>
        <v>0</v>
      </c>
      <c r="AR29" s="102">
        <f>VLOOKUP(L29,设备合同!$L$6:$CC$302,33,0)</f>
        <v>0</v>
      </c>
      <c r="AS29" s="102">
        <f>VLOOKUP(L29,设备合同!$L$6:$CC$302,34,0)</f>
        <v>0</v>
      </c>
      <c r="AT29" s="102">
        <f>VLOOKUP(L29,设备合同!$L$6:$CC$302,35,0)</f>
        <v>0</v>
      </c>
      <c r="AU29" s="102">
        <f>VLOOKUP(L29,设备合同!$L$6:$CC$302,36,0)</f>
        <v>0</v>
      </c>
      <c r="AV29" s="102">
        <f>VLOOKUP(L29,设备合同!$L$6:$CC$302,37,0)</f>
        <v>0</v>
      </c>
      <c r="AW29" s="102">
        <f>VLOOKUP(L29,设备合同!$L$6:$CC$302,38,0)</f>
        <v>0</v>
      </c>
      <c r="AX29" s="102">
        <f>VLOOKUP(L29,设备合同!$L$6:$CC$302,39,0)</f>
        <v>0</v>
      </c>
      <c r="AY29" s="102">
        <f>VLOOKUP(L29,设备合同!$L$6:$CC$302,40,0)</f>
        <v>0</v>
      </c>
      <c r="AZ29" s="102">
        <f>VLOOKUP(L29,设备合同!$L$6:$CC$302,41,0)</f>
        <v>0</v>
      </c>
      <c r="BA29" s="102">
        <f>VLOOKUP(L29,设备合同!$L$6:$CC$302,42,0)</f>
        <v>0</v>
      </c>
      <c r="BB29" s="102">
        <f>VLOOKUP(L29,设备合同!$L$6:$CC$302,43,0)</f>
        <v>0</v>
      </c>
      <c r="BC29" s="102">
        <f>VLOOKUP(L29,设备合同!$L$6:$CC$302,44,0)</f>
        <v>0</v>
      </c>
      <c r="BD29" s="102">
        <f>VLOOKUP(L29,设备合同!$L$6:$CC$302,45,0)</f>
        <v>0</v>
      </c>
      <c r="BE29" s="102">
        <f>VLOOKUP(L29,设备合同!$L$6:$CC$302,46,0)</f>
        <v>0</v>
      </c>
      <c r="BF29" s="102">
        <f>VLOOKUP(L29,设备合同!$L$6:$CC$302,47,0)</f>
        <v>0</v>
      </c>
      <c r="BG29" s="102">
        <f>VLOOKUP(L29,设备合同!$L$6:$CC$302,48,0)</f>
        <v>0</v>
      </c>
      <c r="BH29" s="102">
        <f>VLOOKUP(L29,设备合同!$L$6:$CC$302,49,0)</f>
        <v>0</v>
      </c>
      <c r="BI29" s="102">
        <f>VLOOKUP(L29,设备合同!$L$6:$CC$302,50,0)</f>
        <v>0</v>
      </c>
      <c r="BJ29" s="102">
        <f>VLOOKUP(L29,设备合同!$L$6:$CC$302,51,0)</f>
        <v>0</v>
      </c>
      <c r="BK29" s="102">
        <f>VLOOKUP(L29,设备合同!$L$6:$CC$302,52,0)</f>
        <v>0</v>
      </c>
      <c r="BL29" s="102">
        <f>VLOOKUP(L29,设备合同!$L$6:$CC$302,53,0)</f>
        <v>0</v>
      </c>
      <c r="BM29" s="102">
        <f>VLOOKUP(L29,设备合同!$L$6:$CC$302,54,0)</f>
        <v>0</v>
      </c>
      <c r="BN29" s="102">
        <f>VLOOKUP(L29,设备合同!$L$6:$CC$302,55,0)</f>
        <v>0</v>
      </c>
      <c r="BO29" s="102">
        <f>VLOOKUP(L29,设备合同!$L$6:$CC$302,56,0)</f>
        <v>0</v>
      </c>
      <c r="BP29" s="102">
        <f>VLOOKUP(L29,设备合同!$L$6:$CC$302,57,0)</f>
        <v>0</v>
      </c>
      <c r="BQ29" s="102">
        <f>VLOOKUP(L29,设备合同!$L$6:$CC$302,58,0)</f>
        <v>0</v>
      </c>
      <c r="BR29" s="102">
        <f>VLOOKUP(L29,设备合同!$L$6:$CC$302,59,0)</f>
        <v>0</v>
      </c>
      <c r="BS29" s="102">
        <f>VLOOKUP(L29,设备合同!$L$6:$CC$302,60,0)</f>
        <v>0</v>
      </c>
      <c r="BT29" s="102">
        <f>VLOOKUP(L29,设备合同!$L$6:$CC$302,61,0)</f>
        <v>0</v>
      </c>
      <c r="BU29" s="102">
        <f>VLOOKUP(L29,设备合同!$L$6:$CC$302,62,0)</f>
        <v>0</v>
      </c>
      <c r="BV29" s="102">
        <f>VLOOKUP(L29,设备合同!$L$6:$CC$302,63,0)</f>
        <v>0</v>
      </c>
      <c r="BW29" s="102">
        <f>VLOOKUP(L29,设备合同!$L$6:$CC$302,64,0)</f>
        <v>0</v>
      </c>
      <c r="BX29" s="102">
        <f>VLOOKUP(L29,设备合同!$L$6:$CC$302,65,0)</f>
        <v>0</v>
      </c>
      <c r="BY29" s="102">
        <f>VLOOKUP(L29,设备合同!$L$6:$CC$302,66,0)</f>
        <v>0</v>
      </c>
      <c r="BZ29" s="102">
        <f>VLOOKUP(L29,设备合同!$L$6:$CC$302,67,0)</f>
        <v>0</v>
      </c>
      <c r="CA29" s="102">
        <f>VLOOKUP(L29,设备合同!$L$6:$CC$302,68,0)</f>
        <v>0</v>
      </c>
      <c r="CB29" s="102">
        <f>VLOOKUP(L29,设备合同!$L$6:$CC$302,69,0)</f>
        <v>0</v>
      </c>
      <c r="CC29" s="102">
        <f>VLOOKUP(L29,设备合同!$L$6:$CC$302,70,0)</f>
        <v>0</v>
      </c>
      <c r="CD29" s="123">
        <f t="shared" si="22"/>
        <v>745000</v>
      </c>
      <c r="CE29" s="102">
        <f t="shared" si="23"/>
        <v>0</v>
      </c>
      <c r="CF29" s="102">
        <f t="shared" si="24"/>
        <v>0</v>
      </c>
      <c r="CG29" s="102">
        <f t="shared" si="25"/>
        <v>0</v>
      </c>
      <c r="CH29" s="124">
        <f t="shared" si="26"/>
        <v>745000</v>
      </c>
      <c r="CI29" s="125">
        <f t="shared" si="27"/>
        <v>0</v>
      </c>
      <c r="CJ29" s="126" t="str">
        <f t="shared" si="28"/>
        <v>数据正确</v>
      </c>
    </row>
    <row r="30" s="60" customFormat="1" customHeight="1" spans="2:88">
      <c r="B30" s="70" t="str">
        <f t="shared" si="18"/>
        <v>-</v>
      </c>
      <c r="C30" s="71" t="str">
        <f t="shared" si="19"/>
        <v>-</v>
      </c>
      <c r="D30" s="181">
        <f t="shared" si="20"/>
        <v>1050000</v>
      </c>
      <c r="E30" s="181">
        <f>SUMIF(设备合同!$L$6:$L$302,L30,设备合同!$E$6:$E$302)</f>
        <v>0</v>
      </c>
      <c r="F30" s="181">
        <f>SUMIF(设备合同!$L$6:$L$302,L30,设备合同!$F$6:$F$302)</f>
        <v>0</v>
      </c>
      <c r="G30" s="181">
        <f>SUMIF(设备合同!$L$6:$L$302,L30,设备合同!$G$6:$G$302)</f>
        <v>0</v>
      </c>
      <c r="H30" s="181">
        <f>SUMIF(设备合同!$L$6:$L$302,L30,设备合同!$H$6:$H$302)</f>
        <v>0</v>
      </c>
      <c r="I30" s="181">
        <f t="shared" si="21"/>
        <v>0</v>
      </c>
      <c r="J30" s="86" t="s">
        <v>98</v>
      </c>
      <c r="K30" s="87"/>
      <c r="L30" s="88">
        <v>25</v>
      </c>
      <c r="M30" s="89" t="str">
        <f>VLOOKUP(L30,设备合同!$L$6:$CC$302,2,0)</f>
        <v>YRKJEQ-170029</v>
      </c>
      <c r="N30" s="90" t="str">
        <f>VLOOKUP(L30,设备合同!$L$6:$CC$302,3,0)</f>
        <v>设备合同</v>
      </c>
      <c r="O30" s="265">
        <f>VLOOKUP(L30,设备合同!$L$6:$CC$302,4,0)</f>
        <v>2017040009</v>
      </c>
      <c r="P30" s="266">
        <f>VLOOKUP(L30,设备合同!$L$6:$CC$302,5,0)</f>
        <v>42898</v>
      </c>
      <c r="Q30" s="275">
        <f>VLOOKUP(L30,设备合同!$L$6:$CC$302,6,0)</f>
        <v>3500000</v>
      </c>
      <c r="R30" s="89" t="str">
        <f>VLOOKUP(L30,设备合同!$L$6:$CC$302,7,0)</f>
        <v>液环真空泵共9台</v>
      </c>
      <c r="S30" s="89" t="str">
        <f>VLOOKUP(L30,设备合同!$L$6:$CC$302,8,0)</f>
        <v>广东肯富来泵业股份有限公司</v>
      </c>
      <c r="T30" s="107" t="str">
        <f>VLOOKUP(L30,设备合同!$L$6:$CC$302,9,0)</f>
        <v>己内酰胺装置3台39.9万元，环己酮肟化装置2台221.9万，硫氨装置4台88.2万元</v>
      </c>
      <c r="U30" s="103" t="str">
        <f>VLOOKUP(L30,设备合同!$L$6:$CC$302,10,0)</f>
        <v>承兑汇票</v>
      </c>
      <c r="V30" s="276" t="str">
        <f>VLOOKUP(L30,设备合同!$L$6:$CC$302,11,0)</f>
        <v>甲方收到乙方30%的预付款保函（有限期2017.12.30）以及本合同的30%专票（17%）后15个工作日支付30%货款</v>
      </c>
      <c r="W30" s="102">
        <f>VLOOKUP(L30,设备合同!$L$6:$CC$302,12,0)</f>
        <v>1050000</v>
      </c>
      <c r="X30" s="102">
        <f>VLOOKUP(L30,设备合同!$L$6:$CC$302,13,0)</f>
        <v>1050000</v>
      </c>
      <c r="Y30" s="102">
        <f>VLOOKUP(L30,设备合同!$L$6:$CC$302,14,0)</f>
        <v>1050000</v>
      </c>
      <c r="Z30" s="102" t="str">
        <f>VLOOKUP(L30,设备合同!$L$6:$CC$302,15,0)</f>
        <v>甲方在乙方现场确认无误，且受到乙方70%的专票后，15个工作日内支付40%的货款</v>
      </c>
      <c r="AA30" s="102">
        <f>VLOOKUP(L30,设备合同!$L$6:$CC$302,16,0)</f>
        <v>1400000</v>
      </c>
      <c r="AB30" s="102">
        <f>VLOOKUP(L30,设备合同!$L$6:$CC$302,17,0)</f>
        <v>0</v>
      </c>
      <c r="AC30" s="102">
        <f>VLOOKUP(L30,设备合同!$L$6:$CC$302,18,0)</f>
        <v>0</v>
      </c>
      <c r="AD30" s="102" t="str">
        <f>VLOOKUP(L30,设备合同!$L$6:$CC$302,19,0)</f>
        <v>货物到达甲方，并收到乙方合同总价10%的质量保函后的15个工作日，支付30%的验收款</v>
      </c>
      <c r="AE30" s="102">
        <f>VLOOKUP(L30,设备合同!$L$6:$CC$302,20,0)</f>
        <v>1050000</v>
      </c>
      <c r="AF30" s="102">
        <f>VLOOKUP(L30,设备合同!$L$6:$CC$302,21,0)</f>
        <v>0</v>
      </c>
      <c r="AG30" s="102">
        <f>VLOOKUP(L30,设备合同!$L$6:$CC$302,22,0)</f>
        <v>0</v>
      </c>
      <c r="AH30" s="102">
        <f>VLOOKUP(L30,设备合同!$L$6:$CC$302,23,0)</f>
        <v>0</v>
      </c>
      <c r="AI30" s="102">
        <f>VLOOKUP(L30,设备合同!$L$6:$CC$302,24,0)</f>
        <v>0</v>
      </c>
      <c r="AJ30" s="102">
        <f>VLOOKUP(L30,设备合同!$L$6:$CC$302,25,0)</f>
        <v>0</v>
      </c>
      <c r="AK30" s="102">
        <f>VLOOKUP(L30,设备合同!$L$6:$CC$302,26,0)</f>
        <v>0</v>
      </c>
      <c r="AL30" s="102">
        <f>VLOOKUP(L30,设备合同!$L$6:$CC$302,27,0)</f>
        <v>0</v>
      </c>
      <c r="AM30" s="102">
        <f>VLOOKUP(L30,设备合同!$L$6:$CC$302,28,0)</f>
        <v>0</v>
      </c>
      <c r="AN30" s="102">
        <f>VLOOKUP(L30,设备合同!$L$6:$CC$302,29,0)</f>
        <v>0</v>
      </c>
      <c r="AO30" s="102">
        <f>VLOOKUP(L30,设备合同!$L$6:$CC$302,30,0)</f>
        <v>0</v>
      </c>
      <c r="AP30" s="102">
        <f>VLOOKUP(L30,设备合同!$L$6:$CC$302,31,0)</f>
        <v>0</v>
      </c>
      <c r="AQ30" s="102">
        <f>VLOOKUP(L30,设备合同!$L$6:$CC$302,32,0)</f>
        <v>0</v>
      </c>
      <c r="AR30" s="102">
        <f>VLOOKUP(L30,设备合同!$L$6:$CC$302,33,0)</f>
        <v>0</v>
      </c>
      <c r="AS30" s="102">
        <f>VLOOKUP(L30,设备合同!$L$6:$CC$302,34,0)</f>
        <v>0</v>
      </c>
      <c r="AT30" s="102">
        <f>VLOOKUP(L30,设备合同!$L$6:$CC$302,35,0)</f>
        <v>0</v>
      </c>
      <c r="AU30" s="102">
        <f>VLOOKUP(L30,设备合同!$L$6:$CC$302,36,0)</f>
        <v>0</v>
      </c>
      <c r="AV30" s="102">
        <f>VLOOKUP(L30,设备合同!$L$6:$CC$302,37,0)</f>
        <v>0</v>
      </c>
      <c r="AW30" s="102">
        <f>VLOOKUP(L30,设备合同!$L$6:$CC$302,38,0)</f>
        <v>0</v>
      </c>
      <c r="AX30" s="102">
        <f>VLOOKUP(L30,设备合同!$L$6:$CC$302,39,0)</f>
        <v>0</v>
      </c>
      <c r="AY30" s="102">
        <f>VLOOKUP(L30,设备合同!$L$6:$CC$302,40,0)</f>
        <v>0</v>
      </c>
      <c r="AZ30" s="102">
        <f>VLOOKUP(L30,设备合同!$L$6:$CC$302,41,0)</f>
        <v>0</v>
      </c>
      <c r="BA30" s="102">
        <f>VLOOKUP(L30,设备合同!$L$6:$CC$302,42,0)</f>
        <v>0</v>
      </c>
      <c r="BB30" s="102">
        <f>VLOOKUP(L30,设备合同!$L$6:$CC$302,43,0)</f>
        <v>0</v>
      </c>
      <c r="BC30" s="102">
        <f>VLOOKUP(L30,设备合同!$L$6:$CC$302,44,0)</f>
        <v>0</v>
      </c>
      <c r="BD30" s="102">
        <f>VLOOKUP(L30,设备合同!$L$6:$CC$302,45,0)</f>
        <v>0</v>
      </c>
      <c r="BE30" s="102">
        <f>VLOOKUP(L30,设备合同!$L$6:$CC$302,46,0)</f>
        <v>0</v>
      </c>
      <c r="BF30" s="102">
        <f>VLOOKUP(L30,设备合同!$L$6:$CC$302,47,0)</f>
        <v>0</v>
      </c>
      <c r="BG30" s="102">
        <f>VLOOKUP(L30,设备合同!$L$6:$CC$302,48,0)</f>
        <v>0</v>
      </c>
      <c r="BH30" s="102">
        <f>VLOOKUP(L30,设备合同!$L$6:$CC$302,49,0)</f>
        <v>0</v>
      </c>
      <c r="BI30" s="102">
        <f>VLOOKUP(L30,设备合同!$L$6:$CC$302,50,0)</f>
        <v>0</v>
      </c>
      <c r="BJ30" s="102">
        <f>VLOOKUP(L30,设备合同!$L$6:$CC$302,51,0)</f>
        <v>0</v>
      </c>
      <c r="BK30" s="102">
        <f>VLOOKUP(L30,设备合同!$L$6:$CC$302,52,0)</f>
        <v>0</v>
      </c>
      <c r="BL30" s="102">
        <f>VLOOKUP(L30,设备合同!$L$6:$CC$302,53,0)</f>
        <v>0</v>
      </c>
      <c r="BM30" s="102">
        <f>VLOOKUP(L30,设备合同!$L$6:$CC$302,54,0)</f>
        <v>0</v>
      </c>
      <c r="BN30" s="102">
        <f>VLOOKUP(L30,设备合同!$L$6:$CC$302,55,0)</f>
        <v>0</v>
      </c>
      <c r="BO30" s="102">
        <f>VLOOKUP(L30,设备合同!$L$6:$CC$302,56,0)</f>
        <v>0</v>
      </c>
      <c r="BP30" s="102">
        <f>VLOOKUP(L30,设备合同!$L$6:$CC$302,57,0)</f>
        <v>0</v>
      </c>
      <c r="BQ30" s="102">
        <f>VLOOKUP(L30,设备合同!$L$6:$CC$302,58,0)</f>
        <v>0</v>
      </c>
      <c r="BR30" s="102">
        <f>VLOOKUP(L30,设备合同!$L$6:$CC$302,59,0)</f>
        <v>0</v>
      </c>
      <c r="BS30" s="102">
        <f>VLOOKUP(L30,设备合同!$L$6:$CC$302,60,0)</f>
        <v>0</v>
      </c>
      <c r="BT30" s="102">
        <f>VLOOKUP(L30,设备合同!$L$6:$CC$302,61,0)</f>
        <v>0</v>
      </c>
      <c r="BU30" s="102">
        <f>VLOOKUP(L30,设备合同!$L$6:$CC$302,62,0)</f>
        <v>0</v>
      </c>
      <c r="BV30" s="102">
        <f>VLOOKUP(L30,设备合同!$L$6:$CC$302,63,0)</f>
        <v>0</v>
      </c>
      <c r="BW30" s="102">
        <f>VLOOKUP(L30,设备合同!$L$6:$CC$302,64,0)</f>
        <v>0</v>
      </c>
      <c r="BX30" s="102">
        <f>VLOOKUP(L30,设备合同!$L$6:$CC$302,65,0)</f>
        <v>0</v>
      </c>
      <c r="BY30" s="102">
        <f>VLOOKUP(L30,设备合同!$L$6:$CC$302,66,0)</f>
        <v>0</v>
      </c>
      <c r="BZ30" s="102">
        <f>VLOOKUP(L30,设备合同!$L$6:$CC$302,67,0)</f>
        <v>0</v>
      </c>
      <c r="CA30" s="102">
        <f>VLOOKUP(L30,设备合同!$L$6:$CC$302,68,0)</f>
        <v>0</v>
      </c>
      <c r="CB30" s="102">
        <f>VLOOKUP(L30,设备合同!$L$6:$CC$302,69,0)</f>
        <v>0</v>
      </c>
      <c r="CC30" s="102">
        <f>VLOOKUP(L30,设备合同!$L$6:$CC$302,70,0)</f>
        <v>0</v>
      </c>
      <c r="CD30" s="123">
        <f t="shared" si="22"/>
        <v>3500000</v>
      </c>
      <c r="CE30" s="102">
        <f t="shared" si="23"/>
        <v>1050000</v>
      </c>
      <c r="CF30" s="102">
        <f t="shared" si="24"/>
        <v>1050000</v>
      </c>
      <c r="CG30" s="102">
        <f t="shared" si="25"/>
        <v>0</v>
      </c>
      <c r="CH30" s="124">
        <f t="shared" si="26"/>
        <v>2450000</v>
      </c>
      <c r="CI30" s="125">
        <f t="shared" si="27"/>
        <v>0.3</v>
      </c>
      <c r="CJ30" s="126" t="str">
        <f t="shared" si="28"/>
        <v>数据正确</v>
      </c>
    </row>
    <row r="31" s="60" customFormat="1" customHeight="1" spans="2:88">
      <c r="B31" s="70" t="str">
        <f t="shared" si="18"/>
        <v>-</v>
      </c>
      <c r="C31" s="71" t="str">
        <f t="shared" si="19"/>
        <v>-</v>
      </c>
      <c r="D31" s="181">
        <f t="shared" si="20"/>
        <v>670000</v>
      </c>
      <c r="E31" s="181">
        <f>SUMIF(设备合同!$L$6:$L$302,L31,设备合同!$E$6:$E$302)</f>
        <v>0</v>
      </c>
      <c r="F31" s="181">
        <f>SUMIF(设备合同!$L$6:$L$302,L31,设备合同!$F$6:$F$302)</f>
        <v>0</v>
      </c>
      <c r="G31" s="181">
        <f>SUMIF(设备合同!$L$6:$L$302,L31,设备合同!$G$6:$G$302)</f>
        <v>0</v>
      </c>
      <c r="H31" s="181">
        <f>SUMIF(设备合同!$L$6:$L$302,L31,设备合同!$H$6:$H$302)</f>
        <v>0</v>
      </c>
      <c r="I31" s="181">
        <f t="shared" si="21"/>
        <v>0</v>
      </c>
      <c r="J31" s="86" t="s">
        <v>98</v>
      </c>
      <c r="K31" s="87"/>
      <c r="L31" s="88">
        <v>26</v>
      </c>
      <c r="M31" s="89" t="str">
        <f>VLOOKUP(L31,设备合同!$L$6:$CC$302,2,0)</f>
        <v>YRKJEQ-170032</v>
      </c>
      <c r="N31" s="90" t="str">
        <f>VLOOKUP(L31,设备合同!$L$6:$CC$302,3,0)</f>
        <v>设备合同</v>
      </c>
      <c r="O31" s="265">
        <f>VLOOKUP(L31,设备合同!$L$6:$CC$302,4,0)</f>
        <v>2017050056</v>
      </c>
      <c r="P31" s="266">
        <f>VLOOKUP(L31,设备合同!$L$6:$CC$302,5,0)</f>
        <v>42905</v>
      </c>
      <c r="Q31" s="275">
        <f>VLOOKUP(L31,设备合同!$L$6:$CC$302,6,0)</f>
        <v>3350000</v>
      </c>
      <c r="R31" s="89" t="str">
        <f>VLOOKUP(L31,设备合同!$L$6:$CC$302,7,0)</f>
        <v>立式斜流泵</v>
      </c>
      <c r="S31" s="89" t="str">
        <f>VLOOKUP(L31,设备合同!$L$6:$CC$302,8,0)</f>
        <v>湖南耐普泵业股份有限公司</v>
      </c>
      <c r="T31" s="107">
        <f>VLOOKUP(L31,设备合同!$L$6:$CC$302,9,0)</f>
        <v>0</v>
      </c>
      <c r="U31" s="103" t="str">
        <f>VLOOKUP(L31,设备合同!$L$6:$CC$302,10,0)</f>
        <v>承兑汇票</v>
      </c>
      <c r="V31" s="276" t="str">
        <f>VLOOKUP(L31,设备合同!$L$6:$CC$302,11,0)</f>
        <v>甲方收到乙方合同的20%预付款保函，（2017.12.20）以及本合同20%的专票（17%）后15个工作日，支付20%货款。乙方提供10%履约保函</v>
      </c>
      <c r="W31" s="102">
        <f>VLOOKUP(L31,设备合同!$L$6:$CC$302,12,0)</f>
        <v>670000</v>
      </c>
      <c r="X31" s="102">
        <f>VLOOKUP(L31,设备合同!$L$6:$CC$302,13,0)</f>
        <v>670000</v>
      </c>
      <c r="Y31" s="102">
        <f>VLOOKUP(L31,设备合同!$L$6:$CC$302,14,0)</f>
        <v>670000</v>
      </c>
      <c r="Z31" s="102" t="str">
        <f>VLOOKUP(L31,设备合同!$L$6:$CC$302,15,0)</f>
        <v>甲方在乙方现场确认无误，且受到乙方70%的专票后，15个工作日内支付40%的货款</v>
      </c>
      <c r="AA31" s="102">
        <f>VLOOKUP(L31,设备合同!$L$6:$CC$302,16,0)</f>
        <v>1340000</v>
      </c>
      <c r="AB31" s="102">
        <f>VLOOKUP(L31,设备合同!$L$6:$CC$302,17,0)</f>
        <v>0</v>
      </c>
      <c r="AC31" s="102">
        <f>VLOOKUP(L31,设备合同!$L$6:$CC$302,18,0)</f>
        <v>0</v>
      </c>
      <c r="AD31" s="102" t="str">
        <f>VLOOKUP(L31,设备合同!$L$6:$CC$302,19,0)</f>
        <v>货物到达甲方，安装验收合格后6个月后15个工作日内，支付30%的验收款</v>
      </c>
      <c r="AE31" s="102">
        <f>VLOOKUP(L31,设备合同!$L$6:$CC$302,20,0)</f>
        <v>1005000</v>
      </c>
      <c r="AF31" s="102">
        <f>VLOOKUP(L31,设备合同!$L$6:$CC$302,21,0)</f>
        <v>0</v>
      </c>
      <c r="AG31" s="102">
        <f>VLOOKUP(L31,设备合同!$L$6:$CC$302,22,0)</f>
        <v>0</v>
      </c>
      <c r="AH31" s="102" t="str">
        <f>VLOOKUP(L31,设备合同!$L$6:$CC$302,23,0)</f>
        <v>本合同的10%作为质保金，验收合格12个月质保期后的15个工作日内支付</v>
      </c>
      <c r="AI31" s="102">
        <f>VLOOKUP(L31,设备合同!$L$6:$CC$302,24,0)</f>
        <v>335000</v>
      </c>
      <c r="AJ31" s="102">
        <f>VLOOKUP(L31,设备合同!$L$6:$CC$302,25,0)</f>
        <v>0</v>
      </c>
      <c r="AK31" s="102">
        <f>VLOOKUP(L31,设备合同!$L$6:$CC$302,26,0)</f>
        <v>0</v>
      </c>
      <c r="AL31" s="102">
        <f>VLOOKUP(L31,设备合同!$L$6:$CC$302,27,0)</f>
        <v>0</v>
      </c>
      <c r="AM31" s="102">
        <f>VLOOKUP(L31,设备合同!$L$6:$CC$302,28,0)</f>
        <v>0</v>
      </c>
      <c r="AN31" s="102">
        <f>VLOOKUP(L31,设备合同!$L$6:$CC$302,29,0)</f>
        <v>0</v>
      </c>
      <c r="AO31" s="102">
        <f>VLOOKUP(L31,设备合同!$L$6:$CC$302,30,0)</f>
        <v>0</v>
      </c>
      <c r="AP31" s="102">
        <f>VLOOKUP(L31,设备合同!$L$6:$CC$302,31,0)</f>
        <v>0</v>
      </c>
      <c r="AQ31" s="102">
        <f>VLOOKUP(L31,设备合同!$L$6:$CC$302,32,0)</f>
        <v>0</v>
      </c>
      <c r="AR31" s="102">
        <f>VLOOKUP(L31,设备合同!$L$6:$CC$302,33,0)</f>
        <v>0</v>
      </c>
      <c r="AS31" s="102">
        <f>VLOOKUP(L31,设备合同!$L$6:$CC$302,34,0)</f>
        <v>0</v>
      </c>
      <c r="AT31" s="102">
        <f>VLOOKUP(L31,设备合同!$L$6:$CC$302,35,0)</f>
        <v>0</v>
      </c>
      <c r="AU31" s="102">
        <f>VLOOKUP(L31,设备合同!$L$6:$CC$302,36,0)</f>
        <v>0</v>
      </c>
      <c r="AV31" s="102">
        <f>VLOOKUP(L31,设备合同!$L$6:$CC$302,37,0)</f>
        <v>0</v>
      </c>
      <c r="AW31" s="102">
        <f>VLOOKUP(L31,设备合同!$L$6:$CC$302,38,0)</f>
        <v>0</v>
      </c>
      <c r="AX31" s="102">
        <f>VLOOKUP(L31,设备合同!$L$6:$CC$302,39,0)</f>
        <v>0</v>
      </c>
      <c r="AY31" s="102">
        <f>VLOOKUP(L31,设备合同!$L$6:$CC$302,40,0)</f>
        <v>0</v>
      </c>
      <c r="AZ31" s="102">
        <f>VLOOKUP(L31,设备合同!$L$6:$CC$302,41,0)</f>
        <v>0</v>
      </c>
      <c r="BA31" s="102">
        <f>VLOOKUP(L31,设备合同!$L$6:$CC$302,42,0)</f>
        <v>0</v>
      </c>
      <c r="BB31" s="102">
        <f>VLOOKUP(L31,设备合同!$L$6:$CC$302,43,0)</f>
        <v>0</v>
      </c>
      <c r="BC31" s="102">
        <f>VLOOKUP(L31,设备合同!$L$6:$CC$302,44,0)</f>
        <v>0</v>
      </c>
      <c r="BD31" s="102">
        <f>VLOOKUP(L31,设备合同!$L$6:$CC$302,45,0)</f>
        <v>0</v>
      </c>
      <c r="BE31" s="102">
        <f>VLOOKUP(L31,设备合同!$L$6:$CC$302,46,0)</f>
        <v>0</v>
      </c>
      <c r="BF31" s="102">
        <f>VLOOKUP(L31,设备合同!$L$6:$CC$302,47,0)</f>
        <v>0</v>
      </c>
      <c r="BG31" s="102">
        <f>VLOOKUP(L31,设备合同!$L$6:$CC$302,48,0)</f>
        <v>0</v>
      </c>
      <c r="BH31" s="102">
        <f>VLOOKUP(L31,设备合同!$L$6:$CC$302,49,0)</f>
        <v>0</v>
      </c>
      <c r="BI31" s="102">
        <f>VLOOKUP(L31,设备合同!$L$6:$CC$302,50,0)</f>
        <v>0</v>
      </c>
      <c r="BJ31" s="102">
        <f>VLOOKUP(L31,设备合同!$L$6:$CC$302,51,0)</f>
        <v>0</v>
      </c>
      <c r="BK31" s="102">
        <f>VLOOKUP(L31,设备合同!$L$6:$CC$302,52,0)</f>
        <v>0</v>
      </c>
      <c r="BL31" s="102">
        <f>VLOOKUP(L31,设备合同!$L$6:$CC$302,53,0)</f>
        <v>0</v>
      </c>
      <c r="BM31" s="102">
        <f>VLOOKUP(L31,设备合同!$L$6:$CC$302,54,0)</f>
        <v>0</v>
      </c>
      <c r="BN31" s="102">
        <f>VLOOKUP(L31,设备合同!$L$6:$CC$302,55,0)</f>
        <v>0</v>
      </c>
      <c r="BO31" s="102">
        <f>VLOOKUP(L31,设备合同!$L$6:$CC$302,56,0)</f>
        <v>0</v>
      </c>
      <c r="BP31" s="102">
        <f>VLOOKUP(L31,设备合同!$L$6:$CC$302,57,0)</f>
        <v>0</v>
      </c>
      <c r="BQ31" s="102">
        <f>VLOOKUP(L31,设备合同!$L$6:$CC$302,58,0)</f>
        <v>0</v>
      </c>
      <c r="BR31" s="102">
        <f>VLOOKUP(L31,设备合同!$L$6:$CC$302,59,0)</f>
        <v>0</v>
      </c>
      <c r="BS31" s="102">
        <f>VLOOKUP(L31,设备合同!$L$6:$CC$302,60,0)</f>
        <v>0</v>
      </c>
      <c r="BT31" s="102">
        <f>VLOOKUP(L31,设备合同!$L$6:$CC$302,61,0)</f>
        <v>0</v>
      </c>
      <c r="BU31" s="102">
        <f>VLOOKUP(L31,设备合同!$L$6:$CC$302,62,0)</f>
        <v>0</v>
      </c>
      <c r="BV31" s="102">
        <f>VLOOKUP(L31,设备合同!$L$6:$CC$302,63,0)</f>
        <v>0</v>
      </c>
      <c r="BW31" s="102">
        <f>VLOOKUP(L31,设备合同!$L$6:$CC$302,64,0)</f>
        <v>0</v>
      </c>
      <c r="BX31" s="102">
        <f>VLOOKUP(L31,设备合同!$L$6:$CC$302,65,0)</f>
        <v>0</v>
      </c>
      <c r="BY31" s="102">
        <f>VLOOKUP(L31,设备合同!$L$6:$CC$302,66,0)</f>
        <v>0</v>
      </c>
      <c r="BZ31" s="102">
        <f>VLOOKUP(L31,设备合同!$L$6:$CC$302,67,0)</f>
        <v>0</v>
      </c>
      <c r="CA31" s="102">
        <f>VLOOKUP(L31,设备合同!$L$6:$CC$302,68,0)</f>
        <v>0</v>
      </c>
      <c r="CB31" s="102">
        <f>VLOOKUP(L31,设备合同!$L$6:$CC$302,69,0)</f>
        <v>0</v>
      </c>
      <c r="CC31" s="102">
        <f>VLOOKUP(L31,设备合同!$L$6:$CC$302,70,0)</f>
        <v>0</v>
      </c>
      <c r="CD31" s="123">
        <f t="shared" si="22"/>
        <v>3350000</v>
      </c>
      <c r="CE31" s="102">
        <f t="shared" si="23"/>
        <v>670000</v>
      </c>
      <c r="CF31" s="102">
        <f t="shared" si="24"/>
        <v>670000</v>
      </c>
      <c r="CG31" s="102">
        <f t="shared" si="25"/>
        <v>0</v>
      </c>
      <c r="CH31" s="124">
        <f t="shared" si="26"/>
        <v>2680000</v>
      </c>
      <c r="CI31" s="125">
        <f t="shared" si="27"/>
        <v>0.2</v>
      </c>
      <c r="CJ31" s="126" t="str">
        <f t="shared" si="28"/>
        <v>数据正确</v>
      </c>
    </row>
    <row r="32" s="60" customFormat="1" customHeight="1" spans="2:88">
      <c r="B32" s="70" t="str">
        <f t="shared" si="18"/>
        <v>-</v>
      </c>
      <c r="C32" s="71" t="str">
        <f t="shared" si="19"/>
        <v>-</v>
      </c>
      <c r="D32" s="181">
        <f t="shared" si="20"/>
        <v>720000</v>
      </c>
      <c r="E32" s="181">
        <f>SUMIF(设备合同!$L$6:$L$302,L32,设备合同!$E$6:$E$302)</f>
        <v>0</v>
      </c>
      <c r="F32" s="181">
        <f>SUMIF(设备合同!$L$6:$L$302,L32,设备合同!$F$6:$F$302)</f>
        <v>0</v>
      </c>
      <c r="G32" s="181">
        <f>SUMIF(设备合同!$L$6:$L$302,L32,设备合同!$G$6:$G$302)</f>
        <v>0</v>
      </c>
      <c r="H32" s="181">
        <f>SUMIF(设备合同!$L$6:$L$302,L32,设备合同!$H$6:$H$302)</f>
        <v>0</v>
      </c>
      <c r="I32" s="181">
        <f t="shared" si="21"/>
        <v>0</v>
      </c>
      <c r="J32" s="86" t="s">
        <v>98</v>
      </c>
      <c r="K32" s="87"/>
      <c r="L32" s="88">
        <v>27</v>
      </c>
      <c r="M32" s="89" t="str">
        <f>VLOOKUP(L32,设备合同!$L$6:$CC$302,2,0)</f>
        <v>YRKJEQ-170033</v>
      </c>
      <c r="N32" s="90" t="str">
        <f>VLOOKUP(L32,设备合同!$L$6:$CC$302,3,0)</f>
        <v>设备合同</v>
      </c>
      <c r="O32" s="265">
        <f>VLOOKUP(L32,设备合同!$L$6:$CC$302,4,0)</f>
        <v>2017050053</v>
      </c>
      <c r="P32" s="266">
        <f>VLOOKUP(L32,设备合同!$L$6:$CC$302,5,0)</f>
        <v>42901</v>
      </c>
      <c r="Q32" s="275">
        <f>VLOOKUP(L32,设备合同!$L$6:$CC$302,6,0)</f>
        <v>3600000</v>
      </c>
      <c r="R32" s="89" t="str">
        <f>VLOOKUP(L32,设备合同!$L$6:$CC$302,7,0)</f>
        <v>3台导热油炉</v>
      </c>
      <c r="S32" s="89" t="str">
        <f>VLOOKUP(L32,设备合同!$L$6:$CC$302,8,0)</f>
        <v>常州综研加热炉有限公司</v>
      </c>
      <c r="T32" s="107" t="str">
        <f>VLOOKUP(L32,设备合同!$L$6:$CC$302,9,0)</f>
        <v>环己酮装置120万，甲醇制氢装置240万</v>
      </c>
      <c r="U32" s="103" t="str">
        <f>VLOOKUP(L32,设备合同!$L$6:$CC$302,10,0)</f>
        <v>承兑汇票</v>
      </c>
      <c r="V32" s="276" t="str">
        <f>VLOOKUP(L32,设备合同!$L$6:$CC$302,11,0)</f>
        <v>甲方收到乙方合同的20%预付款保函（2018.1.2）以及本合同20%的财务收据后15个工作日，支付20%货款。</v>
      </c>
      <c r="W32" s="102">
        <f>VLOOKUP(L32,设备合同!$L$6:$CC$302,12,0)</f>
        <v>720000</v>
      </c>
      <c r="X32" s="102">
        <f>VLOOKUP(L32,设备合同!$L$6:$CC$302,13,0)</f>
        <v>720000</v>
      </c>
      <c r="Y32" s="102">
        <f>VLOOKUP(L32,设备合同!$L$6:$CC$302,14,0)</f>
        <v>720000</v>
      </c>
      <c r="Z32" s="102" t="str">
        <f>VLOOKUP(L32,设备合同!$L$6:$CC$302,15,0)</f>
        <v>甲方在乙方现场确认无误，且受到乙方100%的专票后，15个工作日内支付30%的货款</v>
      </c>
      <c r="AA32" s="102">
        <f>VLOOKUP(L32,设备合同!$L$6:$CC$302,16,0)</f>
        <v>1440000</v>
      </c>
      <c r="AB32" s="102">
        <f>VLOOKUP(L32,设备合同!$L$6:$CC$302,17,0)</f>
        <v>0</v>
      </c>
      <c r="AC32" s="102">
        <f>VLOOKUP(L32,设备合同!$L$6:$CC$302,18,0)</f>
        <v>0</v>
      </c>
      <c r="AD32" s="102" t="str">
        <f>VLOOKUP(L32,设备合同!$L$6:$CC$302,19,0)</f>
        <v>货物到达甲方，安装验收合格后6个月后15个工作日内，支付30%的验收款</v>
      </c>
      <c r="AE32" s="102">
        <f>VLOOKUP(L32,设备合同!$L$6:$CC$302,20,0)</f>
        <v>1080000</v>
      </c>
      <c r="AF32" s="102">
        <f>VLOOKUP(L32,设备合同!$L$6:$CC$302,21,0)</f>
        <v>0</v>
      </c>
      <c r="AG32" s="102">
        <f>VLOOKUP(L32,设备合同!$L$6:$CC$302,22,0)</f>
        <v>0</v>
      </c>
      <c r="AH32" s="102" t="str">
        <f>VLOOKUP(L32,设备合同!$L$6:$CC$302,23,0)</f>
        <v>本合同的10%作为质保金，验收合格12个月质保期后的15个工作日内支付</v>
      </c>
      <c r="AI32" s="102">
        <f>VLOOKUP(L32,设备合同!$L$6:$CC$302,24,0)</f>
        <v>360000</v>
      </c>
      <c r="AJ32" s="102">
        <f>VLOOKUP(L32,设备合同!$L$6:$CC$302,25,0)</f>
        <v>0</v>
      </c>
      <c r="AK32" s="102">
        <f>VLOOKUP(L32,设备合同!$L$6:$CC$302,26,0)</f>
        <v>0</v>
      </c>
      <c r="AL32" s="102">
        <f>VLOOKUP(L32,设备合同!$L$6:$CC$302,27,0)</f>
        <v>0</v>
      </c>
      <c r="AM32" s="102">
        <f>VLOOKUP(L32,设备合同!$L$6:$CC$302,28,0)</f>
        <v>0</v>
      </c>
      <c r="AN32" s="102">
        <f>VLOOKUP(L32,设备合同!$L$6:$CC$302,29,0)</f>
        <v>0</v>
      </c>
      <c r="AO32" s="102">
        <f>VLOOKUP(L32,设备合同!$L$6:$CC$302,30,0)</f>
        <v>0</v>
      </c>
      <c r="AP32" s="102">
        <f>VLOOKUP(L32,设备合同!$L$6:$CC$302,31,0)</f>
        <v>0</v>
      </c>
      <c r="AQ32" s="102">
        <f>VLOOKUP(L32,设备合同!$L$6:$CC$302,32,0)</f>
        <v>0</v>
      </c>
      <c r="AR32" s="102">
        <f>VLOOKUP(L32,设备合同!$L$6:$CC$302,33,0)</f>
        <v>0</v>
      </c>
      <c r="AS32" s="102">
        <f>VLOOKUP(L32,设备合同!$L$6:$CC$302,34,0)</f>
        <v>0</v>
      </c>
      <c r="AT32" s="102">
        <f>VLOOKUP(L32,设备合同!$L$6:$CC$302,35,0)</f>
        <v>0</v>
      </c>
      <c r="AU32" s="102">
        <f>VLOOKUP(L32,设备合同!$L$6:$CC$302,36,0)</f>
        <v>0</v>
      </c>
      <c r="AV32" s="102">
        <f>VLOOKUP(L32,设备合同!$L$6:$CC$302,37,0)</f>
        <v>0</v>
      </c>
      <c r="AW32" s="102">
        <f>VLOOKUP(L32,设备合同!$L$6:$CC$302,38,0)</f>
        <v>0</v>
      </c>
      <c r="AX32" s="102">
        <f>VLOOKUP(L32,设备合同!$L$6:$CC$302,39,0)</f>
        <v>0</v>
      </c>
      <c r="AY32" s="102">
        <f>VLOOKUP(L32,设备合同!$L$6:$CC$302,40,0)</f>
        <v>0</v>
      </c>
      <c r="AZ32" s="102">
        <f>VLOOKUP(L32,设备合同!$L$6:$CC$302,41,0)</f>
        <v>0</v>
      </c>
      <c r="BA32" s="102">
        <f>VLOOKUP(L32,设备合同!$L$6:$CC$302,42,0)</f>
        <v>0</v>
      </c>
      <c r="BB32" s="102">
        <f>VLOOKUP(L32,设备合同!$L$6:$CC$302,43,0)</f>
        <v>0</v>
      </c>
      <c r="BC32" s="102">
        <f>VLOOKUP(L32,设备合同!$L$6:$CC$302,44,0)</f>
        <v>0</v>
      </c>
      <c r="BD32" s="102">
        <f>VLOOKUP(L32,设备合同!$L$6:$CC$302,45,0)</f>
        <v>0</v>
      </c>
      <c r="BE32" s="102">
        <f>VLOOKUP(L32,设备合同!$L$6:$CC$302,46,0)</f>
        <v>0</v>
      </c>
      <c r="BF32" s="102">
        <f>VLOOKUP(L32,设备合同!$L$6:$CC$302,47,0)</f>
        <v>0</v>
      </c>
      <c r="BG32" s="102">
        <f>VLOOKUP(L32,设备合同!$L$6:$CC$302,48,0)</f>
        <v>0</v>
      </c>
      <c r="BH32" s="102">
        <f>VLOOKUP(L32,设备合同!$L$6:$CC$302,49,0)</f>
        <v>0</v>
      </c>
      <c r="BI32" s="102">
        <f>VLOOKUP(L32,设备合同!$L$6:$CC$302,50,0)</f>
        <v>0</v>
      </c>
      <c r="BJ32" s="102">
        <f>VLOOKUP(L32,设备合同!$L$6:$CC$302,51,0)</f>
        <v>0</v>
      </c>
      <c r="BK32" s="102">
        <f>VLOOKUP(L32,设备合同!$L$6:$CC$302,52,0)</f>
        <v>0</v>
      </c>
      <c r="BL32" s="102">
        <f>VLOOKUP(L32,设备合同!$L$6:$CC$302,53,0)</f>
        <v>0</v>
      </c>
      <c r="BM32" s="102">
        <f>VLOOKUP(L32,设备合同!$L$6:$CC$302,54,0)</f>
        <v>0</v>
      </c>
      <c r="BN32" s="102">
        <f>VLOOKUP(L32,设备合同!$L$6:$CC$302,55,0)</f>
        <v>0</v>
      </c>
      <c r="BO32" s="102">
        <f>VLOOKUP(L32,设备合同!$L$6:$CC$302,56,0)</f>
        <v>0</v>
      </c>
      <c r="BP32" s="102">
        <f>VLOOKUP(L32,设备合同!$L$6:$CC$302,57,0)</f>
        <v>0</v>
      </c>
      <c r="BQ32" s="102">
        <f>VLOOKUP(L32,设备合同!$L$6:$CC$302,58,0)</f>
        <v>0</v>
      </c>
      <c r="BR32" s="102">
        <f>VLOOKUP(L32,设备合同!$L$6:$CC$302,59,0)</f>
        <v>0</v>
      </c>
      <c r="BS32" s="102">
        <f>VLOOKUP(L32,设备合同!$L$6:$CC$302,60,0)</f>
        <v>0</v>
      </c>
      <c r="BT32" s="102">
        <f>VLOOKUP(L32,设备合同!$L$6:$CC$302,61,0)</f>
        <v>0</v>
      </c>
      <c r="BU32" s="102">
        <f>VLOOKUP(L32,设备合同!$L$6:$CC$302,62,0)</f>
        <v>0</v>
      </c>
      <c r="BV32" s="102">
        <f>VLOOKUP(L32,设备合同!$L$6:$CC$302,63,0)</f>
        <v>0</v>
      </c>
      <c r="BW32" s="102">
        <f>VLOOKUP(L32,设备合同!$L$6:$CC$302,64,0)</f>
        <v>0</v>
      </c>
      <c r="BX32" s="102">
        <f>VLOOKUP(L32,设备合同!$L$6:$CC$302,65,0)</f>
        <v>0</v>
      </c>
      <c r="BY32" s="102">
        <f>VLOOKUP(L32,设备合同!$L$6:$CC$302,66,0)</f>
        <v>0</v>
      </c>
      <c r="BZ32" s="102">
        <f>VLOOKUP(L32,设备合同!$L$6:$CC$302,67,0)</f>
        <v>0</v>
      </c>
      <c r="CA32" s="102">
        <f>VLOOKUP(L32,设备合同!$L$6:$CC$302,68,0)</f>
        <v>0</v>
      </c>
      <c r="CB32" s="102">
        <f>VLOOKUP(L32,设备合同!$L$6:$CC$302,69,0)</f>
        <v>0</v>
      </c>
      <c r="CC32" s="102">
        <f>VLOOKUP(L32,设备合同!$L$6:$CC$302,70,0)</f>
        <v>0</v>
      </c>
      <c r="CD32" s="123">
        <f t="shared" si="22"/>
        <v>3600000</v>
      </c>
      <c r="CE32" s="102">
        <f t="shared" si="23"/>
        <v>720000</v>
      </c>
      <c r="CF32" s="102">
        <f t="shared" si="24"/>
        <v>720000</v>
      </c>
      <c r="CG32" s="102">
        <f t="shared" si="25"/>
        <v>0</v>
      </c>
      <c r="CH32" s="124">
        <f t="shared" si="26"/>
        <v>2880000</v>
      </c>
      <c r="CI32" s="125">
        <f t="shared" si="27"/>
        <v>0.2</v>
      </c>
      <c r="CJ32" s="126" t="str">
        <f t="shared" si="28"/>
        <v>数据正确</v>
      </c>
    </row>
    <row r="33" s="60" customFormat="1" customHeight="1" spans="2:88">
      <c r="B33" s="70" t="str">
        <f t="shared" si="18"/>
        <v>-</v>
      </c>
      <c r="C33" s="71" t="str">
        <f t="shared" si="19"/>
        <v>-</v>
      </c>
      <c r="D33" s="181">
        <f t="shared" si="20"/>
        <v>0</v>
      </c>
      <c r="E33" s="181">
        <f>SUMIF(服务合同!$L$6:$L$300,L33,服务合同!$E$6:$E$300)</f>
        <v>0</v>
      </c>
      <c r="F33" s="181">
        <f>SUMIF(服务合同!$L$6:$L$300,L33,服务合同!$F$6:$F$300)</f>
        <v>0</v>
      </c>
      <c r="G33" s="181">
        <f>SUMIF(服务合同!$L$6:$L$300,L33,服务合同!$G$6:$G$300)</f>
        <v>0</v>
      </c>
      <c r="H33" s="181">
        <f>SUMIF(服务合同!$L$6:$L$300,L33,服务合同!$H$6:$H$300)</f>
        <v>0</v>
      </c>
      <c r="I33" s="181">
        <f t="shared" si="21"/>
        <v>0</v>
      </c>
      <c r="J33" s="86" t="s">
        <v>98</v>
      </c>
      <c r="K33" s="87"/>
      <c r="L33" s="88">
        <v>28</v>
      </c>
      <c r="M33" s="89" t="str">
        <f>VLOOKUP(L33,服务合同!$L$6:$CC$300,2,0)</f>
        <v>YRKJGC-170001</v>
      </c>
      <c r="N33" s="90" t="str">
        <f>VLOOKUP(L33,服务合同!$L$6:$CC$300,3,0)</f>
        <v>服务合同</v>
      </c>
      <c r="O33" s="265">
        <f>VLOOKUP(L33,服务合同!$L$6:$CC$300,4,0)</f>
        <v>2016120024</v>
      </c>
      <c r="P33" s="266">
        <f>VLOOKUP(L33,服务合同!$L$6:$CC$300,5,0)</f>
        <v>42733</v>
      </c>
      <c r="Q33" s="275">
        <f>VLOOKUP(L33,服务合同!$L$6:$CC$300,6,0)</f>
        <v>70000</v>
      </c>
      <c r="R33" s="89" t="str">
        <f>VLOOKUP(L33,服务合同!$L$6:$CC$300,7,0)</f>
        <v>软基检测（场地沉降监测）</v>
      </c>
      <c r="S33" s="89" t="str">
        <f>VLOOKUP(L33,服务合同!$L$6:$CC$300,8,0)</f>
        <v>福建省建筑设计研究院</v>
      </c>
      <c r="T33" s="107" t="str">
        <f>VLOOKUP(L33,服务合同!$L$6:$CC$300,9,0)</f>
        <v>软基处理7万元</v>
      </c>
      <c r="U33" s="103" t="str">
        <f>VLOOKUP(L33,服务合同!$L$6:$CC$300,10,0)</f>
        <v>电汇</v>
      </c>
      <c r="V33" s="276" t="str">
        <f>VLOOKUP(L33,服务合同!$L$6:$CC$300,11,0)</f>
        <v>全部施工完毕验收合格，收到全额专票后的10-15个工作日付全款</v>
      </c>
      <c r="W33" s="102">
        <f>VLOOKUP(L33,服务合同!$L$6:$CC$300,12,0)</f>
        <v>70000</v>
      </c>
      <c r="X33" s="102">
        <f>VLOOKUP(L33,服务合同!$L$6:$CC$300,13,0)</f>
        <v>0</v>
      </c>
      <c r="Y33" s="102">
        <f>VLOOKUP(L33,服务合同!$L$6:$CC$300,14,0)</f>
        <v>0</v>
      </c>
      <c r="Z33" s="102">
        <f>VLOOKUP(L33,服务合同!$L$6:$CC$300,15,0)</f>
        <v>0</v>
      </c>
      <c r="AA33" s="102">
        <f>VLOOKUP(L33,服务合同!$L$6:$CC$300,16,0)</f>
        <v>0</v>
      </c>
      <c r="AB33" s="102">
        <f>VLOOKUP(L33,服务合同!$L$6:$CC$300,17,0)</f>
        <v>0</v>
      </c>
      <c r="AC33" s="102">
        <f>VLOOKUP(L33,服务合同!$L$6:$CC$300,18,0)</f>
        <v>0</v>
      </c>
      <c r="AD33" s="102">
        <f>VLOOKUP(L33,服务合同!$L$6:$CC$300,19,0)</f>
        <v>0</v>
      </c>
      <c r="AE33" s="102">
        <f>VLOOKUP(L33,服务合同!$L$6:$CC$300,20,0)</f>
        <v>0</v>
      </c>
      <c r="AF33" s="102">
        <f>VLOOKUP(L33,服务合同!$L$6:$CC$300,21,0)</f>
        <v>0</v>
      </c>
      <c r="AG33" s="102">
        <f>VLOOKUP(L33,服务合同!$L$6:$CC$300,22,0)</f>
        <v>0</v>
      </c>
      <c r="AH33" s="102">
        <f>VLOOKUP(L33,服务合同!$L$6:$CC$300,23,0)</f>
        <v>0</v>
      </c>
      <c r="AI33" s="102">
        <f>VLOOKUP(L33,服务合同!$L$6:$CC$300,24,0)</f>
        <v>0</v>
      </c>
      <c r="AJ33" s="102">
        <f>VLOOKUP(L33,服务合同!$L$6:$CC$300,25,0)</f>
        <v>0</v>
      </c>
      <c r="AK33" s="102">
        <f>VLOOKUP(L33,服务合同!$L$6:$CC$300,26,0)</f>
        <v>0</v>
      </c>
      <c r="AL33" s="102">
        <f>VLOOKUP(L33,服务合同!$L$6:$CC$300,27,0)</f>
        <v>0</v>
      </c>
      <c r="AM33" s="102">
        <f>VLOOKUP(L33,服务合同!$L$6:$CC$300,28,0)</f>
        <v>0</v>
      </c>
      <c r="AN33" s="102">
        <f>VLOOKUP(L33,服务合同!$L$6:$CC$300,29,0)</f>
        <v>0</v>
      </c>
      <c r="AO33" s="102">
        <f>VLOOKUP(L33,服务合同!$L$6:$CC$300,30,0)</f>
        <v>0</v>
      </c>
      <c r="AP33" s="102">
        <f>VLOOKUP(L33,服务合同!$L$6:$CC$300,31,0)</f>
        <v>0</v>
      </c>
      <c r="AQ33" s="102">
        <f>VLOOKUP(L33,服务合同!$L$6:$CC$300,32,0)</f>
        <v>0</v>
      </c>
      <c r="AR33" s="102">
        <f>VLOOKUP(L33,服务合同!$L$6:$CC$300,33,0)</f>
        <v>0</v>
      </c>
      <c r="AS33" s="102">
        <f>VLOOKUP(L33,服务合同!$L$6:$CC$300,34,0)</f>
        <v>0</v>
      </c>
      <c r="AT33" s="102">
        <f>VLOOKUP(L33,服务合同!$L$6:$CC$300,35,0)</f>
        <v>0</v>
      </c>
      <c r="AU33" s="102">
        <f>VLOOKUP(L33,服务合同!$L$6:$CC$300,36,0)</f>
        <v>0</v>
      </c>
      <c r="AV33" s="102">
        <f>VLOOKUP(L33,服务合同!$L$6:$CC$300,37,0)</f>
        <v>0</v>
      </c>
      <c r="AW33" s="102">
        <f>VLOOKUP(L33,服务合同!$L$6:$CC$300,38,0)</f>
        <v>0</v>
      </c>
      <c r="AX33" s="102">
        <f>VLOOKUP(L33,服务合同!$L$6:$CC$300,39,0)</f>
        <v>0</v>
      </c>
      <c r="AY33" s="102">
        <f>VLOOKUP(L33,服务合同!$L$6:$CC$300,40,0)</f>
        <v>0</v>
      </c>
      <c r="AZ33" s="102">
        <f>VLOOKUP(L33,服务合同!$L$6:$CC$300,41,0)</f>
        <v>0</v>
      </c>
      <c r="BA33" s="102">
        <f>VLOOKUP(L33,服务合同!$L$6:$CC$300,42,0)</f>
        <v>0</v>
      </c>
      <c r="BB33" s="102">
        <f>VLOOKUP(L33,服务合同!$L$6:$CC$300,43,0)</f>
        <v>0</v>
      </c>
      <c r="BC33" s="102">
        <f>VLOOKUP(L33,服务合同!$L$6:$CC$300,44,0)</f>
        <v>0</v>
      </c>
      <c r="BD33" s="102">
        <f>VLOOKUP(L33,服务合同!$L$6:$CC$300,45,0)</f>
        <v>0</v>
      </c>
      <c r="BE33" s="102">
        <f>VLOOKUP(L33,服务合同!$L$6:$CC$300,46,0)</f>
        <v>0</v>
      </c>
      <c r="BF33" s="102">
        <f>VLOOKUP(L33,服务合同!$L$6:$CC$300,47,0)</f>
        <v>0</v>
      </c>
      <c r="BG33" s="102">
        <f>VLOOKUP(L33,服务合同!$L$6:$CC$300,48,0)</f>
        <v>0</v>
      </c>
      <c r="BH33" s="102">
        <f>VLOOKUP(L33,服务合同!$L$6:$CC$300,49,0)</f>
        <v>0</v>
      </c>
      <c r="BI33" s="102">
        <f>VLOOKUP(L33,服务合同!$L$6:$CC$300,50,0)</f>
        <v>0</v>
      </c>
      <c r="BJ33" s="102">
        <f>VLOOKUP(L33,服务合同!$L$6:$CC$300,51,0)</f>
        <v>0</v>
      </c>
      <c r="BK33" s="102">
        <f>VLOOKUP(L33,服务合同!$L$6:$CC$300,52,0)</f>
        <v>0</v>
      </c>
      <c r="BL33" s="102">
        <f>VLOOKUP(L33,服务合同!$L$6:$CC$300,53,0)</f>
        <v>0</v>
      </c>
      <c r="BM33" s="102">
        <f>VLOOKUP(L33,服务合同!$L$6:$CC$300,54,0)</f>
        <v>0</v>
      </c>
      <c r="BN33" s="102">
        <f>VLOOKUP(L33,服务合同!$L$6:$CC$300,55,0)</f>
        <v>0</v>
      </c>
      <c r="BO33" s="102">
        <f>VLOOKUP(L33,服务合同!$L$6:$CC$300,56,0)</f>
        <v>0</v>
      </c>
      <c r="BP33" s="102">
        <f>VLOOKUP(L33,服务合同!$L$6:$CC$300,57,0)</f>
        <v>0</v>
      </c>
      <c r="BQ33" s="102">
        <f>VLOOKUP(L33,服务合同!$L$6:$CC$300,58,0)</f>
        <v>0</v>
      </c>
      <c r="BR33" s="102">
        <f>VLOOKUP(L33,服务合同!$L$6:$CC$300,59,0)</f>
        <v>0</v>
      </c>
      <c r="BS33" s="102">
        <f>VLOOKUP(L33,服务合同!$L$6:$CC$300,60,0)</f>
        <v>0</v>
      </c>
      <c r="BT33" s="102">
        <f>VLOOKUP(L33,服务合同!$L$6:$CC$300,61,0)</f>
        <v>0</v>
      </c>
      <c r="BU33" s="102">
        <f>VLOOKUP(L33,服务合同!$L$6:$CC$300,62,0)</f>
        <v>0</v>
      </c>
      <c r="BV33" s="102">
        <f>VLOOKUP(L33,服务合同!$L$6:$CC$300,63,0)</f>
        <v>0</v>
      </c>
      <c r="BW33" s="102">
        <f>VLOOKUP(L33,服务合同!$L$6:$CC$300,64,0)</f>
        <v>0</v>
      </c>
      <c r="BX33" s="102">
        <f>VLOOKUP(L33,服务合同!$L$6:$CC$300,65,0)</f>
        <v>0</v>
      </c>
      <c r="BY33" s="102">
        <f>VLOOKUP(L33,服务合同!$L$6:$CC$300,66,0)</f>
        <v>0</v>
      </c>
      <c r="BZ33" s="102">
        <f>VLOOKUP(L33,服务合同!$L$6:$CC$300,67,0)</f>
        <v>0</v>
      </c>
      <c r="CA33" s="102">
        <f>VLOOKUP(L33,服务合同!$L$6:$CC$300,68,0)</f>
        <v>0</v>
      </c>
      <c r="CB33" s="102">
        <f>VLOOKUP(L33,服务合同!$L$6:$CC$300,69,0)</f>
        <v>0</v>
      </c>
      <c r="CC33" s="102">
        <f>VLOOKUP(L33,服务合同!$L$6:$CC$300,70,0)</f>
        <v>0</v>
      </c>
      <c r="CD33" s="123">
        <f t="shared" si="22"/>
        <v>70000</v>
      </c>
      <c r="CE33" s="102">
        <f t="shared" si="23"/>
        <v>0</v>
      </c>
      <c r="CF33" s="102">
        <f t="shared" si="24"/>
        <v>0</v>
      </c>
      <c r="CG33" s="102">
        <f t="shared" si="25"/>
        <v>0</v>
      </c>
      <c r="CH33" s="124">
        <f t="shared" si="26"/>
        <v>70000</v>
      </c>
      <c r="CI33" s="125">
        <f t="shared" si="27"/>
        <v>0</v>
      </c>
      <c r="CJ33" s="126" t="str">
        <f t="shared" si="28"/>
        <v>数据正确</v>
      </c>
    </row>
    <row r="34" s="60" customFormat="1" customHeight="1" spans="2:88">
      <c r="B34" s="70" t="str">
        <f t="shared" si="18"/>
        <v>-</v>
      </c>
      <c r="C34" s="71" t="str">
        <f t="shared" si="19"/>
        <v>-</v>
      </c>
      <c r="D34" s="181">
        <f t="shared" si="20"/>
        <v>64425.44</v>
      </c>
      <c r="E34" s="181">
        <f>SUMIF(材料合同!$L$6:$L$305,L34,材料合同!$E$6:$E$305)</f>
        <v>0</v>
      </c>
      <c r="F34" s="181">
        <f>SUMIF(材料合同!$L$6:$L$305,L34,材料合同!$F$6:$F$305)</f>
        <v>0</v>
      </c>
      <c r="G34" s="181">
        <f>SUMIF(材料合同!$L$6:$L$305,L34,材料合同!$G$6:$G$305)</f>
        <v>0</v>
      </c>
      <c r="H34" s="181">
        <f>SUMIF(材料合同!$L$6:$L$305,L34,材料合同!$H$6:$H$305)</f>
        <v>0</v>
      </c>
      <c r="I34" s="181">
        <f t="shared" si="21"/>
        <v>0</v>
      </c>
      <c r="J34" s="86" t="s">
        <v>98</v>
      </c>
      <c r="K34" s="87"/>
      <c r="L34" s="88">
        <v>29</v>
      </c>
      <c r="M34" s="89" t="str">
        <f>VLOOKUP(L34,材料合同!$L$6:$CC$305,2,0)</f>
        <v>YRKJGC-170002</v>
      </c>
      <c r="N34" s="90" t="str">
        <f>VLOOKUP(L34,材料合同!$L$6:$CC$305,3,0)</f>
        <v>材料合同</v>
      </c>
      <c r="O34" s="265">
        <f>VLOOKUP(L34,材料合同!$L$6:$CC$305,4,0)</f>
        <v>2017010001</v>
      </c>
      <c r="P34" s="266">
        <f>VLOOKUP(L34,材料合同!$L$6:$CC$305,5,0)</f>
        <v>42791</v>
      </c>
      <c r="Q34" s="275">
        <f>VLOOKUP(L34,材料合同!$L$6:$CC$305,6,0)</f>
        <v>65720</v>
      </c>
      <c r="R34" s="89" t="str">
        <f>VLOOKUP(L34,材料合同!$L$6:$CC$305,7,0)</f>
        <v>连锁块（53000块*1.24元/块）</v>
      </c>
      <c r="S34" s="89" t="str">
        <f>VLOOKUP(L34,材料合同!$L$6:$CC$305,8,0)</f>
        <v>莆田市秀屿区东庄荔锦水泥制砖场</v>
      </c>
      <c r="T34" s="107" t="str">
        <f>VLOOKUP(L34,材料合同!$L$6:$CC$305,9,0)</f>
        <v>总图运输65720元</v>
      </c>
      <c r="U34" s="103" t="str">
        <f>VLOOKUP(L34,材料合同!$L$6:$CC$305,10,0)</f>
        <v>电汇</v>
      </c>
      <c r="V34" s="276" t="str">
        <f>VLOOKUP(L34,材料合同!$L$6:$CC$305,11,0)</f>
        <v>货到交货点验收合格，收到全额发票后，支付全额</v>
      </c>
      <c r="W34" s="102">
        <f>VLOOKUP(L34,材料合同!$L$6:$CC$305,12,0)</f>
        <v>65720</v>
      </c>
      <c r="X34" s="102">
        <f>VLOOKUP(L34,材料合同!$L$6:$CC$305,13,0)</f>
        <v>64425.44</v>
      </c>
      <c r="Y34" s="102">
        <f>VLOOKUP(L34,材料合同!$L$6:$CC$305,14,0)</f>
        <v>64425.44</v>
      </c>
      <c r="Z34" s="102">
        <f>VLOOKUP(L34,材料合同!$L$6:$CC$305,15,0)</f>
        <v>0</v>
      </c>
      <c r="AA34" s="102">
        <f>VLOOKUP(L34,材料合同!$L$6:$CC$305,16,0)</f>
        <v>0</v>
      </c>
      <c r="AB34" s="102">
        <f>VLOOKUP(L34,材料合同!$L$6:$CC$305,17,0)</f>
        <v>0</v>
      </c>
      <c r="AC34" s="102">
        <f>VLOOKUP(L34,材料合同!$L$6:$CC$305,18,0)</f>
        <v>0</v>
      </c>
      <c r="AD34" s="102">
        <f>VLOOKUP(L34,材料合同!$L$6:$CC$305,19,0)</f>
        <v>0</v>
      </c>
      <c r="AE34" s="102">
        <f>VLOOKUP(L34,材料合同!$L$6:$CC$305,20,0)</f>
        <v>0</v>
      </c>
      <c r="AF34" s="102">
        <f>VLOOKUP(L34,材料合同!$L$6:$CC$305,21,0)</f>
        <v>0</v>
      </c>
      <c r="AG34" s="102">
        <f>VLOOKUP(L34,材料合同!$L$6:$CC$305,22,0)</f>
        <v>0</v>
      </c>
      <c r="AH34" s="102">
        <f>VLOOKUP(L34,材料合同!$L$6:$CC$305,23,0)</f>
        <v>0</v>
      </c>
      <c r="AI34" s="102">
        <f>VLOOKUP(L34,材料合同!$L$6:$CC$305,24,0)</f>
        <v>0</v>
      </c>
      <c r="AJ34" s="102">
        <f>VLOOKUP(L34,材料合同!$L$6:$CC$305,25,0)</f>
        <v>0</v>
      </c>
      <c r="AK34" s="102">
        <f>VLOOKUP(L34,材料合同!$L$6:$CC$305,26,0)</f>
        <v>0</v>
      </c>
      <c r="AL34" s="102">
        <f>VLOOKUP(L34,材料合同!$L$6:$CC$305,27,0)</f>
        <v>0</v>
      </c>
      <c r="AM34" s="102">
        <f>VLOOKUP(L34,材料合同!$L$6:$CC$305,28,0)</f>
        <v>0</v>
      </c>
      <c r="AN34" s="102">
        <f>VLOOKUP(L34,材料合同!$L$6:$CC$305,29,0)</f>
        <v>0</v>
      </c>
      <c r="AO34" s="102">
        <f>VLOOKUP(L34,材料合同!$L$6:$CC$305,30,0)</f>
        <v>0</v>
      </c>
      <c r="AP34" s="102">
        <f>VLOOKUP(L34,材料合同!$L$6:$CC$305,31,0)</f>
        <v>0</v>
      </c>
      <c r="AQ34" s="102">
        <f>VLOOKUP(L34,材料合同!$L$6:$CC$305,32,0)</f>
        <v>0</v>
      </c>
      <c r="AR34" s="102">
        <f>VLOOKUP(L34,材料合同!$L$6:$CC$305,33,0)</f>
        <v>0</v>
      </c>
      <c r="AS34" s="102">
        <f>VLOOKUP(L34,材料合同!$L$6:$CC$305,34,0)</f>
        <v>0</v>
      </c>
      <c r="AT34" s="102">
        <f>VLOOKUP(L34,材料合同!$L$6:$CC$305,35,0)</f>
        <v>0</v>
      </c>
      <c r="AU34" s="102">
        <f>VLOOKUP(L34,材料合同!$L$6:$CC$305,36,0)</f>
        <v>0</v>
      </c>
      <c r="AV34" s="102">
        <f>VLOOKUP(L34,材料合同!$L$6:$CC$305,37,0)</f>
        <v>0</v>
      </c>
      <c r="AW34" s="102">
        <f>VLOOKUP(L34,材料合同!$L$6:$CC$305,38,0)</f>
        <v>0</v>
      </c>
      <c r="AX34" s="102">
        <f>VLOOKUP(L34,材料合同!$L$6:$CC$305,39,0)</f>
        <v>0</v>
      </c>
      <c r="AY34" s="102">
        <f>VLOOKUP(L34,材料合同!$L$6:$CC$305,40,0)</f>
        <v>0</v>
      </c>
      <c r="AZ34" s="102">
        <f>VLOOKUP(L34,材料合同!$L$6:$CC$305,41,0)</f>
        <v>0</v>
      </c>
      <c r="BA34" s="102">
        <f>VLOOKUP(L34,材料合同!$L$6:$CC$305,42,0)</f>
        <v>0</v>
      </c>
      <c r="BB34" s="102">
        <f>VLOOKUP(L34,材料合同!$L$6:$CC$305,43,0)</f>
        <v>0</v>
      </c>
      <c r="BC34" s="102">
        <f>VLOOKUP(L34,材料合同!$L$6:$CC$305,44,0)</f>
        <v>0</v>
      </c>
      <c r="BD34" s="102">
        <f>VLOOKUP(L34,材料合同!$L$6:$CC$305,45,0)</f>
        <v>0</v>
      </c>
      <c r="BE34" s="102">
        <f>VLOOKUP(L34,材料合同!$L$6:$CC$305,46,0)</f>
        <v>0</v>
      </c>
      <c r="BF34" s="102">
        <f>VLOOKUP(L34,材料合同!$L$6:$CC$305,47,0)</f>
        <v>0</v>
      </c>
      <c r="BG34" s="102">
        <f>VLOOKUP(L34,材料合同!$L$6:$CC$305,48,0)</f>
        <v>0</v>
      </c>
      <c r="BH34" s="102">
        <f>VLOOKUP(L34,材料合同!$L$6:$CC$305,49,0)</f>
        <v>0</v>
      </c>
      <c r="BI34" s="102">
        <f>VLOOKUP(L34,材料合同!$L$6:$CC$305,50,0)</f>
        <v>0</v>
      </c>
      <c r="BJ34" s="102">
        <f>VLOOKUP(L34,材料合同!$L$6:$CC$305,51,0)</f>
        <v>0</v>
      </c>
      <c r="BK34" s="102">
        <f>VLOOKUP(L34,材料合同!$L$6:$CC$305,52,0)</f>
        <v>0</v>
      </c>
      <c r="BL34" s="102">
        <f>VLOOKUP(L34,材料合同!$L$6:$CC$305,53,0)</f>
        <v>0</v>
      </c>
      <c r="BM34" s="102">
        <f>VLOOKUP(L34,材料合同!$L$6:$CC$305,54,0)</f>
        <v>0</v>
      </c>
      <c r="BN34" s="102">
        <f>VLOOKUP(L34,材料合同!$L$6:$CC$305,55,0)</f>
        <v>0</v>
      </c>
      <c r="BO34" s="102">
        <f>VLOOKUP(L34,材料合同!$L$6:$CC$305,56,0)</f>
        <v>0</v>
      </c>
      <c r="BP34" s="102">
        <f>VLOOKUP(L34,材料合同!$L$6:$CC$305,57,0)</f>
        <v>0</v>
      </c>
      <c r="BQ34" s="102">
        <f>VLOOKUP(L34,材料合同!$L$6:$CC$305,58,0)</f>
        <v>0</v>
      </c>
      <c r="BR34" s="102">
        <f>VLOOKUP(L34,材料合同!$L$6:$CC$305,59,0)</f>
        <v>0</v>
      </c>
      <c r="BS34" s="102">
        <f>VLOOKUP(L34,材料合同!$L$6:$CC$305,60,0)</f>
        <v>0</v>
      </c>
      <c r="BT34" s="102">
        <f>VLOOKUP(L34,材料合同!$L$6:$CC$305,61,0)</f>
        <v>0</v>
      </c>
      <c r="BU34" s="102">
        <f>VLOOKUP(L34,材料合同!$L$6:$CC$305,62,0)</f>
        <v>0</v>
      </c>
      <c r="BV34" s="102">
        <f>VLOOKUP(L34,材料合同!$L$6:$CC$305,63,0)</f>
        <v>0</v>
      </c>
      <c r="BW34" s="102">
        <f>VLOOKUP(L34,材料合同!$L$6:$CC$305,64,0)</f>
        <v>0</v>
      </c>
      <c r="BX34" s="102">
        <f>VLOOKUP(L34,材料合同!$L$6:$CC$305,65,0)</f>
        <v>0</v>
      </c>
      <c r="BY34" s="102">
        <f>VLOOKUP(L34,材料合同!$L$6:$CC$305,66,0)</f>
        <v>0</v>
      </c>
      <c r="BZ34" s="102">
        <f>VLOOKUP(L34,材料合同!$L$6:$CC$305,67,0)</f>
        <v>0</v>
      </c>
      <c r="CA34" s="102">
        <f>VLOOKUP(L34,材料合同!$L$6:$CC$305,68,0)</f>
        <v>0</v>
      </c>
      <c r="CB34" s="102">
        <f>VLOOKUP(L34,材料合同!$L$6:$CC$305,69,0)</f>
        <v>0</v>
      </c>
      <c r="CC34" s="102">
        <f>VLOOKUP(L34,材料合同!$L$6:$CC$305,70,0)</f>
        <v>0</v>
      </c>
      <c r="CD34" s="123">
        <f t="shared" si="22"/>
        <v>65720</v>
      </c>
      <c r="CE34" s="102">
        <f t="shared" si="23"/>
        <v>64425.44</v>
      </c>
      <c r="CF34" s="102">
        <f t="shared" si="24"/>
        <v>64425.44</v>
      </c>
      <c r="CG34" s="102">
        <f t="shared" si="25"/>
        <v>0</v>
      </c>
      <c r="CH34" s="124">
        <f t="shared" si="26"/>
        <v>1294.56</v>
      </c>
      <c r="CI34" s="125">
        <f t="shared" si="27"/>
        <v>0.980301886792453</v>
      </c>
      <c r="CJ34" s="126" t="str">
        <f t="shared" si="28"/>
        <v>数据正确</v>
      </c>
    </row>
    <row r="35" s="60" customFormat="1" customHeight="1" spans="2:88">
      <c r="B35" s="70" t="str">
        <f t="shared" si="18"/>
        <v>-</v>
      </c>
      <c r="C35" s="71" t="str">
        <f t="shared" si="19"/>
        <v>已付清</v>
      </c>
      <c r="D35" s="181">
        <f t="shared" si="20"/>
        <v>942505.1</v>
      </c>
      <c r="E35" s="181">
        <f>SUMIF(材料合同!$L$6:$L$305,L35,材料合同!$E$6:$E$305)</f>
        <v>0</v>
      </c>
      <c r="F35" s="181">
        <f>SUMIF(材料合同!$L$6:$L$305,L35,材料合同!$F$6:$F$305)</f>
        <v>0</v>
      </c>
      <c r="G35" s="181">
        <f>SUMIF(材料合同!$L$6:$L$305,L35,材料合同!$G$6:$G$305)</f>
        <v>0</v>
      </c>
      <c r="H35" s="181">
        <f>SUMIF(材料合同!$L$6:$L$305,L35,材料合同!$H$6:$H$305)</f>
        <v>0</v>
      </c>
      <c r="I35" s="181">
        <f t="shared" si="21"/>
        <v>0</v>
      </c>
      <c r="J35" s="86" t="s">
        <v>98</v>
      </c>
      <c r="K35" s="87"/>
      <c r="L35" s="88">
        <v>30</v>
      </c>
      <c r="M35" s="89" t="str">
        <f>VLOOKUP(L35,材料合同!$L$6:$CC$305,2,0)</f>
        <v>YRKJGC-170004</v>
      </c>
      <c r="N35" s="90" t="str">
        <f>VLOOKUP(L35,材料合同!$L$6:$CC$305,3,0)</f>
        <v>材料合同</v>
      </c>
      <c r="O35" s="265">
        <f>VLOOKUP(L35,材料合同!$L$6:$CC$305,4,0)</f>
        <v>2017020027</v>
      </c>
      <c r="P35" s="266">
        <f>VLOOKUP(L35,材料合同!$L$6:$CC$305,5,0)</f>
        <v>42674</v>
      </c>
      <c r="Q35" s="275">
        <f>VLOOKUP(L35,材料合同!$L$6:$CC$305,6,0)</f>
        <v>942505.1</v>
      </c>
      <c r="R35" s="89" t="str">
        <f>VLOOKUP(L35,材料合同!$L$6:$CC$305,7,0)</f>
        <v>管桩(6000米*157.9元/米）</v>
      </c>
      <c r="S35" s="89" t="str">
        <f>VLOOKUP(L35,材料合同!$L$6:$CC$305,8,0)</f>
        <v>福建宝丰管桩有限公司</v>
      </c>
      <c r="T35" s="107" t="str">
        <f>VLOOKUP(L35,材料合同!$L$6:$CC$305,9,0)</f>
        <v>有机物料罐组51支，中间罐组191支</v>
      </c>
      <c r="U35" s="103" t="str">
        <f>VLOOKUP(L35,材料合同!$L$6:$CC$305,10,0)</f>
        <v>电汇</v>
      </c>
      <c r="V35" s="276" t="str">
        <f>VLOOKUP(L35,材料合同!$L$6:$CC$305,11,0)</f>
        <v>货到付款，每次供货3000米，收到等额的17%专票后5个工作日支付</v>
      </c>
      <c r="W35" s="102">
        <f>VLOOKUP(L35,材料合同!$L$6:$CC$305,12,0)</f>
        <v>473700</v>
      </c>
      <c r="X35" s="102">
        <f>VLOOKUP(L35,材料合同!$L$6:$CC$305,13,0)</f>
        <v>473700</v>
      </c>
      <c r="Y35" s="102">
        <f>VLOOKUP(L35,材料合同!$L$6:$CC$305,14,0)</f>
        <v>473700</v>
      </c>
      <c r="Z35" s="102" t="str">
        <f>VLOOKUP(L35,材料合同!$L$6:$CC$305,15,0)</f>
        <v>货到付款，每次供货3000米，收到等额的17%专票后5个工作日支付</v>
      </c>
      <c r="AA35" s="102">
        <f>VLOOKUP(L35,材料合同!$L$6:$CC$305,16,0)</f>
        <v>468805.1</v>
      </c>
      <c r="AB35" s="102">
        <f>VLOOKUP(L35,材料合同!$L$6:$CC$305,17,0)</f>
        <v>468805.1</v>
      </c>
      <c r="AC35" s="102">
        <f>VLOOKUP(L35,材料合同!$L$6:$CC$305,18,0)</f>
        <v>468805.1</v>
      </c>
      <c r="AD35" s="102">
        <f>VLOOKUP(L35,材料合同!$L$6:$CC$305,19,0)</f>
        <v>0</v>
      </c>
      <c r="AE35" s="102">
        <f>VLOOKUP(L35,材料合同!$L$6:$CC$305,20,0)</f>
        <v>0</v>
      </c>
      <c r="AF35" s="102">
        <f>VLOOKUP(L35,材料合同!$L$6:$CC$305,21,0)</f>
        <v>0</v>
      </c>
      <c r="AG35" s="102">
        <f>VLOOKUP(L35,材料合同!$L$6:$CC$305,22,0)</f>
        <v>0</v>
      </c>
      <c r="AH35" s="102">
        <f>VLOOKUP(L35,材料合同!$L$6:$CC$305,23,0)</f>
        <v>0</v>
      </c>
      <c r="AI35" s="102">
        <f>VLOOKUP(L35,材料合同!$L$6:$CC$305,24,0)</f>
        <v>0</v>
      </c>
      <c r="AJ35" s="102">
        <f>VLOOKUP(L35,材料合同!$L$6:$CC$305,25,0)</f>
        <v>0</v>
      </c>
      <c r="AK35" s="102">
        <f>VLOOKUP(L35,材料合同!$L$6:$CC$305,26,0)</f>
        <v>0</v>
      </c>
      <c r="AL35" s="102">
        <f>VLOOKUP(L35,材料合同!$L$6:$CC$305,27,0)</f>
        <v>0</v>
      </c>
      <c r="AM35" s="102">
        <f>VLOOKUP(L35,材料合同!$L$6:$CC$305,28,0)</f>
        <v>0</v>
      </c>
      <c r="AN35" s="102">
        <f>VLOOKUP(L35,材料合同!$L$6:$CC$305,29,0)</f>
        <v>0</v>
      </c>
      <c r="AO35" s="102">
        <f>VLOOKUP(L35,材料合同!$L$6:$CC$305,30,0)</f>
        <v>0</v>
      </c>
      <c r="AP35" s="102">
        <f>VLOOKUP(L35,材料合同!$L$6:$CC$305,31,0)</f>
        <v>0</v>
      </c>
      <c r="AQ35" s="102">
        <f>VLOOKUP(L35,材料合同!$L$6:$CC$305,32,0)</f>
        <v>0</v>
      </c>
      <c r="AR35" s="102">
        <f>VLOOKUP(L35,材料合同!$L$6:$CC$305,33,0)</f>
        <v>0</v>
      </c>
      <c r="AS35" s="102">
        <f>VLOOKUP(L35,材料合同!$L$6:$CC$305,34,0)</f>
        <v>0</v>
      </c>
      <c r="AT35" s="102">
        <f>VLOOKUP(L35,材料合同!$L$6:$CC$305,35,0)</f>
        <v>0</v>
      </c>
      <c r="AU35" s="102">
        <f>VLOOKUP(L35,材料合同!$L$6:$CC$305,36,0)</f>
        <v>0</v>
      </c>
      <c r="AV35" s="102">
        <f>VLOOKUP(L35,材料合同!$L$6:$CC$305,37,0)</f>
        <v>0</v>
      </c>
      <c r="AW35" s="102">
        <f>VLOOKUP(L35,材料合同!$L$6:$CC$305,38,0)</f>
        <v>0</v>
      </c>
      <c r="AX35" s="102">
        <f>VLOOKUP(L35,材料合同!$L$6:$CC$305,39,0)</f>
        <v>0</v>
      </c>
      <c r="AY35" s="102">
        <f>VLOOKUP(L35,材料合同!$L$6:$CC$305,40,0)</f>
        <v>0</v>
      </c>
      <c r="AZ35" s="102">
        <f>VLOOKUP(L35,材料合同!$L$6:$CC$305,41,0)</f>
        <v>0</v>
      </c>
      <c r="BA35" s="102">
        <f>VLOOKUP(L35,材料合同!$L$6:$CC$305,42,0)</f>
        <v>0</v>
      </c>
      <c r="BB35" s="102">
        <f>VLOOKUP(L35,材料合同!$L$6:$CC$305,43,0)</f>
        <v>0</v>
      </c>
      <c r="BC35" s="102">
        <f>VLOOKUP(L35,材料合同!$L$6:$CC$305,44,0)</f>
        <v>0</v>
      </c>
      <c r="BD35" s="102">
        <f>VLOOKUP(L35,材料合同!$L$6:$CC$305,45,0)</f>
        <v>0</v>
      </c>
      <c r="BE35" s="102">
        <f>VLOOKUP(L35,材料合同!$L$6:$CC$305,46,0)</f>
        <v>0</v>
      </c>
      <c r="BF35" s="102">
        <f>VLOOKUP(L35,材料合同!$L$6:$CC$305,47,0)</f>
        <v>0</v>
      </c>
      <c r="BG35" s="102">
        <f>VLOOKUP(L35,材料合同!$L$6:$CC$305,48,0)</f>
        <v>0</v>
      </c>
      <c r="BH35" s="102">
        <f>VLOOKUP(L35,材料合同!$L$6:$CC$305,49,0)</f>
        <v>0</v>
      </c>
      <c r="BI35" s="102">
        <f>VLOOKUP(L35,材料合同!$L$6:$CC$305,50,0)</f>
        <v>0</v>
      </c>
      <c r="BJ35" s="102">
        <f>VLOOKUP(L35,材料合同!$L$6:$CC$305,51,0)</f>
        <v>0</v>
      </c>
      <c r="BK35" s="102">
        <f>VLOOKUP(L35,材料合同!$L$6:$CC$305,52,0)</f>
        <v>0</v>
      </c>
      <c r="BL35" s="102">
        <f>VLOOKUP(L35,材料合同!$L$6:$CC$305,53,0)</f>
        <v>0</v>
      </c>
      <c r="BM35" s="102">
        <f>VLOOKUP(L35,材料合同!$L$6:$CC$305,54,0)</f>
        <v>0</v>
      </c>
      <c r="BN35" s="102">
        <f>VLOOKUP(L35,材料合同!$L$6:$CC$305,55,0)</f>
        <v>0</v>
      </c>
      <c r="BO35" s="102">
        <f>VLOOKUP(L35,材料合同!$L$6:$CC$305,56,0)</f>
        <v>0</v>
      </c>
      <c r="BP35" s="102">
        <f>VLOOKUP(L35,材料合同!$L$6:$CC$305,57,0)</f>
        <v>0</v>
      </c>
      <c r="BQ35" s="102">
        <f>VLOOKUP(L35,材料合同!$L$6:$CC$305,58,0)</f>
        <v>0</v>
      </c>
      <c r="BR35" s="102">
        <f>VLOOKUP(L35,材料合同!$L$6:$CC$305,59,0)</f>
        <v>0</v>
      </c>
      <c r="BS35" s="102">
        <f>VLOOKUP(L35,材料合同!$L$6:$CC$305,60,0)</f>
        <v>0</v>
      </c>
      <c r="BT35" s="102">
        <f>VLOOKUP(L35,材料合同!$L$6:$CC$305,61,0)</f>
        <v>0</v>
      </c>
      <c r="BU35" s="102">
        <f>VLOOKUP(L35,材料合同!$L$6:$CC$305,62,0)</f>
        <v>0</v>
      </c>
      <c r="BV35" s="102">
        <f>VLOOKUP(L35,材料合同!$L$6:$CC$305,63,0)</f>
        <v>0</v>
      </c>
      <c r="BW35" s="102">
        <f>VLOOKUP(L35,材料合同!$L$6:$CC$305,64,0)</f>
        <v>0</v>
      </c>
      <c r="BX35" s="102">
        <f>VLOOKUP(L35,材料合同!$L$6:$CC$305,65,0)</f>
        <v>0</v>
      </c>
      <c r="BY35" s="102">
        <f>VLOOKUP(L35,材料合同!$L$6:$CC$305,66,0)</f>
        <v>0</v>
      </c>
      <c r="BZ35" s="102">
        <f>VLOOKUP(L35,材料合同!$L$6:$CC$305,67,0)</f>
        <v>0</v>
      </c>
      <c r="CA35" s="102">
        <f>VLOOKUP(L35,材料合同!$L$6:$CC$305,68,0)</f>
        <v>0</v>
      </c>
      <c r="CB35" s="102">
        <f>VLOOKUP(L35,材料合同!$L$6:$CC$305,69,0)</f>
        <v>0</v>
      </c>
      <c r="CC35" s="102">
        <f>VLOOKUP(L35,材料合同!$L$6:$CC$305,70,0)</f>
        <v>0</v>
      </c>
      <c r="CD35" s="123">
        <f t="shared" si="22"/>
        <v>942505.1</v>
      </c>
      <c r="CE35" s="102">
        <f t="shared" si="23"/>
        <v>942505.1</v>
      </c>
      <c r="CF35" s="102">
        <f t="shared" si="24"/>
        <v>942505.1</v>
      </c>
      <c r="CG35" s="102">
        <f t="shared" si="25"/>
        <v>0</v>
      </c>
      <c r="CH35" s="124">
        <f t="shared" si="26"/>
        <v>0</v>
      </c>
      <c r="CI35" s="125">
        <f t="shared" si="27"/>
        <v>1</v>
      </c>
      <c r="CJ35" s="126" t="str">
        <f t="shared" si="28"/>
        <v>数据正确</v>
      </c>
    </row>
    <row r="36" s="60" customFormat="1" customHeight="1" spans="2:88">
      <c r="B36" s="70" t="str">
        <f t="shared" si="18"/>
        <v>-</v>
      </c>
      <c r="C36" s="71" t="str">
        <f t="shared" si="19"/>
        <v>-</v>
      </c>
      <c r="D36" s="181">
        <f t="shared" si="20"/>
        <v>538000</v>
      </c>
      <c r="E36" s="181">
        <f>SUMIF(材料合同!$L$6:$L$305,L36,材料合同!$E$6:$E$305)</f>
        <v>0</v>
      </c>
      <c r="F36" s="181">
        <f>SUMIF(材料合同!$L$6:$L$305,L36,材料合同!$F$6:$F$305)</f>
        <v>0</v>
      </c>
      <c r="G36" s="181">
        <f>SUMIF(材料合同!$L$6:$L$305,L36,材料合同!$G$6:$G$305)</f>
        <v>0</v>
      </c>
      <c r="H36" s="181">
        <f>SUMIF(材料合同!$L$6:$L$305,L36,材料合同!$H$6:$H$305)</f>
        <v>0</v>
      </c>
      <c r="I36" s="181">
        <f t="shared" si="21"/>
        <v>0</v>
      </c>
      <c r="J36" s="86" t="s">
        <v>98</v>
      </c>
      <c r="K36" s="87"/>
      <c r="L36" s="88">
        <v>31</v>
      </c>
      <c r="M36" s="89" t="str">
        <f>VLOOKUP(L36,材料合同!$L$6:$CC$305,2,0)</f>
        <v>YRKJGC-170005</v>
      </c>
      <c r="N36" s="90" t="str">
        <f>VLOOKUP(L36,材料合同!$L$6:$CC$305,3,0)</f>
        <v>材料合同</v>
      </c>
      <c r="O36" s="265">
        <f>VLOOKUP(L36,材料合同!$L$6:$CC$305,4,0)</f>
        <v>2017030013</v>
      </c>
      <c r="P36" s="266">
        <f>VLOOKUP(L36,材料合同!$L$6:$CC$305,5,0)</f>
        <v>42809</v>
      </c>
      <c r="Q36" s="275">
        <f>VLOOKUP(L36,材料合同!$L$6:$CC$305,6,0)</f>
        <v>1375000</v>
      </c>
      <c r="R36" s="89" t="str">
        <f>VLOOKUP(L36,材料合同!$L$6:$CC$305,7,0)</f>
        <v>方桩（5500米*250元/米）</v>
      </c>
      <c r="S36" s="89" t="str">
        <f>VLOOKUP(L36,材料合同!$L$6:$CC$305,8,0)</f>
        <v>福州市鸿生建材有限公司</v>
      </c>
      <c r="T36" s="107" t="str">
        <f>VLOOKUP(L36,材料合同!$L$6:$CC$305,9,0)</f>
        <v>雨水收集池、事故水收集池、硫铵仓库、氨肟化装置、己内酰胺装置、动力站、新增化粪池、N段管架等桩基施工</v>
      </c>
      <c r="U36" s="103" t="str">
        <f>VLOOKUP(L36,材料合同!$L$6:$CC$305,10,0)</f>
        <v>6个月承兑汇票</v>
      </c>
      <c r="V36" s="276" t="str">
        <f>VLOOKUP(L36,材料合同!$L$6:$CC$305,11,0)</f>
        <v>货到付款，每次供货3000米，收到等额的17%专票后5个工作日支付。贴息费由对方提供</v>
      </c>
      <c r="W36" s="102">
        <f>VLOOKUP(L36,材料合同!$L$6:$CC$305,12,0)</f>
        <v>264000</v>
      </c>
      <c r="X36" s="102">
        <f>VLOOKUP(L36,材料合同!$L$6:$CC$305,13,0)</f>
        <v>264000</v>
      </c>
      <c r="Y36" s="102">
        <f>VLOOKUP(L36,材料合同!$L$6:$CC$305,14,0)</f>
        <v>264000</v>
      </c>
      <c r="Z36" s="102" t="str">
        <f>VLOOKUP(L36,材料合同!$L$6:$CC$305,15,0)</f>
        <v>货到付款，每次供货3000米，收到等额的17%专票后5个工作日支付</v>
      </c>
      <c r="AA36" s="102">
        <f>VLOOKUP(L36,材料合同!$L$6:$CC$305,16,0)</f>
        <v>1111000</v>
      </c>
      <c r="AB36" s="102">
        <f>VLOOKUP(L36,材料合同!$L$6:$CC$305,17,0)</f>
        <v>274000</v>
      </c>
      <c r="AC36" s="102">
        <f>VLOOKUP(L36,材料合同!$L$6:$CC$305,18,0)</f>
        <v>274000</v>
      </c>
      <c r="AD36" s="102">
        <f>VLOOKUP(L36,材料合同!$L$6:$CC$305,19,0)</f>
        <v>0</v>
      </c>
      <c r="AE36" s="102">
        <f>VLOOKUP(L36,材料合同!$L$6:$CC$305,20,0)</f>
        <v>0</v>
      </c>
      <c r="AF36" s="102">
        <f>VLOOKUP(L36,材料合同!$L$6:$CC$305,21,0)</f>
        <v>0</v>
      </c>
      <c r="AG36" s="102">
        <f>VLOOKUP(L36,材料合同!$L$6:$CC$305,22,0)</f>
        <v>0</v>
      </c>
      <c r="AH36" s="102">
        <f>VLOOKUP(L36,材料合同!$L$6:$CC$305,23,0)</f>
        <v>0</v>
      </c>
      <c r="AI36" s="102">
        <f>VLOOKUP(L36,材料合同!$L$6:$CC$305,24,0)</f>
        <v>0</v>
      </c>
      <c r="AJ36" s="102">
        <f>VLOOKUP(L36,材料合同!$L$6:$CC$305,25,0)</f>
        <v>0</v>
      </c>
      <c r="AK36" s="102">
        <f>VLOOKUP(L36,材料合同!$L$6:$CC$305,26,0)</f>
        <v>0</v>
      </c>
      <c r="AL36" s="102">
        <f>VLOOKUP(L36,材料合同!$L$6:$CC$305,27,0)</f>
        <v>0</v>
      </c>
      <c r="AM36" s="102">
        <f>VLOOKUP(L36,材料合同!$L$6:$CC$305,28,0)</f>
        <v>0</v>
      </c>
      <c r="AN36" s="102">
        <f>VLOOKUP(L36,材料合同!$L$6:$CC$305,29,0)</f>
        <v>0</v>
      </c>
      <c r="AO36" s="102">
        <f>VLOOKUP(L36,材料合同!$L$6:$CC$305,30,0)</f>
        <v>0</v>
      </c>
      <c r="AP36" s="102">
        <f>VLOOKUP(L36,材料合同!$L$6:$CC$305,31,0)</f>
        <v>0</v>
      </c>
      <c r="AQ36" s="102">
        <f>VLOOKUP(L36,材料合同!$L$6:$CC$305,32,0)</f>
        <v>0</v>
      </c>
      <c r="AR36" s="102">
        <f>VLOOKUP(L36,材料合同!$L$6:$CC$305,33,0)</f>
        <v>0</v>
      </c>
      <c r="AS36" s="102">
        <f>VLOOKUP(L36,材料合同!$L$6:$CC$305,34,0)</f>
        <v>0</v>
      </c>
      <c r="AT36" s="102">
        <f>VLOOKUP(L36,材料合同!$L$6:$CC$305,35,0)</f>
        <v>0</v>
      </c>
      <c r="AU36" s="102">
        <f>VLOOKUP(L36,材料合同!$L$6:$CC$305,36,0)</f>
        <v>0</v>
      </c>
      <c r="AV36" s="102">
        <f>VLOOKUP(L36,材料合同!$L$6:$CC$305,37,0)</f>
        <v>0</v>
      </c>
      <c r="AW36" s="102">
        <f>VLOOKUP(L36,材料合同!$L$6:$CC$305,38,0)</f>
        <v>0</v>
      </c>
      <c r="AX36" s="102">
        <f>VLOOKUP(L36,材料合同!$L$6:$CC$305,39,0)</f>
        <v>0</v>
      </c>
      <c r="AY36" s="102">
        <f>VLOOKUP(L36,材料合同!$L$6:$CC$305,40,0)</f>
        <v>0</v>
      </c>
      <c r="AZ36" s="102">
        <f>VLOOKUP(L36,材料合同!$L$6:$CC$305,41,0)</f>
        <v>0</v>
      </c>
      <c r="BA36" s="102">
        <f>VLOOKUP(L36,材料合同!$L$6:$CC$305,42,0)</f>
        <v>0</v>
      </c>
      <c r="BB36" s="102">
        <f>VLOOKUP(L36,材料合同!$L$6:$CC$305,43,0)</f>
        <v>0</v>
      </c>
      <c r="BC36" s="102">
        <f>VLOOKUP(L36,材料合同!$L$6:$CC$305,44,0)</f>
        <v>0</v>
      </c>
      <c r="BD36" s="102">
        <f>VLOOKUP(L36,材料合同!$L$6:$CC$305,45,0)</f>
        <v>0</v>
      </c>
      <c r="BE36" s="102">
        <f>VLOOKUP(L36,材料合同!$L$6:$CC$305,46,0)</f>
        <v>0</v>
      </c>
      <c r="BF36" s="102">
        <f>VLOOKUP(L36,材料合同!$L$6:$CC$305,47,0)</f>
        <v>0</v>
      </c>
      <c r="BG36" s="102">
        <f>VLOOKUP(L36,材料合同!$L$6:$CC$305,48,0)</f>
        <v>0</v>
      </c>
      <c r="BH36" s="102">
        <f>VLOOKUP(L36,材料合同!$L$6:$CC$305,49,0)</f>
        <v>0</v>
      </c>
      <c r="BI36" s="102">
        <f>VLOOKUP(L36,材料合同!$L$6:$CC$305,50,0)</f>
        <v>0</v>
      </c>
      <c r="BJ36" s="102">
        <f>VLOOKUP(L36,材料合同!$L$6:$CC$305,51,0)</f>
        <v>0</v>
      </c>
      <c r="BK36" s="102">
        <f>VLOOKUP(L36,材料合同!$L$6:$CC$305,52,0)</f>
        <v>0</v>
      </c>
      <c r="BL36" s="102">
        <f>VLOOKUP(L36,材料合同!$L$6:$CC$305,53,0)</f>
        <v>0</v>
      </c>
      <c r="BM36" s="102">
        <f>VLOOKUP(L36,材料合同!$L$6:$CC$305,54,0)</f>
        <v>0</v>
      </c>
      <c r="BN36" s="102">
        <f>VLOOKUP(L36,材料合同!$L$6:$CC$305,55,0)</f>
        <v>0</v>
      </c>
      <c r="BO36" s="102">
        <f>VLOOKUP(L36,材料合同!$L$6:$CC$305,56,0)</f>
        <v>0</v>
      </c>
      <c r="BP36" s="102">
        <f>VLOOKUP(L36,材料合同!$L$6:$CC$305,57,0)</f>
        <v>0</v>
      </c>
      <c r="BQ36" s="102">
        <f>VLOOKUP(L36,材料合同!$L$6:$CC$305,58,0)</f>
        <v>0</v>
      </c>
      <c r="BR36" s="102">
        <f>VLOOKUP(L36,材料合同!$L$6:$CC$305,59,0)</f>
        <v>0</v>
      </c>
      <c r="BS36" s="102">
        <f>VLOOKUP(L36,材料合同!$L$6:$CC$305,60,0)</f>
        <v>0</v>
      </c>
      <c r="BT36" s="102">
        <f>VLOOKUP(L36,材料合同!$L$6:$CC$305,61,0)</f>
        <v>0</v>
      </c>
      <c r="BU36" s="102">
        <f>VLOOKUP(L36,材料合同!$L$6:$CC$305,62,0)</f>
        <v>0</v>
      </c>
      <c r="BV36" s="102">
        <f>VLOOKUP(L36,材料合同!$L$6:$CC$305,63,0)</f>
        <v>0</v>
      </c>
      <c r="BW36" s="102">
        <f>VLOOKUP(L36,材料合同!$L$6:$CC$305,64,0)</f>
        <v>0</v>
      </c>
      <c r="BX36" s="102">
        <f>VLOOKUP(L36,材料合同!$L$6:$CC$305,65,0)</f>
        <v>0</v>
      </c>
      <c r="BY36" s="102">
        <f>VLOOKUP(L36,材料合同!$L$6:$CC$305,66,0)</f>
        <v>0</v>
      </c>
      <c r="BZ36" s="102">
        <f>VLOOKUP(L36,材料合同!$L$6:$CC$305,67,0)</f>
        <v>0</v>
      </c>
      <c r="CA36" s="102">
        <f>VLOOKUP(L36,材料合同!$L$6:$CC$305,68,0)</f>
        <v>0</v>
      </c>
      <c r="CB36" s="102">
        <f>VLOOKUP(L36,材料合同!$L$6:$CC$305,69,0)</f>
        <v>0</v>
      </c>
      <c r="CC36" s="102">
        <f>VLOOKUP(L36,材料合同!$L$6:$CC$305,70,0)</f>
        <v>0</v>
      </c>
      <c r="CD36" s="123">
        <f t="shared" si="22"/>
        <v>1375000</v>
      </c>
      <c r="CE36" s="102">
        <f t="shared" si="23"/>
        <v>538000</v>
      </c>
      <c r="CF36" s="102">
        <f t="shared" si="24"/>
        <v>538000</v>
      </c>
      <c r="CG36" s="102">
        <f t="shared" si="25"/>
        <v>0</v>
      </c>
      <c r="CH36" s="124">
        <f t="shared" si="26"/>
        <v>837000</v>
      </c>
      <c r="CI36" s="125">
        <f t="shared" si="27"/>
        <v>0.391272727272727</v>
      </c>
      <c r="CJ36" s="126" t="str">
        <f t="shared" si="28"/>
        <v>数据正确</v>
      </c>
    </row>
    <row r="37" s="60" customFormat="1" customHeight="1" spans="2:88">
      <c r="B37" s="70" t="str">
        <f t="shared" si="18"/>
        <v>-</v>
      </c>
      <c r="C37" s="71" t="str">
        <f t="shared" si="19"/>
        <v>已付清</v>
      </c>
      <c r="D37" s="181">
        <f t="shared" si="20"/>
        <v>7049840.36</v>
      </c>
      <c r="E37" s="181">
        <f>SUMIF(材料合同!$L$6:$L$305,L37,材料合同!$E$6:$E$305)</f>
        <v>0</v>
      </c>
      <c r="F37" s="181">
        <f>SUMIF(材料合同!$L$6:$L$305,L37,材料合同!$F$6:$F$305)</f>
        <v>0</v>
      </c>
      <c r="G37" s="181">
        <f>SUMIF(材料合同!$L$6:$L$305,L37,材料合同!$G$6:$G$305)</f>
        <v>0</v>
      </c>
      <c r="H37" s="181">
        <f>SUMIF(材料合同!$L$6:$L$305,L37,材料合同!$H$6:$H$305)</f>
        <v>0</v>
      </c>
      <c r="I37" s="181">
        <f t="shared" si="21"/>
        <v>0</v>
      </c>
      <c r="J37" s="86" t="s">
        <v>98</v>
      </c>
      <c r="K37" s="87"/>
      <c r="L37" s="88">
        <v>32</v>
      </c>
      <c r="M37" s="89" t="str">
        <f>VLOOKUP(L37,材料合同!$L$6:$CC$305,2,0)</f>
        <v>YRKJGC-170006</v>
      </c>
      <c r="N37" s="90" t="str">
        <f>VLOOKUP(L37,材料合同!$L$6:$CC$305,3,0)</f>
        <v>材料合同</v>
      </c>
      <c r="O37" s="265">
        <f>VLOOKUP(L37,材料合同!$L$6:$CC$305,4,0)</f>
        <v>2017030013</v>
      </c>
      <c r="P37" s="266">
        <f>VLOOKUP(L37,材料合同!$L$6:$CC$305,5,0)</f>
        <v>42814</v>
      </c>
      <c r="Q37" s="275">
        <f>VLOOKUP(L37,材料合同!$L$6:$CC$305,6,0)</f>
        <v>7049840.36</v>
      </c>
      <c r="R37" s="89" t="str">
        <f>VLOOKUP(L37,材料合同!$L$6:$CC$305,7,0)</f>
        <v>管桩（15000米*150元/米+15000米*217元/米）</v>
      </c>
      <c r="S37" s="89" t="str">
        <f>VLOOKUP(L37,材料合同!$L$6:$CC$305,8,0)</f>
        <v>福建峻兴管桩有限公司</v>
      </c>
      <c r="T37" s="107" t="str">
        <f>VLOOKUP(L37,材料合同!$L$6:$CC$305,9,0)</f>
        <v>雨水收集池、事故水收集池、硫铵仓库、氨肟化装置、己内酰胺装置、动力站、新增化粪池、N段管架等桩基施工</v>
      </c>
      <c r="U37" s="103" t="str">
        <f>VLOOKUP(L37,材料合同!$L$6:$CC$305,10,0)</f>
        <v>电汇</v>
      </c>
      <c r="V37" s="276" t="str">
        <f>VLOOKUP(L37,材料合同!$L$6:$CC$305,11,0)</f>
        <v>货到付款，每次供货10000米，验收合格，卖方提供等额的收据给甲方后5日支付，卖方收到货款后3个工作日内提供17%的专票给甲方</v>
      </c>
      <c r="W37" s="102">
        <f>VLOOKUP(L37,材料合同!$L$6:$CC$305,12,0)</f>
        <v>7049840.36</v>
      </c>
      <c r="X37" s="102">
        <f>VLOOKUP(L37,材料合同!$L$6:$CC$305,13,0)</f>
        <v>7049840.36</v>
      </c>
      <c r="Y37" s="102">
        <f>VLOOKUP(L37,材料合同!$L$6:$CC$305,14,0)</f>
        <v>7049840.36</v>
      </c>
      <c r="Z37" s="102">
        <f>VLOOKUP(L37,材料合同!$L$6:$CC$305,15,0)</f>
        <v>0</v>
      </c>
      <c r="AA37" s="102">
        <f>VLOOKUP(L37,材料合同!$L$6:$CC$305,16,0)</f>
        <v>0</v>
      </c>
      <c r="AB37" s="102">
        <f>VLOOKUP(L37,材料合同!$L$6:$CC$305,17,0)</f>
        <v>0</v>
      </c>
      <c r="AC37" s="102">
        <f>VLOOKUP(L37,材料合同!$L$6:$CC$305,18,0)</f>
        <v>0</v>
      </c>
      <c r="AD37" s="102">
        <f>VLOOKUP(L37,材料合同!$L$6:$CC$305,19,0)</f>
        <v>0</v>
      </c>
      <c r="AE37" s="102">
        <f>VLOOKUP(L37,材料合同!$L$6:$CC$305,20,0)</f>
        <v>0</v>
      </c>
      <c r="AF37" s="102">
        <f>VLOOKUP(L37,材料合同!$L$6:$CC$305,21,0)</f>
        <v>0</v>
      </c>
      <c r="AG37" s="102">
        <f>VLOOKUP(L37,材料合同!$L$6:$CC$305,22,0)</f>
        <v>0</v>
      </c>
      <c r="AH37" s="102">
        <f>VLOOKUP(L37,材料合同!$L$6:$CC$305,23,0)</f>
        <v>0</v>
      </c>
      <c r="AI37" s="102">
        <f>VLOOKUP(L37,材料合同!$L$6:$CC$305,24,0)</f>
        <v>0</v>
      </c>
      <c r="AJ37" s="102">
        <f>VLOOKUP(L37,材料合同!$L$6:$CC$305,25,0)</f>
        <v>0</v>
      </c>
      <c r="AK37" s="102">
        <f>VLOOKUP(L37,材料合同!$L$6:$CC$305,26,0)</f>
        <v>0</v>
      </c>
      <c r="AL37" s="102">
        <f>VLOOKUP(L37,材料合同!$L$6:$CC$305,27,0)</f>
        <v>0</v>
      </c>
      <c r="AM37" s="102">
        <f>VLOOKUP(L37,材料合同!$L$6:$CC$305,28,0)</f>
        <v>0</v>
      </c>
      <c r="AN37" s="102">
        <f>VLOOKUP(L37,材料合同!$L$6:$CC$305,29,0)</f>
        <v>0</v>
      </c>
      <c r="AO37" s="102">
        <f>VLOOKUP(L37,材料合同!$L$6:$CC$305,30,0)</f>
        <v>0</v>
      </c>
      <c r="AP37" s="102">
        <f>VLOOKUP(L37,材料合同!$L$6:$CC$305,31,0)</f>
        <v>0</v>
      </c>
      <c r="AQ37" s="102">
        <f>VLOOKUP(L37,材料合同!$L$6:$CC$305,32,0)</f>
        <v>0</v>
      </c>
      <c r="AR37" s="102">
        <f>VLOOKUP(L37,材料合同!$L$6:$CC$305,33,0)</f>
        <v>0</v>
      </c>
      <c r="AS37" s="102">
        <f>VLOOKUP(L37,材料合同!$L$6:$CC$305,34,0)</f>
        <v>0</v>
      </c>
      <c r="AT37" s="102">
        <f>VLOOKUP(L37,材料合同!$L$6:$CC$305,35,0)</f>
        <v>0</v>
      </c>
      <c r="AU37" s="102">
        <f>VLOOKUP(L37,材料合同!$L$6:$CC$305,36,0)</f>
        <v>0</v>
      </c>
      <c r="AV37" s="102">
        <f>VLOOKUP(L37,材料合同!$L$6:$CC$305,37,0)</f>
        <v>0</v>
      </c>
      <c r="AW37" s="102">
        <f>VLOOKUP(L37,材料合同!$L$6:$CC$305,38,0)</f>
        <v>0</v>
      </c>
      <c r="AX37" s="102">
        <f>VLOOKUP(L37,材料合同!$L$6:$CC$305,39,0)</f>
        <v>0</v>
      </c>
      <c r="AY37" s="102">
        <f>VLOOKUP(L37,材料合同!$L$6:$CC$305,40,0)</f>
        <v>0</v>
      </c>
      <c r="AZ37" s="102">
        <f>VLOOKUP(L37,材料合同!$L$6:$CC$305,41,0)</f>
        <v>0</v>
      </c>
      <c r="BA37" s="102">
        <f>VLOOKUP(L37,材料合同!$L$6:$CC$305,42,0)</f>
        <v>0</v>
      </c>
      <c r="BB37" s="102">
        <f>VLOOKUP(L37,材料合同!$L$6:$CC$305,43,0)</f>
        <v>0</v>
      </c>
      <c r="BC37" s="102">
        <f>VLOOKUP(L37,材料合同!$L$6:$CC$305,44,0)</f>
        <v>0</v>
      </c>
      <c r="BD37" s="102">
        <f>VLOOKUP(L37,材料合同!$L$6:$CC$305,45,0)</f>
        <v>0</v>
      </c>
      <c r="BE37" s="102">
        <f>VLOOKUP(L37,材料合同!$L$6:$CC$305,46,0)</f>
        <v>0</v>
      </c>
      <c r="BF37" s="102">
        <f>VLOOKUP(L37,材料合同!$L$6:$CC$305,47,0)</f>
        <v>0</v>
      </c>
      <c r="BG37" s="102">
        <f>VLOOKUP(L37,材料合同!$L$6:$CC$305,48,0)</f>
        <v>0</v>
      </c>
      <c r="BH37" s="102">
        <f>VLOOKUP(L37,材料合同!$L$6:$CC$305,49,0)</f>
        <v>0</v>
      </c>
      <c r="BI37" s="102">
        <f>VLOOKUP(L37,材料合同!$L$6:$CC$305,50,0)</f>
        <v>0</v>
      </c>
      <c r="BJ37" s="102">
        <f>VLOOKUP(L37,材料合同!$L$6:$CC$305,51,0)</f>
        <v>0</v>
      </c>
      <c r="BK37" s="102">
        <f>VLOOKUP(L37,材料合同!$L$6:$CC$305,52,0)</f>
        <v>0</v>
      </c>
      <c r="BL37" s="102">
        <f>VLOOKUP(L37,材料合同!$L$6:$CC$305,53,0)</f>
        <v>0</v>
      </c>
      <c r="BM37" s="102">
        <f>VLOOKUP(L37,材料合同!$L$6:$CC$305,54,0)</f>
        <v>0</v>
      </c>
      <c r="BN37" s="102">
        <f>VLOOKUP(L37,材料合同!$L$6:$CC$305,55,0)</f>
        <v>0</v>
      </c>
      <c r="BO37" s="102">
        <f>VLOOKUP(L37,材料合同!$L$6:$CC$305,56,0)</f>
        <v>0</v>
      </c>
      <c r="BP37" s="102">
        <f>VLOOKUP(L37,材料合同!$L$6:$CC$305,57,0)</f>
        <v>0</v>
      </c>
      <c r="BQ37" s="102">
        <f>VLOOKUP(L37,材料合同!$L$6:$CC$305,58,0)</f>
        <v>0</v>
      </c>
      <c r="BR37" s="102">
        <f>VLOOKUP(L37,材料合同!$L$6:$CC$305,59,0)</f>
        <v>0</v>
      </c>
      <c r="BS37" s="102">
        <f>VLOOKUP(L37,材料合同!$L$6:$CC$305,60,0)</f>
        <v>0</v>
      </c>
      <c r="BT37" s="102">
        <f>VLOOKUP(L37,材料合同!$L$6:$CC$305,61,0)</f>
        <v>0</v>
      </c>
      <c r="BU37" s="102">
        <f>VLOOKUP(L37,材料合同!$L$6:$CC$305,62,0)</f>
        <v>0</v>
      </c>
      <c r="BV37" s="102">
        <f>VLOOKUP(L37,材料合同!$L$6:$CC$305,63,0)</f>
        <v>0</v>
      </c>
      <c r="BW37" s="102">
        <f>VLOOKUP(L37,材料合同!$L$6:$CC$305,64,0)</f>
        <v>0</v>
      </c>
      <c r="BX37" s="102">
        <f>VLOOKUP(L37,材料合同!$L$6:$CC$305,65,0)</f>
        <v>0</v>
      </c>
      <c r="BY37" s="102">
        <f>VLOOKUP(L37,材料合同!$L$6:$CC$305,66,0)</f>
        <v>0</v>
      </c>
      <c r="BZ37" s="102">
        <f>VLOOKUP(L37,材料合同!$L$6:$CC$305,67,0)</f>
        <v>0</v>
      </c>
      <c r="CA37" s="102">
        <f>VLOOKUP(L37,材料合同!$L$6:$CC$305,68,0)</f>
        <v>0</v>
      </c>
      <c r="CB37" s="102">
        <f>VLOOKUP(L37,材料合同!$L$6:$CC$305,69,0)</f>
        <v>0</v>
      </c>
      <c r="CC37" s="102">
        <f>VLOOKUP(L37,材料合同!$L$6:$CC$305,70,0)</f>
        <v>0</v>
      </c>
      <c r="CD37" s="123">
        <f t="shared" si="22"/>
        <v>7049840.36</v>
      </c>
      <c r="CE37" s="102">
        <f t="shared" si="23"/>
        <v>7049840.36</v>
      </c>
      <c r="CF37" s="102">
        <f t="shared" si="24"/>
        <v>7049840.36</v>
      </c>
      <c r="CG37" s="102">
        <f t="shared" si="25"/>
        <v>0</v>
      </c>
      <c r="CH37" s="124">
        <f t="shared" si="26"/>
        <v>0</v>
      </c>
      <c r="CI37" s="125">
        <f t="shared" si="27"/>
        <v>1</v>
      </c>
      <c r="CJ37" s="126" t="str">
        <f t="shared" si="28"/>
        <v>数据正确</v>
      </c>
    </row>
    <row r="38" s="60" customFormat="1" customHeight="1" spans="2:88">
      <c r="B38" s="70" t="str">
        <f t="shared" si="18"/>
        <v>-</v>
      </c>
      <c r="C38" s="71" t="str">
        <f t="shared" si="19"/>
        <v>已付清</v>
      </c>
      <c r="D38" s="181">
        <f t="shared" si="20"/>
        <v>23345</v>
      </c>
      <c r="E38" s="181">
        <f>SUMIF(材料合同!$L$6:$L$305,L38,材料合同!$E$6:$E$305)</f>
        <v>0</v>
      </c>
      <c r="F38" s="181">
        <f>SUMIF(材料合同!$L$6:$L$305,L38,材料合同!$F$6:$F$305)</f>
        <v>0</v>
      </c>
      <c r="G38" s="181">
        <f>SUMIF(材料合同!$L$6:$L$305,L38,材料合同!$G$6:$G$305)</f>
        <v>0</v>
      </c>
      <c r="H38" s="181">
        <f>SUMIF(材料合同!$L$6:$L$305,L38,材料合同!$H$6:$H$305)</f>
        <v>0</v>
      </c>
      <c r="I38" s="181">
        <f t="shared" si="21"/>
        <v>0</v>
      </c>
      <c r="J38" s="86" t="s">
        <v>98</v>
      </c>
      <c r="K38" s="87"/>
      <c r="L38" s="88">
        <v>33</v>
      </c>
      <c r="M38" s="89" t="str">
        <f>VLOOKUP(L38,材料合同!$L$6:$CC$305,2,0)</f>
        <v>YRKJGC-170007</v>
      </c>
      <c r="N38" s="90" t="str">
        <f>VLOOKUP(L38,材料合同!$L$6:$CC$305,3,0)</f>
        <v>材料合同</v>
      </c>
      <c r="O38" s="265">
        <f>VLOOKUP(L38,材料合同!$L$6:$CC$305,4,0)</f>
        <v>2017030051</v>
      </c>
      <c r="P38" s="266">
        <f>VLOOKUP(L38,材料合同!$L$6:$CC$305,5,0)</f>
        <v>42817</v>
      </c>
      <c r="Q38" s="275">
        <f>VLOOKUP(L38,材料合同!$L$6:$CC$305,6,0)</f>
        <v>23345</v>
      </c>
      <c r="R38" s="89" t="str">
        <f>VLOOKUP(L38,材料合同!$L$6:$CC$305,7,0)</f>
        <v>（施工生活区临时）配电箱</v>
      </c>
      <c r="S38" s="89" t="str">
        <f>VLOOKUP(L38,材料合同!$L$6:$CC$305,8,0)</f>
        <v>祥华科技有限公司</v>
      </c>
      <c r="T38" s="107" t="str">
        <f>VLOOKUP(L38,材料合同!$L$6:$CC$305,9,0)</f>
        <v>临时设施费2.5万元</v>
      </c>
      <c r="U38" s="103" t="str">
        <f>VLOOKUP(L38,材料合同!$L$6:$CC$305,10,0)</f>
        <v>6个月承兑汇票</v>
      </c>
      <c r="V38" s="276" t="str">
        <f>VLOOKUP(L38,材料合同!$L$6:$CC$305,11,0)</f>
        <v>货到验收合格后，收到100%发票后付清，接受反向贴息</v>
      </c>
      <c r="W38" s="102">
        <f>VLOOKUP(L38,材料合同!$L$6:$CC$305,12,0)</f>
        <v>23345</v>
      </c>
      <c r="X38" s="102">
        <f>VLOOKUP(L38,材料合同!$L$6:$CC$305,13,0)</f>
        <v>23345</v>
      </c>
      <c r="Y38" s="102">
        <f>VLOOKUP(L38,材料合同!$L$6:$CC$305,14,0)</f>
        <v>23345</v>
      </c>
      <c r="Z38" s="102">
        <f>VLOOKUP(L38,材料合同!$L$6:$CC$305,15,0)</f>
        <v>0</v>
      </c>
      <c r="AA38" s="102">
        <f>VLOOKUP(L38,材料合同!$L$6:$CC$305,16,0)</f>
        <v>0</v>
      </c>
      <c r="AB38" s="102">
        <f>VLOOKUP(L38,材料合同!$L$6:$CC$305,17,0)</f>
        <v>0</v>
      </c>
      <c r="AC38" s="102">
        <f>VLOOKUP(L38,材料合同!$L$6:$CC$305,18,0)</f>
        <v>0</v>
      </c>
      <c r="AD38" s="102">
        <f>VLOOKUP(L38,材料合同!$L$6:$CC$305,19,0)</f>
        <v>0</v>
      </c>
      <c r="AE38" s="102">
        <f>VLOOKUP(L38,材料合同!$L$6:$CC$305,20,0)</f>
        <v>0</v>
      </c>
      <c r="AF38" s="102">
        <f>VLOOKUP(L38,材料合同!$L$6:$CC$305,21,0)</f>
        <v>0</v>
      </c>
      <c r="AG38" s="102">
        <f>VLOOKUP(L38,材料合同!$L$6:$CC$305,22,0)</f>
        <v>0</v>
      </c>
      <c r="AH38" s="102">
        <f>VLOOKUP(L38,材料合同!$L$6:$CC$305,23,0)</f>
        <v>0</v>
      </c>
      <c r="AI38" s="102">
        <f>VLOOKUP(L38,材料合同!$L$6:$CC$305,24,0)</f>
        <v>0</v>
      </c>
      <c r="AJ38" s="102">
        <f>VLOOKUP(L38,材料合同!$L$6:$CC$305,25,0)</f>
        <v>0</v>
      </c>
      <c r="AK38" s="102">
        <f>VLOOKUP(L38,材料合同!$L$6:$CC$305,26,0)</f>
        <v>0</v>
      </c>
      <c r="AL38" s="102">
        <f>VLOOKUP(L38,材料合同!$L$6:$CC$305,27,0)</f>
        <v>0</v>
      </c>
      <c r="AM38" s="102">
        <f>VLOOKUP(L38,材料合同!$L$6:$CC$305,28,0)</f>
        <v>0</v>
      </c>
      <c r="AN38" s="102">
        <f>VLOOKUP(L38,材料合同!$L$6:$CC$305,29,0)</f>
        <v>0</v>
      </c>
      <c r="AO38" s="102">
        <f>VLOOKUP(L38,材料合同!$L$6:$CC$305,30,0)</f>
        <v>0</v>
      </c>
      <c r="AP38" s="102">
        <f>VLOOKUP(L38,材料合同!$L$6:$CC$305,31,0)</f>
        <v>0</v>
      </c>
      <c r="AQ38" s="102">
        <f>VLOOKUP(L38,材料合同!$L$6:$CC$305,32,0)</f>
        <v>0</v>
      </c>
      <c r="AR38" s="102">
        <f>VLOOKUP(L38,材料合同!$L$6:$CC$305,33,0)</f>
        <v>0</v>
      </c>
      <c r="AS38" s="102">
        <f>VLOOKUP(L38,材料合同!$L$6:$CC$305,34,0)</f>
        <v>0</v>
      </c>
      <c r="AT38" s="102">
        <f>VLOOKUP(L38,材料合同!$L$6:$CC$305,35,0)</f>
        <v>0</v>
      </c>
      <c r="AU38" s="102">
        <f>VLOOKUP(L38,材料合同!$L$6:$CC$305,36,0)</f>
        <v>0</v>
      </c>
      <c r="AV38" s="102">
        <f>VLOOKUP(L38,材料合同!$L$6:$CC$305,37,0)</f>
        <v>0</v>
      </c>
      <c r="AW38" s="102">
        <f>VLOOKUP(L38,材料合同!$L$6:$CC$305,38,0)</f>
        <v>0</v>
      </c>
      <c r="AX38" s="102">
        <f>VLOOKUP(L38,材料合同!$L$6:$CC$305,39,0)</f>
        <v>0</v>
      </c>
      <c r="AY38" s="102">
        <f>VLOOKUP(L38,材料合同!$L$6:$CC$305,40,0)</f>
        <v>0</v>
      </c>
      <c r="AZ38" s="102">
        <f>VLOOKUP(L38,材料合同!$L$6:$CC$305,41,0)</f>
        <v>0</v>
      </c>
      <c r="BA38" s="102">
        <f>VLOOKUP(L38,材料合同!$L$6:$CC$305,42,0)</f>
        <v>0</v>
      </c>
      <c r="BB38" s="102">
        <f>VLOOKUP(L38,材料合同!$L$6:$CC$305,43,0)</f>
        <v>0</v>
      </c>
      <c r="BC38" s="102">
        <f>VLOOKUP(L38,材料合同!$L$6:$CC$305,44,0)</f>
        <v>0</v>
      </c>
      <c r="BD38" s="102">
        <f>VLOOKUP(L38,材料合同!$L$6:$CC$305,45,0)</f>
        <v>0</v>
      </c>
      <c r="BE38" s="102">
        <f>VLOOKUP(L38,材料合同!$L$6:$CC$305,46,0)</f>
        <v>0</v>
      </c>
      <c r="BF38" s="102">
        <f>VLOOKUP(L38,材料合同!$L$6:$CC$305,47,0)</f>
        <v>0</v>
      </c>
      <c r="BG38" s="102">
        <f>VLOOKUP(L38,材料合同!$L$6:$CC$305,48,0)</f>
        <v>0</v>
      </c>
      <c r="BH38" s="102">
        <f>VLOOKUP(L38,材料合同!$L$6:$CC$305,49,0)</f>
        <v>0</v>
      </c>
      <c r="BI38" s="102">
        <f>VLOOKUP(L38,材料合同!$L$6:$CC$305,50,0)</f>
        <v>0</v>
      </c>
      <c r="BJ38" s="102">
        <f>VLOOKUP(L38,材料合同!$L$6:$CC$305,51,0)</f>
        <v>0</v>
      </c>
      <c r="BK38" s="102">
        <f>VLOOKUP(L38,材料合同!$L$6:$CC$305,52,0)</f>
        <v>0</v>
      </c>
      <c r="BL38" s="102">
        <f>VLOOKUP(L38,材料合同!$L$6:$CC$305,53,0)</f>
        <v>0</v>
      </c>
      <c r="BM38" s="102">
        <f>VLOOKUP(L38,材料合同!$L$6:$CC$305,54,0)</f>
        <v>0</v>
      </c>
      <c r="BN38" s="102">
        <f>VLOOKUP(L38,材料合同!$L$6:$CC$305,55,0)</f>
        <v>0</v>
      </c>
      <c r="BO38" s="102">
        <f>VLOOKUP(L38,材料合同!$L$6:$CC$305,56,0)</f>
        <v>0</v>
      </c>
      <c r="BP38" s="102">
        <f>VLOOKUP(L38,材料合同!$L$6:$CC$305,57,0)</f>
        <v>0</v>
      </c>
      <c r="BQ38" s="102">
        <f>VLOOKUP(L38,材料合同!$L$6:$CC$305,58,0)</f>
        <v>0</v>
      </c>
      <c r="BR38" s="102">
        <f>VLOOKUP(L38,材料合同!$L$6:$CC$305,59,0)</f>
        <v>0</v>
      </c>
      <c r="BS38" s="102">
        <f>VLOOKUP(L38,材料合同!$L$6:$CC$305,60,0)</f>
        <v>0</v>
      </c>
      <c r="BT38" s="102">
        <f>VLOOKUP(L38,材料合同!$L$6:$CC$305,61,0)</f>
        <v>0</v>
      </c>
      <c r="BU38" s="102">
        <f>VLOOKUP(L38,材料合同!$L$6:$CC$305,62,0)</f>
        <v>0</v>
      </c>
      <c r="BV38" s="102">
        <f>VLOOKUP(L38,材料合同!$L$6:$CC$305,63,0)</f>
        <v>0</v>
      </c>
      <c r="BW38" s="102">
        <f>VLOOKUP(L38,材料合同!$L$6:$CC$305,64,0)</f>
        <v>0</v>
      </c>
      <c r="BX38" s="102">
        <f>VLOOKUP(L38,材料合同!$L$6:$CC$305,65,0)</f>
        <v>0</v>
      </c>
      <c r="BY38" s="102">
        <f>VLOOKUP(L38,材料合同!$L$6:$CC$305,66,0)</f>
        <v>0</v>
      </c>
      <c r="BZ38" s="102">
        <f>VLOOKUP(L38,材料合同!$L$6:$CC$305,67,0)</f>
        <v>0</v>
      </c>
      <c r="CA38" s="102">
        <f>VLOOKUP(L38,材料合同!$L$6:$CC$305,68,0)</f>
        <v>0</v>
      </c>
      <c r="CB38" s="102">
        <f>VLOOKUP(L38,材料合同!$L$6:$CC$305,69,0)</f>
        <v>0</v>
      </c>
      <c r="CC38" s="102">
        <f>VLOOKUP(L38,材料合同!$L$6:$CC$305,70,0)</f>
        <v>0</v>
      </c>
      <c r="CD38" s="123">
        <f t="shared" si="22"/>
        <v>23345</v>
      </c>
      <c r="CE38" s="102">
        <f t="shared" si="23"/>
        <v>23345</v>
      </c>
      <c r="CF38" s="102">
        <f t="shared" si="24"/>
        <v>23345</v>
      </c>
      <c r="CG38" s="102">
        <f t="shared" si="25"/>
        <v>0</v>
      </c>
      <c r="CH38" s="124">
        <f t="shared" si="26"/>
        <v>0</v>
      </c>
      <c r="CI38" s="125">
        <f t="shared" si="27"/>
        <v>1</v>
      </c>
      <c r="CJ38" s="126" t="str">
        <f t="shared" si="28"/>
        <v>数据正确</v>
      </c>
    </row>
    <row r="39" s="60" customFormat="1" customHeight="1" spans="2:88">
      <c r="B39" s="70" t="str">
        <f t="shared" si="18"/>
        <v>-</v>
      </c>
      <c r="C39" s="71" t="str">
        <f t="shared" si="19"/>
        <v>已付清</v>
      </c>
      <c r="D39" s="181">
        <f t="shared" si="20"/>
        <v>3794350</v>
      </c>
      <c r="E39" s="181">
        <f>SUMIF(材料合同!$L$6:$L$305,L39,材料合同!$E$6:$E$305)</f>
        <v>0</v>
      </c>
      <c r="F39" s="181">
        <f>SUMIF(材料合同!$L$6:$L$305,L39,材料合同!$F$6:$F$305)</f>
        <v>0</v>
      </c>
      <c r="G39" s="181">
        <f>SUMIF(材料合同!$L$6:$L$305,L39,材料合同!$G$6:$G$305)</f>
        <v>0</v>
      </c>
      <c r="H39" s="181">
        <f>SUMIF(材料合同!$L$6:$L$305,L39,材料合同!$H$6:$H$305)</f>
        <v>0</v>
      </c>
      <c r="I39" s="181">
        <f t="shared" si="21"/>
        <v>0</v>
      </c>
      <c r="J39" s="86" t="s">
        <v>98</v>
      </c>
      <c r="K39" s="87"/>
      <c r="L39" s="88">
        <v>34</v>
      </c>
      <c r="M39" s="89" t="str">
        <f>VLOOKUP(L39,材料合同!$L$6:$CC$305,2,0)</f>
        <v>YRKJGC-170008</v>
      </c>
      <c r="N39" s="90" t="str">
        <f>VLOOKUP(L39,材料合同!$L$6:$CC$305,3,0)</f>
        <v>材料合同</v>
      </c>
      <c r="O39" s="265">
        <f>VLOOKUP(L39,材料合同!$L$6:$CC$305,4,0)</f>
        <v>2017030053</v>
      </c>
      <c r="P39" s="266">
        <f>VLOOKUP(L39,材料合同!$L$6:$CC$305,5,0)</f>
        <v>42824</v>
      </c>
      <c r="Q39" s="275">
        <f>VLOOKUP(L39,材料合同!$L$6:$CC$305,6,0)</f>
        <v>3794350</v>
      </c>
      <c r="R39" s="89" t="str">
        <f>VLOOKUP(L39,材料合同!$L$6:$CC$305,7,0)</f>
        <v>预应力管桩（5万米*175元/米）</v>
      </c>
      <c r="S39" s="89" t="str">
        <f>VLOOKUP(L39,材料合同!$L$6:$CC$305,8,0)</f>
        <v>福建翔达管桩有限公司</v>
      </c>
      <c r="T39" s="107" t="str">
        <f>VLOOKUP(L39,材料合同!$L$6:$CC$305,9,0)</f>
        <v>双氧水装置、环己酮装置、硫铵装置、循环水、中间罐组、原水净化站等桩基施工</v>
      </c>
      <c r="U39" s="103" t="str">
        <f>VLOOKUP(L39,材料合同!$L$6:$CC$305,10,0)</f>
        <v>电汇</v>
      </c>
      <c r="V39" s="276" t="str">
        <f>VLOOKUP(L39,材料合同!$L$6:$CC$305,11,0)</f>
        <v>货到付款，每次供货1万米，验收合格，卖方提供等额的收据给甲方后3-5日支付，卖方收到货款后3个工作日内提供17%的专票给甲方</v>
      </c>
      <c r="W39" s="102">
        <f>VLOOKUP(L39,材料合同!$L$6:$CC$305,12,0)</f>
        <v>3794350</v>
      </c>
      <c r="X39" s="102">
        <f>VLOOKUP(L39,材料合同!$L$6:$CC$305,13,0)</f>
        <v>3794350</v>
      </c>
      <c r="Y39" s="102">
        <f>VLOOKUP(L39,材料合同!$L$6:$CC$305,14,0)</f>
        <v>3794350</v>
      </c>
      <c r="Z39" s="102">
        <f>VLOOKUP(L39,材料合同!$L$6:$CC$305,15,0)</f>
        <v>0</v>
      </c>
      <c r="AA39" s="102">
        <f>VLOOKUP(L39,材料合同!$L$6:$CC$305,16,0)</f>
        <v>0</v>
      </c>
      <c r="AB39" s="102">
        <f>VLOOKUP(L39,材料合同!$L$6:$CC$305,17,0)</f>
        <v>0</v>
      </c>
      <c r="AC39" s="102">
        <f>VLOOKUP(L39,材料合同!$L$6:$CC$305,18,0)</f>
        <v>0</v>
      </c>
      <c r="AD39" s="102">
        <f>VLOOKUP(L39,材料合同!$L$6:$CC$305,19,0)</f>
        <v>0</v>
      </c>
      <c r="AE39" s="102">
        <f>VLOOKUP(L39,材料合同!$L$6:$CC$305,20,0)</f>
        <v>0</v>
      </c>
      <c r="AF39" s="102">
        <f>VLOOKUP(L39,材料合同!$L$6:$CC$305,21,0)</f>
        <v>0</v>
      </c>
      <c r="AG39" s="102">
        <f>VLOOKUP(L39,材料合同!$L$6:$CC$305,22,0)</f>
        <v>0</v>
      </c>
      <c r="AH39" s="102">
        <f>VLOOKUP(L39,材料合同!$L$6:$CC$305,23,0)</f>
        <v>0</v>
      </c>
      <c r="AI39" s="102">
        <f>VLOOKUP(L39,材料合同!$L$6:$CC$305,24,0)</f>
        <v>0</v>
      </c>
      <c r="AJ39" s="102">
        <f>VLOOKUP(L39,材料合同!$L$6:$CC$305,25,0)</f>
        <v>0</v>
      </c>
      <c r="AK39" s="102">
        <f>VLOOKUP(L39,材料合同!$L$6:$CC$305,26,0)</f>
        <v>0</v>
      </c>
      <c r="AL39" s="102">
        <f>VLOOKUP(L39,材料合同!$L$6:$CC$305,27,0)</f>
        <v>0</v>
      </c>
      <c r="AM39" s="102">
        <f>VLOOKUP(L39,材料合同!$L$6:$CC$305,28,0)</f>
        <v>0</v>
      </c>
      <c r="AN39" s="102">
        <f>VLOOKUP(L39,材料合同!$L$6:$CC$305,29,0)</f>
        <v>0</v>
      </c>
      <c r="AO39" s="102">
        <f>VLOOKUP(L39,材料合同!$L$6:$CC$305,30,0)</f>
        <v>0</v>
      </c>
      <c r="AP39" s="102">
        <f>VLOOKUP(L39,材料合同!$L$6:$CC$305,31,0)</f>
        <v>0</v>
      </c>
      <c r="AQ39" s="102">
        <f>VLOOKUP(L39,材料合同!$L$6:$CC$305,32,0)</f>
        <v>0</v>
      </c>
      <c r="AR39" s="102">
        <f>VLOOKUP(L39,材料合同!$L$6:$CC$305,33,0)</f>
        <v>0</v>
      </c>
      <c r="AS39" s="102">
        <f>VLOOKUP(L39,材料合同!$L$6:$CC$305,34,0)</f>
        <v>0</v>
      </c>
      <c r="AT39" s="102">
        <f>VLOOKUP(L39,材料合同!$L$6:$CC$305,35,0)</f>
        <v>0</v>
      </c>
      <c r="AU39" s="102">
        <f>VLOOKUP(L39,材料合同!$L$6:$CC$305,36,0)</f>
        <v>0</v>
      </c>
      <c r="AV39" s="102">
        <f>VLOOKUP(L39,材料合同!$L$6:$CC$305,37,0)</f>
        <v>0</v>
      </c>
      <c r="AW39" s="102">
        <f>VLOOKUP(L39,材料合同!$L$6:$CC$305,38,0)</f>
        <v>0</v>
      </c>
      <c r="AX39" s="102">
        <f>VLOOKUP(L39,材料合同!$L$6:$CC$305,39,0)</f>
        <v>0</v>
      </c>
      <c r="AY39" s="102">
        <f>VLOOKUP(L39,材料合同!$L$6:$CC$305,40,0)</f>
        <v>0</v>
      </c>
      <c r="AZ39" s="102">
        <f>VLOOKUP(L39,材料合同!$L$6:$CC$305,41,0)</f>
        <v>0</v>
      </c>
      <c r="BA39" s="102">
        <f>VLOOKUP(L39,材料合同!$L$6:$CC$305,42,0)</f>
        <v>0</v>
      </c>
      <c r="BB39" s="102">
        <f>VLOOKUP(L39,材料合同!$L$6:$CC$305,43,0)</f>
        <v>0</v>
      </c>
      <c r="BC39" s="102">
        <f>VLOOKUP(L39,材料合同!$L$6:$CC$305,44,0)</f>
        <v>0</v>
      </c>
      <c r="BD39" s="102">
        <f>VLOOKUP(L39,材料合同!$L$6:$CC$305,45,0)</f>
        <v>0</v>
      </c>
      <c r="BE39" s="102">
        <f>VLOOKUP(L39,材料合同!$L$6:$CC$305,46,0)</f>
        <v>0</v>
      </c>
      <c r="BF39" s="102">
        <f>VLOOKUP(L39,材料合同!$L$6:$CC$305,47,0)</f>
        <v>0</v>
      </c>
      <c r="BG39" s="102">
        <f>VLOOKUP(L39,材料合同!$L$6:$CC$305,48,0)</f>
        <v>0</v>
      </c>
      <c r="BH39" s="102">
        <f>VLOOKUP(L39,材料合同!$L$6:$CC$305,49,0)</f>
        <v>0</v>
      </c>
      <c r="BI39" s="102">
        <f>VLOOKUP(L39,材料合同!$L$6:$CC$305,50,0)</f>
        <v>0</v>
      </c>
      <c r="BJ39" s="102">
        <f>VLOOKUP(L39,材料合同!$L$6:$CC$305,51,0)</f>
        <v>0</v>
      </c>
      <c r="BK39" s="102">
        <f>VLOOKUP(L39,材料合同!$L$6:$CC$305,52,0)</f>
        <v>0</v>
      </c>
      <c r="BL39" s="102">
        <f>VLOOKUP(L39,材料合同!$L$6:$CC$305,53,0)</f>
        <v>0</v>
      </c>
      <c r="BM39" s="102">
        <f>VLOOKUP(L39,材料合同!$L$6:$CC$305,54,0)</f>
        <v>0</v>
      </c>
      <c r="BN39" s="102">
        <f>VLOOKUP(L39,材料合同!$L$6:$CC$305,55,0)</f>
        <v>0</v>
      </c>
      <c r="BO39" s="102">
        <f>VLOOKUP(L39,材料合同!$L$6:$CC$305,56,0)</f>
        <v>0</v>
      </c>
      <c r="BP39" s="102">
        <f>VLOOKUP(L39,材料合同!$L$6:$CC$305,57,0)</f>
        <v>0</v>
      </c>
      <c r="BQ39" s="102">
        <f>VLOOKUP(L39,材料合同!$L$6:$CC$305,58,0)</f>
        <v>0</v>
      </c>
      <c r="BR39" s="102">
        <f>VLOOKUP(L39,材料合同!$L$6:$CC$305,59,0)</f>
        <v>0</v>
      </c>
      <c r="BS39" s="102">
        <f>VLOOKUP(L39,材料合同!$L$6:$CC$305,60,0)</f>
        <v>0</v>
      </c>
      <c r="BT39" s="102">
        <f>VLOOKUP(L39,材料合同!$L$6:$CC$305,61,0)</f>
        <v>0</v>
      </c>
      <c r="BU39" s="102">
        <f>VLOOKUP(L39,材料合同!$L$6:$CC$305,62,0)</f>
        <v>0</v>
      </c>
      <c r="BV39" s="102">
        <f>VLOOKUP(L39,材料合同!$L$6:$CC$305,63,0)</f>
        <v>0</v>
      </c>
      <c r="BW39" s="102">
        <f>VLOOKUP(L39,材料合同!$L$6:$CC$305,64,0)</f>
        <v>0</v>
      </c>
      <c r="BX39" s="102">
        <f>VLOOKUP(L39,材料合同!$L$6:$CC$305,65,0)</f>
        <v>0</v>
      </c>
      <c r="BY39" s="102">
        <f>VLOOKUP(L39,材料合同!$L$6:$CC$305,66,0)</f>
        <v>0</v>
      </c>
      <c r="BZ39" s="102">
        <f>VLOOKUP(L39,材料合同!$L$6:$CC$305,67,0)</f>
        <v>0</v>
      </c>
      <c r="CA39" s="102">
        <f>VLOOKUP(L39,材料合同!$L$6:$CC$305,68,0)</f>
        <v>0</v>
      </c>
      <c r="CB39" s="102">
        <f>VLOOKUP(L39,材料合同!$L$6:$CC$305,69,0)</f>
        <v>0</v>
      </c>
      <c r="CC39" s="102">
        <f>VLOOKUP(L39,材料合同!$L$6:$CC$305,70,0)</f>
        <v>0</v>
      </c>
      <c r="CD39" s="123">
        <f t="shared" si="22"/>
        <v>3794350</v>
      </c>
      <c r="CE39" s="102">
        <f t="shared" si="23"/>
        <v>3794350</v>
      </c>
      <c r="CF39" s="102">
        <f t="shared" si="24"/>
        <v>3794350</v>
      </c>
      <c r="CG39" s="102">
        <f t="shared" si="25"/>
        <v>0</v>
      </c>
      <c r="CH39" s="124">
        <f t="shared" si="26"/>
        <v>0</v>
      </c>
      <c r="CI39" s="125">
        <f t="shared" si="27"/>
        <v>1</v>
      </c>
      <c r="CJ39" s="126" t="str">
        <f t="shared" si="28"/>
        <v>数据正确</v>
      </c>
    </row>
    <row r="40" s="60" customFormat="1" customHeight="1" spans="2:88">
      <c r="B40" s="70" t="str">
        <f t="shared" si="18"/>
        <v>-</v>
      </c>
      <c r="C40" s="71" t="str">
        <f t="shared" si="19"/>
        <v>已付清</v>
      </c>
      <c r="D40" s="181">
        <f t="shared" si="20"/>
        <v>5555910</v>
      </c>
      <c r="E40" s="181">
        <f>SUMIF(材料合同!$L$6:$L$305,L40,材料合同!$E$6:$E$305)</f>
        <v>0</v>
      </c>
      <c r="F40" s="181">
        <f>SUMIF(材料合同!$L$6:$L$305,L40,材料合同!$F$6:$F$305)</f>
        <v>0</v>
      </c>
      <c r="G40" s="181">
        <f>SUMIF(材料合同!$L$6:$L$305,L40,材料合同!$G$6:$G$305)</f>
        <v>0</v>
      </c>
      <c r="H40" s="181">
        <f>SUMIF(材料合同!$L$6:$L$305,L40,材料合同!$H$6:$H$305)</f>
        <v>0</v>
      </c>
      <c r="I40" s="181">
        <f t="shared" si="21"/>
        <v>0</v>
      </c>
      <c r="J40" s="86" t="s">
        <v>98</v>
      </c>
      <c r="K40" s="87"/>
      <c r="L40" s="88">
        <v>35</v>
      </c>
      <c r="M40" s="89" t="str">
        <f>VLOOKUP(L40,材料合同!$L$6:$CC$305,2,0)</f>
        <v>YRKJGC-170009</v>
      </c>
      <c r="N40" s="90" t="str">
        <f>VLOOKUP(L40,材料合同!$L$6:$CC$305,3,0)</f>
        <v>材料合同</v>
      </c>
      <c r="O40" s="265">
        <f>VLOOKUP(L40,材料合同!$L$6:$CC$305,4,0)</f>
        <v>2017030013</v>
      </c>
      <c r="P40" s="266">
        <f>VLOOKUP(L40,材料合同!$L$6:$CC$305,5,0)</f>
        <v>42825</v>
      </c>
      <c r="Q40" s="275">
        <f>VLOOKUP(L40,材料合同!$L$6:$CC$305,6,0)</f>
        <v>5555910</v>
      </c>
      <c r="R40" s="89" t="str">
        <f>VLOOKUP(L40,材料合同!$L$6:$CC$305,7,0)</f>
        <v>预应力管桩（3万米*167元/米）</v>
      </c>
      <c r="S40" s="89" t="str">
        <f>VLOOKUP(L40,材料合同!$L$6:$CC$305,8,0)</f>
        <v>福建建华建材有限公司</v>
      </c>
      <c r="T40" s="107" t="str">
        <f>VLOOKUP(L40,材料合同!$L$6:$CC$305,9,0)</f>
        <v>雨水收集池、事故水收集池、硫铵仓库、氨肟化装置、己内酰胺装置、动力站、新增化粪池、N段管架等桩基施工</v>
      </c>
      <c r="U40" s="103" t="str">
        <f>VLOOKUP(L40,材料合同!$L$6:$CC$305,10,0)</f>
        <v>电汇</v>
      </c>
      <c r="V40" s="276" t="str">
        <f>VLOOKUP(L40,材料合同!$L$6:$CC$305,11,0)</f>
        <v>货到付款，每次供货5000米，验收合格，卖方提供等额的收据给甲方后5日支付，卖方收到货款后5个工作日内提供17%的专票给甲方</v>
      </c>
      <c r="W40" s="102">
        <f>VLOOKUP(L40,材料合同!$L$6:$CC$305,12,0)</f>
        <v>5555910</v>
      </c>
      <c r="X40" s="102">
        <f>VLOOKUP(L40,材料合同!$L$6:$CC$305,13,0)</f>
        <v>5555910</v>
      </c>
      <c r="Y40" s="102">
        <f>VLOOKUP(L40,材料合同!$L$6:$CC$305,14,0)</f>
        <v>5555910</v>
      </c>
      <c r="Z40" s="102">
        <f>VLOOKUP(L40,材料合同!$L$6:$CC$305,15,0)</f>
        <v>0</v>
      </c>
      <c r="AA40" s="102">
        <f>VLOOKUP(L40,材料合同!$L$6:$CC$305,16,0)</f>
        <v>0</v>
      </c>
      <c r="AB40" s="102">
        <f>VLOOKUP(L40,材料合同!$L$6:$CC$305,17,0)</f>
        <v>0</v>
      </c>
      <c r="AC40" s="102">
        <f>VLOOKUP(L40,材料合同!$L$6:$CC$305,18,0)</f>
        <v>0</v>
      </c>
      <c r="AD40" s="102">
        <f>VLOOKUP(L40,材料合同!$L$6:$CC$305,19,0)</f>
        <v>0</v>
      </c>
      <c r="AE40" s="102">
        <f>VLOOKUP(L40,材料合同!$L$6:$CC$305,20,0)</f>
        <v>0</v>
      </c>
      <c r="AF40" s="102">
        <f>VLOOKUP(L40,材料合同!$L$6:$CC$305,21,0)</f>
        <v>0</v>
      </c>
      <c r="AG40" s="102">
        <f>VLOOKUP(L40,材料合同!$L$6:$CC$305,22,0)</f>
        <v>0</v>
      </c>
      <c r="AH40" s="102">
        <f>VLOOKUP(L40,材料合同!$L$6:$CC$305,23,0)</f>
        <v>0</v>
      </c>
      <c r="AI40" s="102">
        <f>VLOOKUP(L40,材料合同!$L$6:$CC$305,24,0)</f>
        <v>0</v>
      </c>
      <c r="AJ40" s="102">
        <f>VLOOKUP(L40,材料合同!$L$6:$CC$305,25,0)</f>
        <v>0</v>
      </c>
      <c r="AK40" s="102">
        <f>VLOOKUP(L40,材料合同!$L$6:$CC$305,26,0)</f>
        <v>0</v>
      </c>
      <c r="AL40" s="102">
        <f>VLOOKUP(L40,材料合同!$L$6:$CC$305,27,0)</f>
        <v>0</v>
      </c>
      <c r="AM40" s="102">
        <f>VLOOKUP(L40,材料合同!$L$6:$CC$305,28,0)</f>
        <v>0</v>
      </c>
      <c r="AN40" s="102">
        <f>VLOOKUP(L40,材料合同!$L$6:$CC$305,29,0)</f>
        <v>0</v>
      </c>
      <c r="AO40" s="102">
        <f>VLOOKUP(L40,材料合同!$L$6:$CC$305,30,0)</f>
        <v>0</v>
      </c>
      <c r="AP40" s="102">
        <f>VLOOKUP(L40,材料合同!$L$6:$CC$305,31,0)</f>
        <v>0</v>
      </c>
      <c r="AQ40" s="102">
        <f>VLOOKUP(L40,材料合同!$L$6:$CC$305,32,0)</f>
        <v>0</v>
      </c>
      <c r="AR40" s="102">
        <f>VLOOKUP(L40,材料合同!$L$6:$CC$305,33,0)</f>
        <v>0</v>
      </c>
      <c r="AS40" s="102">
        <f>VLOOKUP(L40,材料合同!$L$6:$CC$305,34,0)</f>
        <v>0</v>
      </c>
      <c r="AT40" s="102">
        <f>VLOOKUP(L40,材料合同!$L$6:$CC$305,35,0)</f>
        <v>0</v>
      </c>
      <c r="AU40" s="102">
        <f>VLOOKUP(L40,材料合同!$L$6:$CC$305,36,0)</f>
        <v>0</v>
      </c>
      <c r="AV40" s="102">
        <f>VLOOKUP(L40,材料合同!$L$6:$CC$305,37,0)</f>
        <v>0</v>
      </c>
      <c r="AW40" s="102">
        <f>VLOOKUP(L40,材料合同!$L$6:$CC$305,38,0)</f>
        <v>0</v>
      </c>
      <c r="AX40" s="102">
        <f>VLOOKUP(L40,材料合同!$L$6:$CC$305,39,0)</f>
        <v>0</v>
      </c>
      <c r="AY40" s="102">
        <f>VLOOKUP(L40,材料合同!$L$6:$CC$305,40,0)</f>
        <v>0</v>
      </c>
      <c r="AZ40" s="102">
        <f>VLOOKUP(L40,材料合同!$L$6:$CC$305,41,0)</f>
        <v>0</v>
      </c>
      <c r="BA40" s="102">
        <f>VLOOKUP(L40,材料合同!$L$6:$CC$305,42,0)</f>
        <v>0</v>
      </c>
      <c r="BB40" s="102">
        <f>VLOOKUP(L40,材料合同!$L$6:$CC$305,43,0)</f>
        <v>0</v>
      </c>
      <c r="BC40" s="102">
        <f>VLOOKUP(L40,材料合同!$L$6:$CC$305,44,0)</f>
        <v>0</v>
      </c>
      <c r="BD40" s="102">
        <f>VLOOKUP(L40,材料合同!$L$6:$CC$305,45,0)</f>
        <v>0</v>
      </c>
      <c r="BE40" s="102">
        <f>VLOOKUP(L40,材料合同!$L$6:$CC$305,46,0)</f>
        <v>0</v>
      </c>
      <c r="BF40" s="102">
        <f>VLOOKUP(L40,材料合同!$L$6:$CC$305,47,0)</f>
        <v>0</v>
      </c>
      <c r="BG40" s="102">
        <f>VLOOKUP(L40,材料合同!$L$6:$CC$305,48,0)</f>
        <v>0</v>
      </c>
      <c r="BH40" s="102">
        <f>VLOOKUP(L40,材料合同!$L$6:$CC$305,49,0)</f>
        <v>0</v>
      </c>
      <c r="BI40" s="102">
        <f>VLOOKUP(L40,材料合同!$L$6:$CC$305,50,0)</f>
        <v>0</v>
      </c>
      <c r="BJ40" s="102">
        <f>VLOOKUP(L40,材料合同!$L$6:$CC$305,51,0)</f>
        <v>0</v>
      </c>
      <c r="BK40" s="102">
        <f>VLOOKUP(L40,材料合同!$L$6:$CC$305,52,0)</f>
        <v>0</v>
      </c>
      <c r="BL40" s="102">
        <f>VLOOKUP(L40,材料合同!$L$6:$CC$305,53,0)</f>
        <v>0</v>
      </c>
      <c r="BM40" s="102">
        <f>VLOOKUP(L40,材料合同!$L$6:$CC$305,54,0)</f>
        <v>0</v>
      </c>
      <c r="BN40" s="102">
        <f>VLOOKUP(L40,材料合同!$L$6:$CC$305,55,0)</f>
        <v>0</v>
      </c>
      <c r="BO40" s="102">
        <f>VLOOKUP(L40,材料合同!$L$6:$CC$305,56,0)</f>
        <v>0</v>
      </c>
      <c r="BP40" s="102">
        <f>VLOOKUP(L40,材料合同!$L$6:$CC$305,57,0)</f>
        <v>0</v>
      </c>
      <c r="BQ40" s="102">
        <f>VLOOKUP(L40,材料合同!$L$6:$CC$305,58,0)</f>
        <v>0</v>
      </c>
      <c r="BR40" s="102">
        <f>VLOOKUP(L40,材料合同!$L$6:$CC$305,59,0)</f>
        <v>0</v>
      </c>
      <c r="BS40" s="102">
        <f>VLOOKUP(L40,材料合同!$L$6:$CC$305,60,0)</f>
        <v>0</v>
      </c>
      <c r="BT40" s="102">
        <f>VLOOKUP(L40,材料合同!$L$6:$CC$305,61,0)</f>
        <v>0</v>
      </c>
      <c r="BU40" s="102">
        <f>VLOOKUP(L40,材料合同!$L$6:$CC$305,62,0)</f>
        <v>0</v>
      </c>
      <c r="BV40" s="102">
        <f>VLOOKUP(L40,材料合同!$L$6:$CC$305,63,0)</f>
        <v>0</v>
      </c>
      <c r="BW40" s="102">
        <f>VLOOKUP(L40,材料合同!$L$6:$CC$305,64,0)</f>
        <v>0</v>
      </c>
      <c r="BX40" s="102">
        <f>VLOOKUP(L40,材料合同!$L$6:$CC$305,65,0)</f>
        <v>0</v>
      </c>
      <c r="BY40" s="102">
        <f>VLOOKUP(L40,材料合同!$L$6:$CC$305,66,0)</f>
        <v>0</v>
      </c>
      <c r="BZ40" s="102">
        <f>VLOOKUP(L40,材料合同!$L$6:$CC$305,67,0)</f>
        <v>0</v>
      </c>
      <c r="CA40" s="102">
        <f>VLOOKUP(L40,材料合同!$L$6:$CC$305,68,0)</f>
        <v>0</v>
      </c>
      <c r="CB40" s="102">
        <f>VLOOKUP(L40,材料合同!$L$6:$CC$305,69,0)</f>
        <v>0</v>
      </c>
      <c r="CC40" s="102">
        <f>VLOOKUP(L40,材料合同!$L$6:$CC$305,70,0)</f>
        <v>0</v>
      </c>
      <c r="CD40" s="123">
        <f t="shared" si="22"/>
        <v>5555910</v>
      </c>
      <c r="CE40" s="102">
        <f t="shared" si="23"/>
        <v>5555910</v>
      </c>
      <c r="CF40" s="102">
        <f t="shared" si="24"/>
        <v>5555910</v>
      </c>
      <c r="CG40" s="102">
        <f t="shared" si="25"/>
        <v>0</v>
      </c>
      <c r="CH40" s="124">
        <f t="shared" si="26"/>
        <v>0</v>
      </c>
      <c r="CI40" s="125">
        <f t="shared" si="27"/>
        <v>1</v>
      </c>
      <c r="CJ40" s="126" t="str">
        <f t="shared" si="28"/>
        <v>数据正确</v>
      </c>
    </row>
    <row r="41" s="60" customFormat="1" customHeight="1" spans="2:88">
      <c r="B41" s="70" t="str">
        <f t="shared" si="18"/>
        <v>-</v>
      </c>
      <c r="C41" s="71" t="str">
        <f t="shared" si="19"/>
        <v>已付清</v>
      </c>
      <c r="D41" s="181">
        <f t="shared" si="20"/>
        <v>11786924</v>
      </c>
      <c r="E41" s="181">
        <f>SUMIF(材料合同!$L$6:$L$305,L41,材料合同!$E$6:$E$305)</f>
        <v>0</v>
      </c>
      <c r="F41" s="181">
        <f>SUMIF(材料合同!$L$6:$L$305,L41,材料合同!$F$6:$F$305)</f>
        <v>0</v>
      </c>
      <c r="G41" s="181">
        <f>SUMIF(材料合同!$L$6:$L$305,L41,材料合同!$G$6:$G$305)</f>
        <v>0</v>
      </c>
      <c r="H41" s="181">
        <f>SUMIF(材料合同!$L$6:$L$305,L41,材料合同!$H$6:$H$305)</f>
        <v>0</v>
      </c>
      <c r="I41" s="181">
        <f t="shared" si="21"/>
        <v>0</v>
      </c>
      <c r="J41" s="86" t="s">
        <v>98</v>
      </c>
      <c r="K41" s="87"/>
      <c r="L41" s="88">
        <v>36</v>
      </c>
      <c r="M41" s="89" t="str">
        <f>VLOOKUP(L41,材料合同!$L$6:$CC$305,2,0)</f>
        <v>YRKJGC-170010</v>
      </c>
      <c r="N41" s="90" t="str">
        <f>VLOOKUP(L41,材料合同!$L$6:$CC$305,3,0)</f>
        <v>材料合同</v>
      </c>
      <c r="O41" s="265">
        <f>VLOOKUP(L41,材料合同!$L$6:$CC$305,4,0)</f>
        <v>2017030013</v>
      </c>
      <c r="P41" s="266">
        <f>VLOOKUP(L41,材料合同!$L$6:$CC$305,5,0)</f>
        <v>42816</v>
      </c>
      <c r="Q41" s="275">
        <f>VLOOKUP(L41,材料合同!$L$6:$CC$305,6,0)</f>
        <v>11786924</v>
      </c>
      <c r="R41" s="89" t="str">
        <f>VLOOKUP(L41,材料合同!$L$6:$CC$305,7,0)</f>
        <v>预应力管桩（7万米*169元/米）</v>
      </c>
      <c r="S41" s="89" t="str">
        <f>VLOOKUP(L41,材料合同!$L$6:$CC$305,8,0)</f>
        <v>福建峻兴管桩有限公司</v>
      </c>
      <c r="T41" s="107" t="str">
        <f>VLOOKUP(L41,材料合同!$L$6:$CC$305,9,0)</f>
        <v>雨水收集池、事故水收集池、硫铵仓库、氨肟化装置、己内酰胺装置、动力站、新增化粪池、N段管架等桩基施工</v>
      </c>
      <c r="U41" s="103" t="str">
        <f>VLOOKUP(L41,材料合同!$L$6:$CC$305,10,0)</f>
        <v>电汇</v>
      </c>
      <c r="V41" s="276" t="str">
        <f>VLOOKUP(L41,材料合同!$L$6:$CC$305,11,0)</f>
        <v>货到付款，每次供货1万米，验收合格，卖方提供等额的收据给甲方后5日支付，卖方收到货款后3个工作日内提供17%的专票给甲方</v>
      </c>
      <c r="W41" s="102">
        <f>VLOOKUP(L41,材料合同!$L$6:$CC$305,12,0)</f>
        <v>11786924</v>
      </c>
      <c r="X41" s="102">
        <f>VLOOKUP(L41,材料合同!$L$6:$CC$305,13,0)</f>
        <v>11786924</v>
      </c>
      <c r="Y41" s="102">
        <f>VLOOKUP(L41,材料合同!$L$6:$CC$305,14,0)</f>
        <v>11786924</v>
      </c>
      <c r="Z41" s="102">
        <f>VLOOKUP(L41,材料合同!$L$6:$CC$305,15,0)</f>
        <v>0</v>
      </c>
      <c r="AA41" s="102">
        <f>VLOOKUP(L41,材料合同!$L$6:$CC$305,16,0)</f>
        <v>0</v>
      </c>
      <c r="AB41" s="102">
        <f>VLOOKUP(L41,材料合同!$L$6:$CC$305,17,0)</f>
        <v>0</v>
      </c>
      <c r="AC41" s="102">
        <f>VLOOKUP(L41,材料合同!$L$6:$CC$305,18,0)</f>
        <v>0</v>
      </c>
      <c r="AD41" s="102">
        <f>VLOOKUP(L41,材料合同!$L$6:$CC$305,19,0)</f>
        <v>0</v>
      </c>
      <c r="AE41" s="102">
        <f>VLOOKUP(L41,材料合同!$L$6:$CC$305,20,0)</f>
        <v>0</v>
      </c>
      <c r="AF41" s="102">
        <f>VLOOKUP(L41,材料合同!$L$6:$CC$305,21,0)</f>
        <v>0</v>
      </c>
      <c r="AG41" s="102">
        <f>VLOOKUP(L41,材料合同!$L$6:$CC$305,22,0)</f>
        <v>0</v>
      </c>
      <c r="AH41" s="102">
        <f>VLOOKUP(L41,材料合同!$L$6:$CC$305,23,0)</f>
        <v>0</v>
      </c>
      <c r="AI41" s="102">
        <f>VLOOKUP(L41,材料合同!$L$6:$CC$305,24,0)</f>
        <v>0</v>
      </c>
      <c r="AJ41" s="102">
        <f>VLOOKUP(L41,材料合同!$L$6:$CC$305,25,0)</f>
        <v>0</v>
      </c>
      <c r="AK41" s="102">
        <f>VLOOKUP(L41,材料合同!$L$6:$CC$305,26,0)</f>
        <v>0</v>
      </c>
      <c r="AL41" s="102">
        <f>VLOOKUP(L41,材料合同!$L$6:$CC$305,27,0)</f>
        <v>0</v>
      </c>
      <c r="AM41" s="102">
        <f>VLOOKUP(L41,材料合同!$L$6:$CC$305,28,0)</f>
        <v>0</v>
      </c>
      <c r="AN41" s="102">
        <f>VLOOKUP(L41,材料合同!$L$6:$CC$305,29,0)</f>
        <v>0</v>
      </c>
      <c r="AO41" s="102">
        <f>VLOOKUP(L41,材料合同!$L$6:$CC$305,30,0)</f>
        <v>0</v>
      </c>
      <c r="AP41" s="102">
        <f>VLOOKUP(L41,材料合同!$L$6:$CC$305,31,0)</f>
        <v>0</v>
      </c>
      <c r="AQ41" s="102">
        <f>VLOOKUP(L41,材料合同!$L$6:$CC$305,32,0)</f>
        <v>0</v>
      </c>
      <c r="AR41" s="102">
        <f>VLOOKUP(L41,材料合同!$L$6:$CC$305,33,0)</f>
        <v>0</v>
      </c>
      <c r="AS41" s="102">
        <f>VLOOKUP(L41,材料合同!$L$6:$CC$305,34,0)</f>
        <v>0</v>
      </c>
      <c r="AT41" s="102">
        <f>VLOOKUP(L41,材料合同!$L$6:$CC$305,35,0)</f>
        <v>0</v>
      </c>
      <c r="AU41" s="102">
        <f>VLOOKUP(L41,材料合同!$L$6:$CC$305,36,0)</f>
        <v>0</v>
      </c>
      <c r="AV41" s="102">
        <f>VLOOKUP(L41,材料合同!$L$6:$CC$305,37,0)</f>
        <v>0</v>
      </c>
      <c r="AW41" s="102">
        <f>VLOOKUP(L41,材料合同!$L$6:$CC$305,38,0)</f>
        <v>0</v>
      </c>
      <c r="AX41" s="102">
        <f>VLOOKUP(L41,材料合同!$L$6:$CC$305,39,0)</f>
        <v>0</v>
      </c>
      <c r="AY41" s="102">
        <f>VLOOKUP(L41,材料合同!$L$6:$CC$305,40,0)</f>
        <v>0</v>
      </c>
      <c r="AZ41" s="102">
        <f>VLOOKUP(L41,材料合同!$L$6:$CC$305,41,0)</f>
        <v>0</v>
      </c>
      <c r="BA41" s="102">
        <f>VLOOKUP(L41,材料合同!$L$6:$CC$305,42,0)</f>
        <v>0</v>
      </c>
      <c r="BB41" s="102">
        <f>VLOOKUP(L41,材料合同!$L$6:$CC$305,43,0)</f>
        <v>0</v>
      </c>
      <c r="BC41" s="102">
        <f>VLOOKUP(L41,材料合同!$L$6:$CC$305,44,0)</f>
        <v>0</v>
      </c>
      <c r="BD41" s="102">
        <f>VLOOKUP(L41,材料合同!$L$6:$CC$305,45,0)</f>
        <v>0</v>
      </c>
      <c r="BE41" s="102">
        <f>VLOOKUP(L41,材料合同!$L$6:$CC$305,46,0)</f>
        <v>0</v>
      </c>
      <c r="BF41" s="102">
        <f>VLOOKUP(L41,材料合同!$L$6:$CC$305,47,0)</f>
        <v>0</v>
      </c>
      <c r="BG41" s="102">
        <f>VLOOKUP(L41,材料合同!$L$6:$CC$305,48,0)</f>
        <v>0</v>
      </c>
      <c r="BH41" s="102">
        <f>VLOOKUP(L41,材料合同!$L$6:$CC$305,49,0)</f>
        <v>0</v>
      </c>
      <c r="BI41" s="102">
        <f>VLOOKUP(L41,材料合同!$L$6:$CC$305,50,0)</f>
        <v>0</v>
      </c>
      <c r="BJ41" s="102">
        <f>VLOOKUP(L41,材料合同!$L$6:$CC$305,51,0)</f>
        <v>0</v>
      </c>
      <c r="BK41" s="102">
        <f>VLOOKUP(L41,材料合同!$L$6:$CC$305,52,0)</f>
        <v>0</v>
      </c>
      <c r="BL41" s="102">
        <f>VLOOKUP(L41,材料合同!$L$6:$CC$305,53,0)</f>
        <v>0</v>
      </c>
      <c r="BM41" s="102">
        <f>VLOOKUP(L41,材料合同!$L$6:$CC$305,54,0)</f>
        <v>0</v>
      </c>
      <c r="BN41" s="102">
        <f>VLOOKUP(L41,材料合同!$L$6:$CC$305,55,0)</f>
        <v>0</v>
      </c>
      <c r="BO41" s="102">
        <f>VLOOKUP(L41,材料合同!$L$6:$CC$305,56,0)</f>
        <v>0</v>
      </c>
      <c r="BP41" s="102">
        <f>VLOOKUP(L41,材料合同!$L$6:$CC$305,57,0)</f>
        <v>0</v>
      </c>
      <c r="BQ41" s="102">
        <f>VLOOKUP(L41,材料合同!$L$6:$CC$305,58,0)</f>
        <v>0</v>
      </c>
      <c r="BR41" s="102">
        <f>VLOOKUP(L41,材料合同!$L$6:$CC$305,59,0)</f>
        <v>0</v>
      </c>
      <c r="BS41" s="102">
        <f>VLOOKUP(L41,材料合同!$L$6:$CC$305,60,0)</f>
        <v>0</v>
      </c>
      <c r="BT41" s="102">
        <f>VLOOKUP(L41,材料合同!$L$6:$CC$305,61,0)</f>
        <v>0</v>
      </c>
      <c r="BU41" s="102">
        <f>VLOOKUP(L41,材料合同!$L$6:$CC$305,62,0)</f>
        <v>0</v>
      </c>
      <c r="BV41" s="102">
        <f>VLOOKUP(L41,材料合同!$L$6:$CC$305,63,0)</f>
        <v>0</v>
      </c>
      <c r="BW41" s="102">
        <f>VLOOKUP(L41,材料合同!$L$6:$CC$305,64,0)</f>
        <v>0</v>
      </c>
      <c r="BX41" s="102">
        <f>VLOOKUP(L41,材料合同!$L$6:$CC$305,65,0)</f>
        <v>0</v>
      </c>
      <c r="BY41" s="102">
        <f>VLOOKUP(L41,材料合同!$L$6:$CC$305,66,0)</f>
        <v>0</v>
      </c>
      <c r="BZ41" s="102">
        <f>VLOOKUP(L41,材料合同!$L$6:$CC$305,67,0)</f>
        <v>0</v>
      </c>
      <c r="CA41" s="102">
        <f>VLOOKUP(L41,材料合同!$L$6:$CC$305,68,0)</f>
        <v>0</v>
      </c>
      <c r="CB41" s="102">
        <f>VLOOKUP(L41,材料合同!$L$6:$CC$305,69,0)</f>
        <v>0</v>
      </c>
      <c r="CC41" s="102">
        <f>VLOOKUP(L41,材料合同!$L$6:$CC$305,70,0)</f>
        <v>0</v>
      </c>
      <c r="CD41" s="123">
        <f t="shared" si="22"/>
        <v>11786924</v>
      </c>
      <c r="CE41" s="102">
        <f t="shared" si="23"/>
        <v>11786924</v>
      </c>
      <c r="CF41" s="102">
        <f t="shared" si="24"/>
        <v>11786924</v>
      </c>
      <c r="CG41" s="102">
        <f t="shared" si="25"/>
        <v>0</v>
      </c>
      <c r="CH41" s="124">
        <f t="shared" si="26"/>
        <v>0</v>
      </c>
      <c r="CI41" s="125">
        <f t="shared" si="27"/>
        <v>1</v>
      </c>
      <c r="CJ41" s="126" t="str">
        <f t="shared" si="28"/>
        <v>数据正确</v>
      </c>
    </row>
    <row r="42" s="60" customFormat="1" customHeight="1" spans="2:88">
      <c r="B42" s="70" t="str">
        <f t="shared" si="18"/>
        <v>-</v>
      </c>
      <c r="C42" s="71" t="str">
        <f t="shared" si="19"/>
        <v>已付清</v>
      </c>
      <c r="D42" s="181">
        <f t="shared" si="20"/>
        <v>5983824</v>
      </c>
      <c r="E42" s="181">
        <f>SUMIF(材料合同!$L$6:$L$305,L42,材料合同!$E$6:$E$305)</f>
        <v>0</v>
      </c>
      <c r="F42" s="181">
        <f>SUMIF(材料合同!$L$6:$L$305,L42,材料合同!$F$6:$F$305)</f>
        <v>0</v>
      </c>
      <c r="G42" s="181">
        <f>SUMIF(材料合同!$L$6:$L$305,L42,材料合同!$G$6:$G$305)</f>
        <v>0</v>
      </c>
      <c r="H42" s="181">
        <f>SUMIF(材料合同!$L$6:$L$305,L42,材料合同!$H$6:$H$305)</f>
        <v>0</v>
      </c>
      <c r="I42" s="181">
        <f t="shared" si="21"/>
        <v>0</v>
      </c>
      <c r="J42" s="86" t="s">
        <v>98</v>
      </c>
      <c r="K42" s="87"/>
      <c r="L42" s="88">
        <v>37</v>
      </c>
      <c r="M42" s="89" t="str">
        <f>VLOOKUP(L42,材料合同!$L$6:$CC$305,2,0)</f>
        <v>YRKJGC-170011</v>
      </c>
      <c r="N42" s="90" t="str">
        <f>VLOOKUP(L42,材料合同!$L$6:$CC$305,3,0)</f>
        <v>材料合同</v>
      </c>
      <c r="O42" s="265">
        <f>VLOOKUP(L42,材料合同!$L$6:$CC$305,4,0)</f>
        <v>2017030053</v>
      </c>
      <c r="P42" s="266">
        <f>VLOOKUP(L42,材料合同!$L$6:$CC$305,5,0)</f>
        <v>42840</v>
      </c>
      <c r="Q42" s="275">
        <f>VLOOKUP(L42,材料合同!$L$6:$CC$305,6,0)</f>
        <v>5983824</v>
      </c>
      <c r="R42" s="89" t="str">
        <f>VLOOKUP(L42,材料合同!$L$6:$CC$305,7,0)</f>
        <v>管桩（50000*176元/米）</v>
      </c>
      <c r="S42" s="89" t="str">
        <f>VLOOKUP(L42,材料合同!$L$6:$CC$305,8,0)</f>
        <v>福建宝丰管桩有限公司</v>
      </c>
      <c r="T42" s="107" t="str">
        <f>VLOOKUP(L42,材料合同!$L$6:$CC$305,9,0)</f>
        <v>双氧水装置、环己酮装置、硫铵装置、循环水、中间罐组、原水净化站等桩基施工</v>
      </c>
      <c r="U42" s="103" t="str">
        <f>VLOOKUP(L42,材料合同!$L$6:$CC$305,10,0)</f>
        <v>电汇</v>
      </c>
      <c r="V42" s="276" t="str">
        <f>VLOOKUP(L42,材料合同!$L$6:$CC$305,11,0)</f>
        <v>货到付款，每次供货5000米，验收合格，卖方提供等额的收据给甲方后5日支付，卖方收到货款后5个工作日内提供17%的专票给甲方</v>
      </c>
      <c r="W42" s="102">
        <f>VLOOKUP(L42,材料合同!$L$6:$CC$305,12,0)</f>
        <v>5983824</v>
      </c>
      <c r="X42" s="102">
        <f>VLOOKUP(L42,材料合同!$L$6:$CC$305,13,0)</f>
        <v>5983824</v>
      </c>
      <c r="Y42" s="102">
        <f>VLOOKUP(L42,材料合同!$L$6:$CC$305,14,0)</f>
        <v>5983824</v>
      </c>
      <c r="Z42" s="102">
        <f>VLOOKUP(L42,材料合同!$L$6:$CC$305,15,0)</f>
        <v>0</v>
      </c>
      <c r="AA42" s="102">
        <f>VLOOKUP(L42,材料合同!$L$6:$CC$305,16,0)</f>
        <v>0</v>
      </c>
      <c r="AB42" s="102">
        <f>VLOOKUP(L42,材料合同!$L$6:$CC$305,17,0)</f>
        <v>0</v>
      </c>
      <c r="AC42" s="102">
        <f>VLOOKUP(L42,材料合同!$L$6:$CC$305,18,0)</f>
        <v>0</v>
      </c>
      <c r="AD42" s="102">
        <f>VLOOKUP(L42,材料合同!$L$6:$CC$305,19,0)</f>
        <v>0</v>
      </c>
      <c r="AE42" s="102">
        <f>VLOOKUP(L42,材料合同!$L$6:$CC$305,20,0)</f>
        <v>0</v>
      </c>
      <c r="AF42" s="102">
        <f>VLOOKUP(L42,材料合同!$L$6:$CC$305,21,0)</f>
        <v>0</v>
      </c>
      <c r="AG42" s="102">
        <f>VLOOKUP(L42,材料合同!$L$6:$CC$305,22,0)</f>
        <v>0</v>
      </c>
      <c r="AH42" s="102">
        <f>VLOOKUP(L42,材料合同!$L$6:$CC$305,23,0)</f>
        <v>0</v>
      </c>
      <c r="AI42" s="102">
        <f>VLOOKUP(L42,材料合同!$L$6:$CC$305,24,0)</f>
        <v>0</v>
      </c>
      <c r="AJ42" s="102">
        <f>VLOOKUP(L42,材料合同!$L$6:$CC$305,25,0)</f>
        <v>0</v>
      </c>
      <c r="AK42" s="102">
        <f>VLOOKUP(L42,材料合同!$L$6:$CC$305,26,0)</f>
        <v>0</v>
      </c>
      <c r="AL42" s="102">
        <f>VLOOKUP(L42,材料合同!$L$6:$CC$305,27,0)</f>
        <v>0</v>
      </c>
      <c r="AM42" s="102">
        <f>VLOOKUP(L42,材料合同!$L$6:$CC$305,28,0)</f>
        <v>0</v>
      </c>
      <c r="AN42" s="102">
        <f>VLOOKUP(L42,材料合同!$L$6:$CC$305,29,0)</f>
        <v>0</v>
      </c>
      <c r="AO42" s="102">
        <f>VLOOKUP(L42,材料合同!$L$6:$CC$305,30,0)</f>
        <v>0</v>
      </c>
      <c r="AP42" s="102">
        <f>VLOOKUP(L42,材料合同!$L$6:$CC$305,31,0)</f>
        <v>0</v>
      </c>
      <c r="AQ42" s="102">
        <f>VLOOKUP(L42,材料合同!$L$6:$CC$305,32,0)</f>
        <v>0</v>
      </c>
      <c r="AR42" s="102">
        <f>VLOOKUP(L42,材料合同!$L$6:$CC$305,33,0)</f>
        <v>0</v>
      </c>
      <c r="AS42" s="102">
        <f>VLOOKUP(L42,材料合同!$L$6:$CC$305,34,0)</f>
        <v>0</v>
      </c>
      <c r="AT42" s="102">
        <f>VLOOKUP(L42,材料合同!$L$6:$CC$305,35,0)</f>
        <v>0</v>
      </c>
      <c r="AU42" s="102">
        <f>VLOOKUP(L42,材料合同!$L$6:$CC$305,36,0)</f>
        <v>0</v>
      </c>
      <c r="AV42" s="102">
        <f>VLOOKUP(L42,材料合同!$L$6:$CC$305,37,0)</f>
        <v>0</v>
      </c>
      <c r="AW42" s="102">
        <f>VLOOKUP(L42,材料合同!$L$6:$CC$305,38,0)</f>
        <v>0</v>
      </c>
      <c r="AX42" s="102">
        <f>VLOOKUP(L42,材料合同!$L$6:$CC$305,39,0)</f>
        <v>0</v>
      </c>
      <c r="AY42" s="102">
        <f>VLOOKUP(L42,材料合同!$L$6:$CC$305,40,0)</f>
        <v>0</v>
      </c>
      <c r="AZ42" s="102">
        <f>VLOOKUP(L42,材料合同!$L$6:$CC$305,41,0)</f>
        <v>0</v>
      </c>
      <c r="BA42" s="102">
        <f>VLOOKUP(L42,材料合同!$L$6:$CC$305,42,0)</f>
        <v>0</v>
      </c>
      <c r="BB42" s="102">
        <f>VLOOKUP(L42,材料合同!$L$6:$CC$305,43,0)</f>
        <v>0</v>
      </c>
      <c r="BC42" s="102">
        <f>VLOOKUP(L42,材料合同!$L$6:$CC$305,44,0)</f>
        <v>0</v>
      </c>
      <c r="BD42" s="102">
        <f>VLOOKUP(L42,材料合同!$L$6:$CC$305,45,0)</f>
        <v>0</v>
      </c>
      <c r="BE42" s="102">
        <f>VLOOKUP(L42,材料合同!$L$6:$CC$305,46,0)</f>
        <v>0</v>
      </c>
      <c r="BF42" s="102">
        <f>VLOOKUP(L42,材料合同!$L$6:$CC$305,47,0)</f>
        <v>0</v>
      </c>
      <c r="BG42" s="102">
        <f>VLOOKUP(L42,材料合同!$L$6:$CC$305,48,0)</f>
        <v>0</v>
      </c>
      <c r="BH42" s="102">
        <f>VLOOKUP(L42,材料合同!$L$6:$CC$305,49,0)</f>
        <v>0</v>
      </c>
      <c r="BI42" s="102">
        <f>VLOOKUP(L42,材料合同!$L$6:$CC$305,50,0)</f>
        <v>0</v>
      </c>
      <c r="BJ42" s="102">
        <f>VLOOKUP(L42,材料合同!$L$6:$CC$305,51,0)</f>
        <v>0</v>
      </c>
      <c r="BK42" s="102">
        <f>VLOOKUP(L42,材料合同!$L$6:$CC$305,52,0)</f>
        <v>0</v>
      </c>
      <c r="BL42" s="102">
        <f>VLOOKUP(L42,材料合同!$L$6:$CC$305,53,0)</f>
        <v>0</v>
      </c>
      <c r="BM42" s="102">
        <f>VLOOKUP(L42,材料合同!$L$6:$CC$305,54,0)</f>
        <v>0</v>
      </c>
      <c r="BN42" s="102">
        <f>VLOOKUP(L42,材料合同!$L$6:$CC$305,55,0)</f>
        <v>0</v>
      </c>
      <c r="BO42" s="102">
        <f>VLOOKUP(L42,材料合同!$L$6:$CC$305,56,0)</f>
        <v>0</v>
      </c>
      <c r="BP42" s="102">
        <f>VLOOKUP(L42,材料合同!$L$6:$CC$305,57,0)</f>
        <v>0</v>
      </c>
      <c r="BQ42" s="102">
        <f>VLOOKUP(L42,材料合同!$L$6:$CC$305,58,0)</f>
        <v>0</v>
      </c>
      <c r="BR42" s="102">
        <f>VLOOKUP(L42,材料合同!$L$6:$CC$305,59,0)</f>
        <v>0</v>
      </c>
      <c r="BS42" s="102">
        <f>VLOOKUP(L42,材料合同!$L$6:$CC$305,60,0)</f>
        <v>0</v>
      </c>
      <c r="BT42" s="102">
        <f>VLOOKUP(L42,材料合同!$L$6:$CC$305,61,0)</f>
        <v>0</v>
      </c>
      <c r="BU42" s="102">
        <f>VLOOKUP(L42,材料合同!$L$6:$CC$305,62,0)</f>
        <v>0</v>
      </c>
      <c r="BV42" s="102">
        <f>VLOOKUP(L42,材料合同!$L$6:$CC$305,63,0)</f>
        <v>0</v>
      </c>
      <c r="BW42" s="102">
        <f>VLOOKUP(L42,材料合同!$L$6:$CC$305,64,0)</f>
        <v>0</v>
      </c>
      <c r="BX42" s="102">
        <f>VLOOKUP(L42,材料合同!$L$6:$CC$305,65,0)</f>
        <v>0</v>
      </c>
      <c r="BY42" s="102">
        <f>VLOOKUP(L42,材料合同!$L$6:$CC$305,66,0)</f>
        <v>0</v>
      </c>
      <c r="BZ42" s="102">
        <f>VLOOKUP(L42,材料合同!$L$6:$CC$305,67,0)</f>
        <v>0</v>
      </c>
      <c r="CA42" s="102">
        <f>VLOOKUP(L42,材料合同!$L$6:$CC$305,68,0)</f>
        <v>0</v>
      </c>
      <c r="CB42" s="102">
        <f>VLOOKUP(L42,材料合同!$L$6:$CC$305,69,0)</f>
        <v>0</v>
      </c>
      <c r="CC42" s="102">
        <f>VLOOKUP(L42,材料合同!$L$6:$CC$305,70,0)</f>
        <v>0</v>
      </c>
      <c r="CD42" s="123">
        <f t="shared" si="22"/>
        <v>5983824</v>
      </c>
      <c r="CE42" s="102">
        <f t="shared" si="23"/>
        <v>5983824</v>
      </c>
      <c r="CF42" s="102">
        <f t="shared" si="24"/>
        <v>5983824</v>
      </c>
      <c r="CG42" s="102">
        <f t="shared" si="25"/>
        <v>0</v>
      </c>
      <c r="CH42" s="124">
        <f t="shared" si="26"/>
        <v>0</v>
      </c>
      <c r="CI42" s="125">
        <f t="shared" si="27"/>
        <v>1</v>
      </c>
      <c r="CJ42" s="126" t="str">
        <f t="shared" si="28"/>
        <v>数据正确</v>
      </c>
    </row>
    <row r="43" s="60" customFormat="1" customHeight="1" spans="2:88">
      <c r="B43" s="70" t="str">
        <f t="shared" si="18"/>
        <v>申请中</v>
      </c>
      <c r="C43" s="71" t="str">
        <f t="shared" si="19"/>
        <v>-</v>
      </c>
      <c r="D43" s="181">
        <f t="shared" si="20"/>
        <v>863000</v>
      </c>
      <c r="E43" s="181">
        <f>SUMIF(材料合同!$L$6:$L$305,L43,材料合同!$E$6:$E$305)</f>
        <v>0</v>
      </c>
      <c r="F43" s="181">
        <f>SUMIF(材料合同!$L$6:$L$305,L43,材料合同!$F$6:$F$305)</f>
        <v>0</v>
      </c>
      <c r="G43" s="181">
        <f>SUMIF(材料合同!$L$6:$L$305,L43,材料合同!$G$6:$G$305)</f>
        <v>0</v>
      </c>
      <c r="H43" s="181">
        <f>SUMIF(材料合同!$L$6:$L$305,L43,材料合同!$H$6:$H$305)</f>
        <v>0</v>
      </c>
      <c r="I43" s="181">
        <f t="shared" si="21"/>
        <v>292294</v>
      </c>
      <c r="J43" s="86" t="s">
        <v>98</v>
      </c>
      <c r="K43" s="87"/>
      <c r="L43" s="88">
        <v>38</v>
      </c>
      <c r="M43" s="89" t="str">
        <f>VLOOKUP(L43,材料合同!$L$6:$CC$305,2,0)</f>
        <v>YRKJGC-170012</v>
      </c>
      <c r="N43" s="90" t="str">
        <f>VLOOKUP(L43,材料合同!$L$6:$CC$305,3,0)</f>
        <v>材料合同</v>
      </c>
      <c r="O43" s="265">
        <f>VLOOKUP(L43,材料合同!$L$6:$CC$305,4,0)</f>
        <v>2017030053</v>
      </c>
      <c r="P43" s="266">
        <f>VLOOKUP(L43,材料合同!$L$6:$CC$305,5,0)</f>
        <v>42839</v>
      </c>
      <c r="Q43" s="275">
        <f>VLOOKUP(L43,材料合同!$L$6:$CC$305,6,0)</f>
        <v>1155294</v>
      </c>
      <c r="R43" s="89" t="str">
        <f>VLOOKUP(L43,材料合同!$L$6:$CC$305,7,0)</f>
        <v>预应力管桩（5万米*173元/米）</v>
      </c>
      <c r="S43" s="89" t="str">
        <f>VLOOKUP(L43,材料合同!$L$6:$CC$305,8,0)</f>
        <v>福建建华建材有限公司</v>
      </c>
      <c r="T43" s="107" t="str">
        <f>VLOOKUP(L43,材料合同!$L$6:$CC$305,9,0)</f>
        <v>双氧水装置、环己酮装置、硫铵装置、循环水、中间罐组、原水净化站等桩基施工</v>
      </c>
      <c r="U43" s="103" t="str">
        <f>VLOOKUP(L43,材料合同!$L$6:$CC$305,10,0)</f>
        <v>电汇</v>
      </c>
      <c r="V43" s="276" t="str">
        <f>VLOOKUP(L43,材料合同!$L$6:$CC$305,11,0)</f>
        <v>货到付款，每次供货5000米，验收合格，卖方提供等额的收据给甲方后5日支付，卖方收到货款后5个工作日内提供17%的专票给甲方</v>
      </c>
      <c r="W43" s="102">
        <f>VLOOKUP(L43,材料合同!$L$6:$CC$305,12,0)</f>
        <v>1155294</v>
      </c>
      <c r="X43" s="102">
        <f>VLOOKUP(L43,材料合同!$L$6:$CC$305,13,0)</f>
        <v>1155294</v>
      </c>
      <c r="Y43" s="102">
        <f>VLOOKUP(L43,材料合同!$L$6:$CC$305,14,0)</f>
        <v>863000</v>
      </c>
      <c r="Z43" s="102">
        <f>VLOOKUP(L43,材料合同!$L$6:$CC$305,15,0)</f>
        <v>0</v>
      </c>
      <c r="AA43" s="102">
        <f>VLOOKUP(L43,材料合同!$L$6:$CC$305,16,0)</f>
        <v>0</v>
      </c>
      <c r="AB43" s="102">
        <f>VLOOKUP(L43,材料合同!$L$6:$CC$305,17,0)</f>
        <v>0</v>
      </c>
      <c r="AC43" s="102">
        <f>VLOOKUP(L43,材料合同!$L$6:$CC$305,18,0)</f>
        <v>0</v>
      </c>
      <c r="AD43" s="102">
        <f>VLOOKUP(L43,材料合同!$L$6:$CC$305,19,0)</f>
        <v>0</v>
      </c>
      <c r="AE43" s="102">
        <f>VLOOKUP(L43,材料合同!$L$6:$CC$305,20,0)</f>
        <v>0</v>
      </c>
      <c r="AF43" s="102">
        <f>VLOOKUP(L43,材料合同!$L$6:$CC$305,21,0)</f>
        <v>0</v>
      </c>
      <c r="AG43" s="102">
        <f>VLOOKUP(L43,材料合同!$L$6:$CC$305,22,0)</f>
        <v>0</v>
      </c>
      <c r="AH43" s="102">
        <f>VLOOKUP(L43,材料合同!$L$6:$CC$305,23,0)</f>
        <v>0</v>
      </c>
      <c r="AI43" s="102">
        <f>VLOOKUP(L43,材料合同!$L$6:$CC$305,24,0)</f>
        <v>0</v>
      </c>
      <c r="AJ43" s="102">
        <f>VLOOKUP(L43,材料合同!$L$6:$CC$305,25,0)</f>
        <v>0</v>
      </c>
      <c r="AK43" s="102">
        <f>VLOOKUP(L43,材料合同!$L$6:$CC$305,26,0)</f>
        <v>0</v>
      </c>
      <c r="AL43" s="102">
        <f>VLOOKUP(L43,材料合同!$L$6:$CC$305,27,0)</f>
        <v>0</v>
      </c>
      <c r="AM43" s="102">
        <f>VLOOKUP(L43,材料合同!$L$6:$CC$305,28,0)</f>
        <v>0</v>
      </c>
      <c r="AN43" s="102">
        <f>VLOOKUP(L43,材料合同!$L$6:$CC$305,29,0)</f>
        <v>0</v>
      </c>
      <c r="AO43" s="102">
        <f>VLOOKUP(L43,材料合同!$L$6:$CC$305,30,0)</f>
        <v>0</v>
      </c>
      <c r="AP43" s="102">
        <f>VLOOKUP(L43,材料合同!$L$6:$CC$305,31,0)</f>
        <v>0</v>
      </c>
      <c r="AQ43" s="102">
        <f>VLOOKUP(L43,材料合同!$L$6:$CC$305,32,0)</f>
        <v>0</v>
      </c>
      <c r="AR43" s="102">
        <f>VLOOKUP(L43,材料合同!$L$6:$CC$305,33,0)</f>
        <v>0</v>
      </c>
      <c r="AS43" s="102">
        <f>VLOOKUP(L43,材料合同!$L$6:$CC$305,34,0)</f>
        <v>0</v>
      </c>
      <c r="AT43" s="102">
        <f>VLOOKUP(L43,材料合同!$L$6:$CC$305,35,0)</f>
        <v>0</v>
      </c>
      <c r="AU43" s="102">
        <f>VLOOKUP(L43,材料合同!$L$6:$CC$305,36,0)</f>
        <v>0</v>
      </c>
      <c r="AV43" s="102">
        <f>VLOOKUP(L43,材料合同!$L$6:$CC$305,37,0)</f>
        <v>0</v>
      </c>
      <c r="AW43" s="102">
        <f>VLOOKUP(L43,材料合同!$L$6:$CC$305,38,0)</f>
        <v>0</v>
      </c>
      <c r="AX43" s="102">
        <f>VLOOKUP(L43,材料合同!$L$6:$CC$305,39,0)</f>
        <v>0</v>
      </c>
      <c r="AY43" s="102">
        <f>VLOOKUP(L43,材料合同!$L$6:$CC$305,40,0)</f>
        <v>0</v>
      </c>
      <c r="AZ43" s="102">
        <f>VLOOKUP(L43,材料合同!$L$6:$CC$305,41,0)</f>
        <v>0</v>
      </c>
      <c r="BA43" s="102">
        <f>VLOOKUP(L43,材料合同!$L$6:$CC$305,42,0)</f>
        <v>0</v>
      </c>
      <c r="BB43" s="102">
        <f>VLOOKUP(L43,材料合同!$L$6:$CC$305,43,0)</f>
        <v>0</v>
      </c>
      <c r="BC43" s="102">
        <f>VLOOKUP(L43,材料合同!$L$6:$CC$305,44,0)</f>
        <v>0</v>
      </c>
      <c r="BD43" s="102">
        <f>VLOOKUP(L43,材料合同!$L$6:$CC$305,45,0)</f>
        <v>0</v>
      </c>
      <c r="BE43" s="102">
        <f>VLOOKUP(L43,材料合同!$L$6:$CC$305,46,0)</f>
        <v>0</v>
      </c>
      <c r="BF43" s="102">
        <f>VLOOKUP(L43,材料合同!$L$6:$CC$305,47,0)</f>
        <v>0</v>
      </c>
      <c r="BG43" s="102">
        <f>VLOOKUP(L43,材料合同!$L$6:$CC$305,48,0)</f>
        <v>0</v>
      </c>
      <c r="BH43" s="102">
        <f>VLOOKUP(L43,材料合同!$L$6:$CC$305,49,0)</f>
        <v>0</v>
      </c>
      <c r="BI43" s="102">
        <f>VLOOKUP(L43,材料合同!$L$6:$CC$305,50,0)</f>
        <v>0</v>
      </c>
      <c r="BJ43" s="102">
        <f>VLOOKUP(L43,材料合同!$L$6:$CC$305,51,0)</f>
        <v>0</v>
      </c>
      <c r="BK43" s="102">
        <f>VLOOKUP(L43,材料合同!$L$6:$CC$305,52,0)</f>
        <v>0</v>
      </c>
      <c r="BL43" s="102">
        <f>VLOOKUP(L43,材料合同!$L$6:$CC$305,53,0)</f>
        <v>0</v>
      </c>
      <c r="BM43" s="102">
        <f>VLOOKUP(L43,材料合同!$L$6:$CC$305,54,0)</f>
        <v>0</v>
      </c>
      <c r="BN43" s="102">
        <f>VLOOKUP(L43,材料合同!$L$6:$CC$305,55,0)</f>
        <v>0</v>
      </c>
      <c r="BO43" s="102">
        <f>VLOOKUP(L43,材料合同!$L$6:$CC$305,56,0)</f>
        <v>0</v>
      </c>
      <c r="BP43" s="102">
        <f>VLOOKUP(L43,材料合同!$L$6:$CC$305,57,0)</f>
        <v>0</v>
      </c>
      <c r="BQ43" s="102">
        <f>VLOOKUP(L43,材料合同!$L$6:$CC$305,58,0)</f>
        <v>0</v>
      </c>
      <c r="BR43" s="102">
        <f>VLOOKUP(L43,材料合同!$L$6:$CC$305,59,0)</f>
        <v>0</v>
      </c>
      <c r="BS43" s="102">
        <f>VLOOKUP(L43,材料合同!$L$6:$CC$305,60,0)</f>
        <v>0</v>
      </c>
      <c r="BT43" s="102">
        <f>VLOOKUP(L43,材料合同!$L$6:$CC$305,61,0)</f>
        <v>0</v>
      </c>
      <c r="BU43" s="102">
        <f>VLOOKUP(L43,材料合同!$L$6:$CC$305,62,0)</f>
        <v>0</v>
      </c>
      <c r="BV43" s="102">
        <f>VLOOKUP(L43,材料合同!$L$6:$CC$305,63,0)</f>
        <v>0</v>
      </c>
      <c r="BW43" s="102">
        <f>VLOOKUP(L43,材料合同!$L$6:$CC$305,64,0)</f>
        <v>0</v>
      </c>
      <c r="BX43" s="102">
        <f>VLOOKUP(L43,材料合同!$L$6:$CC$305,65,0)</f>
        <v>0</v>
      </c>
      <c r="BY43" s="102">
        <f>VLOOKUP(L43,材料合同!$L$6:$CC$305,66,0)</f>
        <v>0</v>
      </c>
      <c r="BZ43" s="102">
        <f>VLOOKUP(L43,材料合同!$L$6:$CC$305,67,0)</f>
        <v>0</v>
      </c>
      <c r="CA43" s="102">
        <f>VLOOKUP(L43,材料合同!$L$6:$CC$305,68,0)</f>
        <v>0</v>
      </c>
      <c r="CB43" s="102">
        <f>VLOOKUP(L43,材料合同!$L$6:$CC$305,69,0)</f>
        <v>0</v>
      </c>
      <c r="CC43" s="102">
        <f>VLOOKUP(L43,材料合同!$L$6:$CC$305,70,0)</f>
        <v>0</v>
      </c>
      <c r="CD43" s="123">
        <f t="shared" si="22"/>
        <v>1155294</v>
      </c>
      <c r="CE43" s="102">
        <f t="shared" si="23"/>
        <v>1155294</v>
      </c>
      <c r="CF43" s="102">
        <f t="shared" si="24"/>
        <v>863000</v>
      </c>
      <c r="CG43" s="102">
        <f t="shared" si="25"/>
        <v>0</v>
      </c>
      <c r="CH43" s="124">
        <f t="shared" si="26"/>
        <v>292294</v>
      </c>
      <c r="CI43" s="125">
        <f t="shared" si="27"/>
        <v>0.746996002749084</v>
      </c>
      <c r="CJ43" s="126" t="str">
        <f t="shared" si="28"/>
        <v>数据正确</v>
      </c>
    </row>
    <row r="44" s="60" customFormat="1" customHeight="1" spans="2:88">
      <c r="B44" s="70" t="str">
        <f t="shared" si="18"/>
        <v>-</v>
      </c>
      <c r="C44" s="71" t="str">
        <f t="shared" si="19"/>
        <v>已付清</v>
      </c>
      <c r="D44" s="181">
        <f t="shared" si="20"/>
        <v>71875</v>
      </c>
      <c r="E44" s="181">
        <f>SUMIF(材料合同!$L$6:$L$305,L44,材料合同!$E$6:$E$305)</f>
        <v>0</v>
      </c>
      <c r="F44" s="181">
        <f>SUMIF(材料合同!$L$6:$L$305,L44,材料合同!$F$6:$F$305)</f>
        <v>0</v>
      </c>
      <c r="G44" s="181">
        <f>SUMIF(材料合同!$L$6:$L$305,L44,材料合同!$G$6:$G$305)</f>
        <v>0</v>
      </c>
      <c r="H44" s="181">
        <f>SUMIF(材料合同!$L$6:$L$305,L44,材料合同!$H$6:$H$305)</f>
        <v>0</v>
      </c>
      <c r="I44" s="181">
        <f t="shared" si="21"/>
        <v>0</v>
      </c>
      <c r="J44" s="86" t="s">
        <v>98</v>
      </c>
      <c r="K44" s="87"/>
      <c r="L44" s="88">
        <v>39</v>
      </c>
      <c r="M44" s="89" t="str">
        <f>VLOOKUP(L44,材料合同!$L$6:$CC$305,2,0)</f>
        <v>YRKJGC-170014</v>
      </c>
      <c r="N44" s="90" t="str">
        <f>VLOOKUP(L44,材料合同!$L$6:$CC$305,3,0)</f>
        <v>材料合同</v>
      </c>
      <c r="O44" s="265">
        <f>VLOOKUP(L44,材料合同!$L$6:$CC$305,4,0)</f>
        <v>2017030074</v>
      </c>
      <c r="P44" s="266">
        <f>VLOOKUP(L44,材料合同!$L$6:$CC$305,5,0)</f>
        <v>42842</v>
      </c>
      <c r="Q44" s="275">
        <f>VLOOKUP(L44,材料合同!$L$6:$CC$305,6,0)</f>
        <v>71875</v>
      </c>
      <c r="R44" s="89" t="str">
        <f>VLOOKUP(L44,材料合同!$L$6:$CC$305,7,0)</f>
        <v>柴油（12.5吨*5750元/吨）</v>
      </c>
      <c r="S44" s="89" t="str">
        <f>VLOOKUP(L44,材料合同!$L$6:$CC$305,8,0)</f>
        <v>福建省昆仑石化产品有限公司</v>
      </c>
      <c r="T44" s="107" t="str">
        <f>VLOOKUP(L44,材料合同!$L$6:$CC$305,9,0)</f>
        <v>基本预备费71875元</v>
      </c>
      <c r="U44" s="103" t="str">
        <f>VLOOKUP(L44,材料合同!$L$6:$CC$305,10,0)</f>
        <v>电汇</v>
      </c>
      <c r="V44" s="276" t="str">
        <f>VLOOKUP(L44,材料合同!$L$6:$CC$305,11,0)</f>
        <v>款到发货</v>
      </c>
      <c r="W44" s="102">
        <f>VLOOKUP(L44,材料合同!$L$6:$CC$305,12,0)</f>
        <v>71875</v>
      </c>
      <c r="X44" s="102">
        <f>VLOOKUP(L44,材料合同!$L$6:$CC$305,13,0)</f>
        <v>71875</v>
      </c>
      <c r="Y44" s="102">
        <f>VLOOKUP(L44,材料合同!$L$6:$CC$305,14,0)</f>
        <v>71875</v>
      </c>
      <c r="Z44" s="102">
        <f>VLOOKUP(L44,材料合同!$L$6:$CC$305,15,0)</f>
        <v>0</v>
      </c>
      <c r="AA44" s="102">
        <f>VLOOKUP(L44,材料合同!$L$6:$CC$305,16,0)</f>
        <v>0</v>
      </c>
      <c r="AB44" s="102">
        <f>VLOOKUP(L44,材料合同!$L$6:$CC$305,17,0)</f>
        <v>0</v>
      </c>
      <c r="AC44" s="102">
        <f>VLOOKUP(L44,材料合同!$L$6:$CC$305,18,0)</f>
        <v>0</v>
      </c>
      <c r="AD44" s="102">
        <f>VLOOKUP(L44,材料合同!$L$6:$CC$305,19,0)</f>
        <v>0</v>
      </c>
      <c r="AE44" s="102">
        <f>VLOOKUP(L44,材料合同!$L$6:$CC$305,20,0)</f>
        <v>0</v>
      </c>
      <c r="AF44" s="102">
        <f>VLOOKUP(L44,材料合同!$L$6:$CC$305,21,0)</f>
        <v>0</v>
      </c>
      <c r="AG44" s="102">
        <f>VLOOKUP(L44,材料合同!$L$6:$CC$305,22,0)</f>
        <v>0</v>
      </c>
      <c r="AH44" s="102">
        <f>VLOOKUP(L44,材料合同!$L$6:$CC$305,23,0)</f>
        <v>0</v>
      </c>
      <c r="AI44" s="102">
        <f>VLOOKUP(L44,材料合同!$L$6:$CC$305,24,0)</f>
        <v>0</v>
      </c>
      <c r="AJ44" s="102">
        <f>VLOOKUP(L44,材料合同!$L$6:$CC$305,25,0)</f>
        <v>0</v>
      </c>
      <c r="AK44" s="102">
        <f>VLOOKUP(L44,材料合同!$L$6:$CC$305,26,0)</f>
        <v>0</v>
      </c>
      <c r="AL44" s="102">
        <f>VLOOKUP(L44,材料合同!$L$6:$CC$305,27,0)</f>
        <v>0</v>
      </c>
      <c r="AM44" s="102">
        <f>VLOOKUP(L44,材料合同!$L$6:$CC$305,28,0)</f>
        <v>0</v>
      </c>
      <c r="AN44" s="102">
        <f>VLOOKUP(L44,材料合同!$L$6:$CC$305,29,0)</f>
        <v>0</v>
      </c>
      <c r="AO44" s="102">
        <f>VLOOKUP(L44,材料合同!$L$6:$CC$305,30,0)</f>
        <v>0</v>
      </c>
      <c r="AP44" s="102">
        <f>VLOOKUP(L44,材料合同!$L$6:$CC$305,31,0)</f>
        <v>0</v>
      </c>
      <c r="AQ44" s="102">
        <f>VLOOKUP(L44,材料合同!$L$6:$CC$305,32,0)</f>
        <v>0</v>
      </c>
      <c r="AR44" s="102">
        <f>VLOOKUP(L44,材料合同!$L$6:$CC$305,33,0)</f>
        <v>0</v>
      </c>
      <c r="AS44" s="102">
        <f>VLOOKUP(L44,材料合同!$L$6:$CC$305,34,0)</f>
        <v>0</v>
      </c>
      <c r="AT44" s="102">
        <f>VLOOKUP(L44,材料合同!$L$6:$CC$305,35,0)</f>
        <v>0</v>
      </c>
      <c r="AU44" s="102">
        <f>VLOOKUP(L44,材料合同!$L$6:$CC$305,36,0)</f>
        <v>0</v>
      </c>
      <c r="AV44" s="102">
        <f>VLOOKUP(L44,材料合同!$L$6:$CC$305,37,0)</f>
        <v>0</v>
      </c>
      <c r="AW44" s="102">
        <f>VLOOKUP(L44,材料合同!$L$6:$CC$305,38,0)</f>
        <v>0</v>
      </c>
      <c r="AX44" s="102">
        <f>VLOOKUP(L44,材料合同!$L$6:$CC$305,39,0)</f>
        <v>0</v>
      </c>
      <c r="AY44" s="102">
        <f>VLOOKUP(L44,材料合同!$L$6:$CC$305,40,0)</f>
        <v>0</v>
      </c>
      <c r="AZ44" s="102">
        <f>VLOOKUP(L44,材料合同!$L$6:$CC$305,41,0)</f>
        <v>0</v>
      </c>
      <c r="BA44" s="102">
        <f>VLOOKUP(L44,材料合同!$L$6:$CC$305,42,0)</f>
        <v>0</v>
      </c>
      <c r="BB44" s="102">
        <f>VLOOKUP(L44,材料合同!$L$6:$CC$305,43,0)</f>
        <v>0</v>
      </c>
      <c r="BC44" s="102">
        <f>VLOOKUP(L44,材料合同!$L$6:$CC$305,44,0)</f>
        <v>0</v>
      </c>
      <c r="BD44" s="102">
        <f>VLOOKUP(L44,材料合同!$L$6:$CC$305,45,0)</f>
        <v>0</v>
      </c>
      <c r="BE44" s="102">
        <f>VLOOKUP(L44,材料合同!$L$6:$CC$305,46,0)</f>
        <v>0</v>
      </c>
      <c r="BF44" s="102">
        <f>VLOOKUP(L44,材料合同!$L$6:$CC$305,47,0)</f>
        <v>0</v>
      </c>
      <c r="BG44" s="102">
        <f>VLOOKUP(L44,材料合同!$L$6:$CC$305,48,0)</f>
        <v>0</v>
      </c>
      <c r="BH44" s="102">
        <f>VLOOKUP(L44,材料合同!$L$6:$CC$305,49,0)</f>
        <v>0</v>
      </c>
      <c r="BI44" s="102">
        <f>VLOOKUP(L44,材料合同!$L$6:$CC$305,50,0)</f>
        <v>0</v>
      </c>
      <c r="BJ44" s="102">
        <f>VLOOKUP(L44,材料合同!$L$6:$CC$305,51,0)</f>
        <v>0</v>
      </c>
      <c r="BK44" s="102">
        <f>VLOOKUP(L44,材料合同!$L$6:$CC$305,52,0)</f>
        <v>0</v>
      </c>
      <c r="BL44" s="102">
        <f>VLOOKUP(L44,材料合同!$L$6:$CC$305,53,0)</f>
        <v>0</v>
      </c>
      <c r="BM44" s="102">
        <f>VLOOKUP(L44,材料合同!$L$6:$CC$305,54,0)</f>
        <v>0</v>
      </c>
      <c r="BN44" s="102">
        <f>VLOOKUP(L44,材料合同!$L$6:$CC$305,55,0)</f>
        <v>0</v>
      </c>
      <c r="BO44" s="102">
        <f>VLOOKUP(L44,材料合同!$L$6:$CC$305,56,0)</f>
        <v>0</v>
      </c>
      <c r="BP44" s="102">
        <f>VLOOKUP(L44,材料合同!$L$6:$CC$305,57,0)</f>
        <v>0</v>
      </c>
      <c r="BQ44" s="102">
        <f>VLOOKUP(L44,材料合同!$L$6:$CC$305,58,0)</f>
        <v>0</v>
      </c>
      <c r="BR44" s="102">
        <f>VLOOKUP(L44,材料合同!$L$6:$CC$305,59,0)</f>
        <v>0</v>
      </c>
      <c r="BS44" s="102">
        <f>VLOOKUP(L44,材料合同!$L$6:$CC$305,60,0)</f>
        <v>0</v>
      </c>
      <c r="BT44" s="102">
        <f>VLOOKUP(L44,材料合同!$L$6:$CC$305,61,0)</f>
        <v>0</v>
      </c>
      <c r="BU44" s="102">
        <f>VLOOKUP(L44,材料合同!$L$6:$CC$305,62,0)</f>
        <v>0</v>
      </c>
      <c r="BV44" s="102">
        <f>VLOOKUP(L44,材料合同!$L$6:$CC$305,63,0)</f>
        <v>0</v>
      </c>
      <c r="BW44" s="102">
        <f>VLOOKUP(L44,材料合同!$L$6:$CC$305,64,0)</f>
        <v>0</v>
      </c>
      <c r="BX44" s="102">
        <f>VLOOKUP(L44,材料合同!$L$6:$CC$305,65,0)</f>
        <v>0</v>
      </c>
      <c r="BY44" s="102">
        <f>VLOOKUP(L44,材料合同!$L$6:$CC$305,66,0)</f>
        <v>0</v>
      </c>
      <c r="BZ44" s="102">
        <f>VLOOKUP(L44,材料合同!$L$6:$CC$305,67,0)</f>
        <v>0</v>
      </c>
      <c r="CA44" s="102">
        <f>VLOOKUP(L44,材料合同!$L$6:$CC$305,68,0)</f>
        <v>0</v>
      </c>
      <c r="CB44" s="102">
        <f>VLOOKUP(L44,材料合同!$L$6:$CC$305,69,0)</f>
        <v>0</v>
      </c>
      <c r="CC44" s="102">
        <f>VLOOKUP(L44,材料合同!$L$6:$CC$305,70,0)</f>
        <v>0</v>
      </c>
      <c r="CD44" s="123">
        <f t="shared" si="22"/>
        <v>71875</v>
      </c>
      <c r="CE44" s="102">
        <f t="shared" si="23"/>
        <v>71875</v>
      </c>
      <c r="CF44" s="102">
        <f t="shared" si="24"/>
        <v>71875</v>
      </c>
      <c r="CG44" s="102">
        <f t="shared" si="25"/>
        <v>0</v>
      </c>
      <c r="CH44" s="124">
        <f t="shared" si="26"/>
        <v>0</v>
      </c>
      <c r="CI44" s="125">
        <f t="shared" si="27"/>
        <v>1</v>
      </c>
      <c r="CJ44" s="126" t="str">
        <f t="shared" si="28"/>
        <v>数据正确</v>
      </c>
    </row>
    <row r="45" s="60" customFormat="1" customHeight="1" spans="2:88">
      <c r="B45" s="70" t="str">
        <f t="shared" si="18"/>
        <v>-</v>
      </c>
      <c r="C45" s="71" t="str">
        <f t="shared" si="19"/>
        <v>-</v>
      </c>
      <c r="D45" s="181">
        <f t="shared" si="20"/>
        <v>80240</v>
      </c>
      <c r="E45" s="181">
        <f>SUMIF(服务合同!$L$6:$L$300,L45,服务合同!$E$6:$E$300)</f>
        <v>0</v>
      </c>
      <c r="F45" s="181">
        <f>SUMIF(服务合同!$L$6:$L$300,L45,服务合同!$F$6:$F$300)</f>
        <v>0</v>
      </c>
      <c r="G45" s="181">
        <f>SUMIF(服务合同!$L$6:$L$300,L45,服务合同!$G$6:$G$300)</f>
        <v>0</v>
      </c>
      <c r="H45" s="181">
        <f>SUMIF(服务合同!$L$6:$L$300,L45,服务合同!$H$6:$H$300)</f>
        <v>0</v>
      </c>
      <c r="I45" s="181">
        <f t="shared" si="21"/>
        <v>0</v>
      </c>
      <c r="J45" s="86" t="s">
        <v>98</v>
      </c>
      <c r="K45" s="87"/>
      <c r="L45" s="88">
        <v>40</v>
      </c>
      <c r="M45" s="89" t="str">
        <f>VLOOKUP(L45,服务合同!$L$6:$CC$300,2,0)</f>
        <v>YRKJGC-170016</v>
      </c>
      <c r="N45" s="90" t="str">
        <f>VLOOKUP(L45,服务合同!$L$6:$CC$300,3,0)</f>
        <v>服务合同</v>
      </c>
      <c r="O45" s="265">
        <f>VLOOKUP(L45,服务合同!$L$6:$CC$300,4,0)</f>
        <v>0</v>
      </c>
      <c r="P45" s="266">
        <f>VLOOKUP(L45,服务合同!$L$6:$CC$300,5,0)</f>
        <v>42839</v>
      </c>
      <c r="Q45" s="275">
        <f>VLOOKUP(L45,服务合同!$L$6:$CC$300,6,0)</f>
        <v>918180</v>
      </c>
      <c r="R45" s="89" t="str">
        <f>VLOOKUP(L45,服务合同!$L$6:$CC$300,7,0)</f>
        <v>动力站EPC工程监理合同</v>
      </c>
      <c r="S45" s="89" t="str">
        <f>VLOOKUP(L45,服务合同!$L$6:$CC$300,8,0)</f>
        <v>福建省宏闽电力工程监理有限公司/福建经典工程咨询有限公司（联合体）</v>
      </c>
      <c r="T45" s="107">
        <f>VLOOKUP(L45,服务合同!$L$6:$CC$300,9,0)</f>
        <v>0</v>
      </c>
      <c r="U45" s="103" t="str">
        <f>VLOOKUP(L45,服务合同!$L$6:$CC$300,10,0)</f>
        <v>电汇</v>
      </c>
      <c r="V45" s="276" t="str">
        <f>VLOOKUP(L45,服务合同!$L$6:$CC$300,11,0)</f>
        <v>合同暂定17个月，金额暂定918180每月25日前提供监理费申请资料，下月25日前支付，收到乙方6%专票后再予以支付</v>
      </c>
      <c r="W45" s="102">
        <f>VLOOKUP(L45,服务合同!$L$6:$CC$300,12,0)</f>
        <v>918180</v>
      </c>
      <c r="X45" s="102">
        <f>VLOOKUP(L45,服务合同!$L$6:$CC$300,13,0)</f>
        <v>80240</v>
      </c>
      <c r="Y45" s="102">
        <f>VLOOKUP(L45,服务合同!$L$6:$CC$300,14,0)</f>
        <v>80240</v>
      </c>
      <c r="Z45" s="102">
        <f>VLOOKUP(L45,服务合同!$L$6:$CC$300,15,0)</f>
        <v>0</v>
      </c>
      <c r="AA45" s="102">
        <f>VLOOKUP(L45,服务合同!$L$6:$CC$300,16,0)</f>
        <v>0</v>
      </c>
      <c r="AB45" s="102">
        <f>VLOOKUP(L45,服务合同!$L$6:$CC$300,17,0)</f>
        <v>0</v>
      </c>
      <c r="AC45" s="102">
        <f>VLOOKUP(L45,服务合同!$L$6:$CC$300,18,0)</f>
        <v>0</v>
      </c>
      <c r="AD45" s="102">
        <f>VLOOKUP(L45,服务合同!$L$6:$CC$300,19,0)</f>
        <v>0</v>
      </c>
      <c r="AE45" s="102">
        <f>VLOOKUP(L45,服务合同!$L$6:$CC$300,20,0)</f>
        <v>0</v>
      </c>
      <c r="AF45" s="102">
        <f>VLOOKUP(L45,服务合同!$L$6:$CC$300,21,0)</f>
        <v>0</v>
      </c>
      <c r="AG45" s="102">
        <f>VLOOKUP(L45,服务合同!$L$6:$CC$300,22,0)</f>
        <v>0</v>
      </c>
      <c r="AH45" s="102">
        <f>VLOOKUP(L45,服务合同!$L$6:$CC$300,23,0)</f>
        <v>0</v>
      </c>
      <c r="AI45" s="102">
        <f>VLOOKUP(L45,服务合同!$L$6:$CC$300,24,0)</f>
        <v>0</v>
      </c>
      <c r="AJ45" s="102">
        <f>VLOOKUP(L45,服务合同!$L$6:$CC$300,25,0)</f>
        <v>0</v>
      </c>
      <c r="AK45" s="102">
        <f>VLOOKUP(L45,服务合同!$L$6:$CC$300,26,0)</f>
        <v>0</v>
      </c>
      <c r="AL45" s="102">
        <f>VLOOKUP(L45,服务合同!$L$6:$CC$300,27,0)</f>
        <v>0</v>
      </c>
      <c r="AM45" s="102">
        <f>VLOOKUP(L45,服务合同!$L$6:$CC$300,28,0)</f>
        <v>0</v>
      </c>
      <c r="AN45" s="102">
        <f>VLOOKUP(L45,服务合同!$L$6:$CC$300,29,0)</f>
        <v>0</v>
      </c>
      <c r="AO45" s="102">
        <f>VLOOKUP(L45,服务合同!$L$6:$CC$300,30,0)</f>
        <v>0</v>
      </c>
      <c r="AP45" s="102">
        <f>VLOOKUP(L45,服务合同!$L$6:$CC$300,31,0)</f>
        <v>0</v>
      </c>
      <c r="AQ45" s="102">
        <f>VLOOKUP(L45,服务合同!$L$6:$CC$300,32,0)</f>
        <v>0</v>
      </c>
      <c r="AR45" s="102">
        <f>VLOOKUP(L45,服务合同!$L$6:$CC$300,33,0)</f>
        <v>0</v>
      </c>
      <c r="AS45" s="102">
        <f>VLOOKUP(L45,服务合同!$L$6:$CC$300,34,0)</f>
        <v>0</v>
      </c>
      <c r="AT45" s="102">
        <f>VLOOKUP(L45,服务合同!$L$6:$CC$300,35,0)</f>
        <v>0</v>
      </c>
      <c r="AU45" s="102">
        <f>VLOOKUP(L45,服务合同!$L$6:$CC$300,36,0)</f>
        <v>0</v>
      </c>
      <c r="AV45" s="102">
        <f>VLOOKUP(L45,服务合同!$L$6:$CC$300,37,0)</f>
        <v>0</v>
      </c>
      <c r="AW45" s="102">
        <f>VLOOKUP(L45,服务合同!$L$6:$CC$300,38,0)</f>
        <v>0</v>
      </c>
      <c r="AX45" s="102">
        <f>VLOOKUP(L45,服务合同!$L$6:$CC$300,39,0)</f>
        <v>0</v>
      </c>
      <c r="AY45" s="102">
        <f>VLOOKUP(L45,服务合同!$L$6:$CC$300,40,0)</f>
        <v>0</v>
      </c>
      <c r="AZ45" s="102">
        <f>VLOOKUP(L45,服务合同!$L$6:$CC$300,41,0)</f>
        <v>0</v>
      </c>
      <c r="BA45" s="102">
        <f>VLOOKUP(L45,服务合同!$L$6:$CC$300,42,0)</f>
        <v>0</v>
      </c>
      <c r="BB45" s="102">
        <f>VLOOKUP(L45,服务合同!$L$6:$CC$300,43,0)</f>
        <v>0</v>
      </c>
      <c r="BC45" s="102">
        <f>VLOOKUP(L45,服务合同!$L$6:$CC$300,44,0)</f>
        <v>0</v>
      </c>
      <c r="BD45" s="102">
        <f>VLOOKUP(L45,服务合同!$L$6:$CC$300,45,0)</f>
        <v>0</v>
      </c>
      <c r="BE45" s="102">
        <f>VLOOKUP(L45,服务合同!$L$6:$CC$300,46,0)</f>
        <v>0</v>
      </c>
      <c r="BF45" s="102">
        <f>VLOOKUP(L45,服务合同!$L$6:$CC$300,47,0)</f>
        <v>0</v>
      </c>
      <c r="BG45" s="102">
        <f>VLOOKUP(L45,服务合同!$L$6:$CC$300,48,0)</f>
        <v>0</v>
      </c>
      <c r="BH45" s="102">
        <f>VLOOKUP(L45,服务合同!$L$6:$CC$300,49,0)</f>
        <v>0</v>
      </c>
      <c r="BI45" s="102">
        <f>VLOOKUP(L45,服务合同!$L$6:$CC$300,50,0)</f>
        <v>0</v>
      </c>
      <c r="BJ45" s="102">
        <f>VLOOKUP(L45,服务合同!$L$6:$CC$300,51,0)</f>
        <v>0</v>
      </c>
      <c r="BK45" s="102">
        <f>VLOOKUP(L45,服务合同!$L$6:$CC$300,52,0)</f>
        <v>0</v>
      </c>
      <c r="BL45" s="102">
        <f>VLOOKUP(L45,服务合同!$L$6:$CC$300,53,0)</f>
        <v>0</v>
      </c>
      <c r="BM45" s="102">
        <f>VLOOKUP(L45,服务合同!$L$6:$CC$300,54,0)</f>
        <v>0</v>
      </c>
      <c r="BN45" s="102">
        <f>VLOOKUP(L45,服务合同!$L$6:$CC$300,55,0)</f>
        <v>0</v>
      </c>
      <c r="BO45" s="102">
        <f>VLOOKUP(L45,服务合同!$L$6:$CC$300,56,0)</f>
        <v>0</v>
      </c>
      <c r="BP45" s="102">
        <f>VLOOKUP(L45,服务合同!$L$6:$CC$300,57,0)</f>
        <v>0</v>
      </c>
      <c r="BQ45" s="102">
        <f>VLOOKUP(L45,服务合同!$L$6:$CC$300,58,0)</f>
        <v>0</v>
      </c>
      <c r="BR45" s="102">
        <f>VLOOKUP(L45,服务合同!$L$6:$CC$300,59,0)</f>
        <v>0</v>
      </c>
      <c r="BS45" s="102">
        <f>VLOOKUP(L45,服务合同!$L$6:$CC$300,60,0)</f>
        <v>0</v>
      </c>
      <c r="BT45" s="102">
        <f>VLOOKUP(L45,服务合同!$L$6:$CC$300,61,0)</f>
        <v>0</v>
      </c>
      <c r="BU45" s="102">
        <f>VLOOKUP(L45,服务合同!$L$6:$CC$300,62,0)</f>
        <v>0</v>
      </c>
      <c r="BV45" s="102">
        <f>VLOOKUP(L45,服务合同!$L$6:$CC$300,63,0)</f>
        <v>0</v>
      </c>
      <c r="BW45" s="102">
        <f>VLOOKUP(L45,服务合同!$L$6:$CC$300,64,0)</f>
        <v>0</v>
      </c>
      <c r="BX45" s="102">
        <f>VLOOKUP(L45,服务合同!$L$6:$CC$300,65,0)</f>
        <v>0</v>
      </c>
      <c r="BY45" s="102">
        <f>VLOOKUP(L45,服务合同!$L$6:$CC$300,66,0)</f>
        <v>0</v>
      </c>
      <c r="BZ45" s="102">
        <f>VLOOKUP(L45,服务合同!$L$6:$CC$300,67,0)</f>
        <v>0</v>
      </c>
      <c r="CA45" s="102">
        <f>VLOOKUP(L45,服务合同!$L$6:$CC$300,68,0)</f>
        <v>0</v>
      </c>
      <c r="CB45" s="102">
        <f>VLOOKUP(L45,服务合同!$L$6:$CC$300,69,0)</f>
        <v>0</v>
      </c>
      <c r="CC45" s="102">
        <f>VLOOKUP(L45,服务合同!$L$6:$CC$300,70,0)</f>
        <v>0</v>
      </c>
      <c r="CD45" s="123">
        <f t="shared" si="22"/>
        <v>918180</v>
      </c>
      <c r="CE45" s="102">
        <f t="shared" si="23"/>
        <v>80240</v>
      </c>
      <c r="CF45" s="102">
        <f t="shared" si="24"/>
        <v>80240</v>
      </c>
      <c r="CG45" s="102">
        <f t="shared" si="25"/>
        <v>0</v>
      </c>
      <c r="CH45" s="124">
        <f t="shared" si="26"/>
        <v>837940</v>
      </c>
      <c r="CI45" s="125">
        <f t="shared" si="27"/>
        <v>0.0873902720599447</v>
      </c>
      <c r="CJ45" s="126" t="str">
        <f t="shared" si="28"/>
        <v>数据正确</v>
      </c>
    </row>
    <row r="46" s="60" customFormat="1" customHeight="1" spans="2:88">
      <c r="B46" s="70" t="str">
        <f t="shared" si="18"/>
        <v>-</v>
      </c>
      <c r="C46" s="71" t="str">
        <f t="shared" si="19"/>
        <v>已付清</v>
      </c>
      <c r="D46" s="181">
        <f t="shared" si="20"/>
        <v>98000</v>
      </c>
      <c r="E46" s="181">
        <f>SUMIF(服务合同!$L$6:$L$300,L46,服务合同!$E$6:$E$300)</f>
        <v>0</v>
      </c>
      <c r="F46" s="181">
        <f>SUMIF(服务合同!$L$6:$L$300,L46,服务合同!$F$6:$F$300)</f>
        <v>0</v>
      </c>
      <c r="G46" s="181">
        <f>SUMIF(服务合同!$L$6:$L$300,L46,服务合同!$G$6:$G$300)</f>
        <v>0</v>
      </c>
      <c r="H46" s="181">
        <f>SUMIF(服务合同!$L$6:$L$300,L46,服务合同!$H$6:$H$300)</f>
        <v>0</v>
      </c>
      <c r="I46" s="181">
        <f t="shared" si="21"/>
        <v>0</v>
      </c>
      <c r="J46" s="86" t="s">
        <v>98</v>
      </c>
      <c r="K46" s="87"/>
      <c r="L46" s="88">
        <v>41</v>
      </c>
      <c r="M46" s="89" t="str">
        <f>VLOOKUP(L46,服务合同!$L$6:$CC$300,2,0)</f>
        <v>YRKJGC-170018</v>
      </c>
      <c r="N46" s="90" t="str">
        <f>VLOOKUP(L46,服务合同!$L$6:$CC$300,3,0)</f>
        <v>服务合同</v>
      </c>
      <c r="O46" s="265">
        <f>VLOOKUP(L46,服务合同!$L$6:$CC$300,4,0)</f>
        <v>0</v>
      </c>
      <c r="P46" s="266">
        <f>VLOOKUP(L46,服务合同!$L$6:$CC$300,5,0)</f>
        <v>42865</v>
      </c>
      <c r="Q46" s="275">
        <f>VLOOKUP(L46,服务合同!$L$6:$CC$300,6,0)</f>
        <v>98000</v>
      </c>
      <c r="R46" s="89" t="str">
        <f>VLOOKUP(L46,服务合同!$L$6:$CC$300,7,0)</f>
        <v>HAZOP技术咨询分析</v>
      </c>
      <c r="S46" s="89" t="str">
        <f>VLOOKUP(L46,服务合同!$L$6:$CC$300,8,0)</f>
        <v>北京思创信息系统有限公司</v>
      </c>
      <c r="T46" s="107" t="str">
        <f>VLOOKUP(L46,服务合同!$L$6:$CC$300,9,0)</f>
        <v>非装置</v>
      </c>
      <c r="U46" s="103" t="str">
        <f>VLOOKUP(L46,服务合同!$L$6:$CC$300,10,0)</f>
        <v>电汇</v>
      </c>
      <c r="V46" s="276" t="str">
        <f>VLOOKUP(L46,服务合同!$L$6:$CC$300,11,0)</f>
        <v>本合同生效后5日内，乙方提交本合同100%总额发票后，甲方支付咨询费预付款28000</v>
      </c>
      <c r="W46" s="102">
        <f>VLOOKUP(L46,服务合同!$L$6:$CC$300,12,0)</f>
        <v>28000</v>
      </c>
      <c r="X46" s="102">
        <f>VLOOKUP(L46,服务合同!$L$6:$CC$300,13,0)</f>
        <v>28000</v>
      </c>
      <c r="Y46" s="102">
        <f>VLOOKUP(L46,服务合同!$L$6:$CC$300,14,0)</f>
        <v>28000</v>
      </c>
      <c r="Z46" s="102" t="str">
        <f>VLOOKUP(L46,服务合同!$L$6:$CC$300,15,0)</f>
        <v>乙方提交技术咨询电子版报告经过甲方验收后5日内，支付咨询费用余款70000，甲方支付完成后乙方提交盖章的纸质版报告。</v>
      </c>
      <c r="AA46" s="102">
        <f>VLOOKUP(L46,服务合同!$L$6:$CC$300,16,0)</f>
        <v>70000</v>
      </c>
      <c r="AB46" s="102">
        <f>VLOOKUP(L46,服务合同!$L$6:$CC$300,17,0)</f>
        <v>70000</v>
      </c>
      <c r="AC46" s="102">
        <f>VLOOKUP(L46,服务合同!$L$6:$CC$300,18,0)</f>
        <v>70000</v>
      </c>
      <c r="AD46" s="102">
        <f>VLOOKUP(L46,服务合同!$L$6:$CC$300,19,0)</f>
        <v>0</v>
      </c>
      <c r="AE46" s="102">
        <f>VLOOKUP(L46,服务合同!$L$6:$CC$300,20,0)</f>
        <v>0</v>
      </c>
      <c r="AF46" s="102">
        <f>VLOOKUP(L46,服务合同!$L$6:$CC$300,21,0)</f>
        <v>0</v>
      </c>
      <c r="AG46" s="102">
        <f>VLOOKUP(L46,服务合同!$L$6:$CC$300,22,0)</f>
        <v>0</v>
      </c>
      <c r="AH46" s="102">
        <f>VLOOKUP(L46,服务合同!$L$6:$CC$300,23,0)</f>
        <v>0</v>
      </c>
      <c r="AI46" s="102">
        <f>VLOOKUP(L46,服务合同!$L$6:$CC$300,24,0)</f>
        <v>0</v>
      </c>
      <c r="AJ46" s="102">
        <f>VLOOKUP(L46,服务合同!$L$6:$CC$300,25,0)</f>
        <v>0</v>
      </c>
      <c r="AK46" s="102">
        <f>VLOOKUP(L46,服务合同!$L$6:$CC$300,26,0)</f>
        <v>0</v>
      </c>
      <c r="AL46" s="102">
        <f>VLOOKUP(L46,服务合同!$L$6:$CC$300,27,0)</f>
        <v>0</v>
      </c>
      <c r="AM46" s="102">
        <f>VLOOKUP(L46,服务合同!$L$6:$CC$300,28,0)</f>
        <v>0</v>
      </c>
      <c r="AN46" s="102">
        <f>VLOOKUP(L46,服务合同!$L$6:$CC$300,29,0)</f>
        <v>0</v>
      </c>
      <c r="AO46" s="102">
        <f>VLOOKUP(L46,服务合同!$L$6:$CC$300,30,0)</f>
        <v>0</v>
      </c>
      <c r="AP46" s="102">
        <f>VLOOKUP(L46,服务合同!$L$6:$CC$300,31,0)</f>
        <v>0</v>
      </c>
      <c r="AQ46" s="102">
        <f>VLOOKUP(L46,服务合同!$L$6:$CC$300,32,0)</f>
        <v>0</v>
      </c>
      <c r="AR46" s="102">
        <f>VLOOKUP(L46,服务合同!$L$6:$CC$300,33,0)</f>
        <v>0</v>
      </c>
      <c r="AS46" s="102">
        <f>VLOOKUP(L46,服务合同!$L$6:$CC$300,34,0)</f>
        <v>0</v>
      </c>
      <c r="AT46" s="102">
        <f>VLOOKUP(L46,服务合同!$L$6:$CC$300,35,0)</f>
        <v>0</v>
      </c>
      <c r="AU46" s="102">
        <f>VLOOKUP(L46,服务合同!$L$6:$CC$300,36,0)</f>
        <v>0</v>
      </c>
      <c r="AV46" s="102">
        <f>VLOOKUP(L46,服务合同!$L$6:$CC$300,37,0)</f>
        <v>0</v>
      </c>
      <c r="AW46" s="102">
        <f>VLOOKUP(L46,服务合同!$L$6:$CC$300,38,0)</f>
        <v>0</v>
      </c>
      <c r="AX46" s="102">
        <f>VLOOKUP(L46,服务合同!$L$6:$CC$300,39,0)</f>
        <v>0</v>
      </c>
      <c r="AY46" s="102">
        <f>VLOOKUP(L46,服务合同!$L$6:$CC$300,40,0)</f>
        <v>0</v>
      </c>
      <c r="AZ46" s="102">
        <f>VLOOKUP(L46,服务合同!$L$6:$CC$300,41,0)</f>
        <v>0</v>
      </c>
      <c r="BA46" s="102">
        <f>VLOOKUP(L46,服务合同!$L$6:$CC$300,42,0)</f>
        <v>0</v>
      </c>
      <c r="BB46" s="102">
        <f>VLOOKUP(L46,服务合同!$L$6:$CC$300,43,0)</f>
        <v>0</v>
      </c>
      <c r="BC46" s="102">
        <f>VLOOKUP(L46,服务合同!$L$6:$CC$300,44,0)</f>
        <v>0</v>
      </c>
      <c r="BD46" s="102">
        <f>VLOOKUP(L46,服务合同!$L$6:$CC$300,45,0)</f>
        <v>0</v>
      </c>
      <c r="BE46" s="102">
        <f>VLOOKUP(L46,服务合同!$L$6:$CC$300,46,0)</f>
        <v>0</v>
      </c>
      <c r="BF46" s="102">
        <f>VLOOKUP(L46,服务合同!$L$6:$CC$300,47,0)</f>
        <v>0</v>
      </c>
      <c r="BG46" s="102">
        <f>VLOOKUP(L46,服务合同!$L$6:$CC$300,48,0)</f>
        <v>0</v>
      </c>
      <c r="BH46" s="102">
        <f>VLOOKUP(L46,服务合同!$L$6:$CC$300,49,0)</f>
        <v>0</v>
      </c>
      <c r="BI46" s="102">
        <f>VLOOKUP(L46,服务合同!$L$6:$CC$300,50,0)</f>
        <v>0</v>
      </c>
      <c r="BJ46" s="102">
        <f>VLOOKUP(L46,服务合同!$L$6:$CC$300,51,0)</f>
        <v>0</v>
      </c>
      <c r="BK46" s="102">
        <f>VLOOKUP(L46,服务合同!$L$6:$CC$300,52,0)</f>
        <v>0</v>
      </c>
      <c r="BL46" s="102">
        <f>VLOOKUP(L46,服务合同!$L$6:$CC$300,53,0)</f>
        <v>0</v>
      </c>
      <c r="BM46" s="102">
        <f>VLOOKUP(L46,服务合同!$L$6:$CC$300,54,0)</f>
        <v>0</v>
      </c>
      <c r="BN46" s="102">
        <f>VLOOKUP(L46,服务合同!$L$6:$CC$300,55,0)</f>
        <v>0</v>
      </c>
      <c r="BO46" s="102">
        <f>VLOOKUP(L46,服务合同!$L$6:$CC$300,56,0)</f>
        <v>0</v>
      </c>
      <c r="BP46" s="102">
        <f>VLOOKUP(L46,服务合同!$L$6:$CC$300,57,0)</f>
        <v>0</v>
      </c>
      <c r="BQ46" s="102">
        <f>VLOOKUP(L46,服务合同!$L$6:$CC$300,58,0)</f>
        <v>0</v>
      </c>
      <c r="BR46" s="102">
        <f>VLOOKUP(L46,服务合同!$L$6:$CC$300,59,0)</f>
        <v>0</v>
      </c>
      <c r="BS46" s="102">
        <f>VLOOKUP(L46,服务合同!$L$6:$CC$300,60,0)</f>
        <v>0</v>
      </c>
      <c r="BT46" s="102">
        <f>VLOOKUP(L46,服务合同!$L$6:$CC$300,61,0)</f>
        <v>0</v>
      </c>
      <c r="BU46" s="102">
        <f>VLOOKUP(L46,服务合同!$L$6:$CC$300,62,0)</f>
        <v>0</v>
      </c>
      <c r="BV46" s="102">
        <f>VLOOKUP(L46,服务合同!$L$6:$CC$300,63,0)</f>
        <v>0</v>
      </c>
      <c r="BW46" s="102">
        <f>VLOOKUP(L46,服务合同!$L$6:$CC$300,64,0)</f>
        <v>0</v>
      </c>
      <c r="BX46" s="102">
        <f>VLOOKUP(L46,服务合同!$L$6:$CC$300,65,0)</f>
        <v>0</v>
      </c>
      <c r="BY46" s="102">
        <f>VLOOKUP(L46,服务合同!$L$6:$CC$300,66,0)</f>
        <v>0</v>
      </c>
      <c r="BZ46" s="102">
        <f>VLOOKUP(L46,服务合同!$L$6:$CC$300,67,0)</f>
        <v>0</v>
      </c>
      <c r="CA46" s="102">
        <f>VLOOKUP(L46,服务合同!$L$6:$CC$300,68,0)</f>
        <v>0</v>
      </c>
      <c r="CB46" s="102">
        <f>VLOOKUP(L46,服务合同!$L$6:$CC$300,69,0)</f>
        <v>0</v>
      </c>
      <c r="CC46" s="102">
        <f>VLOOKUP(L46,服务合同!$L$6:$CC$300,70,0)</f>
        <v>0</v>
      </c>
      <c r="CD46" s="123">
        <f t="shared" si="22"/>
        <v>98000</v>
      </c>
      <c r="CE46" s="102">
        <f t="shared" si="23"/>
        <v>98000</v>
      </c>
      <c r="CF46" s="102">
        <f t="shared" si="24"/>
        <v>98000</v>
      </c>
      <c r="CG46" s="102">
        <f t="shared" si="25"/>
        <v>0</v>
      </c>
      <c r="CH46" s="124">
        <f t="shared" si="26"/>
        <v>0</v>
      </c>
      <c r="CI46" s="125">
        <f t="shared" si="27"/>
        <v>1</v>
      </c>
      <c r="CJ46" s="126" t="str">
        <f t="shared" si="28"/>
        <v>数据正确</v>
      </c>
    </row>
    <row r="47" s="60" customFormat="1" customHeight="1" spans="2:88">
      <c r="B47" s="70" t="str">
        <f t="shared" si="18"/>
        <v>-</v>
      </c>
      <c r="C47" s="71" t="str">
        <f t="shared" si="19"/>
        <v>已付清</v>
      </c>
      <c r="D47" s="181">
        <f t="shared" si="20"/>
        <v>72390.5</v>
      </c>
      <c r="E47" s="181">
        <f>SUMIF(材料合同!$L$6:$L$305,L47,材料合同!$E$6:$E$305)</f>
        <v>0</v>
      </c>
      <c r="F47" s="181">
        <f>SUMIF(材料合同!$L$6:$L$305,L47,材料合同!$F$6:$F$305)</f>
        <v>0</v>
      </c>
      <c r="G47" s="181">
        <f>SUMIF(材料合同!$L$6:$L$305,L47,材料合同!$G$6:$G$305)</f>
        <v>1609.5</v>
      </c>
      <c r="H47" s="181">
        <f>SUMIF(材料合同!$L$6:$L$305,L47,材料合同!$H$6:$H$305)</f>
        <v>0</v>
      </c>
      <c r="I47" s="181">
        <f t="shared" si="21"/>
        <v>0</v>
      </c>
      <c r="J47" s="86" t="s">
        <v>98</v>
      </c>
      <c r="K47" s="87"/>
      <c r="L47" s="88">
        <v>42</v>
      </c>
      <c r="M47" s="89" t="str">
        <f>VLOOKUP(L47,材料合同!$L$6:$CC$305,2,0)</f>
        <v>YRKJGC-170019</v>
      </c>
      <c r="N47" s="90" t="str">
        <f>VLOOKUP(L47,材料合同!$L$6:$CC$305,3,0)</f>
        <v>材料合同</v>
      </c>
      <c r="O47" s="265">
        <f>VLOOKUP(L47,材料合同!$L$6:$CC$305,4,0)</f>
        <v>2017040038</v>
      </c>
      <c r="P47" s="266">
        <f>VLOOKUP(L47,材料合同!$L$6:$CC$305,5,0)</f>
        <v>42865</v>
      </c>
      <c r="Q47" s="275">
        <f>VLOOKUP(L47,材料合同!$L$6:$CC$305,6,0)</f>
        <v>74000</v>
      </c>
      <c r="R47" s="89" t="str">
        <f>VLOOKUP(L47,材料合同!$L$6:$CC$305,7,0)</f>
        <v>电气工具、仪器等买卖合同</v>
      </c>
      <c r="S47" s="89" t="str">
        <f>VLOOKUP(L47,材料合同!$L$6:$CC$305,8,0)</f>
        <v>福州威德信机电有限公司</v>
      </c>
      <c r="T47" s="107" t="str">
        <f>VLOOKUP(L47,材料合同!$L$6:$CC$305,9,0)</f>
        <v>工器具及生产用具购置费7.4万元</v>
      </c>
      <c r="U47" s="103" t="str">
        <f>VLOOKUP(L47,材料合同!$L$6:$CC$305,10,0)</f>
        <v>电汇/承汇/信用证</v>
      </c>
      <c r="V47" s="276" t="str">
        <f>VLOOKUP(L47,材料合同!$L$6:$CC$305,11,0)</f>
        <v>甲方验收合格后，收到100%的增值税发票后支付合同100%的价款</v>
      </c>
      <c r="W47" s="102">
        <f>VLOOKUP(L47,材料合同!$L$6:$CC$305,12,0)</f>
        <v>74000</v>
      </c>
      <c r="X47" s="102">
        <f>VLOOKUP(L47,材料合同!$L$6:$CC$305,13,0)</f>
        <v>74000</v>
      </c>
      <c r="Y47" s="102">
        <f>VLOOKUP(L47,材料合同!$L$6:$CC$305,14,0)</f>
        <v>72390.5</v>
      </c>
      <c r="Z47" s="102">
        <f>VLOOKUP(L47,材料合同!$L$6:$CC$305,15,0)</f>
        <v>0</v>
      </c>
      <c r="AA47" s="102">
        <f>VLOOKUP(L47,材料合同!$L$6:$CC$305,16,0)</f>
        <v>0</v>
      </c>
      <c r="AB47" s="102">
        <f>VLOOKUP(L47,材料合同!$L$6:$CC$305,17,0)</f>
        <v>0</v>
      </c>
      <c r="AC47" s="102">
        <f>VLOOKUP(L47,材料合同!$L$6:$CC$305,18,0)</f>
        <v>0</v>
      </c>
      <c r="AD47" s="102">
        <f>VLOOKUP(L47,材料合同!$L$6:$CC$305,19,0)</f>
        <v>0</v>
      </c>
      <c r="AE47" s="102">
        <f>VLOOKUP(L47,材料合同!$L$6:$CC$305,20,0)</f>
        <v>0</v>
      </c>
      <c r="AF47" s="102">
        <f>VLOOKUP(L47,材料合同!$L$6:$CC$305,21,0)</f>
        <v>0</v>
      </c>
      <c r="AG47" s="102">
        <f>VLOOKUP(L47,材料合同!$L$6:$CC$305,22,0)</f>
        <v>0</v>
      </c>
      <c r="AH47" s="102">
        <f>VLOOKUP(L47,材料合同!$L$6:$CC$305,23,0)</f>
        <v>0</v>
      </c>
      <c r="AI47" s="102">
        <f>VLOOKUP(L47,材料合同!$L$6:$CC$305,24,0)</f>
        <v>0</v>
      </c>
      <c r="AJ47" s="102">
        <f>VLOOKUP(L47,材料合同!$L$6:$CC$305,25,0)</f>
        <v>0</v>
      </c>
      <c r="AK47" s="102">
        <f>VLOOKUP(L47,材料合同!$L$6:$CC$305,26,0)</f>
        <v>0</v>
      </c>
      <c r="AL47" s="102">
        <f>VLOOKUP(L47,材料合同!$L$6:$CC$305,27,0)</f>
        <v>0</v>
      </c>
      <c r="AM47" s="102">
        <f>VLOOKUP(L47,材料合同!$L$6:$CC$305,28,0)</f>
        <v>0</v>
      </c>
      <c r="AN47" s="102">
        <f>VLOOKUP(L47,材料合同!$L$6:$CC$305,29,0)</f>
        <v>0</v>
      </c>
      <c r="AO47" s="102">
        <f>VLOOKUP(L47,材料合同!$L$6:$CC$305,30,0)</f>
        <v>0</v>
      </c>
      <c r="AP47" s="102">
        <f>VLOOKUP(L47,材料合同!$L$6:$CC$305,31,0)</f>
        <v>0</v>
      </c>
      <c r="AQ47" s="102">
        <f>VLOOKUP(L47,材料合同!$L$6:$CC$305,32,0)</f>
        <v>0</v>
      </c>
      <c r="AR47" s="102">
        <f>VLOOKUP(L47,材料合同!$L$6:$CC$305,33,0)</f>
        <v>0</v>
      </c>
      <c r="AS47" s="102">
        <f>VLOOKUP(L47,材料合同!$L$6:$CC$305,34,0)</f>
        <v>0</v>
      </c>
      <c r="AT47" s="102">
        <f>VLOOKUP(L47,材料合同!$L$6:$CC$305,35,0)</f>
        <v>0</v>
      </c>
      <c r="AU47" s="102">
        <f>VLOOKUP(L47,材料合同!$L$6:$CC$305,36,0)</f>
        <v>0</v>
      </c>
      <c r="AV47" s="102">
        <f>VLOOKUP(L47,材料合同!$L$6:$CC$305,37,0)</f>
        <v>0</v>
      </c>
      <c r="AW47" s="102">
        <f>VLOOKUP(L47,材料合同!$L$6:$CC$305,38,0)</f>
        <v>0</v>
      </c>
      <c r="AX47" s="102">
        <f>VLOOKUP(L47,材料合同!$L$6:$CC$305,39,0)</f>
        <v>0</v>
      </c>
      <c r="AY47" s="102">
        <f>VLOOKUP(L47,材料合同!$L$6:$CC$305,40,0)</f>
        <v>0</v>
      </c>
      <c r="AZ47" s="102">
        <f>VLOOKUP(L47,材料合同!$L$6:$CC$305,41,0)</f>
        <v>0</v>
      </c>
      <c r="BA47" s="102">
        <f>VLOOKUP(L47,材料合同!$L$6:$CC$305,42,0)</f>
        <v>0</v>
      </c>
      <c r="BB47" s="102">
        <f>VLOOKUP(L47,材料合同!$L$6:$CC$305,43,0)</f>
        <v>0</v>
      </c>
      <c r="BC47" s="102">
        <f>VLOOKUP(L47,材料合同!$L$6:$CC$305,44,0)</f>
        <v>0</v>
      </c>
      <c r="BD47" s="102">
        <f>VLOOKUP(L47,材料合同!$L$6:$CC$305,45,0)</f>
        <v>0</v>
      </c>
      <c r="BE47" s="102">
        <f>VLOOKUP(L47,材料合同!$L$6:$CC$305,46,0)</f>
        <v>0</v>
      </c>
      <c r="BF47" s="102">
        <f>VLOOKUP(L47,材料合同!$L$6:$CC$305,47,0)</f>
        <v>0</v>
      </c>
      <c r="BG47" s="102">
        <f>VLOOKUP(L47,材料合同!$L$6:$CC$305,48,0)</f>
        <v>0</v>
      </c>
      <c r="BH47" s="102">
        <f>VLOOKUP(L47,材料合同!$L$6:$CC$305,49,0)</f>
        <v>0</v>
      </c>
      <c r="BI47" s="102">
        <f>VLOOKUP(L47,材料合同!$L$6:$CC$305,50,0)</f>
        <v>0</v>
      </c>
      <c r="BJ47" s="102">
        <f>VLOOKUP(L47,材料合同!$L$6:$CC$305,51,0)</f>
        <v>0</v>
      </c>
      <c r="BK47" s="102">
        <f>VLOOKUP(L47,材料合同!$L$6:$CC$305,52,0)</f>
        <v>0</v>
      </c>
      <c r="BL47" s="102">
        <f>VLOOKUP(L47,材料合同!$L$6:$CC$305,53,0)</f>
        <v>0</v>
      </c>
      <c r="BM47" s="102">
        <f>VLOOKUP(L47,材料合同!$L$6:$CC$305,54,0)</f>
        <v>0</v>
      </c>
      <c r="BN47" s="102">
        <f>VLOOKUP(L47,材料合同!$L$6:$CC$305,55,0)</f>
        <v>0</v>
      </c>
      <c r="BO47" s="102">
        <f>VLOOKUP(L47,材料合同!$L$6:$CC$305,56,0)</f>
        <v>0</v>
      </c>
      <c r="BP47" s="102">
        <f>VLOOKUP(L47,材料合同!$L$6:$CC$305,57,0)</f>
        <v>0</v>
      </c>
      <c r="BQ47" s="102">
        <f>VLOOKUP(L47,材料合同!$L$6:$CC$305,58,0)</f>
        <v>0</v>
      </c>
      <c r="BR47" s="102">
        <f>VLOOKUP(L47,材料合同!$L$6:$CC$305,59,0)</f>
        <v>0</v>
      </c>
      <c r="BS47" s="102">
        <f>VLOOKUP(L47,材料合同!$L$6:$CC$305,60,0)</f>
        <v>0</v>
      </c>
      <c r="BT47" s="102">
        <f>VLOOKUP(L47,材料合同!$L$6:$CC$305,61,0)</f>
        <v>0</v>
      </c>
      <c r="BU47" s="102">
        <f>VLOOKUP(L47,材料合同!$L$6:$CC$305,62,0)</f>
        <v>0</v>
      </c>
      <c r="BV47" s="102">
        <f>VLOOKUP(L47,材料合同!$L$6:$CC$305,63,0)</f>
        <v>0</v>
      </c>
      <c r="BW47" s="102">
        <f>VLOOKUP(L47,材料合同!$L$6:$CC$305,64,0)</f>
        <v>0</v>
      </c>
      <c r="BX47" s="102">
        <f>VLOOKUP(L47,材料合同!$L$6:$CC$305,65,0)</f>
        <v>0</v>
      </c>
      <c r="BY47" s="102">
        <f>VLOOKUP(L47,材料合同!$L$6:$CC$305,66,0)</f>
        <v>0</v>
      </c>
      <c r="BZ47" s="102">
        <f>VLOOKUP(L47,材料合同!$L$6:$CC$305,67,0)</f>
        <v>0</v>
      </c>
      <c r="CA47" s="102">
        <f>VLOOKUP(L47,材料合同!$L$6:$CC$305,68,0)</f>
        <v>0</v>
      </c>
      <c r="CB47" s="102">
        <f>VLOOKUP(L47,材料合同!$L$6:$CC$305,69,0)</f>
        <v>0</v>
      </c>
      <c r="CC47" s="102">
        <f>VLOOKUP(L47,材料合同!$L$6:$CC$305,70,0)</f>
        <v>0</v>
      </c>
      <c r="CD47" s="123">
        <f t="shared" si="22"/>
        <v>74000</v>
      </c>
      <c r="CE47" s="102">
        <f t="shared" si="23"/>
        <v>74000</v>
      </c>
      <c r="CF47" s="102">
        <f t="shared" si="24"/>
        <v>72390.5</v>
      </c>
      <c r="CG47" s="102">
        <f t="shared" si="25"/>
        <v>1609.5</v>
      </c>
      <c r="CH47" s="124">
        <f t="shared" si="26"/>
        <v>0</v>
      </c>
      <c r="CI47" s="125">
        <f t="shared" si="27"/>
        <v>1</v>
      </c>
      <c r="CJ47" s="126" t="str">
        <f t="shared" si="28"/>
        <v>数据正确</v>
      </c>
    </row>
    <row r="48" s="60" customFormat="1" customHeight="1" spans="2:88">
      <c r="B48" s="70" t="str">
        <f t="shared" si="18"/>
        <v>-</v>
      </c>
      <c r="C48" s="71" t="str">
        <f t="shared" si="19"/>
        <v>-</v>
      </c>
      <c r="D48" s="181">
        <f t="shared" si="20"/>
        <v>501135</v>
      </c>
      <c r="E48" s="181">
        <f>SUMIF(服务合同!$L$6:$L$300,L48,服务合同!$E$6:$E$300)</f>
        <v>0</v>
      </c>
      <c r="F48" s="181">
        <f>SUMIF(服务合同!$L$6:$L$300,L48,服务合同!$F$6:$F$300)</f>
        <v>0</v>
      </c>
      <c r="G48" s="181">
        <f>SUMIF(服务合同!$L$6:$L$300,L48,服务合同!$G$6:$G$300)</f>
        <v>0</v>
      </c>
      <c r="H48" s="181">
        <f>SUMIF(服务合同!$L$6:$L$300,L48,服务合同!$H$6:$H$300)</f>
        <v>0</v>
      </c>
      <c r="I48" s="181">
        <f t="shared" si="21"/>
        <v>0</v>
      </c>
      <c r="J48" s="86" t="s">
        <v>98</v>
      </c>
      <c r="K48" s="87"/>
      <c r="L48" s="88">
        <v>43</v>
      </c>
      <c r="M48" s="89" t="str">
        <f>VLOOKUP(L48,服务合同!$L$6:$CC$300,2,0)</f>
        <v>YRKJGC-170022</v>
      </c>
      <c r="N48" s="90" t="str">
        <f>VLOOKUP(L48,服务合同!$L$6:$CC$300,3,0)</f>
        <v>服务合同</v>
      </c>
      <c r="O48" s="265">
        <f>VLOOKUP(L48,服务合同!$L$6:$CC$300,4,0)</f>
        <v>2017030072</v>
      </c>
      <c r="P48" s="266">
        <f>VLOOKUP(L48,服务合同!$L$6:$CC$300,5,0)</f>
        <v>42878</v>
      </c>
      <c r="Q48" s="275">
        <f>VLOOKUP(L48,服务合同!$L$6:$CC$300,6,0)</f>
        <v>4095000</v>
      </c>
      <c r="R48" s="89" t="str">
        <f>VLOOKUP(L48,服务合同!$L$6:$CC$300,7,0)</f>
        <v>项目、工程施工管理监理第I标段</v>
      </c>
      <c r="S48" s="89" t="str">
        <f>VLOOKUP(L48,服务合同!$L$6:$CC$300,8,0)</f>
        <v>上海协同工程咨询有限公司</v>
      </c>
      <c r="T48" s="107" t="str">
        <f>VLOOKUP(L48,服务合同!$L$6:$CC$300,9,0)</f>
        <v>工程建设监理费409.5万元</v>
      </c>
      <c r="U48" s="103" t="str">
        <f>VLOOKUP(L48,服务合同!$L$6:$CC$300,10,0)</f>
        <v>电汇</v>
      </c>
      <c r="V48" s="276" t="str">
        <f>VLOOKUP(L48,服务合同!$L$6:$CC$300,11,0)</f>
        <v>按月支付，收到6%专票后，每月支付该月的80%，工程完工并通过质量监督站验收，且监理资料移交业主后，支付剩余的20%服务费</v>
      </c>
      <c r="W48" s="102">
        <f>VLOOKUP(L48,服务合同!$L$6:$CC$300,12,0)</f>
        <v>4095000</v>
      </c>
      <c r="X48" s="102">
        <f>VLOOKUP(L48,服务合同!$L$6:$CC$300,13,0)</f>
        <v>501135</v>
      </c>
      <c r="Y48" s="102">
        <f>VLOOKUP(L48,服务合同!$L$6:$CC$300,14,0)</f>
        <v>501135</v>
      </c>
      <c r="Z48" s="102">
        <f>VLOOKUP(L48,服务合同!$L$6:$CC$300,15,0)</f>
        <v>0</v>
      </c>
      <c r="AA48" s="102">
        <f>VLOOKUP(L48,服务合同!$L$6:$CC$300,16,0)</f>
        <v>0</v>
      </c>
      <c r="AB48" s="102">
        <f>VLOOKUP(L48,服务合同!$L$6:$CC$300,17,0)</f>
        <v>0</v>
      </c>
      <c r="AC48" s="102">
        <f>VLOOKUP(L48,服务合同!$L$6:$CC$300,18,0)</f>
        <v>0</v>
      </c>
      <c r="AD48" s="102">
        <f>VLOOKUP(L48,服务合同!$L$6:$CC$300,19,0)</f>
        <v>0</v>
      </c>
      <c r="AE48" s="102">
        <f>VLOOKUP(L48,服务合同!$L$6:$CC$300,20,0)</f>
        <v>0</v>
      </c>
      <c r="AF48" s="102">
        <f>VLOOKUP(L48,服务合同!$L$6:$CC$300,21,0)</f>
        <v>0</v>
      </c>
      <c r="AG48" s="102">
        <f>VLOOKUP(L48,服务合同!$L$6:$CC$300,22,0)</f>
        <v>0</v>
      </c>
      <c r="AH48" s="102">
        <f>VLOOKUP(L48,服务合同!$L$6:$CC$300,23,0)</f>
        <v>0</v>
      </c>
      <c r="AI48" s="102">
        <f>VLOOKUP(L48,服务合同!$L$6:$CC$300,24,0)</f>
        <v>0</v>
      </c>
      <c r="AJ48" s="102">
        <f>VLOOKUP(L48,服务合同!$L$6:$CC$300,25,0)</f>
        <v>0</v>
      </c>
      <c r="AK48" s="102">
        <f>VLOOKUP(L48,服务合同!$L$6:$CC$300,26,0)</f>
        <v>0</v>
      </c>
      <c r="AL48" s="102">
        <f>VLOOKUP(L48,服务合同!$L$6:$CC$300,27,0)</f>
        <v>0</v>
      </c>
      <c r="AM48" s="102">
        <f>VLOOKUP(L48,服务合同!$L$6:$CC$300,28,0)</f>
        <v>0</v>
      </c>
      <c r="AN48" s="102">
        <f>VLOOKUP(L48,服务合同!$L$6:$CC$300,29,0)</f>
        <v>0</v>
      </c>
      <c r="AO48" s="102">
        <f>VLOOKUP(L48,服务合同!$L$6:$CC$300,30,0)</f>
        <v>0</v>
      </c>
      <c r="AP48" s="102">
        <f>VLOOKUP(L48,服务合同!$L$6:$CC$300,31,0)</f>
        <v>0</v>
      </c>
      <c r="AQ48" s="102">
        <f>VLOOKUP(L48,服务合同!$L$6:$CC$300,32,0)</f>
        <v>0</v>
      </c>
      <c r="AR48" s="102">
        <f>VLOOKUP(L48,服务合同!$L$6:$CC$300,33,0)</f>
        <v>0</v>
      </c>
      <c r="AS48" s="102">
        <f>VLOOKUP(L48,服务合同!$L$6:$CC$300,34,0)</f>
        <v>0</v>
      </c>
      <c r="AT48" s="102">
        <f>VLOOKUP(L48,服务合同!$L$6:$CC$300,35,0)</f>
        <v>0</v>
      </c>
      <c r="AU48" s="102">
        <f>VLOOKUP(L48,服务合同!$L$6:$CC$300,36,0)</f>
        <v>0</v>
      </c>
      <c r="AV48" s="102">
        <f>VLOOKUP(L48,服务合同!$L$6:$CC$300,37,0)</f>
        <v>0</v>
      </c>
      <c r="AW48" s="102">
        <f>VLOOKUP(L48,服务合同!$L$6:$CC$300,38,0)</f>
        <v>0</v>
      </c>
      <c r="AX48" s="102">
        <f>VLOOKUP(L48,服务合同!$L$6:$CC$300,39,0)</f>
        <v>0</v>
      </c>
      <c r="AY48" s="102">
        <f>VLOOKUP(L48,服务合同!$L$6:$CC$300,40,0)</f>
        <v>0</v>
      </c>
      <c r="AZ48" s="102">
        <f>VLOOKUP(L48,服务合同!$L$6:$CC$300,41,0)</f>
        <v>0</v>
      </c>
      <c r="BA48" s="102">
        <f>VLOOKUP(L48,服务合同!$L$6:$CC$300,42,0)</f>
        <v>0</v>
      </c>
      <c r="BB48" s="102">
        <f>VLOOKUP(L48,服务合同!$L$6:$CC$300,43,0)</f>
        <v>0</v>
      </c>
      <c r="BC48" s="102">
        <f>VLOOKUP(L48,服务合同!$L$6:$CC$300,44,0)</f>
        <v>0</v>
      </c>
      <c r="BD48" s="102">
        <f>VLOOKUP(L48,服务合同!$L$6:$CC$300,45,0)</f>
        <v>0</v>
      </c>
      <c r="BE48" s="102">
        <f>VLOOKUP(L48,服务合同!$L$6:$CC$300,46,0)</f>
        <v>0</v>
      </c>
      <c r="BF48" s="102">
        <f>VLOOKUP(L48,服务合同!$L$6:$CC$300,47,0)</f>
        <v>0</v>
      </c>
      <c r="BG48" s="102">
        <f>VLOOKUP(L48,服务合同!$L$6:$CC$300,48,0)</f>
        <v>0</v>
      </c>
      <c r="BH48" s="102">
        <f>VLOOKUP(L48,服务合同!$L$6:$CC$300,49,0)</f>
        <v>0</v>
      </c>
      <c r="BI48" s="102">
        <f>VLOOKUP(L48,服务合同!$L$6:$CC$300,50,0)</f>
        <v>0</v>
      </c>
      <c r="BJ48" s="102">
        <f>VLOOKUP(L48,服务合同!$L$6:$CC$300,51,0)</f>
        <v>0</v>
      </c>
      <c r="BK48" s="102">
        <f>VLOOKUP(L48,服务合同!$L$6:$CC$300,52,0)</f>
        <v>0</v>
      </c>
      <c r="BL48" s="102">
        <f>VLOOKUP(L48,服务合同!$L$6:$CC$300,53,0)</f>
        <v>0</v>
      </c>
      <c r="BM48" s="102">
        <f>VLOOKUP(L48,服务合同!$L$6:$CC$300,54,0)</f>
        <v>0</v>
      </c>
      <c r="BN48" s="102">
        <f>VLOOKUP(L48,服务合同!$L$6:$CC$300,55,0)</f>
        <v>0</v>
      </c>
      <c r="BO48" s="102">
        <f>VLOOKUP(L48,服务合同!$L$6:$CC$300,56,0)</f>
        <v>0</v>
      </c>
      <c r="BP48" s="102">
        <f>VLOOKUP(L48,服务合同!$L$6:$CC$300,57,0)</f>
        <v>0</v>
      </c>
      <c r="BQ48" s="102">
        <f>VLOOKUP(L48,服务合同!$L$6:$CC$300,58,0)</f>
        <v>0</v>
      </c>
      <c r="BR48" s="102">
        <f>VLOOKUP(L48,服务合同!$L$6:$CC$300,59,0)</f>
        <v>0</v>
      </c>
      <c r="BS48" s="102">
        <f>VLOOKUP(L48,服务合同!$L$6:$CC$300,60,0)</f>
        <v>0</v>
      </c>
      <c r="BT48" s="102">
        <f>VLOOKUP(L48,服务合同!$L$6:$CC$300,61,0)</f>
        <v>0</v>
      </c>
      <c r="BU48" s="102">
        <f>VLOOKUP(L48,服务合同!$L$6:$CC$300,62,0)</f>
        <v>0</v>
      </c>
      <c r="BV48" s="102">
        <f>VLOOKUP(L48,服务合同!$L$6:$CC$300,63,0)</f>
        <v>0</v>
      </c>
      <c r="BW48" s="102">
        <f>VLOOKUP(L48,服务合同!$L$6:$CC$300,64,0)</f>
        <v>0</v>
      </c>
      <c r="BX48" s="102">
        <f>VLOOKUP(L48,服务合同!$L$6:$CC$300,65,0)</f>
        <v>0</v>
      </c>
      <c r="BY48" s="102">
        <f>VLOOKUP(L48,服务合同!$L$6:$CC$300,66,0)</f>
        <v>0</v>
      </c>
      <c r="BZ48" s="102">
        <f>VLOOKUP(L48,服务合同!$L$6:$CC$300,67,0)</f>
        <v>0</v>
      </c>
      <c r="CA48" s="102">
        <f>VLOOKUP(L48,服务合同!$L$6:$CC$300,68,0)</f>
        <v>0</v>
      </c>
      <c r="CB48" s="102">
        <f>VLOOKUP(L48,服务合同!$L$6:$CC$300,69,0)</f>
        <v>0</v>
      </c>
      <c r="CC48" s="102">
        <f>VLOOKUP(L48,服务合同!$L$6:$CC$300,70,0)</f>
        <v>0</v>
      </c>
      <c r="CD48" s="123">
        <f t="shared" si="22"/>
        <v>4095000</v>
      </c>
      <c r="CE48" s="102">
        <f t="shared" si="23"/>
        <v>501135</v>
      </c>
      <c r="CF48" s="102">
        <f t="shared" si="24"/>
        <v>501135</v>
      </c>
      <c r="CG48" s="102">
        <f t="shared" si="25"/>
        <v>0</v>
      </c>
      <c r="CH48" s="124">
        <f t="shared" si="26"/>
        <v>3593865</v>
      </c>
      <c r="CI48" s="125">
        <f t="shared" si="27"/>
        <v>0.122377289377289</v>
      </c>
      <c r="CJ48" s="126" t="str">
        <f t="shared" si="28"/>
        <v>数据正确</v>
      </c>
    </row>
    <row r="49" s="60" customFormat="1" customHeight="1" spans="2:88">
      <c r="B49" s="70" t="str">
        <f t="shared" si="18"/>
        <v>-</v>
      </c>
      <c r="C49" s="71" t="str">
        <f t="shared" si="19"/>
        <v>-</v>
      </c>
      <c r="D49" s="181">
        <f t="shared" si="20"/>
        <v>153284</v>
      </c>
      <c r="E49" s="181">
        <f>SUMIF(服务合同!$L$6:$L$300,L49,服务合同!$E$6:$E$300)</f>
        <v>0</v>
      </c>
      <c r="F49" s="181">
        <f>SUMIF(服务合同!$L$6:$L$300,L49,服务合同!$F$6:$F$300)</f>
        <v>0</v>
      </c>
      <c r="G49" s="181">
        <f>SUMIF(服务合同!$L$6:$L$300,L49,服务合同!$G$6:$G$300)</f>
        <v>0</v>
      </c>
      <c r="H49" s="181">
        <f>SUMIF(服务合同!$L$6:$L$300,L49,服务合同!$H$6:$H$300)</f>
        <v>0</v>
      </c>
      <c r="I49" s="181">
        <f t="shared" si="21"/>
        <v>0</v>
      </c>
      <c r="J49" s="86" t="s">
        <v>98</v>
      </c>
      <c r="K49" s="87"/>
      <c r="L49" s="88">
        <v>44</v>
      </c>
      <c r="M49" s="89" t="str">
        <f>VLOOKUP(L49,服务合同!$L$6:$CC$300,2,0)</f>
        <v>YRKJGC-170023</v>
      </c>
      <c r="N49" s="90" t="str">
        <f>VLOOKUP(L49,服务合同!$L$6:$CC$300,3,0)</f>
        <v>服务合同</v>
      </c>
      <c r="O49" s="265" t="str">
        <f>VLOOKUP(L49,服务合同!$L$6:$CC$300,4,0)</f>
        <v>2017030072-1</v>
      </c>
      <c r="P49" s="266">
        <f>VLOOKUP(L49,服务合同!$L$6:$CC$300,5,0)</f>
        <v>42871</v>
      </c>
      <c r="Q49" s="275">
        <f>VLOOKUP(L49,服务合同!$L$6:$CC$300,6,0)</f>
        <v>2223004</v>
      </c>
      <c r="R49" s="89" t="str">
        <f>VLOOKUP(L49,服务合同!$L$6:$CC$300,7,0)</f>
        <v>项目、工程施工管理监理第II标段</v>
      </c>
      <c r="S49" s="89" t="str">
        <f>VLOOKUP(L49,服务合同!$L$6:$CC$300,8,0)</f>
        <v>岳阳长岭炼化方元建设监理咨询有限公司</v>
      </c>
      <c r="T49" s="107" t="str">
        <f>VLOOKUP(L49,服务合同!$L$6:$CC$300,9,0)</f>
        <v>工程建设监理费2223004</v>
      </c>
      <c r="U49" s="103" t="str">
        <f>VLOOKUP(L49,服务合同!$L$6:$CC$300,10,0)</f>
        <v>6个月承兑汇票/电汇下浮3%</v>
      </c>
      <c r="V49" s="276" t="str">
        <f>VLOOKUP(L49,服务合同!$L$6:$CC$300,11,0)</f>
        <v>按月支付，收到6%专票后，每月支付该月的80%，工程完工并通过质量监督站验收，且监理资料移交业主后，支付剩余的20%服务费（如要求电汇，监理人应向委托人支付反向贴息3%/6个月）</v>
      </c>
      <c r="W49" s="102">
        <f>VLOOKUP(L49,服务合同!$L$6:$CC$300,12,0)</f>
        <v>1778403.2</v>
      </c>
      <c r="X49" s="102">
        <f>VLOOKUP(L49,服务合同!$L$6:$CC$300,13,0)</f>
        <v>153284</v>
      </c>
      <c r="Y49" s="102">
        <f>VLOOKUP(L49,服务合同!$L$6:$CC$300,14,0)</f>
        <v>153284</v>
      </c>
      <c r="Z49" s="102" t="str">
        <f>VLOOKUP(L49,服务合同!$L$6:$CC$300,15,0)</f>
        <v>按月支付，收到6%专票后，每月支付该月的80%，工程完工并通过质量监督站验收，且监理资料移交业主后，支付剩余的20%服务费（如要求电汇，监理人应向委托人支付反向贴息3%/6个月）</v>
      </c>
      <c r="AA49" s="102">
        <f>VLOOKUP(L49,服务合同!$L$6:$CC$300,16,0)</f>
        <v>444600.8</v>
      </c>
      <c r="AB49" s="102">
        <f>VLOOKUP(L49,服务合同!$L$6:$CC$300,17,0)</f>
        <v>0</v>
      </c>
      <c r="AC49" s="102">
        <f>VLOOKUP(L49,服务合同!$L$6:$CC$300,18,0)</f>
        <v>0</v>
      </c>
      <c r="AD49" s="102">
        <f>VLOOKUP(L49,服务合同!$L$6:$CC$300,19,0)</f>
        <v>0</v>
      </c>
      <c r="AE49" s="102">
        <f>VLOOKUP(L49,服务合同!$L$6:$CC$300,20,0)</f>
        <v>0</v>
      </c>
      <c r="AF49" s="102">
        <f>VLOOKUP(L49,服务合同!$L$6:$CC$300,21,0)</f>
        <v>0</v>
      </c>
      <c r="AG49" s="102">
        <f>VLOOKUP(L49,服务合同!$L$6:$CC$300,22,0)</f>
        <v>0</v>
      </c>
      <c r="AH49" s="102">
        <f>VLOOKUP(L49,服务合同!$L$6:$CC$300,23,0)</f>
        <v>0</v>
      </c>
      <c r="AI49" s="102">
        <f>VLOOKUP(L49,服务合同!$L$6:$CC$300,24,0)</f>
        <v>0</v>
      </c>
      <c r="AJ49" s="102">
        <f>VLOOKUP(L49,服务合同!$L$6:$CC$300,25,0)</f>
        <v>0</v>
      </c>
      <c r="AK49" s="102">
        <f>VLOOKUP(L49,服务合同!$L$6:$CC$300,26,0)</f>
        <v>0</v>
      </c>
      <c r="AL49" s="102">
        <f>VLOOKUP(L49,服务合同!$L$6:$CC$300,27,0)</f>
        <v>0</v>
      </c>
      <c r="AM49" s="102">
        <f>VLOOKUP(L49,服务合同!$L$6:$CC$300,28,0)</f>
        <v>0</v>
      </c>
      <c r="AN49" s="102">
        <f>VLOOKUP(L49,服务合同!$L$6:$CC$300,29,0)</f>
        <v>0</v>
      </c>
      <c r="AO49" s="102">
        <f>VLOOKUP(L49,服务合同!$L$6:$CC$300,30,0)</f>
        <v>0</v>
      </c>
      <c r="AP49" s="102">
        <f>VLOOKUP(L49,服务合同!$L$6:$CC$300,31,0)</f>
        <v>0</v>
      </c>
      <c r="AQ49" s="102">
        <f>VLOOKUP(L49,服务合同!$L$6:$CC$300,32,0)</f>
        <v>0</v>
      </c>
      <c r="AR49" s="102">
        <f>VLOOKUP(L49,服务合同!$L$6:$CC$300,33,0)</f>
        <v>0</v>
      </c>
      <c r="AS49" s="102">
        <f>VLOOKUP(L49,服务合同!$L$6:$CC$300,34,0)</f>
        <v>0</v>
      </c>
      <c r="AT49" s="102">
        <f>VLOOKUP(L49,服务合同!$L$6:$CC$300,35,0)</f>
        <v>0</v>
      </c>
      <c r="AU49" s="102">
        <f>VLOOKUP(L49,服务合同!$L$6:$CC$300,36,0)</f>
        <v>0</v>
      </c>
      <c r="AV49" s="102">
        <f>VLOOKUP(L49,服务合同!$L$6:$CC$300,37,0)</f>
        <v>0</v>
      </c>
      <c r="AW49" s="102">
        <f>VLOOKUP(L49,服务合同!$L$6:$CC$300,38,0)</f>
        <v>0</v>
      </c>
      <c r="AX49" s="102">
        <f>VLOOKUP(L49,服务合同!$L$6:$CC$300,39,0)</f>
        <v>0</v>
      </c>
      <c r="AY49" s="102">
        <f>VLOOKUP(L49,服务合同!$L$6:$CC$300,40,0)</f>
        <v>0</v>
      </c>
      <c r="AZ49" s="102">
        <f>VLOOKUP(L49,服务合同!$L$6:$CC$300,41,0)</f>
        <v>0</v>
      </c>
      <c r="BA49" s="102">
        <f>VLOOKUP(L49,服务合同!$L$6:$CC$300,42,0)</f>
        <v>0</v>
      </c>
      <c r="BB49" s="102">
        <f>VLOOKUP(L49,服务合同!$L$6:$CC$300,43,0)</f>
        <v>0</v>
      </c>
      <c r="BC49" s="102">
        <f>VLOOKUP(L49,服务合同!$L$6:$CC$300,44,0)</f>
        <v>0</v>
      </c>
      <c r="BD49" s="102">
        <f>VLOOKUP(L49,服务合同!$L$6:$CC$300,45,0)</f>
        <v>0</v>
      </c>
      <c r="BE49" s="102">
        <f>VLOOKUP(L49,服务合同!$L$6:$CC$300,46,0)</f>
        <v>0</v>
      </c>
      <c r="BF49" s="102">
        <f>VLOOKUP(L49,服务合同!$L$6:$CC$300,47,0)</f>
        <v>0</v>
      </c>
      <c r="BG49" s="102">
        <f>VLOOKUP(L49,服务合同!$L$6:$CC$300,48,0)</f>
        <v>0</v>
      </c>
      <c r="BH49" s="102">
        <f>VLOOKUP(L49,服务合同!$L$6:$CC$300,49,0)</f>
        <v>0</v>
      </c>
      <c r="BI49" s="102">
        <f>VLOOKUP(L49,服务合同!$L$6:$CC$300,50,0)</f>
        <v>0</v>
      </c>
      <c r="BJ49" s="102">
        <f>VLOOKUP(L49,服务合同!$L$6:$CC$300,51,0)</f>
        <v>0</v>
      </c>
      <c r="BK49" s="102">
        <f>VLOOKUP(L49,服务合同!$L$6:$CC$300,52,0)</f>
        <v>0</v>
      </c>
      <c r="BL49" s="102">
        <f>VLOOKUP(L49,服务合同!$L$6:$CC$300,53,0)</f>
        <v>0</v>
      </c>
      <c r="BM49" s="102">
        <f>VLOOKUP(L49,服务合同!$L$6:$CC$300,54,0)</f>
        <v>0</v>
      </c>
      <c r="BN49" s="102">
        <f>VLOOKUP(L49,服务合同!$L$6:$CC$300,55,0)</f>
        <v>0</v>
      </c>
      <c r="BO49" s="102">
        <f>VLOOKUP(L49,服务合同!$L$6:$CC$300,56,0)</f>
        <v>0</v>
      </c>
      <c r="BP49" s="102">
        <f>VLOOKUP(L49,服务合同!$L$6:$CC$300,57,0)</f>
        <v>0</v>
      </c>
      <c r="BQ49" s="102">
        <f>VLOOKUP(L49,服务合同!$L$6:$CC$300,58,0)</f>
        <v>0</v>
      </c>
      <c r="BR49" s="102">
        <f>VLOOKUP(L49,服务合同!$L$6:$CC$300,59,0)</f>
        <v>0</v>
      </c>
      <c r="BS49" s="102">
        <f>VLOOKUP(L49,服务合同!$L$6:$CC$300,60,0)</f>
        <v>0</v>
      </c>
      <c r="BT49" s="102">
        <f>VLOOKUP(L49,服务合同!$L$6:$CC$300,61,0)</f>
        <v>0</v>
      </c>
      <c r="BU49" s="102">
        <f>VLOOKUP(L49,服务合同!$L$6:$CC$300,62,0)</f>
        <v>0</v>
      </c>
      <c r="BV49" s="102">
        <f>VLOOKUP(L49,服务合同!$L$6:$CC$300,63,0)</f>
        <v>0</v>
      </c>
      <c r="BW49" s="102">
        <f>VLOOKUP(L49,服务合同!$L$6:$CC$300,64,0)</f>
        <v>0</v>
      </c>
      <c r="BX49" s="102">
        <f>VLOOKUP(L49,服务合同!$L$6:$CC$300,65,0)</f>
        <v>0</v>
      </c>
      <c r="BY49" s="102">
        <f>VLOOKUP(L49,服务合同!$L$6:$CC$300,66,0)</f>
        <v>0</v>
      </c>
      <c r="BZ49" s="102">
        <f>VLOOKUP(L49,服务合同!$L$6:$CC$300,67,0)</f>
        <v>0</v>
      </c>
      <c r="CA49" s="102">
        <f>VLOOKUP(L49,服务合同!$L$6:$CC$300,68,0)</f>
        <v>0</v>
      </c>
      <c r="CB49" s="102">
        <f>VLOOKUP(L49,服务合同!$L$6:$CC$300,69,0)</f>
        <v>0</v>
      </c>
      <c r="CC49" s="102">
        <f>VLOOKUP(L49,服务合同!$L$6:$CC$300,70,0)</f>
        <v>0</v>
      </c>
      <c r="CD49" s="123">
        <f t="shared" si="22"/>
        <v>2223004</v>
      </c>
      <c r="CE49" s="102">
        <f t="shared" si="23"/>
        <v>153284</v>
      </c>
      <c r="CF49" s="102">
        <f t="shared" si="24"/>
        <v>153284</v>
      </c>
      <c r="CG49" s="102">
        <f t="shared" si="25"/>
        <v>0</v>
      </c>
      <c r="CH49" s="124">
        <f t="shared" si="26"/>
        <v>2069720</v>
      </c>
      <c r="CI49" s="125">
        <f t="shared" si="27"/>
        <v>0.0689535421438738</v>
      </c>
      <c r="CJ49" s="126" t="str">
        <f t="shared" si="28"/>
        <v>数据正确</v>
      </c>
    </row>
    <row r="50" s="60" customFormat="1" customHeight="1" spans="2:88">
      <c r="B50" s="70" t="str">
        <f t="shared" si="18"/>
        <v>-</v>
      </c>
      <c r="C50" s="71" t="str">
        <f t="shared" si="19"/>
        <v>已付清</v>
      </c>
      <c r="D50" s="181">
        <f t="shared" si="20"/>
        <v>7069424</v>
      </c>
      <c r="E50" s="181">
        <f>SUMIF(材料合同!$L$6:$L$305,L50,材料合同!$E$6:$E$305)</f>
        <v>0</v>
      </c>
      <c r="F50" s="181">
        <f>SUMIF(材料合同!$L$6:$L$305,L50,材料合同!$F$6:$F$305)</f>
        <v>0</v>
      </c>
      <c r="G50" s="181">
        <f>SUMIF(材料合同!$L$6:$L$305,L50,材料合同!$G$6:$G$305)</f>
        <v>0</v>
      </c>
      <c r="H50" s="181">
        <f>SUMIF(材料合同!$L$6:$L$305,L50,材料合同!$H$6:$H$305)</f>
        <v>0</v>
      </c>
      <c r="I50" s="181">
        <f t="shared" si="21"/>
        <v>0</v>
      </c>
      <c r="J50" s="86" t="s">
        <v>98</v>
      </c>
      <c r="K50" s="87"/>
      <c r="L50" s="88">
        <v>45</v>
      </c>
      <c r="M50" s="89" t="str">
        <f>VLOOKUP(L50,材料合同!$L$6:$CC$305,2,0)</f>
        <v>YRKJGC-170025</v>
      </c>
      <c r="N50" s="90" t="str">
        <f>VLOOKUP(L50,材料合同!$L$6:$CC$305,3,0)</f>
        <v>材料合同</v>
      </c>
      <c r="O50" s="265">
        <f>VLOOKUP(L50,材料合同!$L$6:$CC$305,4,0)</f>
        <v>2017050024</v>
      </c>
      <c r="P50" s="266">
        <f>VLOOKUP(L50,材料合同!$L$6:$CC$305,5,0)</f>
        <v>42875</v>
      </c>
      <c r="Q50" s="275">
        <f>VLOOKUP(L50,材料合同!$L$6:$CC$305,6,0)</f>
        <v>7069424</v>
      </c>
      <c r="R50" s="89" t="str">
        <f>VLOOKUP(L50,材料合同!$L$6:$CC$305,7,0)</f>
        <v>方桩（15000米*322元/米）</v>
      </c>
      <c r="S50" s="89" t="str">
        <f>VLOOKUP(L50,材料合同!$L$6:$CC$305,8,0)</f>
        <v>泉州泰景方桩有限公司</v>
      </c>
      <c r="T50" s="107" t="str">
        <f>VLOOKUP(L50,材料合同!$L$6:$CC$305,9,0)</f>
        <v>环己酮装置、动力站装置、双氧水装置</v>
      </c>
      <c r="U50" s="103" t="str">
        <f>VLOOKUP(L50,材料合同!$L$6:$CC$305,10,0)</f>
        <v>承兑汇票</v>
      </c>
      <c r="V50" s="276" t="str">
        <f>VLOOKUP(L50,材料合同!$L$6:$CC$305,11,0)</f>
        <v>货到付款，每次供货5000米，验收合格，卖方提供发票给甲方后6个月的承兑汇票</v>
      </c>
      <c r="W50" s="102">
        <f>VLOOKUP(L50,材料合同!$L$6:$CC$305,12,0)</f>
        <v>7069424</v>
      </c>
      <c r="X50" s="102">
        <f>VLOOKUP(L50,材料合同!$L$6:$CC$305,13,0)</f>
        <v>7069424</v>
      </c>
      <c r="Y50" s="102">
        <f>VLOOKUP(L50,材料合同!$L$6:$CC$305,14,0)</f>
        <v>7069424</v>
      </c>
      <c r="Z50" s="102">
        <f>VLOOKUP(L50,材料合同!$L$6:$CC$305,15,0)</f>
        <v>0</v>
      </c>
      <c r="AA50" s="102">
        <f>VLOOKUP(L50,材料合同!$L$6:$CC$305,16,0)</f>
        <v>0</v>
      </c>
      <c r="AB50" s="102">
        <f>VLOOKUP(L50,材料合同!$L$6:$CC$305,17,0)</f>
        <v>0</v>
      </c>
      <c r="AC50" s="102">
        <f>VLOOKUP(L50,材料合同!$L$6:$CC$305,18,0)</f>
        <v>0</v>
      </c>
      <c r="AD50" s="102">
        <f>VLOOKUP(L50,材料合同!$L$6:$CC$305,19,0)</f>
        <v>0</v>
      </c>
      <c r="AE50" s="102">
        <f>VLOOKUP(L50,材料合同!$L$6:$CC$305,20,0)</f>
        <v>0</v>
      </c>
      <c r="AF50" s="102">
        <f>VLOOKUP(L50,材料合同!$L$6:$CC$305,21,0)</f>
        <v>0</v>
      </c>
      <c r="AG50" s="102">
        <f>VLOOKUP(L50,材料合同!$L$6:$CC$305,22,0)</f>
        <v>0</v>
      </c>
      <c r="AH50" s="102">
        <f>VLOOKUP(L50,材料合同!$L$6:$CC$305,23,0)</f>
        <v>0</v>
      </c>
      <c r="AI50" s="102">
        <f>VLOOKUP(L50,材料合同!$L$6:$CC$305,24,0)</f>
        <v>0</v>
      </c>
      <c r="AJ50" s="102">
        <f>VLOOKUP(L50,材料合同!$L$6:$CC$305,25,0)</f>
        <v>0</v>
      </c>
      <c r="AK50" s="102">
        <f>VLOOKUP(L50,材料合同!$L$6:$CC$305,26,0)</f>
        <v>0</v>
      </c>
      <c r="AL50" s="102">
        <f>VLOOKUP(L50,材料合同!$L$6:$CC$305,27,0)</f>
        <v>0</v>
      </c>
      <c r="AM50" s="102">
        <f>VLOOKUP(L50,材料合同!$L$6:$CC$305,28,0)</f>
        <v>0</v>
      </c>
      <c r="AN50" s="102">
        <f>VLOOKUP(L50,材料合同!$L$6:$CC$305,29,0)</f>
        <v>0</v>
      </c>
      <c r="AO50" s="102">
        <f>VLOOKUP(L50,材料合同!$L$6:$CC$305,30,0)</f>
        <v>0</v>
      </c>
      <c r="AP50" s="102">
        <f>VLOOKUP(L50,材料合同!$L$6:$CC$305,31,0)</f>
        <v>0</v>
      </c>
      <c r="AQ50" s="102">
        <f>VLOOKUP(L50,材料合同!$L$6:$CC$305,32,0)</f>
        <v>0</v>
      </c>
      <c r="AR50" s="102">
        <f>VLOOKUP(L50,材料合同!$L$6:$CC$305,33,0)</f>
        <v>0</v>
      </c>
      <c r="AS50" s="102">
        <f>VLOOKUP(L50,材料合同!$L$6:$CC$305,34,0)</f>
        <v>0</v>
      </c>
      <c r="AT50" s="102">
        <f>VLOOKUP(L50,材料合同!$L$6:$CC$305,35,0)</f>
        <v>0</v>
      </c>
      <c r="AU50" s="102">
        <f>VLOOKUP(L50,材料合同!$L$6:$CC$305,36,0)</f>
        <v>0</v>
      </c>
      <c r="AV50" s="102">
        <f>VLOOKUP(L50,材料合同!$L$6:$CC$305,37,0)</f>
        <v>0</v>
      </c>
      <c r="AW50" s="102">
        <f>VLOOKUP(L50,材料合同!$L$6:$CC$305,38,0)</f>
        <v>0</v>
      </c>
      <c r="AX50" s="102">
        <f>VLOOKUP(L50,材料合同!$L$6:$CC$305,39,0)</f>
        <v>0</v>
      </c>
      <c r="AY50" s="102">
        <f>VLOOKUP(L50,材料合同!$L$6:$CC$305,40,0)</f>
        <v>0</v>
      </c>
      <c r="AZ50" s="102">
        <f>VLOOKUP(L50,材料合同!$L$6:$CC$305,41,0)</f>
        <v>0</v>
      </c>
      <c r="BA50" s="102">
        <f>VLOOKUP(L50,材料合同!$L$6:$CC$305,42,0)</f>
        <v>0</v>
      </c>
      <c r="BB50" s="102">
        <f>VLOOKUP(L50,材料合同!$L$6:$CC$305,43,0)</f>
        <v>0</v>
      </c>
      <c r="BC50" s="102">
        <f>VLOOKUP(L50,材料合同!$L$6:$CC$305,44,0)</f>
        <v>0</v>
      </c>
      <c r="BD50" s="102">
        <f>VLOOKUP(L50,材料合同!$L$6:$CC$305,45,0)</f>
        <v>0</v>
      </c>
      <c r="BE50" s="102">
        <f>VLOOKUP(L50,材料合同!$L$6:$CC$305,46,0)</f>
        <v>0</v>
      </c>
      <c r="BF50" s="102">
        <f>VLOOKUP(L50,材料合同!$L$6:$CC$305,47,0)</f>
        <v>0</v>
      </c>
      <c r="BG50" s="102">
        <f>VLOOKUP(L50,材料合同!$L$6:$CC$305,48,0)</f>
        <v>0</v>
      </c>
      <c r="BH50" s="102">
        <f>VLOOKUP(L50,材料合同!$L$6:$CC$305,49,0)</f>
        <v>0</v>
      </c>
      <c r="BI50" s="102">
        <f>VLOOKUP(L50,材料合同!$L$6:$CC$305,50,0)</f>
        <v>0</v>
      </c>
      <c r="BJ50" s="102">
        <f>VLOOKUP(L50,材料合同!$L$6:$CC$305,51,0)</f>
        <v>0</v>
      </c>
      <c r="BK50" s="102">
        <f>VLOOKUP(L50,材料合同!$L$6:$CC$305,52,0)</f>
        <v>0</v>
      </c>
      <c r="BL50" s="102">
        <f>VLOOKUP(L50,材料合同!$L$6:$CC$305,53,0)</f>
        <v>0</v>
      </c>
      <c r="BM50" s="102">
        <f>VLOOKUP(L50,材料合同!$L$6:$CC$305,54,0)</f>
        <v>0</v>
      </c>
      <c r="BN50" s="102">
        <f>VLOOKUP(L50,材料合同!$L$6:$CC$305,55,0)</f>
        <v>0</v>
      </c>
      <c r="BO50" s="102">
        <f>VLOOKUP(L50,材料合同!$L$6:$CC$305,56,0)</f>
        <v>0</v>
      </c>
      <c r="BP50" s="102">
        <f>VLOOKUP(L50,材料合同!$L$6:$CC$305,57,0)</f>
        <v>0</v>
      </c>
      <c r="BQ50" s="102">
        <f>VLOOKUP(L50,材料合同!$L$6:$CC$305,58,0)</f>
        <v>0</v>
      </c>
      <c r="BR50" s="102">
        <f>VLOOKUP(L50,材料合同!$L$6:$CC$305,59,0)</f>
        <v>0</v>
      </c>
      <c r="BS50" s="102">
        <f>VLOOKUP(L50,材料合同!$L$6:$CC$305,60,0)</f>
        <v>0</v>
      </c>
      <c r="BT50" s="102">
        <f>VLOOKUP(L50,材料合同!$L$6:$CC$305,61,0)</f>
        <v>0</v>
      </c>
      <c r="BU50" s="102">
        <f>VLOOKUP(L50,材料合同!$L$6:$CC$305,62,0)</f>
        <v>0</v>
      </c>
      <c r="BV50" s="102">
        <f>VLOOKUP(L50,材料合同!$L$6:$CC$305,63,0)</f>
        <v>0</v>
      </c>
      <c r="BW50" s="102">
        <f>VLOOKUP(L50,材料合同!$L$6:$CC$305,64,0)</f>
        <v>0</v>
      </c>
      <c r="BX50" s="102">
        <f>VLOOKUP(L50,材料合同!$L$6:$CC$305,65,0)</f>
        <v>0</v>
      </c>
      <c r="BY50" s="102">
        <f>VLOOKUP(L50,材料合同!$L$6:$CC$305,66,0)</f>
        <v>0</v>
      </c>
      <c r="BZ50" s="102">
        <f>VLOOKUP(L50,材料合同!$L$6:$CC$305,67,0)</f>
        <v>0</v>
      </c>
      <c r="CA50" s="102">
        <f>VLOOKUP(L50,材料合同!$L$6:$CC$305,68,0)</f>
        <v>0</v>
      </c>
      <c r="CB50" s="102">
        <f>VLOOKUP(L50,材料合同!$L$6:$CC$305,69,0)</f>
        <v>0</v>
      </c>
      <c r="CC50" s="102">
        <f>VLOOKUP(L50,材料合同!$L$6:$CC$305,70,0)</f>
        <v>0</v>
      </c>
      <c r="CD50" s="123">
        <f t="shared" si="22"/>
        <v>7069424</v>
      </c>
      <c r="CE50" s="102">
        <f t="shared" si="23"/>
        <v>7069424</v>
      </c>
      <c r="CF50" s="102">
        <f t="shared" si="24"/>
        <v>7069424</v>
      </c>
      <c r="CG50" s="102">
        <f t="shared" si="25"/>
        <v>0</v>
      </c>
      <c r="CH50" s="124">
        <f t="shared" si="26"/>
        <v>0</v>
      </c>
      <c r="CI50" s="125">
        <f t="shared" si="27"/>
        <v>1</v>
      </c>
      <c r="CJ50" s="126" t="str">
        <f t="shared" si="28"/>
        <v>数据正确</v>
      </c>
    </row>
    <row r="51" s="60" customFormat="1" customHeight="1" spans="2:88">
      <c r="B51" s="70" t="str">
        <f t="shared" si="18"/>
        <v>-</v>
      </c>
      <c r="C51" s="71" t="str">
        <f t="shared" si="19"/>
        <v>已付清</v>
      </c>
      <c r="D51" s="181">
        <f t="shared" si="20"/>
        <v>79674</v>
      </c>
      <c r="E51" s="181">
        <f>SUMIF(材料合同!$L$6:$L$305,L51,材料合同!$E$6:$E$305)</f>
        <v>0</v>
      </c>
      <c r="F51" s="181">
        <f>SUMIF(材料合同!$L$6:$L$305,L51,材料合同!$F$6:$F$305)</f>
        <v>0</v>
      </c>
      <c r="G51" s="181">
        <f>SUMIF(材料合同!$L$6:$L$305,L51,材料合同!$G$6:$G$305)</f>
        <v>0</v>
      </c>
      <c r="H51" s="181">
        <f>SUMIF(材料合同!$L$6:$L$305,L51,材料合同!$H$6:$H$305)</f>
        <v>0</v>
      </c>
      <c r="I51" s="181">
        <f t="shared" si="21"/>
        <v>0</v>
      </c>
      <c r="J51" s="86" t="s">
        <v>98</v>
      </c>
      <c r="K51" s="87"/>
      <c r="L51" s="88">
        <v>46</v>
      </c>
      <c r="M51" s="89" t="str">
        <f>VLOOKUP(L51,材料合同!$L$6:$CC$305,2,0)</f>
        <v>YRKJGC-170026</v>
      </c>
      <c r="N51" s="90" t="str">
        <f>VLOOKUP(L51,材料合同!$L$6:$CC$305,3,0)</f>
        <v>材料合同</v>
      </c>
      <c r="O51" s="265">
        <f>VLOOKUP(L51,材料合同!$L$6:$CC$305,4,0)</f>
        <v>2017050002</v>
      </c>
      <c r="P51" s="266">
        <f>VLOOKUP(L51,材料合同!$L$6:$CC$305,5,0)</f>
        <v>42876</v>
      </c>
      <c r="Q51" s="275">
        <f>VLOOKUP(L51,材料合同!$L$6:$CC$305,6,0)</f>
        <v>79674</v>
      </c>
      <c r="R51" s="89" t="str">
        <f>VLOOKUP(L51,材料合同!$L$6:$CC$305,7,0)</f>
        <v>水泥砖（空心砖40000块*2.17元/块+标准砖4000块*0.28元/块）</v>
      </c>
      <c r="S51" s="89" t="str">
        <f>VLOOKUP(L51,材料合同!$L$6:$CC$305,8,0)</f>
        <v>莆田市秀屿区东庄荔锦水泥制砖场</v>
      </c>
      <c r="T51" s="107">
        <f>VLOOKUP(L51,材料合同!$L$6:$CC$305,9,0)</f>
        <v>0</v>
      </c>
      <c r="U51" s="103" t="str">
        <f>VLOOKUP(L51,材料合同!$L$6:$CC$305,10,0)</f>
        <v>电汇</v>
      </c>
      <c r="V51" s="276" t="str">
        <f>VLOOKUP(L51,材料合同!$L$6:$CC$305,11,0)</f>
        <v>货到交货地点且验收合格后收到乙方全额发票后支付100%货款</v>
      </c>
      <c r="W51" s="102">
        <f>VLOOKUP(L51,材料合同!$L$6:$CC$305,12,0)</f>
        <v>79674</v>
      </c>
      <c r="X51" s="102">
        <f>VLOOKUP(L51,材料合同!$L$6:$CC$305,13,0)</f>
        <v>79674</v>
      </c>
      <c r="Y51" s="102">
        <f>VLOOKUP(L51,材料合同!$L$6:$CC$305,14,0)</f>
        <v>79674</v>
      </c>
      <c r="Z51" s="102">
        <f>VLOOKUP(L51,材料合同!$L$6:$CC$305,15,0)</f>
        <v>0</v>
      </c>
      <c r="AA51" s="102">
        <f>VLOOKUP(L51,材料合同!$L$6:$CC$305,16,0)</f>
        <v>0</v>
      </c>
      <c r="AB51" s="102">
        <f>VLOOKUP(L51,材料合同!$L$6:$CC$305,17,0)</f>
        <v>0</v>
      </c>
      <c r="AC51" s="102">
        <f>VLOOKUP(L51,材料合同!$L$6:$CC$305,18,0)</f>
        <v>0</v>
      </c>
      <c r="AD51" s="102">
        <f>VLOOKUP(L51,材料合同!$L$6:$CC$305,19,0)</f>
        <v>0</v>
      </c>
      <c r="AE51" s="102">
        <f>VLOOKUP(L51,材料合同!$L$6:$CC$305,20,0)</f>
        <v>0</v>
      </c>
      <c r="AF51" s="102">
        <f>VLOOKUP(L51,材料合同!$L$6:$CC$305,21,0)</f>
        <v>0</v>
      </c>
      <c r="AG51" s="102">
        <f>VLOOKUP(L51,材料合同!$L$6:$CC$305,22,0)</f>
        <v>0</v>
      </c>
      <c r="AH51" s="102">
        <f>VLOOKUP(L51,材料合同!$L$6:$CC$305,23,0)</f>
        <v>0</v>
      </c>
      <c r="AI51" s="102">
        <f>VLOOKUP(L51,材料合同!$L$6:$CC$305,24,0)</f>
        <v>0</v>
      </c>
      <c r="AJ51" s="102">
        <f>VLOOKUP(L51,材料合同!$L$6:$CC$305,25,0)</f>
        <v>0</v>
      </c>
      <c r="AK51" s="102">
        <f>VLOOKUP(L51,材料合同!$L$6:$CC$305,26,0)</f>
        <v>0</v>
      </c>
      <c r="AL51" s="102">
        <f>VLOOKUP(L51,材料合同!$L$6:$CC$305,27,0)</f>
        <v>0</v>
      </c>
      <c r="AM51" s="102">
        <f>VLOOKUP(L51,材料合同!$L$6:$CC$305,28,0)</f>
        <v>0</v>
      </c>
      <c r="AN51" s="102">
        <f>VLOOKUP(L51,材料合同!$L$6:$CC$305,29,0)</f>
        <v>0</v>
      </c>
      <c r="AO51" s="102">
        <f>VLOOKUP(L51,材料合同!$L$6:$CC$305,30,0)</f>
        <v>0</v>
      </c>
      <c r="AP51" s="102">
        <f>VLOOKUP(L51,材料合同!$L$6:$CC$305,31,0)</f>
        <v>0</v>
      </c>
      <c r="AQ51" s="102">
        <f>VLOOKUP(L51,材料合同!$L$6:$CC$305,32,0)</f>
        <v>0</v>
      </c>
      <c r="AR51" s="102">
        <f>VLOOKUP(L51,材料合同!$L$6:$CC$305,33,0)</f>
        <v>0</v>
      </c>
      <c r="AS51" s="102">
        <f>VLOOKUP(L51,材料合同!$L$6:$CC$305,34,0)</f>
        <v>0</v>
      </c>
      <c r="AT51" s="102">
        <f>VLOOKUP(L51,材料合同!$L$6:$CC$305,35,0)</f>
        <v>0</v>
      </c>
      <c r="AU51" s="102">
        <f>VLOOKUP(L51,材料合同!$L$6:$CC$305,36,0)</f>
        <v>0</v>
      </c>
      <c r="AV51" s="102">
        <f>VLOOKUP(L51,材料合同!$L$6:$CC$305,37,0)</f>
        <v>0</v>
      </c>
      <c r="AW51" s="102">
        <f>VLOOKUP(L51,材料合同!$L$6:$CC$305,38,0)</f>
        <v>0</v>
      </c>
      <c r="AX51" s="102">
        <f>VLOOKUP(L51,材料合同!$L$6:$CC$305,39,0)</f>
        <v>0</v>
      </c>
      <c r="AY51" s="102">
        <f>VLOOKUP(L51,材料合同!$L$6:$CC$305,40,0)</f>
        <v>0</v>
      </c>
      <c r="AZ51" s="102">
        <f>VLOOKUP(L51,材料合同!$L$6:$CC$305,41,0)</f>
        <v>0</v>
      </c>
      <c r="BA51" s="102">
        <f>VLOOKUP(L51,材料合同!$L$6:$CC$305,42,0)</f>
        <v>0</v>
      </c>
      <c r="BB51" s="102">
        <f>VLOOKUP(L51,材料合同!$L$6:$CC$305,43,0)</f>
        <v>0</v>
      </c>
      <c r="BC51" s="102">
        <f>VLOOKUP(L51,材料合同!$L$6:$CC$305,44,0)</f>
        <v>0</v>
      </c>
      <c r="BD51" s="102">
        <f>VLOOKUP(L51,材料合同!$L$6:$CC$305,45,0)</f>
        <v>0</v>
      </c>
      <c r="BE51" s="102">
        <f>VLOOKUP(L51,材料合同!$L$6:$CC$305,46,0)</f>
        <v>0</v>
      </c>
      <c r="BF51" s="102">
        <f>VLOOKUP(L51,材料合同!$L$6:$CC$305,47,0)</f>
        <v>0</v>
      </c>
      <c r="BG51" s="102">
        <f>VLOOKUP(L51,材料合同!$L$6:$CC$305,48,0)</f>
        <v>0</v>
      </c>
      <c r="BH51" s="102">
        <f>VLOOKUP(L51,材料合同!$L$6:$CC$305,49,0)</f>
        <v>0</v>
      </c>
      <c r="BI51" s="102">
        <f>VLOOKUP(L51,材料合同!$L$6:$CC$305,50,0)</f>
        <v>0</v>
      </c>
      <c r="BJ51" s="102">
        <f>VLOOKUP(L51,材料合同!$L$6:$CC$305,51,0)</f>
        <v>0</v>
      </c>
      <c r="BK51" s="102">
        <f>VLOOKUP(L51,材料合同!$L$6:$CC$305,52,0)</f>
        <v>0</v>
      </c>
      <c r="BL51" s="102">
        <f>VLOOKUP(L51,材料合同!$L$6:$CC$305,53,0)</f>
        <v>0</v>
      </c>
      <c r="BM51" s="102">
        <f>VLOOKUP(L51,材料合同!$L$6:$CC$305,54,0)</f>
        <v>0</v>
      </c>
      <c r="BN51" s="102">
        <f>VLOOKUP(L51,材料合同!$L$6:$CC$305,55,0)</f>
        <v>0</v>
      </c>
      <c r="BO51" s="102">
        <f>VLOOKUP(L51,材料合同!$L$6:$CC$305,56,0)</f>
        <v>0</v>
      </c>
      <c r="BP51" s="102">
        <f>VLOOKUP(L51,材料合同!$L$6:$CC$305,57,0)</f>
        <v>0</v>
      </c>
      <c r="BQ51" s="102">
        <f>VLOOKUP(L51,材料合同!$L$6:$CC$305,58,0)</f>
        <v>0</v>
      </c>
      <c r="BR51" s="102">
        <f>VLOOKUP(L51,材料合同!$L$6:$CC$305,59,0)</f>
        <v>0</v>
      </c>
      <c r="BS51" s="102">
        <f>VLOOKUP(L51,材料合同!$L$6:$CC$305,60,0)</f>
        <v>0</v>
      </c>
      <c r="BT51" s="102">
        <f>VLOOKUP(L51,材料合同!$L$6:$CC$305,61,0)</f>
        <v>0</v>
      </c>
      <c r="BU51" s="102">
        <f>VLOOKUP(L51,材料合同!$L$6:$CC$305,62,0)</f>
        <v>0</v>
      </c>
      <c r="BV51" s="102">
        <f>VLOOKUP(L51,材料合同!$L$6:$CC$305,63,0)</f>
        <v>0</v>
      </c>
      <c r="BW51" s="102">
        <f>VLOOKUP(L51,材料合同!$L$6:$CC$305,64,0)</f>
        <v>0</v>
      </c>
      <c r="BX51" s="102">
        <f>VLOOKUP(L51,材料合同!$L$6:$CC$305,65,0)</f>
        <v>0</v>
      </c>
      <c r="BY51" s="102">
        <f>VLOOKUP(L51,材料合同!$L$6:$CC$305,66,0)</f>
        <v>0</v>
      </c>
      <c r="BZ51" s="102">
        <f>VLOOKUP(L51,材料合同!$L$6:$CC$305,67,0)</f>
        <v>0</v>
      </c>
      <c r="CA51" s="102">
        <f>VLOOKUP(L51,材料合同!$L$6:$CC$305,68,0)</f>
        <v>0</v>
      </c>
      <c r="CB51" s="102">
        <f>VLOOKUP(L51,材料合同!$L$6:$CC$305,69,0)</f>
        <v>0</v>
      </c>
      <c r="CC51" s="102">
        <f>VLOOKUP(L51,材料合同!$L$6:$CC$305,70,0)</f>
        <v>0</v>
      </c>
      <c r="CD51" s="123">
        <f t="shared" si="22"/>
        <v>79674</v>
      </c>
      <c r="CE51" s="102">
        <f t="shared" si="23"/>
        <v>79674</v>
      </c>
      <c r="CF51" s="102">
        <f t="shared" si="24"/>
        <v>79674</v>
      </c>
      <c r="CG51" s="102">
        <f t="shared" si="25"/>
        <v>0</v>
      </c>
      <c r="CH51" s="124">
        <f t="shared" si="26"/>
        <v>0</v>
      </c>
      <c r="CI51" s="125">
        <f t="shared" si="27"/>
        <v>1</v>
      </c>
      <c r="CJ51" s="126" t="str">
        <f t="shared" si="28"/>
        <v>数据正确</v>
      </c>
    </row>
    <row r="52" s="60" customFormat="1" customHeight="1" spans="2:88">
      <c r="B52" s="70" t="str">
        <f t="shared" si="18"/>
        <v>-</v>
      </c>
      <c r="C52" s="71" t="str">
        <f t="shared" si="19"/>
        <v>-</v>
      </c>
      <c r="D52" s="181">
        <f t="shared" si="20"/>
        <v>155135</v>
      </c>
      <c r="E52" s="181">
        <f>SUMIF(行政合同!$L$6:$L$300,L52,行政合同!$E$6:$E$300)</f>
        <v>0</v>
      </c>
      <c r="F52" s="181">
        <f>SUMIF(行政合同!$L$6:$L$300,L52,行政合同!$F$6:$F$300)</f>
        <v>0</v>
      </c>
      <c r="G52" s="181">
        <f>SUMIF(行政合同!$L$6:$L$300,L52,行政合同!$G$6:$G$300)</f>
        <v>0</v>
      </c>
      <c r="H52" s="181">
        <f>SUMIF(行政合同!$L$6:$L$300,L52,行政合同!$H$6:$H$300)</f>
        <v>0</v>
      </c>
      <c r="I52" s="181">
        <f t="shared" si="21"/>
        <v>0</v>
      </c>
      <c r="J52" s="86" t="s">
        <v>98</v>
      </c>
      <c r="K52" s="87"/>
      <c r="L52" s="88">
        <v>47</v>
      </c>
      <c r="M52" s="89" t="str">
        <f>VLOOKUP(L52,行政合同!$L$6:$CC$300,2,0)</f>
        <v>YRKJXZ-170001</v>
      </c>
      <c r="N52" s="90" t="str">
        <f>VLOOKUP(L52,行政合同!$L$6:$CC$300,3,0)</f>
        <v>行政合同</v>
      </c>
      <c r="O52" s="265" t="str">
        <f>VLOOKUP(L52,行政合同!$L$6:$CC$300,4,0)</f>
        <v>-</v>
      </c>
      <c r="P52" s="266">
        <f>VLOOKUP(L52,行政合同!$L$6:$CC$300,5,0)</f>
        <v>42758</v>
      </c>
      <c r="Q52" s="275">
        <f>VLOOKUP(L52,行政合同!$L$6:$CC$300,6,0)</f>
        <v>163300</v>
      </c>
      <c r="R52" s="89" t="str">
        <f>VLOOKUP(L52,行政合同!$L$6:$CC$300,7,0)</f>
        <v>三修车间办公家具</v>
      </c>
      <c r="S52" s="89" t="str">
        <f>VLOOKUP(L52,行政合同!$L$6:$CC$300,8,0)</f>
        <v>福州市仓山区恒通日用品经营部</v>
      </c>
      <c r="T52" s="107">
        <f>VLOOKUP(L52,行政合同!$L$6:$CC$300,9,0)</f>
        <v>0</v>
      </c>
      <c r="U52" s="103" t="str">
        <f>VLOOKUP(L52,行政合同!$L$6:$CC$300,10,0)</f>
        <v>6个月承兑汇票</v>
      </c>
      <c r="V52" s="276" t="str">
        <f>VLOOKUP(L52,行政合同!$L$6:$CC$300,11,0)</f>
        <v>货到交货地点验收合格后，收到100%专票17%后支付95%</v>
      </c>
      <c r="W52" s="102">
        <f>VLOOKUP(L52,行政合同!$L$6:$CC$300,12,0)</f>
        <v>155135</v>
      </c>
      <c r="X52" s="102">
        <f>VLOOKUP(L52,行政合同!$L$6:$CC$300,13,0)</f>
        <v>155135</v>
      </c>
      <c r="Y52" s="102">
        <f>VLOOKUP(L52,行政合同!$L$6:$CC$300,14,0)</f>
        <v>155135</v>
      </c>
      <c r="Z52" s="102" t="str">
        <f>VLOOKUP(L52,行政合同!$L$6:$CC$300,15,0)</f>
        <v>质量保证金5%</v>
      </c>
      <c r="AA52" s="102">
        <f>VLOOKUP(L52,行政合同!$L$6:$CC$300,16,0)</f>
        <v>8165</v>
      </c>
      <c r="AB52" s="102">
        <f>VLOOKUP(L52,行政合同!$L$6:$CC$300,17,0)</f>
        <v>0</v>
      </c>
      <c r="AC52" s="102">
        <f>VLOOKUP(L52,行政合同!$L$6:$CC$300,18,0)</f>
        <v>0</v>
      </c>
      <c r="AD52" s="102">
        <f>VLOOKUP(L52,行政合同!$L$6:$CC$300,19,0)</f>
        <v>0</v>
      </c>
      <c r="AE52" s="102">
        <f>VLOOKUP(L52,行政合同!$L$6:$CC$300,20,0)</f>
        <v>0</v>
      </c>
      <c r="AF52" s="102">
        <f>VLOOKUP(L52,行政合同!$L$6:$CC$300,21,0)</f>
        <v>0</v>
      </c>
      <c r="AG52" s="102">
        <f>VLOOKUP(L52,行政合同!$L$6:$CC$300,22,0)</f>
        <v>0</v>
      </c>
      <c r="AH52" s="102">
        <f>VLOOKUP(L52,行政合同!$L$6:$CC$300,23,0)</f>
        <v>0</v>
      </c>
      <c r="AI52" s="102">
        <f>VLOOKUP(L52,行政合同!$L$6:$CC$300,24,0)</f>
        <v>0</v>
      </c>
      <c r="AJ52" s="102">
        <f>VLOOKUP(L52,行政合同!$L$6:$CC$300,25,0)</f>
        <v>0</v>
      </c>
      <c r="AK52" s="102">
        <f>VLOOKUP(L52,行政合同!$L$6:$CC$300,26,0)</f>
        <v>0</v>
      </c>
      <c r="AL52" s="102">
        <f>VLOOKUP(L52,行政合同!$L$6:$CC$300,27,0)</f>
        <v>0</v>
      </c>
      <c r="AM52" s="102">
        <f>VLOOKUP(L52,行政合同!$L$6:$CC$300,28,0)</f>
        <v>0</v>
      </c>
      <c r="AN52" s="102">
        <f>VLOOKUP(L52,行政合同!$L$6:$CC$300,29,0)</f>
        <v>0</v>
      </c>
      <c r="AO52" s="102">
        <f>VLOOKUP(L52,行政合同!$L$6:$CC$300,30,0)</f>
        <v>0</v>
      </c>
      <c r="AP52" s="102">
        <f>VLOOKUP(L52,行政合同!$L$6:$CC$300,31,0)</f>
        <v>0</v>
      </c>
      <c r="AQ52" s="102">
        <f>VLOOKUP(L52,行政合同!$L$6:$CC$300,32,0)</f>
        <v>0</v>
      </c>
      <c r="AR52" s="102">
        <f>VLOOKUP(L52,行政合同!$L$6:$CC$300,33,0)</f>
        <v>0</v>
      </c>
      <c r="AS52" s="102">
        <f>VLOOKUP(L52,行政合同!$L$6:$CC$300,34,0)</f>
        <v>0</v>
      </c>
      <c r="AT52" s="102">
        <f>VLOOKUP(L52,行政合同!$L$6:$CC$300,35,0)</f>
        <v>0</v>
      </c>
      <c r="AU52" s="102">
        <f>VLOOKUP(L52,行政合同!$L$6:$CC$300,36,0)</f>
        <v>0</v>
      </c>
      <c r="AV52" s="102">
        <f>VLOOKUP(L52,行政合同!$L$6:$CC$300,37,0)</f>
        <v>0</v>
      </c>
      <c r="AW52" s="102">
        <f>VLOOKUP(L52,行政合同!$L$6:$CC$300,38,0)</f>
        <v>0</v>
      </c>
      <c r="AX52" s="102">
        <f>VLOOKUP(L52,行政合同!$L$6:$CC$300,39,0)</f>
        <v>0</v>
      </c>
      <c r="AY52" s="102">
        <f>VLOOKUP(L52,行政合同!$L$6:$CC$300,40,0)</f>
        <v>0</v>
      </c>
      <c r="AZ52" s="102">
        <f>VLOOKUP(L52,行政合同!$L$6:$CC$300,41,0)</f>
        <v>0</v>
      </c>
      <c r="BA52" s="102">
        <f>VLOOKUP(L52,行政合同!$L$6:$CC$300,42,0)</f>
        <v>0</v>
      </c>
      <c r="BB52" s="102">
        <f>VLOOKUP(L52,行政合同!$L$6:$CC$300,43,0)</f>
        <v>0</v>
      </c>
      <c r="BC52" s="102">
        <f>VLOOKUP(L52,行政合同!$L$6:$CC$300,44,0)</f>
        <v>0</v>
      </c>
      <c r="BD52" s="102">
        <f>VLOOKUP(L52,行政合同!$L$6:$CC$300,45,0)</f>
        <v>0</v>
      </c>
      <c r="BE52" s="102">
        <f>VLOOKUP(L52,行政合同!$L$6:$CC$300,46,0)</f>
        <v>0</v>
      </c>
      <c r="BF52" s="102">
        <f>VLOOKUP(L52,行政合同!$L$6:$CC$300,47,0)</f>
        <v>0</v>
      </c>
      <c r="BG52" s="102">
        <f>VLOOKUP(L52,行政合同!$L$6:$CC$300,48,0)</f>
        <v>0</v>
      </c>
      <c r="BH52" s="102">
        <f>VLOOKUP(L52,行政合同!$L$6:$CC$300,49,0)</f>
        <v>0</v>
      </c>
      <c r="BI52" s="102">
        <f>VLOOKUP(L52,行政合同!$L$6:$CC$300,50,0)</f>
        <v>0</v>
      </c>
      <c r="BJ52" s="102">
        <f>VLOOKUP(L52,行政合同!$L$6:$CC$300,51,0)</f>
        <v>0</v>
      </c>
      <c r="BK52" s="102">
        <f>VLOOKUP(L52,行政合同!$L$6:$CC$300,52,0)</f>
        <v>0</v>
      </c>
      <c r="BL52" s="102">
        <f>VLOOKUP(L52,行政合同!$L$6:$CC$300,53,0)</f>
        <v>0</v>
      </c>
      <c r="BM52" s="102">
        <f>VLOOKUP(L52,行政合同!$L$6:$CC$300,54,0)</f>
        <v>0</v>
      </c>
      <c r="BN52" s="102">
        <f>VLOOKUP(L52,行政合同!$L$6:$CC$300,55,0)</f>
        <v>0</v>
      </c>
      <c r="BO52" s="102">
        <f>VLOOKUP(L52,行政合同!$L$6:$CC$300,56,0)</f>
        <v>0</v>
      </c>
      <c r="BP52" s="102">
        <f>VLOOKUP(L52,行政合同!$L$6:$CC$300,57,0)</f>
        <v>0</v>
      </c>
      <c r="BQ52" s="102">
        <f>VLOOKUP(L52,行政合同!$L$6:$CC$300,58,0)</f>
        <v>0</v>
      </c>
      <c r="BR52" s="102">
        <f>VLOOKUP(L52,行政合同!$L$6:$CC$300,59,0)</f>
        <v>0</v>
      </c>
      <c r="BS52" s="102">
        <f>VLOOKUP(L52,行政合同!$L$6:$CC$300,60,0)</f>
        <v>0</v>
      </c>
      <c r="BT52" s="102">
        <f>VLOOKUP(L52,行政合同!$L$6:$CC$300,61,0)</f>
        <v>0</v>
      </c>
      <c r="BU52" s="102">
        <f>VLOOKUP(L52,行政合同!$L$6:$CC$300,62,0)</f>
        <v>0</v>
      </c>
      <c r="BV52" s="102">
        <f>VLOOKUP(L52,行政合同!$L$6:$CC$300,63,0)</f>
        <v>0</v>
      </c>
      <c r="BW52" s="102">
        <f>VLOOKUP(L52,行政合同!$L$6:$CC$300,64,0)</f>
        <v>0</v>
      </c>
      <c r="BX52" s="102">
        <f>VLOOKUP(L52,行政合同!$L$6:$CC$300,65,0)</f>
        <v>0</v>
      </c>
      <c r="BY52" s="102">
        <f>VLOOKUP(L52,行政合同!$L$6:$CC$300,66,0)</f>
        <v>0</v>
      </c>
      <c r="BZ52" s="102">
        <f>VLOOKUP(L52,行政合同!$L$6:$CC$300,67,0)</f>
        <v>0</v>
      </c>
      <c r="CA52" s="102">
        <f>VLOOKUP(L52,行政合同!$L$6:$CC$300,68,0)</f>
        <v>0</v>
      </c>
      <c r="CB52" s="102">
        <f>VLOOKUP(L52,行政合同!$L$6:$CC$300,69,0)</f>
        <v>0</v>
      </c>
      <c r="CC52" s="102">
        <f>VLOOKUP(L52,行政合同!$L$6:$CC$300,70,0)</f>
        <v>0</v>
      </c>
      <c r="CD52" s="123">
        <f t="shared" si="22"/>
        <v>163300</v>
      </c>
      <c r="CE52" s="102">
        <f t="shared" si="23"/>
        <v>155135</v>
      </c>
      <c r="CF52" s="102">
        <f t="shared" si="24"/>
        <v>155135</v>
      </c>
      <c r="CG52" s="102">
        <f t="shared" si="25"/>
        <v>0</v>
      </c>
      <c r="CH52" s="124">
        <f t="shared" si="26"/>
        <v>8165</v>
      </c>
      <c r="CI52" s="125">
        <f t="shared" si="27"/>
        <v>0.95</v>
      </c>
      <c r="CJ52" s="126" t="str">
        <f t="shared" si="28"/>
        <v>数据正确</v>
      </c>
    </row>
    <row r="53" s="60" customFormat="1" customHeight="1" spans="2:88">
      <c r="B53" s="70" t="str">
        <f t="shared" si="18"/>
        <v>-</v>
      </c>
      <c r="C53" s="71" t="str">
        <f t="shared" si="19"/>
        <v>-</v>
      </c>
      <c r="D53" s="181">
        <f t="shared" si="20"/>
        <v>0</v>
      </c>
      <c r="E53" s="181">
        <f>SUMIF(服务合同!$L$6:$L$300,L53,服务合同!$E$6:$E$300)</f>
        <v>0</v>
      </c>
      <c r="F53" s="181">
        <f>SUMIF(服务合同!$L$6:$L$300,L53,服务合同!$F$6:$F$300)</f>
        <v>0</v>
      </c>
      <c r="G53" s="181">
        <f>SUMIF(服务合同!$L$6:$L$300,L53,服务合同!$G$6:$G$300)</f>
        <v>0</v>
      </c>
      <c r="H53" s="181">
        <f>SUMIF(服务合同!$L$6:$L$300,L53,服务合同!$H$6:$H$300)</f>
        <v>0</v>
      </c>
      <c r="I53" s="181">
        <f t="shared" si="21"/>
        <v>0</v>
      </c>
      <c r="J53" s="86" t="s">
        <v>98</v>
      </c>
      <c r="K53" s="87"/>
      <c r="L53" s="88">
        <v>48</v>
      </c>
      <c r="M53" s="89" t="str">
        <f>VLOOKUP(L53,服务合同!$L$6:$CC$300,2,0)</f>
        <v>YRKJXZ-170002</v>
      </c>
      <c r="N53" s="90" t="str">
        <f>VLOOKUP(L53,服务合同!$L$6:$CC$300,3,0)</f>
        <v>服务合同</v>
      </c>
      <c r="O53" s="265" t="str">
        <f>VLOOKUP(L53,服务合同!$L$6:$CC$300,4,0)</f>
        <v>-</v>
      </c>
      <c r="P53" s="266">
        <f>VLOOKUP(L53,服务合同!$L$6:$CC$300,5,0)</f>
        <v>42769</v>
      </c>
      <c r="Q53" s="275">
        <f>VLOOKUP(L53,服务合同!$L$6:$CC$300,6,0)</f>
        <v>63600</v>
      </c>
      <c r="R53" s="89" t="str">
        <f>VLOOKUP(L53,服务合同!$L$6:$CC$300,7,0)</f>
        <v>专项法律顾问服务</v>
      </c>
      <c r="S53" s="89" t="str">
        <f>VLOOKUP(L53,服务合同!$L$6:$CC$300,8,0)</f>
        <v>福建天衡联合（福州）律师事务所</v>
      </c>
      <c r="T53" s="107">
        <f>VLOOKUP(L53,服务合同!$L$6:$CC$300,9,0)</f>
        <v>0</v>
      </c>
      <c r="U53" s="103" t="str">
        <f>VLOOKUP(L53,服务合同!$L$6:$CC$300,10,0)</f>
        <v>电汇</v>
      </c>
      <c r="V53" s="276" t="str">
        <f>VLOOKUP(L53,服务合同!$L$6:$CC$300,11,0)</f>
        <v>乙方提供增值税发票，合同签订5个工作日之内支付50%</v>
      </c>
      <c r="W53" s="102">
        <f>VLOOKUP(L53,服务合同!$L$6:$CC$300,12,0)</f>
        <v>31800</v>
      </c>
      <c r="X53" s="102">
        <f>VLOOKUP(L53,服务合同!$L$6:$CC$300,13,0)</f>
        <v>0</v>
      </c>
      <c r="Y53" s="102">
        <f>VLOOKUP(L53,服务合同!$L$6:$CC$300,14,0)</f>
        <v>0</v>
      </c>
      <c r="Z53" s="102" t="str">
        <f>VLOOKUP(L53,服务合同!$L$6:$CC$300,15,0)</f>
        <v>乙方提交尽职报告之日5个工作日内支付剩余的50%</v>
      </c>
      <c r="AA53" s="102">
        <f>VLOOKUP(L53,服务合同!$L$6:$CC$300,16,0)</f>
        <v>31800</v>
      </c>
      <c r="AB53" s="102">
        <f>VLOOKUP(L53,服务合同!$L$6:$CC$300,17,0)</f>
        <v>0</v>
      </c>
      <c r="AC53" s="102">
        <f>VLOOKUP(L53,服务合同!$L$6:$CC$300,18,0)</f>
        <v>0</v>
      </c>
      <c r="AD53" s="102">
        <f>VLOOKUP(L53,服务合同!$L$6:$CC$300,19,0)</f>
        <v>0</v>
      </c>
      <c r="AE53" s="102">
        <f>VLOOKUP(L53,服务合同!$L$6:$CC$300,20,0)</f>
        <v>0</v>
      </c>
      <c r="AF53" s="102">
        <f>VLOOKUP(L53,服务合同!$L$6:$CC$300,21,0)</f>
        <v>0</v>
      </c>
      <c r="AG53" s="102">
        <f>VLOOKUP(L53,服务合同!$L$6:$CC$300,22,0)</f>
        <v>0</v>
      </c>
      <c r="AH53" s="102">
        <f>VLOOKUP(L53,服务合同!$L$6:$CC$300,23,0)</f>
        <v>0</v>
      </c>
      <c r="AI53" s="102">
        <f>VLOOKUP(L53,服务合同!$L$6:$CC$300,24,0)</f>
        <v>0</v>
      </c>
      <c r="AJ53" s="102">
        <f>VLOOKUP(L53,服务合同!$L$6:$CC$300,25,0)</f>
        <v>0</v>
      </c>
      <c r="AK53" s="102">
        <f>VLOOKUP(L53,服务合同!$L$6:$CC$300,26,0)</f>
        <v>0</v>
      </c>
      <c r="AL53" s="102">
        <f>VLOOKUP(L53,服务合同!$L$6:$CC$300,27,0)</f>
        <v>0</v>
      </c>
      <c r="AM53" s="102">
        <f>VLOOKUP(L53,服务合同!$L$6:$CC$300,28,0)</f>
        <v>0</v>
      </c>
      <c r="AN53" s="102">
        <f>VLOOKUP(L53,服务合同!$L$6:$CC$300,29,0)</f>
        <v>0</v>
      </c>
      <c r="AO53" s="102">
        <f>VLOOKUP(L53,服务合同!$L$6:$CC$300,30,0)</f>
        <v>0</v>
      </c>
      <c r="AP53" s="102">
        <f>VLOOKUP(L53,服务合同!$L$6:$CC$300,31,0)</f>
        <v>0</v>
      </c>
      <c r="AQ53" s="102">
        <f>VLOOKUP(L53,服务合同!$L$6:$CC$300,32,0)</f>
        <v>0</v>
      </c>
      <c r="AR53" s="102">
        <f>VLOOKUP(L53,服务合同!$L$6:$CC$300,33,0)</f>
        <v>0</v>
      </c>
      <c r="AS53" s="102">
        <f>VLOOKUP(L53,服务合同!$L$6:$CC$300,34,0)</f>
        <v>0</v>
      </c>
      <c r="AT53" s="102">
        <f>VLOOKUP(L53,服务合同!$L$6:$CC$300,35,0)</f>
        <v>0</v>
      </c>
      <c r="AU53" s="102">
        <f>VLOOKUP(L53,服务合同!$L$6:$CC$300,36,0)</f>
        <v>0</v>
      </c>
      <c r="AV53" s="102">
        <f>VLOOKUP(L53,服务合同!$L$6:$CC$300,37,0)</f>
        <v>0</v>
      </c>
      <c r="AW53" s="102">
        <f>VLOOKUP(L53,服务合同!$L$6:$CC$300,38,0)</f>
        <v>0</v>
      </c>
      <c r="AX53" s="102">
        <f>VLOOKUP(L53,服务合同!$L$6:$CC$300,39,0)</f>
        <v>0</v>
      </c>
      <c r="AY53" s="102">
        <f>VLOOKUP(L53,服务合同!$L$6:$CC$300,40,0)</f>
        <v>0</v>
      </c>
      <c r="AZ53" s="102">
        <f>VLOOKUP(L53,服务合同!$L$6:$CC$300,41,0)</f>
        <v>0</v>
      </c>
      <c r="BA53" s="102">
        <f>VLOOKUP(L53,服务合同!$L$6:$CC$300,42,0)</f>
        <v>0</v>
      </c>
      <c r="BB53" s="102">
        <f>VLOOKUP(L53,服务合同!$L$6:$CC$300,43,0)</f>
        <v>0</v>
      </c>
      <c r="BC53" s="102">
        <f>VLOOKUP(L53,服务合同!$L$6:$CC$300,44,0)</f>
        <v>0</v>
      </c>
      <c r="BD53" s="102">
        <f>VLOOKUP(L53,服务合同!$L$6:$CC$300,45,0)</f>
        <v>0</v>
      </c>
      <c r="BE53" s="102">
        <f>VLOOKUP(L53,服务合同!$L$6:$CC$300,46,0)</f>
        <v>0</v>
      </c>
      <c r="BF53" s="102">
        <f>VLOOKUP(L53,服务合同!$L$6:$CC$300,47,0)</f>
        <v>0</v>
      </c>
      <c r="BG53" s="102">
        <f>VLOOKUP(L53,服务合同!$L$6:$CC$300,48,0)</f>
        <v>0</v>
      </c>
      <c r="BH53" s="102">
        <f>VLOOKUP(L53,服务合同!$L$6:$CC$300,49,0)</f>
        <v>0</v>
      </c>
      <c r="BI53" s="102">
        <f>VLOOKUP(L53,服务合同!$L$6:$CC$300,50,0)</f>
        <v>0</v>
      </c>
      <c r="BJ53" s="102">
        <f>VLOOKUP(L53,服务合同!$L$6:$CC$300,51,0)</f>
        <v>0</v>
      </c>
      <c r="BK53" s="102">
        <f>VLOOKUP(L53,服务合同!$L$6:$CC$300,52,0)</f>
        <v>0</v>
      </c>
      <c r="BL53" s="102">
        <f>VLOOKUP(L53,服务合同!$L$6:$CC$300,53,0)</f>
        <v>0</v>
      </c>
      <c r="BM53" s="102">
        <f>VLOOKUP(L53,服务合同!$L$6:$CC$300,54,0)</f>
        <v>0</v>
      </c>
      <c r="BN53" s="102">
        <f>VLOOKUP(L53,服务合同!$L$6:$CC$300,55,0)</f>
        <v>0</v>
      </c>
      <c r="BO53" s="102">
        <f>VLOOKUP(L53,服务合同!$L$6:$CC$300,56,0)</f>
        <v>0</v>
      </c>
      <c r="BP53" s="102">
        <f>VLOOKUP(L53,服务合同!$L$6:$CC$300,57,0)</f>
        <v>0</v>
      </c>
      <c r="BQ53" s="102">
        <f>VLOOKUP(L53,服务合同!$L$6:$CC$300,58,0)</f>
        <v>0</v>
      </c>
      <c r="BR53" s="102">
        <f>VLOOKUP(L53,服务合同!$L$6:$CC$300,59,0)</f>
        <v>0</v>
      </c>
      <c r="BS53" s="102">
        <f>VLOOKUP(L53,服务合同!$L$6:$CC$300,60,0)</f>
        <v>0</v>
      </c>
      <c r="BT53" s="102">
        <f>VLOOKUP(L53,服务合同!$L$6:$CC$300,61,0)</f>
        <v>0</v>
      </c>
      <c r="BU53" s="102">
        <f>VLOOKUP(L53,服务合同!$L$6:$CC$300,62,0)</f>
        <v>0</v>
      </c>
      <c r="BV53" s="102">
        <f>VLOOKUP(L53,服务合同!$L$6:$CC$300,63,0)</f>
        <v>0</v>
      </c>
      <c r="BW53" s="102">
        <f>VLOOKUP(L53,服务合同!$L$6:$CC$300,64,0)</f>
        <v>0</v>
      </c>
      <c r="BX53" s="102">
        <f>VLOOKUP(L53,服务合同!$L$6:$CC$300,65,0)</f>
        <v>0</v>
      </c>
      <c r="BY53" s="102">
        <f>VLOOKUP(L53,服务合同!$L$6:$CC$300,66,0)</f>
        <v>0</v>
      </c>
      <c r="BZ53" s="102">
        <f>VLOOKUP(L53,服务合同!$L$6:$CC$300,67,0)</f>
        <v>0</v>
      </c>
      <c r="CA53" s="102">
        <f>VLOOKUP(L53,服务合同!$L$6:$CC$300,68,0)</f>
        <v>0</v>
      </c>
      <c r="CB53" s="102">
        <f>VLOOKUP(L53,服务合同!$L$6:$CC$300,69,0)</f>
        <v>0</v>
      </c>
      <c r="CC53" s="102">
        <f>VLOOKUP(L53,服务合同!$L$6:$CC$300,70,0)</f>
        <v>0</v>
      </c>
      <c r="CD53" s="123">
        <f t="shared" si="22"/>
        <v>63600</v>
      </c>
      <c r="CE53" s="102">
        <f t="shared" si="23"/>
        <v>0</v>
      </c>
      <c r="CF53" s="102">
        <f t="shared" si="24"/>
        <v>0</v>
      </c>
      <c r="CG53" s="102">
        <f t="shared" si="25"/>
        <v>0</v>
      </c>
      <c r="CH53" s="124">
        <f t="shared" si="26"/>
        <v>63600</v>
      </c>
      <c r="CI53" s="125">
        <f t="shared" si="27"/>
        <v>0</v>
      </c>
      <c r="CJ53" s="126" t="str">
        <f t="shared" si="28"/>
        <v>数据正确</v>
      </c>
    </row>
    <row r="54" s="60" customFormat="1" customHeight="1" spans="2:88">
      <c r="B54" s="70" t="str">
        <f t="shared" si="18"/>
        <v>-</v>
      </c>
      <c r="C54" s="71" t="str">
        <f t="shared" si="19"/>
        <v>-</v>
      </c>
      <c r="D54" s="181">
        <f t="shared" si="20"/>
        <v>35245</v>
      </c>
      <c r="E54" s="181">
        <f>SUMIF(行政合同!$L$6:$L$300,L54,行政合同!$E$6:$E$300)</f>
        <v>0</v>
      </c>
      <c r="F54" s="181">
        <f>SUMIF(行政合同!$L$6:$L$300,L54,行政合同!$F$6:$F$300)</f>
        <v>0</v>
      </c>
      <c r="G54" s="181">
        <f>SUMIF(行政合同!$L$6:$L$300,L54,行政合同!$G$6:$G$300)</f>
        <v>0</v>
      </c>
      <c r="H54" s="181">
        <f>SUMIF(行政合同!$L$6:$L$300,L54,行政合同!$H$6:$H$300)</f>
        <v>0</v>
      </c>
      <c r="I54" s="181">
        <f t="shared" si="21"/>
        <v>0</v>
      </c>
      <c r="J54" s="86" t="s">
        <v>98</v>
      </c>
      <c r="K54" s="87"/>
      <c r="L54" s="88">
        <v>49</v>
      </c>
      <c r="M54" s="89" t="str">
        <f>VLOOKUP(L54,行政合同!$L$6:$CC$300,2,0)</f>
        <v>YRKJXZ-170003</v>
      </c>
      <c r="N54" s="90" t="str">
        <f>VLOOKUP(L54,行政合同!$L$6:$CC$300,3,0)</f>
        <v>行政合同</v>
      </c>
      <c r="O54" s="265">
        <f>VLOOKUP(L54,行政合同!$L$6:$CC$300,4,0)</f>
        <v>2017020055</v>
      </c>
      <c r="P54" s="266">
        <f>VLOOKUP(L54,行政合同!$L$6:$CC$300,5,0)</f>
        <v>42815</v>
      </c>
      <c r="Q54" s="275">
        <f>VLOOKUP(L54,行政合同!$L$6:$CC$300,6,0)</f>
        <v>37100</v>
      </c>
      <c r="R54" s="89" t="str">
        <f>VLOOKUP(L54,行政合同!$L$6:$CC$300,7,0)</f>
        <v>增补三修车间办公家具</v>
      </c>
      <c r="S54" s="89" t="str">
        <f>VLOOKUP(L54,行政合同!$L$6:$CC$300,8,0)</f>
        <v>福州市仓山区恒通日用品经营部 </v>
      </c>
      <c r="T54" s="107">
        <f>VLOOKUP(L54,行政合同!$L$6:$CC$300,9,0)</f>
        <v>0</v>
      </c>
      <c r="U54" s="103" t="str">
        <f>VLOOKUP(L54,行政合同!$L$6:$CC$300,10,0)</f>
        <v>电汇</v>
      </c>
      <c r="V54" s="276" t="str">
        <f>VLOOKUP(L54,行政合同!$L$6:$CC$300,11,0)</f>
        <v>货到交货地点验收合格后，收到100%专票17%后支付95%</v>
      </c>
      <c r="W54" s="102">
        <f>VLOOKUP(L54,行政合同!$L$6:$CC$300,12,0)</f>
        <v>35245</v>
      </c>
      <c r="X54" s="102">
        <f>VLOOKUP(L54,行政合同!$L$6:$CC$300,13,0)</f>
        <v>35245</v>
      </c>
      <c r="Y54" s="102">
        <f>VLOOKUP(L54,行政合同!$L$6:$CC$300,14,0)</f>
        <v>35245</v>
      </c>
      <c r="Z54" s="102" t="str">
        <f>VLOOKUP(L54,行政合同!$L$6:$CC$300,15,0)</f>
        <v>质量保证金5%</v>
      </c>
      <c r="AA54" s="102">
        <f>VLOOKUP(L54,行政合同!$L$6:$CC$300,16,0)</f>
        <v>1855</v>
      </c>
      <c r="AB54" s="102">
        <f>VLOOKUP(L54,行政合同!$L$6:$CC$300,17,0)</f>
        <v>0</v>
      </c>
      <c r="AC54" s="102">
        <f>VLOOKUP(L54,行政合同!$L$6:$CC$300,18,0)</f>
        <v>0</v>
      </c>
      <c r="AD54" s="102">
        <f>VLOOKUP(L54,行政合同!$L$6:$CC$300,19,0)</f>
        <v>0</v>
      </c>
      <c r="AE54" s="102">
        <f>VLOOKUP(L54,行政合同!$L$6:$CC$300,20,0)</f>
        <v>0</v>
      </c>
      <c r="AF54" s="102">
        <f>VLOOKUP(L54,行政合同!$L$6:$CC$300,21,0)</f>
        <v>0</v>
      </c>
      <c r="AG54" s="102">
        <f>VLOOKUP(L54,行政合同!$L$6:$CC$300,22,0)</f>
        <v>0</v>
      </c>
      <c r="AH54" s="102">
        <f>VLOOKUP(L54,行政合同!$L$6:$CC$300,23,0)</f>
        <v>0</v>
      </c>
      <c r="AI54" s="102">
        <f>VLOOKUP(L54,行政合同!$L$6:$CC$300,24,0)</f>
        <v>0</v>
      </c>
      <c r="AJ54" s="102">
        <f>VLOOKUP(L54,行政合同!$L$6:$CC$300,25,0)</f>
        <v>0</v>
      </c>
      <c r="AK54" s="102">
        <f>VLOOKUP(L54,行政合同!$L$6:$CC$300,26,0)</f>
        <v>0</v>
      </c>
      <c r="AL54" s="102">
        <f>VLOOKUP(L54,行政合同!$L$6:$CC$300,27,0)</f>
        <v>0</v>
      </c>
      <c r="AM54" s="102">
        <f>VLOOKUP(L54,行政合同!$L$6:$CC$300,28,0)</f>
        <v>0</v>
      </c>
      <c r="AN54" s="102">
        <f>VLOOKUP(L54,行政合同!$L$6:$CC$300,29,0)</f>
        <v>0</v>
      </c>
      <c r="AO54" s="102">
        <f>VLOOKUP(L54,行政合同!$L$6:$CC$300,30,0)</f>
        <v>0</v>
      </c>
      <c r="AP54" s="102">
        <f>VLOOKUP(L54,行政合同!$L$6:$CC$300,31,0)</f>
        <v>0</v>
      </c>
      <c r="AQ54" s="102">
        <f>VLOOKUP(L54,行政合同!$L$6:$CC$300,32,0)</f>
        <v>0</v>
      </c>
      <c r="AR54" s="102">
        <f>VLOOKUP(L54,行政合同!$L$6:$CC$300,33,0)</f>
        <v>0</v>
      </c>
      <c r="AS54" s="102">
        <f>VLOOKUP(L54,行政合同!$L$6:$CC$300,34,0)</f>
        <v>0</v>
      </c>
      <c r="AT54" s="102">
        <f>VLOOKUP(L54,行政合同!$L$6:$CC$300,35,0)</f>
        <v>0</v>
      </c>
      <c r="AU54" s="102">
        <f>VLOOKUP(L54,行政合同!$L$6:$CC$300,36,0)</f>
        <v>0</v>
      </c>
      <c r="AV54" s="102">
        <f>VLOOKUP(L54,行政合同!$L$6:$CC$300,37,0)</f>
        <v>0</v>
      </c>
      <c r="AW54" s="102">
        <f>VLOOKUP(L54,行政合同!$L$6:$CC$300,38,0)</f>
        <v>0</v>
      </c>
      <c r="AX54" s="102">
        <f>VLOOKUP(L54,行政合同!$L$6:$CC$300,39,0)</f>
        <v>0</v>
      </c>
      <c r="AY54" s="102">
        <f>VLOOKUP(L54,行政合同!$L$6:$CC$300,40,0)</f>
        <v>0</v>
      </c>
      <c r="AZ54" s="102">
        <f>VLOOKUP(L54,行政合同!$L$6:$CC$300,41,0)</f>
        <v>0</v>
      </c>
      <c r="BA54" s="102">
        <f>VLOOKUP(L54,行政合同!$L$6:$CC$300,42,0)</f>
        <v>0</v>
      </c>
      <c r="BB54" s="102">
        <f>VLOOKUP(L54,行政合同!$L$6:$CC$300,43,0)</f>
        <v>0</v>
      </c>
      <c r="BC54" s="102">
        <f>VLOOKUP(L54,行政合同!$L$6:$CC$300,44,0)</f>
        <v>0</v>
      </c>
      <c r="BD54" s="102">
        <f>VLOOKUP(L54,行政合同!$L$6:$CC$300,45,0)</f>
        <v>0</v>
      </c>
      <c r="BE54" s="102">
        <f>VLOOKUP(L54,行政合同!$L$6:$CC$300,46,0)</f>
        <v>0</v>
      </c>
      <c r="BF54" s="102">
        <f>VLOOKUP(L54,行政合同!$L$6:$CC$300,47,0)</f>
        <v>0</v>
      </c>
      <c r="BG54" s="102">
        <f>VLOOKUP(L54,行政合同!$L$6:$CC$300,48,0)</f>
        <v>0</v>
      </c>
      <c r="BH54" s="102">
        <f>VLOOKUP(L54,行政合同!$L$6:$CC$300,49,0)</f>
        <v>0</v>
      </c>
      <c r="BI54" s="102">
        <f>VLOOKUP(L54,行政合同!$L$6:$CC$300,50,0)</f>
        <v>0</v>
      </c>
      <c r="BJ54" s="102">
        <f>VLOOKUP(L54,行政合同!$L$6:$CC$300,51,0)</f>
        <v>0</v>
      </c>
      <c r="BK54" s="102">
        <f>VLOOKUP(L54,行政合同!$L$6:$CC$300,52,0)</f>
        <v>0</v>
      </c>
      <c r="BL54" s="102">
        <f>VLOOKUP(L54,行政合同!$L$6:$CC$300,53,0)</f>
        <v>0</v>
      </c>
      <c r="BM54" s="102">
        <f>VLOOKUP(L54,行政合同!$L$6:$CC$300,54,0)</f>
        <v>0</v>
      </c>
      <c r="BN54" s="102">
        <f>VLOOKUP(L54,行政合同!$L$6:$CC$300,55,0)</f>
        <v>0</v>
      </c>
      <c r="BO54" s="102">
        <f>VLOOKUP(L54,行政合同!$L$6:$CC$300,56,0)</f>
        <v>0</v>
      </c>
      <c r="BP54" s="102">
        <f>VLOOKUP(L54,行政合同!$L$6:$CC$300,57,0)</f>
        <v>0</v>
      </c>
      <c r="BQ54" s="102">
        <f>VLOOKUP(L54,行政合同!$L$6:$CC$300,58,0)</f>
        <v>0</v>
      </c>
      <c r="BR54" s="102">
        <f>VLOOKUP(L54,行政合同!$L$6:$CC$300,59,0)</f>
        <v>0</v>
      </c>
      <c r="BS54" s="102">
        <f>VLOOKUP(L54,行政合同!$L$6:$CC$300,60,0)</f>
        <v>0</v>
      </c>
      <c r="BT54" s="102">
        <f>VLOOKUP(L54,行政合同!$L$6:$CC$300,61,0)</f>
        <v>0</v>
      </c>
      <c r="BU54" s="102">
        <f>VLOOKUP(L54,行政合同!$L$6:$CC$300,62,0)</f>
        <v>0</v>
      </c>
      <c r="BV54" s="102">
        <f>VLOOKUP(L54,行政合同!$L$6:$CC$300,63,0)</f>
        <v>0</v>
      </c>
      <c r="BW54" s="102">
        <f>VLOOKUP(L54,行政合同!$L$6:$CC$300,64,0)</f>
        <v>0</v>
      </c>
      <c r="BX54" s="102">
        <f>VLOOKUP(L54,行政合同!$L$6:$CC$300,65,0)</f>
        <v>0</v>
      </c>
      <c r="BY54" s="102">
        <f>VLOOKUP(L54,行政合同!$L$6:$CC$300,66,0)</f>
        <v>0</v>
      </c>
      <c r="BZ54" s="102">
        <f>VLOOKUP(L54,行政合同!$L$6:$CC$300,67,0)</f>
        <v>0</v>
      </c>
      <c r="CA54" s="102">
        <f>VLOOKUP(L54,行政合同!$L$6:$CC$300,68,0)</f>
        <v>0</v>
      </c>
      <c r="CB54" s="102">
        <f>VLOOKUP(L54,行政合同!$L$6:$CC$300,69,0)</f>
        <v>0</v>
      </c>
      <c r="CC54" s="102">
        <f>VLOOKUP(L54,行政合同!$L$6:$CC$300,70,0)</f>
        <v>0</v>
      </c>
      <c r="CD54" s="123">
        <f t="shared" si="22"/>
        <v>37100</v>
      </c>
      <c r="CE54" s="102">
        <f t="shared" si="23"/>
        <v>35245</v>
      </c>
      <c r="CF54" s="102">
        <f t="shared" si="24"/>
        <v>35245</v>
      </c>
      <c r="CG54" s="102">
        <f t="shared" si="25"/>
        <v>0</v>
      </c>
      <c r="CH54" s="124">
        <f t="shared" si="26"/>
        <v>1855</v>
      </c>
      <c r="CI54" s="125">
        <f t="shared" si="27"/>
        <v>0.95</v>
      </c>
      <c r="CJ54" s="126" t="str">
        <f t="shared" si="28"/>
        <v>数据正确</v>
      </c>
    </row>
    <row r="55" s="60" customFormat="1" customHeight="1" spans="2:88">
      <c r="B55" s="70" t="str">
        <f t="shared" si="18"/>
        <v>-</v>
      </c>
      <c r="C55" s="71" t="str">
        <f t="shared" si="19"/>
        <v>已付清</v>
      </c>
      <c r="D55" s="181">
        <f t="shared" si="20"/>
        <v>23520</v>
      </c>
      <c r="E55" s="181">
        <f>SUMIF(行政合同!$L$6:$L$300,L55,行政合同!$E$6:$E$300)</f>
        <v>0</v>
      </c>
      <c r="F55" s="181">
        <f>SUMIF(行政合同!$L$6:$L$300,L55,行政合同!$F$6:$F$300)</f>
        <v>0</v>
      </c>
      <c r="G55" s="181">
        <f>SUMIF(行政合同!$L$6:$L$300,L55,行政合同!$G$6:$G$300)</f>
        <v>0</v>
      </c>
      <c r="H55" s="181">
        <f>SUMIF(行政合同!$L$6:$L$300,L55,行政合同!$H$6:$H$300)</f>
        <v>0</v>
      </c>
      <c r="I55" s="181">
        <f t="shared" si="21"/>
        <v>0</v>
      </c>
      <c r="J55" s="86" t="s">
        <v>98</v>
      </c>
      <c r="K55" s="87"/>
      <c r="L55" s="88">
        <v>50</v>
      </c>
      <c r="M55" s="89" t="str">
        <f>VLOOKUP(L55,行政合同!$L$6:$CC$300,2,0)</f>
        <v>YRKJXZ-170004</v>
      </c>
      <c r="N55" s="90" t="str">
        <f>VLOOKUP(L55,行政合同!$L$6:$CC$300,3,0)</f>
        <v>行政合同</v>
      </c>
      <c r="O55" s="265">
        <f>VLOOKUP(L55,行政合同!$L$6:$CC$300,4,0)</f>
        <v>2017030009</v>
      </c>
      <c r="P55" s="266">
        <f>VLOOKUP(L55,行政合同!$L$6:$CC$300,5,0)</f>
        <v>42830</v>
      </c>
      <c r="Q55" s="275">
        <f>VLOOKUP(L55,行政合同!$L$6:$CC$300,6,0)</f>
        <v>23520</v>
      </c>
      <c r="R55" s="89" t="str">
        <f>VLOOKUP(L55,行政合同!$L$6:$CC$300,7,0)</f>
        <v>8台扬天台式电脑</v>
      </c>
      <c r="S55" s="89" t="str">
        <f>VLOOKUP(L55,行政合同!$L$6:$CC$300,8,0)</f>
        <v>福建聚众科技有限公司</v>
      </c>
      <c r="T55" s="107">
        <f>VLOOKUP(L55,行政合同!$L$6:$CC$300,9,0)</f>
        <v>0</v>
      </c>
      <c r="U55" s="103" t="str">
        <f>VLOOKUP(L55,行政合同!$L$6:$CC$300,10,0)</f>
        <v>承兑汇票</v>
      </c>
      <c r="V55" s="276" t="str">
        <f>VLOOKUP(L55,行政合同!$L$6:$CC$300,11,0)</f>
        <v>货到交货地点验收合格后，支付100%货款，乙方不接受反向贴息</v>
      </c>
      <c r="W55" s="102">
        <f>VLOOKUP(L55,行政合同!$L$6:$CC$300,12,0)</f>
        <v>23520</v>
      </c>
      <c r="X55" s="102">
        <f>VLOOKUP(L55,行政合同!$L$6:$CC$300,13,0)</f>
        <v>23520</v>
      </c>
      <c r="Y55" s="102">
        <f>VLOOKUP(L55,行政合同!$L$6:$CC$300,14,0)</f>
        <v>23520</v>
      </c>
      <c r="Z55" s="102">
        <f>VLOOKUP(L55,行政合同!$L$6:$CC$300,15,0)</f>
        <v>0</v>
      </c>
      <c r="AA55" s="102">
        <f>VLOOKUP(L55,行政合同!$L$6:$CC$300,16,0)</f>
        <v>0</v>
      </c>
      <c r="AB55" s="102">
        <f>VLOOKUP(L55,行政合同!$L$6:$CC$300,17,0)</f>
        <v>0</v>
      </c>
      <c r="AC55" s="102">
        <f>VLOOKUP(L55,行政合同!$L$6:$CC$300,18,0)</f>
        <v>0</v>
      </c>
      <c r="AD55" s="102">
        <f>VLOOKUP(L55,行政合同!$L$6:$CC$300,19,0)</f>
        <v>0</v>
      </c>
      <c r="AE55" s="102">
        <f>VLOOKUP(L55,行政合同!$L$6:$CC$300,20,0)</f>
        <v>0</v>
      </c>
      <c r="AF55" s="102">
        <f>VLOOKUP(L55,行政合同!$L$6:$CC$300,21,0)</f>
        <v>0</v>
      </c>
      <c r="AG55" s="102">
        <f>VLOOKUP(L55,行政合同!$L$6:$CC$300,22,0)</f>
        <v>0</v>
      </c>
      <c r="AH55" s="102">
        <f>VLOOKUP(L55,行政合同!$L$6:$CC$300,23,0)</f>
        <v>0</v>
      </c>
      <c r="AI55" s="102">
        <f>VLOOKUP(L55,行政合同!$L$6:$CC$300,24,0)</f>
        <v>0</v>
      </c>
      <c r="AJ55" s="102">
        <f>VLOOKUP(L55,行政合同!$L$6:$CC$300,25,0)</f>
        <v>0</v>
      </c>
      <c r="AK55" s="102">
        <f>VLOOKUP(L55,行政合同!$L$6:$CC$300,26,0)</f>
        <v>0</v>
      </c>
      <c r="AL55" s="102">
        <f>VLOOKUP(L55,行政合同!$L$6:$CC$300,27,0)</f>
        <v>0</v>
      </c>
      <c r="AM55" s="102">
        <f>VLOOKUP(L55,行政合同!$L$6:$CC$300,28,0)</f>
        <v>0</v>
      </c>
      <c r="AN55" s="102">
        <f>VLOOKUP(L55,行政合同!$L$6:$CC$300,29,0)</f>
        <v>0</v>
      </c>
      <c r="AO55" s="102">
        <f>VLOOKUP(L55,行政合同!$L$6:$CC$300,30,0)</f>
        <v>0</v>
      </c>
      <c r="AP55" s="102">
        <f>VLOOKUP(L55,行政合同!$L$6:$CC$300,31,0)</f>
        <v>0</v>
      </c>
      <c r="AQ55" s="102">
        <f>VLOOKUP(L55,行政合同!$L$6:$CC$300,32,0)</f>
        <v>0</v>
      </c>
      <c r="AR55" s="102">
        <f>VLOOKUP(L55,行政合同!$L$6:$CC$300,33,0)</f>
        <v>0</v>
      </c>
      <c r="AS55" s="102">
        <f>VLOOKUP(L55,行政合同!$L$6:$CC$300,34,0)</f>
        <v>0</v>
      </c>
      <c r="AT55" s="102">
        <f>VLOOKUP(L55,行政合同!$L$6:$CC$300,35,0)</f>
        <v>0</v>
      </c>
      <c r="AU55" s="102">
        <f>VLOOKUP(L55,行政合同!$L$6:$CC$300,36,0)</f>
        <v>0</v>
      </c>
      <c r="AV55" s="102">
        <f>VLOOKUP(L55,行政合同!$L$6:$CC$300,37,0)</f>
        <v>0</v>
      </c>
      <c r="AW55" s="102">
        <f>VLOOKUP(L55,行政合同!$L$6:$CC$300,38,0)</f>
        <v>0</v>
      </c>
      <c r="AX55" s="102">
        <f>VLOOKUP(L55,行政合同!$L$6:$CC$300,39,0)</f>
        <v>0</v>
      </c>
      <c r="AY55" s="102">
        <f>VLOOKUP(L55,行政合同!$L$6:$CC$300,40,0)</f>
        <v>0</v>
      </c>
      <c r="AZ55" s="102">
        <f>VLOOKUP(L55,行政合同!$L$6:$CC$300,41,0)</f>
        <v>0</v>
      </c>
      <c r="BA55" s="102">
        <f>VLOOKUP(L55,行政合同!$L$6:$CC$300,42,0)</f>
        <v>0</v>
      </c>
      <c r="BB55" s="102">
        <f>VLOOKUP(L55,行政合同!$L$6:$CC$300,43,0)</f>
        <v>0</v>
      </c>
      <c r="BC55" s="102">
        <f>VLOOKUP(L55,行政合同!$L$6:$CC$300,44,0)</f>
        <v>0</v>
      </c>
      <c r="BD55" s="102">
        <f>VLOOKUP(L55,行政合同!$L$6:$CC$300,45,0)</f>
        <v>0</v>
      </c>
      <c r="BE55" s="102">
        <f>VLOOKUP(L55,行政合同!$L$6:$CC$300,46,0)</f>
        <v>0</v>
      </c>
      <c r="BF55" s="102">
        <f>VLOOKUP(L55,行政合同!$L$6:$CC$300,47,0)</f>
        <v>0</v>
      </c>
      <c r="BG55" s="102">
        <f>VLOOKUP(L55,行政合同!$L$6:$CC$300,48,0)</f>
        <v>0</v>
      </c>
      <c r="BH55" s="102">
        <f>VLOOKUP(L55,行政合同!$L$6:$CC$300,49,0)</f>
        <v>0</v>
      </c>
      <c r="BI55" s="102">
        <f>VLOOKUP(L55,行政合同!$L$6:$CC$300,50,0)</f>
        <v>0</v>
      </c>
      <c r="BJ55" s="102">
        <f>VLOOKUP(L55,行政合同!$L$6:$CC$300,51,0)</f>
        <v>0</v>
      </c>
      <c r="BK55" s="102">
        <f>VLOOKUP(L55,行政合同!$L$6:$CC$300,52,0)</f>
        <v>0</v>
      </c>
      <c r="BL55" s="102">
        <f>VLOOKUP(L55,行政合同!$L$6:$CC$300,53,0)</f>
        <v>0</v>
      </c>
      <c r="BM55" s="102">
        <f>VLOOKUP(L55,行政合同!$L$6:$CC$300,54,0)</f>
        <v>0</v>
      </c>
      <c r="BN55" s="102">
        <f>VLOOKUP(L55,行政合同!$L$6:$CC$300,55,0)</f>
        <v>0</v>
      </c>
      <c r="BO55" s="102">
        <f>VLOOKUP(L55,行政合同!$L$6:$CC$300,56,0)</f>
        <v>0</v>
      </c>
      <c r="BP55" s="102">
        <f>VLOOKUP(L55,行政合同!$L$6:$CC$300,57,0)</f>
        <v>0</v>
      </c>
      <c r="BQ55" s="102">
        <f>VLOOKUP(L55,行政合同!$L$6:$CC$300,58,0)</f>
        <v>0</v>
      </c>
      <c r="BR55" s="102">
        <f>VLOOKUP(L55,行政合同!$L$6:$CC$300,59,0)</f>
        <v>0</v>
      </c>
      <c r="BS55" s="102">
        <f>VLOOKUP(L55,行政合同!$L$6:$CC$300,60,0)</f>
        <v>0</v>
      </c>
      <c r="BT55" s="102">
        <f>VLOOKUP(L55,行政合同!$L$6:$CC$300,61,0)</f>
        <v>0</v>
      </c>
      <c r="BU55" s="102">
        <f>VLOOKUP(L55,行政合同!$L$6:$CC$300,62,0)</f>
        <v>0</v>
      </c>
      <c r="BV55" s="102">
        <f>VLOOKUP(L55,行政合同!$L$6:$CC$300,63,0)</f>
        <v>0</v>
      </c>
      <c r="BW55" s="102">
        <f>VLOOKUP(L55,行政合同!$L$6:$CC$300,64,0)</f>
        <v>0</v>
      </c>
      <c r="BX55" s="102">
        <f>VLOOKUP(L55,行政合同!$L$6:$CC$300,65,0)</f>
        <v>0</v>
      </c>
      <c r="BY55" s="102">
        <f>VLOOKUP(L55,行政合同!$L$6:$CC$300,66,0)</f>
        <v>0</v>
      </c>
      <c r="BZ55" s="102">
        <f>VLOOKUP(L55,行政合同!$L$6:$CC$300,67,0)</f>
        <v>0</v>
      </c>
      <c r="CA55" s="102">
        <f>VLOOKUP(L55,行政合同!$L$6:$CC$300,68,0)</f>
        <v>0</v>
      </c>
      <c r="CB55" s="102">
        <f>VLOOKUP(L55,行政合同!$L$6:$CC$300,69,0)</f>
        <v>0</v>
      </c>
      <c r="CC55" s="102">
        <f>VLOOKUP(L55,行政合同!$L$6:$CC$300,70,0)</f>
        <v>0</v>
      </c>
      <c r="CD55" s="123">
        <f t="shared" si="22"/>
        <v>23520</v>
      </c>
      <c r="CE55" s="102">
        <f t="shared" si="23"/>
        <v>23520</v>
      </c>
      <c r="CF55" s="102">
        <f t="shared" si="24"/>
        <v>23520</v>
      </c>
      <c r="CG55" s="102">
        <f t="shared" si="25"/>
        <v>0</v>
      </c>
      <c r="CH55" s="124">
        <f t="shared" si="26"/>
        <v>0</v>
      </c>
      <c r="CI55" s="125">
        <f t="shared" si="27"/>
        <v>1</v>
      </c>
      <c r="CJ55" s="126" t="str">
        <f t="shared" si="28"/>
        <v>数据正确</v>
      </c>
    </row>
    <row r="56" s="60" customFormat="1" customHeight="1" spans="2:88">
      <c r="B56" s="70" t="str">
        <f t="shared" si="18"/>
        <v>-</v>
      </c>
      <c r="C56" s="71" t="str">
        <f t="shared" si="19"/>
        <v>已付清</v>
      </c>
      <c r="D56" s="181">
        <f t="shared" si="20"/>
        <v>77690</v>
      </c>
      <c r="E56" s="181">
        <f>SUMIF(行政合同!$L$6:$L$300,L56,行政合同!$E$6:$E$300)</f>
        <v>0</v>
      </c>
      <c r="F56" s="181">
        <f>SUMIF(行政合同!$L$6:$L$300,L56,行政合同!$F$6:$F$300)</f>
        <v>0</v>
      </c>
      <c r="G56" s="181">
        <f>SUMIF(行政合同!$L$6:$L$300,L56,行政合同!$G$6:$G$300)</f>
        <v>0</v>
      </c>
      <c r="H56" s="181">
        <f>SUMIF(行政合同!$L$6:$L$300,L56,行政合同!$H$6:$H$300)</f>
        <v>0</v>
      </c>
      <c r="I56" s="181">
        <f t="shared" si="21"/>
        <v>0</v>
      </c>
      <c r="J56" s="86" t="s">
        <v>98</v>
      </c>
      <c r="K56" s="87"/>
      <c r="L56" s="88">
        <v>51</v>
      </c>
      <c r="M56" s="89" t="str">
        <f>VLOOKUP(L56,行政合同!$L$6:$CC$300,2,0)</f>
        <v>YRKJXZ-170005</v>
      </c>
      <c r="N56" s="90" t="str">
        <f>VLOOKUP(L56,行政合同!$L$6:$CC$300,3,0)</f>
        <v>行政合同</v>
      </c>
      <c r="O56" s="265">
        <f>VLOOKUP(L56,行政合同!$L$6:$CC$300,4,0)</f>
        <v>2017040026</v>
      </c>
      <c r="P56" s="266">
        <f>VLOOKUP(L56,行政合同!$L$6:$CC$300,5,0)</f>
        <v>42839</v>
      </c>
      <c r="Q56" s="275">
        <f>VLOOKUP(L56,行政合同!$L$6:$CC$300,6,0)</f>
        <v>77690</v>
      </c>
      <c r="R56" s="89" t="str">
        <f>VLOOKUP(L56,行政合同!$L$6:$CC$300,7,0)</f>
        <v>14台扬天台式电脑和1台戴尔电脑</v>
      </c>
      <c r="S56" s="89" t="str">
        <f>VLOOKUP(L56,行政合同!$L$6:$CC$300,8,0)</f>
        <v>福建聚众科技有限公司</v>
      </c>
      <c r="T56" s="107">
        <f>VLOOKUP(L56,行政合同!$L$6:$CC$300,9,0)</f>
        <v>0</v>
      </c>
      <c r="U56" s="103" t="str">
        <f>VLOOKUP(L56,行政合同!$L$6:$CC$300,10,0)</f>
        <v>承兑汇票</v>
      </c>
      <c r="V56" s="276" t="str">
        <f>VLOOKUP(L56,行政合同!$L$6:$CC$300,11,0)</f>
        <v>货到交货地点验收合格后，支付100%货款，乙方不接受反向贴息</v>
      </c>
      <c r="W56" s="102">
        <f>VLOOKUP(L56,行政合同!$L$6:$CC$300,12,0)</f>
        <v>77690</v>
      </c>
      <c r="X56" s="102">
        <f>VLOOKUP(L56,行政合同!$L$6:$CC$300,13,0)</f>
        <v>77690</v>
      </c>
      <c r="Y56" s="102">
        <f>VLOOKUP(L56,行政合同!$L$6:$CC$300,14,0)</f>
        <v>77690</v>
      </c>
      <c r="Z56" s="102">
        <f>VLOOKUP(L56,行政合同!$L$6:$CC$300,15,0)</f>
        <v>0</v>
      </c>
      <c r="AA56" s="102">
        <f>VLOOKUP(L56,行政合同!$L$6:$CC$300,16,0)</f>
        <v>0</v>
      </c>
      <c r="AB56" s="102">
        <f>VLOOKUP(L56,行政合同!$L$6:$CC$300,17,0)</f>
        <v>0</v>
      </c>
      <c r="AC56" s="102">
        <f>VLOOKUP(L56,行政合同!$L$6:$CC$300,18,0)</f>
        <v>0</v>
      </c>
      <c r="AD56" s="102">
        <f>VLOOKUP(L56,行政合同!$L$6:$CC$300,19,0)</f>
        <v>0</v>
      </c>
      <c r="AE56" s="102">
        <f>VLOOKUP(L56,行政合同!$L$6:$CC$300,20,0)</f>
        <v>0</v>
      </c>
      <c r="AF56" s="102">
        <f>VLOOKUP(L56,行政合同!$L$6:$CC$300,21,0)</f>
        <v>0</v>
      </c>
      <c r="AG56" s="102">
        <f>VLOOKUP(L56,行政合同!$L$6:$CC$300,22,0)</f>
        <v>0</v>
      </c>
      <c r="AH56" s="102">
        <f>VLOOKUP(L56,行政合同!$L$6:$CC$300,23,0)</f>
        <v>0</v>
      </c>
      <c r="AI56" s="102">
        <f>VLOOKUP(L56,行政合同!$L$6:$CC$300,24,0)</f>
        <v>0</v>
      </c>
      <c r="AJ56" s="102">
        <f>VLOOKUP(L56,行政合同!$L$6:$CC$300,25,0)</f>
        <v>0</v>
      </c>
      <c r="AK56" s="102">
        <f>VLOOKUP(L56,行政合同!$L$6:$CC$300,26,0)</f>
        <v>0</v>
      </c>
      <c r="AL56" s="102">
        <f>VLOOKUP(L56,行政合同!$L$6:$CC$300,27,0)</f>
        <v>0</v>
      </c>
      <c r="AM56" s="102">
        <f>VLOOKUP(L56,行政合同!$L$6:$CC$300,28,0)</f>
        <v>0</v>
      </c>
      <c r="AN56" s="102">
        <f>VLOOKUP(L56,行政合同!$L$6:$CC$300,29,0)</f>
        <v>0</v>
      </c>
      <c r="AO56" s="102">
        <f>VLOOKUP(L56,行政合同!$L$6:$CC$300,30,0)</f>
        <v>0</v>
      </c>
      <c r="AP56" s="102">
        <f>VLOOKUP(L56,行政合同!$L$6:$CC$300,31,0)</f>
        <v>0</v>
      </c>
      <c r="AQ56" s="102">
        <f>VLOOKUP(L56,行政合同!$L$6:$CC$300,32,0)</f>
        <v>0</v>
      </c>
      <c r="AR56" s="102">
        <f>VLOOKUP(L56,行政合同!$L$6:$CC$300,33,0)</f>
        <v>0</v>
      </c>
      <c r="AS56" s="102">
        <f>VLOOKUP(L56,行政合同!$L$6:$CC$300,34,0)</f>
        <v>0</v>
      </c>
      <c r="AT56" s="102">
        <f>VLOOKUP(L56,行政合同!$L$6:$CC$300,35,0)</f>
        <v>0</v>
      </c>
      <c r="AU56" s="102">
        <f>VLOOKUP(L56,行政合同!$L$6:$CC$300,36,0)</f>
        <v>0</v>
      </c>
      <c r="AV56" s="102">
        <f>VLOOKUP(L56,行政合同!$L$6:$CC$300,37,0)</f>
        <v>0</v>
      </c>
      <c r="AW56" s="102">
        <f>VLOOKUP(L56,行政合同!$L$6:$CC$300,38,0)</f>
        <v>0</v>
      </c>
      <c r="AX56" s="102">
        <f>VLOOKUP(L56,行政合同!$L$6:$CC$300,39,0)</f>
        <v>0</v>
      </c>
      <c r="AY56" s="102">
        <f>VLOOKUP(L56,行政合同!$L$6:$CC$300,40,0)</f>
        <v>0</v>
      </c>
      <c r="AZ56" s="102">
        <f>VLOOKUP(L56,行政合同!$L$6:$CC$300,41,0)</f>
        <v>0</v>
      </c>
      <c r="BA56" s="102">
        <f>VLOOKUP(L56,行政合同!$L$6:$CC$300,42,0)</f>
        <v>0</v>
      </c>
      <c r="BB56" s="102">
        <f>VLOOKUP(L56,行政合同!$L$6:$CC$300,43,0)</f>
        <v>0</v>
      </c>
      <c r="BC56" s="102">
        <f>VLOOKUP(L56,行政合同!$L$6:$CC$300,44,0)</f>
        <v>0</v>
      </c>
      <c r="BD56" s="102">
        <f>VLOOKUP(L56,行政合同!$L$6:$CC$300,45,0)</f>
        <v>0</v>
      </c>
      <c r="BE56" s="102">
        <f>VLOOKUP(L56,行政合同!$L$6:$CC$300,46,0)</f>
        <v>0</v>
      </c>
      <c r="BF56" s="102">
        <f>VLOOKUP(L56,行政合同!$L$6:$CC$300,47,0)</f>
        <v>0</v>
      </c>
      <c r="BG56" s="102">
        <f>VLOOKUP(L56,行政合同!$L$6:$CC$300,48,0)</f>
        <v>0</v>
      </c>
      <c r="BH56" s="102">
        <f>VLOOKUP(L56,行政合同!$L$6:$CC$300,49,0)</f>
        <v>0</v>
      </c>
      <c r="BI56" s="102">
        <f>VLOOKUP(L56,行政合同!$L$6:$CC$300,50,0)</f>
        <v>0</v>
      </c>
      <c r="BJ56" s="102">
        <f>VLOOKUP(L56,行政合同!$L$6:$CC$300,51,0)</f>
        <v>0</v>
      </c>
      <c r="BK56" s="102">
        <f>VLOOKUP(L56,行政合同!$L$6:$CC$300,52,0)</f>
        <v>0</v>
      </c>
      <c r="BL56" s="102">
        <f>VLOOKUP(L56,行政合同!$L$6:$CC$300,53,0)</f>
        <v>0</v>
      </c>
      <c r="BM56" s="102">
        <f>VLOOKUP(L56,行政合同!$L$6:$CC$300,54,0)</f>
        <v>0</v>
      </c>
      <c r="BN56" s="102">
        <f>VLOOKUP(L56,行政合同!$L$6:$CC$300,55,0)</f>
        <v>0</v>
      </c>
      <c r="BO56" s="102">
        <f>VLOOKUP(L56,行政合同!$L$6:$CC$300,56,0)</f>
        <v>0</v>
      </c>
      <c r="BP56" s="102">
        <f>VLOOKUP(L56,行政合同!$L$6:$CC$300,57,0)</f>
        <v>0</v>
      </c>
      <c r="BQ56" s="102">
        <f>VLOOKUP(L56,行政合同!$L$6:$CC$300,58,0)</f>
        <v>0</v>
      </c>
      <c r="BR56" s="102">
        <f>VLOOKUP(L56,行政合同!$L$6:$CC$300,59,0)</f>
        <v>0</v>
      </c>
      <c r="BS56" s="102">
        <f>VLOOKUP(L56,行政合同!$L$6:$CC$300,60,0)</f>
        <v>0</v>
      </c>
      <c r="BT56" s="102">
        <f>VLOOKUP(L56,行政合同!$L$6:$CC$300,61,0)</f>
        <v>0</v>
      </c>
      <c r="BU56" s="102">
        <f>VLOOKUP(L56,行政合同!$L$6:$CC$300,62,0)</f>
        <v>0</v>
      </c>
      <c r="BV56" s="102">
        <f>VLOOKUP(L56,行政合同!$L$6:$CC$300,63,0)</f>
        <v>0</v>
      </c>
      <c r="BW56" s="102">
        <f>VLOOKUP(L56,行政合同!$L$6:$CC$300,64,0)</f>
        <v>0</v>
      </c>
      <c r="BX56" s="102">
        <f>VLOOKUP(L56,行政合同!$L$6:$CC$300,65,0)</f>
        <v>0</v>
      </c>
      <c r="BY56" s="102">
        <f>VLOOKUP(L56,行政合同!$L$6:$CC$300,66,0)</f>
        <v>0</v>
      </c>
      <c r="BZ56" s="102">
        <f>VLOOKUP(L56,行政合同!$L$6:$CC$300,67,0)</f>
        <v>0</v>
      </c>
      <c r="CA56" s="102">
        <f>VLOOKUP(L56,行政合同!$L$6:$CC$300,68,0)</f>
        <v>0</v>
      </c>
      <c r="CB56" s="102">
        <f>VLOOKUP(L56,行政合同!$L$6:$CC$300,69,0)</f>
        <v>0</v>
      </c>
      <c r="CC56" s="102">
        <f>VLOOKUP(L56,行政合同!$L$6:$CC$300,70,0)</f>
        <v>0</v>
      </c>
      <c r="CD56" s="123">
        <f t="shared" si="22"/>
        <v>77690</v>
      </c>
      <c r="CE56" s="102">
        <f t="shared" si="23"/>
        <v>77690</v>
      </c>
      <c r="CF56" s="102">
        <f t="shared" si="24"/>
        <v>77690</v>
      </c>
      <c r="CG56" s="102">
        <f t="shared" si="25"/>
        <v>0</v>
      </c>
      <c r="CH56" s="124">
        <f t="shared" si="26"/>
        <v>0</v>
      </c>
      <c r="CI56" s="125">
        <f t="shared" si="27"/>
        <v>1</v>
      </c>
      <c r="CJ56" s="126" t="str">
        <f t="shared" si="28"/>
        <v>数据正确</v>
      </c>
    </row>
    <row r="57" s="60" customFormat="1" customHeight="1" spans="2:88">
      <c r="B57" s="70" t="str">
        <f t="shared" si="18"/>
        <v>-</v>
      </c>
      <c r="C57" s="71" t="str">
        <f t="shared" si="19"/>
        <v>已付清</v>
      </c>
      <c r="D57" s="181">
        <f t="shared" si="20"/>
        <v>87600</v>
      </c>
      <c r="E57" s="181">
        <f>SUMIF(行政合同!$L$6:$L$300,L57,行政合同!$E$6:$E$300)</f>
        <v>0</v>
      </c>
      <c r="F57" s="181">
        <f>SUMIF(行政合同!$L$6:$L$300,L57,行政合同!$F$6:$F$300)</f>
        <v>0</v>
      </c>
      <c r="G57" s="181">
        <f>SUMIF(行政合同!$L$6:$L$300,L57,行政合同!$G$6:$G$300)</f>
        <v>0</v>
      </c>
      <c r="H57" s="181">
        <f>SUMIF(行政合同!$L$6:$L$300,L57,行政合同!$H$6:$H$300)</f>
        <v>0</v>
      </c>
      <c r="I57" s="181">
        <f t="shared" si="21"/>
        <v>0</v>
      </c>
      <c r="J57" s="86" t="s">
        <v>98</v>
      </c>
      <c r="K57" s="87"/>
      <c r="L57" s="88">
        <v>52</v>
      </c>
      <c r="M57" s="89" t="str">
        <f>VLOOKUP(L57,行政合同!$L$6:$CC$300,2,0)</f>
        <v>YRKJXZ-170006</v>
      </c>
      <c r="N57" s="90" t="str">
        <f>VLOOKUP(L57,行政合同!$L$6:$CC$300,3,0)</f>
        <v>行政合同</v>
      </c>
      <c r="O57" s="265" t="str">
        <f>VLOOKUP(L57,行政合同!$L$6:$CC$300,4,0)</f>
        <v>-</v>
      </c>
      <c r="P57" s="266">
        <f>VLOOKUP(L57,行政合同!$L$6:$CC$300,5,0)</f>
        <v>42845</v>
      </c>
      <c r="Q57" s="275">
        <f>VLOOKUP(L57,行政合同!$L$6:$CC$300,6,0)</f>
        <v>87600</v>
      </c>
      <c r="R57" s="89" t="str">
        <f>VLOOKUP(L57,行政合同!$L$6:$CC$300,7,0)</f>
        <v>2017年夏季工作服600套*146元/套</v>
      </c>
      <c r="S57" s="89" t="str">
        <f>VLOOKUP(L57,行政合同!$L$6:$CC$300,8,0)</f>
        <v>才子服饰股份有限公司</v>
      </c>
      <c r="T57" s="107">
        <f>VLOOKUP(L57,行政合同!$L$6:$CC$300,9,0)</f>
        <v>0</v>
      </c>
      <c r="U57" s="103" t="str">
        <f>VLOOKUP(L57,行政合同!$L$6:$CC$300,10,0)</f>
        <v>承兑汇票</v>
      </c>
      <c r="V57" s="276" t="str">
        <f>VLOOKUP(L57,行政合同!$L$6:$CC$300,11,0)</f>
        <v>货到交货点验收合格后支付100%货款</v>
      </c>
      <c r="W57" s="102">
        <f>VLOOKUP(L57,行政合同!$L$6:$CC$300,12,0)</f>
        <v>87600</v>
      </c>
      <c r="X57" s="102">
        <f>VLOOKUP(L57,行政合同!$L$6:$CC$300,13,0)</f>
        <v>87600</v>
      </c>
      <c r="Y57" s="102">
        <f>VLOOKUP(L57,行政合同!$L$6:$CC$300,14,0)</f>
        <v>87600</v>
      </c>
      <c r="Z57" s="102">
        <f>VLOOKUP(L57,行政合同!$L$6:$CC$300,15,0)</f>
        <v>0</v>
      </c>
      <c r="AA57" s="102">
        <f>VLOOKUP(L57,行政合同!$L$6:$CC$300,16,0)</f>
        <v>0</v>
      </c>
      <c r="AB57" s="102">
        <f>VLOOKUP(L57,行政合同!$L$6:$CC$300,17,0)</f>
        <v>0</v>
      </c>
      <c r="AC57" s="102">
        <f>VLOOKUP(L57,行政合同!$L$6:$CC$300,18,0)</f>
        <v>0</v>
      </c>
      <c r="AD57" s="102">
        <f>VLOOKUP(L57,行政合同!$L$6:$CC$300,19,0)</f>
        <v>0</v>
      </c>
      <c r="AE57" s="102">
        <f>VLOOKUP(L57,行政合同!$L$6:$CC$300,20,0)</f>
        <v>0</v>
      </c>
      <c r="AF57" s="102">
        <f>VLOOKUP(L57,行政合同!$L$6:$CC$300,21,0)</f>
        <v>0</v>
      </c>
      <c r="AG57" s="102">
        <f>VLOOKUP(L57,行政合同!$L$6:$CC$300,22,0)</f>
        <v>0</v>
      </c>
      <c r="AH57" s="102">
        <f>VLOOKUP(L57,行政合同!$L$6:$CC$300,23,0)</f>
        <v>0</v>
      </c>
      <c r="AI57" s="102">
        <f>VLOOKUP(L57,行政合同!$L$6:$CC$300,24,0)</f>
        <v>0</v>
      </c>
      <c r="AJ57" s="102">
        <f>VLOOKUP(L57,行政合同!$L$6:$CC$300,25,0)</f>
        <v>0</v>
      </c>
      <c r="AK57" s="102">
        <f>VLOOKUP(L57,行政合同!$L$6:$CC$300,26,0)</f>
        <v>0</v>
      </c>
      <c r="AL57" s="102">
        <f>VLOOKUP(L57,行政合同!$L$6:$CC$300,27,0)</f>
        <v>0</v>
      </c>
      <c r="AM57" s="102">
        <f>VLOOKUP(L57,行政合同!$L$6:$CC$300,28,0)</f>
        <v>0</v>
      </c>
      <c r="AN57" s="102">
        <f>VLOOKUP(L57,行政合同!$L$6:$CC$300,29,0)</f>
        <v>0</v>
      </c>
      <c r="AO57" s="102">
        <f>VLOOKUP(L57,行政合同!$L$6:$CC$300,30,0)</f>
        <v>0</v>
      </c>
      <c r="AP57" s="102">
        <f>VLOOKUP(L57,行政合同!$L$6:$CC$300,31,0)</f>
        <v>0</v>
      </c>
      <c r="AQ57" s="102">
        <f>VLOOKUP(L57,行政合同!$L$6:$CC$300,32,0)</f>
        <v>0</v>
      </c>
      <c r="AR57" s="102">
        <f>VLOOKUP(L57,行政合同!$L$6:$CC$300,33,0)</f>
        <v>0</v>
      </c>
      <c r="AS57" s="102">
        <f>VLOOKUP(L57,行政合同!$L$6:$CC$300,34,0)</f>
        <v>0</v>
      </c>
      <c r="AT57" s="102">
        <f>VLOOKUP(L57,行政合同!$L$6:$CC$300,35,0)</f>
        <v>0</v>
      </c>
      <c r="AU57" s="102">
        <f>VLOOKUP(L57,行政合同!$L$6:$CC$300,36,0)</f>
        <v>0</v>
      </c>
      <c r="AV57" s="102">
        <f>VLOOKUP(L57,行政合同!$L$6:$CC$300,37,0)</f>
        <v>0</v>
      </c>
      <c r="AW57" s="102">
        <f>VLOOKUP(L57,行政合同!$L$6:$CC$300,38,0)</f>
        <v>0</v>
      </c>
      <c r="AX57" s="102">
        <f>VLOOKUP(L57,行政合同!$L$6:$CC$300,39,0)</f>
        <v>0</v>
      </c>
      <c r="AY57" s="102">
        <f>VLOOKUP(L57,行政合同!$L$6:$CC$300,40,0)</f>
        <v>0</v>
      </c>
      <c r="AZ57" s="102">
        <f>VLOOKUP(L57,行政合同!$L$6:$CC$300,41,0)</f>
        <v>0</v>
      </c>
      <c r="BA57" s="102">
        <f>VLOOKUP(L57,行政合同!$L$6:$CC$300,42,0)</f>
        <v>0</v>
      </c>
      <c r="BB57" s="102">
        <f>VLOOKUP(L57,行政合同!$L$6:$CC$300,43,0)</f>
        <v>0</v>
      </c>
      <c r="BC57" s="102">
        <f>VLOOKUP(L57,行政合同!$L$6:$CC$300,44,0)</f>
        <v>0</v>
      </c>
      <c r="BD57" s="102">
        <f>VLOOKUP(L57,行政合同!$L$6:$CC$300,45,0)</f>
        <v>0</v>
      </c>
      <c r="BE57" s="102">
        <f>VLOOKUP(L57,行政合同!$L$6:$CC$300,46,0)</f>
        <v>0</v>
      </c>
      <c r="BF57" s="102">
        <f>VLOOKUP(L57,行政合同!$L$6:$CC$300,47,0)</f>
        <v>0</v>
      </c>
      <c r="BG57" s="102">
        <f>VLOOKUP(L57,行政合同!$L$6:$CC$300,48,0)</f>
        <v>0</v>
      </c>
      <c r="BH57" s="102">
        <f>VLOOKUP(L57,行政合同!$L$6:$CC$300,49,0)</f>
        <v>0</v>
      </c>
      <c r="BI57" s="102">
        <f>VLOOKUP(L57,行政合同!$L$6:$CC$300,50,0)</f>
        <v>0</v>
      </c>
      <c r="BJ57" s="102">
        <f>VLOOKUP(L57,行政合同!$L$6:$CC$300,51,0)</f>
        <v>0</v>
      </c>
      <c r="BK57" s="102">
        <f>VLOOKUP(L57,行政合同!$L$6:$CC$300,52,0)</f>
        <v>0</v>
      </c>
      <c r="BL57" s="102">
        <f>VLOOKUP(L57,行政合同!$L$6:$CC$300,53,0)</f>
        <v>0</v>
      </c>
      <c r="BM57" s="102">
        <f>VLOOKUP(L57,行政合同!$L$6:$CC$300,54,0)</f>
        <v>0</v>
      </c>
      <c r="BN57" s="102">
        <f>VLOOKUP(L57,行政合同!$L$6:$CC$300,55,0)</f>
        <v>0</v>
      </c>
      <c r="BO57" s="102">
        <f>VLOOKUP(L57,行政合同!$L$6:$CC$300,56,0)</f>
        <v>0</v>
      </c>
      <c r="BP57" s="102">
        <f>VLOOKUP(L57,行政合同!$L$6:$CC$300,57,0)</f>
        <v>0</v>
      </c>
      <c r="BQ57" s="102">
        <f>VLOOKUP(L57,行政合同!$L$6:$CC$300,58,0)</f>
        <v>0</v>
      </c>
      <c r="BR57" s="102">
        <f>VLOOKUP(L57,行政合同!$L$6:$CC$300,59,0)</f>
        <v>0</v>
      </c>
      <c r="BS57" s="102">
        <f>VLOOKUP(L57,行政合同!$L$6:$CC$300,60,0)</f>
        <v>0</v>
      </c>
      <c r="BT57" s="102">
        <f>VLOOKUP(L57,行政合同!$L$6:$CC$300,61,0)</f>
        <v>0</v>
      </c>
      <c r="BU57" s="102">
        <f>VLOOKUP(L57,行政合同!$L$6:$CC$300,62,0)</f>
        <v>0</v>
      </c>
      <c r="BV57" s="102">
        <f>VLOOKUP(L57,行政合同!$L$6:$CC$300,63,0)</f>
        <v>0</v>
      </c>
      <c r="BW57" s="102">
        <f>VLOOKUP(L57,行政合同!$L$6:$CC$300,64,0)</f>
        <v>0</v>
      </c>
      <c r="BX57" s="102">
        <f>VLOOKUP(L57,行政合同!$L$6:$CC$300,65,0)</f>
        <v>0</v>
      </c>
      <c r="BY57" s="102">
        <f>VLOOKUP(L57,行政合同!$L$6:$CC$300,66,0)</f>
        <v>0</v>
      </c>
      <c r="BZ57" s="102">
        <f>VLOOKUP(L57,行政合同!$L$6:$CC$300,67,0)</f>
        <v>0</v>
      </c>
      <c r="CA57" s="102">
        <f>VLOOKUP(L57,行政合同!$L$6:$CC$300,68,0)</f>
        <v>0</v>
      </c>
      <c r="CB57" s="102">
        <f>VLOOKUP(L57,行政合同!$L$6:$CC$300,69,0)</f>
        <v>0</v>
      </c>
      <c r="CC57" s="102">
        <f>VLOOKUP(L57,行政合同!$L$6:$CC$300,70,0)</f>
        <v>0</v>
      </c>
      <c r="CD57" s="123">
        <f t="shared" si="22"/>
        <v>87600</v>
      </c>
      <c r="CE57" s="102">
        <f t="shared" si="23"/>
        <v>87600</v>
      </c>
      <c r="CF57" s="102">
        <f t="shared" si="24"/>
        <v>87600</v>
      </c>
      <c r="CG57" s="102">
        <f t="shared" si="25"/>
        <v>0</v>
      </c>
      <c r="CH57" s="124">
        <f t="shared" si="26"/>
        <v>0</v>
      </c>
      <c r="CI57" s="125">
        <f t="shared" si="27"/>
        <v>1</v>
      </c>
      <c r="CJ57" s="126" t="str">
        <f t="shared" si="28"/>
        <v>数据正确</v>
      </c>
    </row>
    <row r="58" s="60" customFormat="1" customHeight="1" spans="2:88">
      <c r="B58" s="70" t="str">
        <f t="shared" si="18"/>
        <v>-</v>
      </c>
      <c r="C58" s="71" t="str">
        <f t="shared" si="19"/>
        <v>-</v>
      </c>
      <c r="D58" s="181">
        <f t="shared" si="20"/>
        <v>0</v>
      </c>
      <c r="E58" s="181">
        <f>SUMIF(行政合同!$L$6:$L$300,L58,行政合同!$E$6:$E$300)</f>
        <v>0</v>
      </c>
      <c r="F58" s="181">
        <f>SUMIF(行政合同!$L$6:$L$300,L58,行政合同!$F$6:$F$300)</f>
        <v>0</v>
      </c>
      <c r="G58" s="181">
        <f>SUMIF(行政合同!$L$6:$L$300,L58,行政合同!$G$6:$G$300)</f>
        <v>0</v>
      </c>
      <c r="H58" s="181">
        <f>SUMIF(行政合同!$L$6:$L$300,L58,行政合同!$H$6:$H$300)</f>
        <v>0</v>
      </c>
      <c r="I58" s="181">
        <f t="shared" si="21"/>
        <v>0</v>
      </c>
      <c r="J58" s="86" t="s">
        <v>98</v>
      </c>
      <c r="K58" s="87"/>
      <c r="L58" s="88">
        <v>53</v>
      </c>
      <c r="M58" s="89" t="str">
        <f>VLOOKUP(L58,行政合同!$L$6:$CC$300,2,0)</f>
        <v>YRKJXZ-170007</v>
      </c>
      <c r="N58" s="90" t="str">
        <f>VLOOKUP(L58,行政合同!$L$6:$CC$300,3,0)</f>
        <v>行政合同</v>
      </c>
      <c r="O58" s="265">
        <f>VLOOKUP(L58,行政合同!$L$6:$CC$300,4,0)</f>
        <v>2017050003</v>
      </c>
      <c r="P58" s="266">
        <f>VLOOKUP(L58,行政合同!$L$6:$CC$300,5,0)</f>
        <v>42872</v>
      </c>
      <c r="Q58" s="275">
        <f>VLOOKUP(L58,行政合同!$L$6:$CC$300,6,0)</f>
        <v>91200</v>
      </c>
      <c r="R58" s="89" t="str">
        <f>VLOOKUP(L58,行政合同!$L$6:$CC$300,7,0)</f>
        <v>5匹格力单冷空调12台*7600元/台</v>
      </c>
      <c r="S58" s="89" t="str">
        <f>VLOOKUP(L58,行政合同!$L$6:$CC$300,8,0)</f>
        <v>莆田市涵江区意盛电器有限公司</v>
      </c>
      <c r="T58" s="107">
        <f>VLOOKUP(L58,行政合同!$L$6:$CC$300,9,0)</f>
        <v>0</v>
      </c>
      <c r="U58" s="103" t="str">
        <f>VLOOKUP(L58,行政合同!$L$6:$CC$300,10,0)</f>
        <v>电汇</v>
      </c>
      <c r="V58" s="276" t="str">
        <f>VLOOKUP(L58,行政合同!$L$6:$CC$300,11,0)</f>
        <v>货到交货地点验收合格后收到17%全额专票后10个工作日支付全款</v>
      </c>
      <c r="W58" s="102">
        <f>VLOOKUP(L58,行政合同!$L$6:$CC$300,12,0)</f>
        <v>91200</v>
      </c>
      <c r="X58" s="102">
        <f>VLOOKUP(L58,行政合同!$L$6:$CC$300,13,0)</f>
        <v>0</v>
      </c>
      <c r="Y58" s="102">
        <f>VLOOKUP(L58,行政合同!$L$6:$CC$300,14,0)</f>
        <v>0</v>
      </c>
      <c r="Z58" s="102">
        <f>VLOOKUP(L58,行政合同!$L$6:$CC$300,15,0)</f>
        <v>0</v>
      </c>
      <c r="AA58" s="102">
        <f>VLOOKUP(L58,行政合同!$L$6:$CC$300,16,0)</f>
        <v>0</v>
      </c>
      <c r="AB58" s="102">
        <f>VLOOKUP(L58,行政合同!$L$6:$CC$300,17,0)</f>
        <v>0</v>
      </c>
      <c r="AC58" s="102">
        <f>VLOOKUP(L58,行政合同!$L$6:$CC$300,18,0)</f>
        <v>0</v>
      </c>
      <c r="AD58" s="102">
        <f>VLOOKUP(L58,行政合同!$L$6:$CC$300,19,0)</f>
        <v>0</v>
      </c>
      <c r="AE58" s="102">
        <f>VLOOKUP(L58,行政合同!$L$6:$CC$300,20,0)</f>
        <v>0</v>
      </c>
      <c r="AF58" s="102">
        <f>VLOOKUP(L58,行政合同!$L$6:$CC$300,21,0)</f>
        <v>0</v>
      </c>
      <c r="AG58" s="102">
        <f>VLOOKUP(L58,行政合同!$L$6:$CC$300,22,0)</f>
        <v>0</v>
      </c>
      <c r="AH58" s="102">
        <f>VLOOKUP(L58,行政合同!$L$6:$CC$300,23,0)</f>
        <v>0</v>
      </c>
      <c r="AI58" s="102">
        <f>VLOOKUP(L58,行政合同!$L$6:$CC$300,24,0)</f>
        <v>0</v>
      </c>
      <c r="AJ58" s="102">
        <f>VLOOKUP(L58,行政合同!$L$6:$CC$300,25,0)</f>
        <v>0</v>
      </c>
      <c r="AK58" s="102">
        <f>VLOOKUP(L58,行政合同!$L$6:$CC$300,26,0)</f>
        <v>0</v>
      </c>
      <c r="AL58" s="102">
        <f>VLOOKUP(L58,行政合同!$L$6:$CC$300,27,0)</f>
        <v>0</v>
      </c>
      <c r="AM58" s="102">
        <f>VLOOKUP(L58,行政合同!$L$6:$CC$300,28,0)</f>
        <v>0</v>
      </c>
      <c r="AN58" s="102">
        <f>VLOOKUP(L58,行政合同!$L$6:$CC$300,29,0)</f>
        <v>0</v>
      </c>
      <c r="AO58" s="102">
        <f>VLOOKUP(L58,行政合同!$L$6:$CC$300,30,0)</f>
        <v>0</v>
      </c>
      <c r="AP58" s="102">
        <f>VLOOKUP(L58,行政合同!$L$6:$CC$300,31,0)</f>
        <v>0</v>
      </c>
      <c r="AQ58" s="102">
        <f>VLOOKUP(L58,行政合同!$L$6:$CC$300,32,0)</f>
        <v>0</v>
      </c>
      <c r="AR58" s="102">
        <f>VLOOKUP(L58,行政合同!$L$6:$CC$300,33,0)</f>
        <v>0</v>
      </c>
      <c r="AS58" s="102">
        <f>VLOOKUP(L58,行政合同!$L$6:$CC$300,34,0)</f>
        <v>0</v>
      </c>
      <c r="AT58" s="102">
        <f>VLOOKUP(L58,行政合同!$L$6:$CC$300,35,0)</f>
        <v>0</v>
      </c>
      <c r="AU58" s="102">
        <f>VLOOKUP(L58,行政合同!$L$6:$CC$300,36,0)</f>
        <v>0</v>
      </c>
      <c r="AV58" s="102">
        <f>VLOOKUP(L58,行政合同!$L$6:$CC$300,37,0)</f>
        <v>0</v>
      </c>
      <c r="AW58" s="102">
        <f>VLOOKUP(L58,行政合同!$L$6:$CC$300,38,0)</f>
        <v>0</v>
      </c>
      <c r="AX58" s="102">
        <f>VLOOKUP(L58,行政合同!$L$6:$CC$300,39,0)</f>
        <v>0</v>
      </c>
      <c r="AY58" s="102">
        <f>VLOOKUP(L58,行政合同!$L$6:$CC$300,40,0)</f>
        <v>0</v>
      </c>
      <c r="AZ58" s="102">
        <f>VLOOKUP(L58,行政合同!$L$6:$CC$300,41,0)</f>
        <v>0</v>
      </c>
      <c r="BA58" s="102">
        <f>VLOOKUP(L58,行政合同!$L$6:$CC$300,42,0)</f>
        <v>0</v>
      </c>
      <c r="BB58" s="102">
        <f>VLOOKUP(L58,行政合同!$L$6:$CC$300,43,0)</f>
        <v>0</v>
      </c>
      <c r="BC58" s="102">
        <f>VLOOKUP(L58,行政合同!$L$6:$CC$300,44,0)</f>
        <v>0</v>
      </c>
      <c r="BD58" s="102">
        <f>VLOOKUP(L58,行政合同!$L$6:$CC$300,45,0)</f>
        <v>0</v>
      </c>
      <c r="BE58" s="102">
        <f>VLOOKUP(L58,行政合同!$L$6:$CC$300,46,0)</f>
        <v>0</v>
      </c>
      <c r="BF58" s="102">
        <f>VLOOKUP(L58,行政合同!$L$6:$CC$300,47,0)</f>
        <v>0</v>
      </c>
      <c r="BG58" s="102">
        <f>VLOOKUP(L58,行政合同!$L$6:$CC$300,48,0)</f>
        <v>0</v>
      </c>
      <c r="BH58" s="102">
        <f>VLOOKUP(L58,行政合同!$L$6:$CC$300,49,0)</f>
        <v>0</v>
      </c>
      <c r="BI58" s="102">
        <f>VLOOKUP(L58,行政合同!$L$6:$CC$300,50,0)</f>
        <v>0</v>
      </c>
      <c r="BJ58" s="102">
        <f>VLOOKUP(L58,行政合同!$L$6:$CC$300,51,0)</f>
        <v>0</v>
      </c>
      <c r="BK58" s="102">
        <f>VLOOKUP(L58,行政合同!$L$6:$CC$300,52,0)</f>
        <v>0</v>
      </c>
      <c r="BL58" s="102">
        <f>VLOOKUP(L58,行政合同!$L$6:$CC$300,53,0)</f>
        <v>0</v>
      </c>
      <c r="BM58" s="102">
        <f>VLOOKUP(L58,行政合同!$L$6:$CC$300,54,0)</f>
        <v>0</v>
      </c>
      <c r="BN58" s="102">
        <f>VLOOKUP(L58,行政合同!$L$6:$CC$300,55,0)</f>
        <v>0</v>
      </c>
      <c r="BO58" s="102">
        <f>VLOOKUP(L58,行政合同!$L$6:$CC$300,56,0)</f>
        <v>0</v>
      </c>
      <c r="BP58" s="102">
        <f>VLOOKUP(L58,行政合同!$L$6:$CC$300,57,0)</f>
        <v>0</v>
      </c>
      <c r="BQ58" s="102">
        <f>VLOOKUP(L58,行政合同!$L$6:$CC$300,58,0)</f>
        <v>0</v>
      </c>
      <c r="BR58" s="102">
        <f>VLOOKUP(L58,行政合同!$L$6:$CC$300,59,0)</f>
        <v>0</v>
      </c>
      <c r="BS58" s="102">
        <f>VLOOKUP(L58,行政合同!$L$6:$CC$300,60,0)</f>
        <v>0</v>
      </c>
      <c r="BT58" s="102">
        <f>VLOOKUP(L58,行政合同!$L$6:$CC$300,61,0)</f>
        <v>0</v>
      </c>
      <c r="BU58" s="102">
        <f>VLOOKUP(L58,行政合同!$L$6:$CC$300,62,0)</f>
        <v>0</v>
      </c>
      <c r="BV58" s="102">
        <f>VLOOKUP(L58,行政合同!$L$6:$CC$300,63,0)</f>
        <v>0</v>
      </c>
      <c r="BW58" s="102">
        <f>VLOOKUP(L58,行政合同!$L$6:$CC$300,64,0)</f>
        <v>0</v>
      </c>
      <c r="BX58" s="102">
        <f>VLOOKUP(L58,行政合同!$L$6:$CC$300,65,0)</f>
        <v>0</v>
      </c>
      <c r="BY58" s="102">
        <f>VLOOKUP(L58,行政合同!$L$6:$CC$300,66,0)</f>
        <v>0</v>
      </c>
      <c r="BZ58" s="102">
        <f>VLOOKUP(L58,行政合同!$L$6:$CC$300,67,0)</f>
        <v>0</v>
      </c>
      <c r="CA58" s="102">
        <f>VLOOKUP(L58,行政合同!$L$6:$CC$300,68,0)</f>
        <v>0</v>
      </c>
      <c r="CB58" s="102">
        <f>VLOOKUP(L58,行政合同!$L$6:$CC$300,69,0)</f>
        <v>0</v>
      </c>
      <c r="CC58" s="102">
        <f>VLOOKUP(L58,行政合同!$L$6:$CC$300,70,0)</f>
        <v>0</v>
      </c>
      <c r="CD58" s="123">
        <f t="shared" si="22"/>
        <v>91200</v>
      </c>
      <c r="CE58" s="102">
        <f t="shared" si="23"/>
        <v>0</v>
      </c>
      <c r="CF58" s="102">
        <f t="shared" si="24"/>
        <v>0</v>
      </c>
      <c r="CG58" s="102">
        <f t="shared" si="25"/>
        <v>0</v>
      </c>
      <c r="CH58" s="124">
        <f t="shared" si="26"/>
        <v>91200</v>
      </c>
      <c r="CI58" s="125">
        <f t="shared" si="27"/>
        <v>0</v>
      </c>
      <c r="CJ58" s="126" t="str">
        <f t="shared" si="28"/>
        <v>数据正确</v>
      </c>
    </row>
    <row r="59" s="60" customFormat="1" customHeight="1" spans="2:88">
      <c r="B59" s="70" t="str">
        <f t="shared" si="18"/>
        <v>-</v>
      </c>
      <c r="C59" s="71" t="str">
        <f t="shared" si="19"/>
        <v>-</v>
      </c>
      <c r="D59" s="181">
        <f t="shared" si="20"/>
        <v>0</v>
      </c>
      <c r="E59" s="181">
        <f>SUMIF(行政合同!$L$6:$L$300,L59,行政合同!$E$6:$E$300)</f>
        <v>0</v>
      </c>
      <c r="F59" s="181">
        <f>SUMIF(行政合同!$L$6:$L$300,L59,行政合同!$F$6:$F$300)</f>
        <v>0</v>
      </c>
      <c r="G59" s="181">
        <f>SUMIF(行政合同!$L$6:$L$300,L59,行政合同!$G$6:$G$300)</f>
        <v>0</v>
      </c>
      <c r="H59" s="181">
        <f>SUMIF(行政合同!$L$6:$L$300,L59,行政合同!$H$6:$H$300)</f>
        <v>0</v>
      </c>
      <c r="I59" s="181">
        <f t="shared" si="21"/>
        <v>0</v>
      </c>
      <c r="J59" s="86" t="s">
        <v>98</v>
      </c>
      <c r="K59" s="87"/>
      <c r="L59" s="88">
        <v>54</v>
      </c>
      <c r="M59" s="89" t="str">
        <f>VLOOKUP(L59,行政合同!$L$6:$CC$300,2,0)</f>
        <v>YRKJXZ-170008</v>
      </c>
      <c r="N59" s="90" t="str">
        <f>VLOOKUP(L59,行政合同!$L$6:$CC$300,3,0)</f>
        <v>行政合同</v>
      </c>
      <c r="O59" s="265">
        <f>VLOOKUP(L59,行政合同!$L$6:$CC$300,4,0)</f>
        <v>2017050026</v>
      </c>
      <c r="P59" s="266">
        <f>VLOOKUP(L59,行政合同!$L$6:$CC$300,5,0)</f>
        <v>42872</v>
      </c>
      <c r="Q59" s="275">
        <f>VLOOKUP(L59,行政合同!$L$6:$CC$300,6,0)</f>
        <v>20510</v>
      </c>
      <c r="R59" s="89" t="str">
        <f>VLOOKUP(L59,行政合同!$L$6:$CC$300,7,0)</f>
        <v>扬天电脑7台*2930元/台</v>
      </c>
      <c r="S59" s="89" t="str">
        <f>VLOOKUP(L59,行政合同!$L$6:$CC$300,8,0)</f>
        <v>福建聚众科技有限公司</v>
      </c>
      <c r="T59" s="107">
        <f>VLOOKUP(L59,行政合同!$L$6:$CC$300,9,0)</f>
        <v>0</v>
      </c>
      <c r="U59" s="103" t="str">
        <f>VLOOKUP(L59,行政合同!$L$6:$CC$300,10,0)</f>
        <v>承兑汇票</v>
      </c>
      <c r="V59" s="276" t="str">
        <f>VLOOKUP(L59,行政合同!$L$6:$CC$300,11,0)</f>
        <v>货到交货地点验收合格后，支付100%货款，乙方接受反向贴息</v>
      </c>
      <c r="W59" s="102">
        <f>VLOOKUP(L59,行政合同!$L$6:$CC$300,12,0)</f>
        <v>20510</v>
      </c>
      <c r="X59" s="102">
        <f>VLOOKUP(L59,行政合同!$L$6:$CC$300,13,0)</f>
        <v>0</v>
      </c>
      <c r="Y59" s="102">
        <f>VLOOKUP(L59,行政合同!$L$6:$CC$300,14,0)</f>
        <v>0</v>
      </c>
      <c r="Z59" s="102">
        <f>VLOOKUP(L59,行政合同!$L$6:$CC$300,15,0)</f>
        <v>0</v>
      </c>
      <c r="AA59" s="102">
        <f>VLOOKUP(L59,行政合同!$L$6:$CC$300,16,0)</f>
        <v>0</v>
      </c>
      <c r="AB59" s="102">
        <f>VLOOKUP(L59,行政合同!$L$6:$CC$300,17,0)</f>
        <v>0</v>
      </c>
      <c r="AC59" s="102">
        <f>VLOOKUP(L59,行政合同!$L$6:$CC$300,18,0)</f>
        <v>0</v>
      </c>
      <c r="AD59" s="102">
        <f>VLOOKUP(L59,行政合同!$L$6:$CC$300,19,0)</f>
        <v>0</v>
      </c>
      <c r="AE59" s="102">
        <f>VLOOKUP(L59,行政合同!$L$6:$CC$300,20,0)</f>
        <v>0</v>
      </c>
      <c r="AF59" s="102">
        <f>VLOOKUP(L59,行政合同!$L$6:$CC$300,21,0)</f>
        <v>0</v>
      </c>
      <c r="AG59" s="102">
        <f>VLOOKUP(L59,行政合同!$L$6:$CC$300,22,0)</f>
        <v>0</v>
      </c>
      <c r="AH59" s="102">
        <f>VLOOKUP(L59,行政合同!$L$6:$CC$300,23,0)</f>
        <v>0</v>
      </c>
      <c r="AI59" s="102">
        <f>VLOOKUP(L59,行政合同!$L$6:$CC$300,24,0)</f>
        <v>0</v>
      </c>
      <c r="AJ59" s="102">
        <f>VLOOKUP(L59,行政合同!$L$6:$CC$300,25,0)</f>
        <v>0</v>
      </c>
      <c r="AK59" s="102">
        <f>VLOOKUP(L59,行政合同!$L$6:$CC$300,26,0)</f>
        <v>0</v>
      </c>
      <c r="AL59" s="102">
        <f>VLOOKUP(L59,行政合同!$L$6:$CC$300,27,0)</f>
        <v>0</v>
      </c>
      <c r="AM59" s="102">
        <f>VLOOKUP(L59,行政合同!$L$6:$CC$300,28,0)</f>
        <v>0</v>
      </c>
      <c r="AN59" s="102">
        <f>VLOOKUP(L59,行政合同!$L$6:$CC$300,29,0)</f>
        <v>0</v>
      </c>
      <c r="AO59" s="102">
        <f>VLOOKUP(L59,行政合同!$L$6:$CC$300,30,0)</f>
        <v>0</v>
      </c>
      <c r="AP59" s="102">
        <f>VLOOKUP(L59,行政合同!$L$6:$CC$300,31,0)</f>
        <v>0</v>
      </c>
      <c r="AQ59" s="102">
        <f>VLOOKUP(L59,行政合同!$L$6:$CC$300,32,0)</f>
        <v>0</v>
      </c>
      <c r="AR59" s="102">
        <f>VLOOKUP(L59,行政合同!$L$6:$CC$300,33,0)</f>
        <v>0</v>
      </c>
      <c r="AS59" s="102">
        <f>VLOOKUP(L59,行政合同!$L$6:$CC$300,34,0)</f>
        <v>0</v>
      </c>
      <c r="AT59" s="102">
        <f>VLOOKUP(L59,行政合同!$L$6:$CC$300,35,0)</f>
        <v>0</v>
      </c>
      <c r="AU59" s="102">
        <f>VLOOKUP(L59,行政合同!$L$6:$CC$300,36,0)</f>
        <v>0</v>
      </c>
      <c r="AV59" s="102">
        <f>VLOOKUP(L59,行政合同!$L$6:$CC$300,37,0)</f>
        <v>0</v>
      </c>
      <c r="AW59" s="102">
        <f>VLOOKUP(L59,行政合同!$L$6:$CC$300,38,0)</f>
        <v>0</v>
      </c>
      <c r="AX59" s="102">
        <f>VLOOKUP(L59,行政合同!$L$6:$CC$300,39,0)</f>
        <v>0</v>
      </c>
      <c r="AY59" s="102">
        <f>VLOOKUP(L59,行政合同!$L$6:$CC$300,40,0)</f>
        <v>0</v>
      </c>
      <c r="AZ59" s="102">
        <f>VLOOKUP(L59,行政合同!$L$6:$CC$300,41,0)</f>
        <v>0</v>
      </c>
      <c r="BA59" s="102">
        <f>VLOOKUP(L59,行政合同!$L$6:$CC$300,42,0)</f>
        <v>0</v>
      </c>
      <c r="BB59" s="102">
        <f>VLOOKUP(L59,行政合同!$L$6:$CC$300,43,0)</f>
        <v>0</v>
      </c>
      <c r="BC59" s="102">
        <f>VLOOKUP(L59,行政合同!$L$6:$CC$300,44,0)</f>
        <v>0</v>
      </c>
      <c r="BD59" s="102">
        <f>VLOOKUP(L59,行政合同!$L$6:$CC$300,45,0)</f>
        <v>0</v>
      </c>
      <c r="BE59" s="102">
        <f>VLOOKUP(L59,行政合同!$L$6:$CC$300,46,0)</f>
        <v>0</v>
      </c>
      <c r="BF59" s="102">
        <f>VLOOKUP(L59,行政合同!$L$6:$CC$300,47,0)</f>
        <v>0</v>
      </c>
      <c r="BG59" s="102">
        <f>VLOOKUP(L59,行政合同!$L$6:$CC$300,48,0)</f>
        <v>0</v>
      </c>
      <c r="BH59" s="102">
        <f>VLOOKUP(L59,行政合同!$L$6:$CC$300,49,0)</f>
        <v>0</v>
      </c>
      <c r="BI59" s="102">
        <f>VLOOKUP(L59,行政合同!$L$6:$CC$300,50,0)</f>
        <v>0</v>
      </c>
      <c r="BJ59" s="102">
        <f>VLOOKUP(L59,行政合同!$L$6:$CC$300,51,0)</f>
        <v>0</v>
      </c>
      <c r="BK59" s="102">
        <f>VLOOKUP(L59,行政合同!$L$6:$CC$300,52,0)</f>
        <v>0</v>
      </c>
      <c r="BL59" s="102">
        <f>VLOOKUP(L59,行政合同!$L$6:$CC$300,53,0)</f>
        <v>0</v>
      </c>
      <c r="BM59" s="102">
        <f>VLOOKUP(L59,行政合同!$L$6:$CC$300,54,0)</f>
        <v>0</v>
      </c>
      <c r="BN59" s="102">
        <f>VLOOKUP(L59,行政合同!$L$6:$CC$300,55,0)</f>
        <v>0</v>
      </c>
      <c r="BO59" s="102">
        <f>VLOOKUP(L59,行政合同!$L$6:$CC$300,56,0)</f>
        <v>0</v>
      </c>
      <c r="BP59" s="102">
        <f>VLOOKUP(L59,行政合同!$L$6:$CC$300,57,0)</f>
        <v>0</v>
      </c>
      <c r="BQ59" s="102">
        <f>VLOOKUP(L59,行政合同!$L$6:$CC$300,58,0)</f>
        <v>0</v>
      </c>
      <c r="BR59" s="102">
        <f>VLOOKUP(L59,行政合同!$L$6:$CC$300,59,0)</f>
        <v>0</v>
      </c>
      <c r="BS59" s="102">
        <f>VLOOKUP(L59,行政合同!$L$6:$CC$300,60,0)</f>
        <v>0</v>
      </c>
      <c r="BT59" s="102">
        <f>VLOOKUP(L59,行政合同!$L$6:$CC$300,61,0)</f>
        <v>0</v>
      </c>
      <c r="BU59" s="102">
        <f>VLOOKUP(L59,行政合同!$L$6:$CC$300,62,0)</f>
        <v>0</v>
      </c>
      <c r="BV59" s="102">
        <f>VLOOKUP(L59,行政合同!$L$6:$CC$300,63,0)</f>
        <v>0</v>
      </c>
      <c r="BW59" s="102">
        <f>VLOOKUP(L59,行政合同!$L$6:$CC$300,64,0)</f>
        <v>0</v>
      </c>
      <c r="BX59" s="102">
        <f>VLOOKUP(L59,行政合同!$L$6:$CC$300,65,0)</f>
        <v>0</v>
      </c>
      <c r="BY59" s="102">
        <f>VLOOKUP(L59,行政合同!$L$6:$CC$300,66,0)</f>
        <v>0</v>
      </c>
      <c r="BZ59" s="102">
        <f>VLOOKUP(L59,行政合同!$L$6:$CC$300,67,0)</f>
        <v>0</v>
      </c>
      <c r="CA59" s="102">
        <f>VLOOKUP(L59,行政合同!$L$6:$CC$300,68,0)</f>
        <v>0</v>
      </c>
      <c r="CB59" s="102">
        <f>VLOOKUP(L59,行政合同!$L$6:$CC$300,69,0)</f>
        <v>0</v>
      </c>
      <c r="CC59" s="102">
        <f>VLOOKUP(L59,行政合同!$L$6:$CC$300,70,0)</f>
        <v>0</v>
      </c>
      <c r="CD59" s="123">
        <f t="shared" si="22"/>
        <v>20510</v>
      </c>
      <c r="CE59" s="102">
        <f t="shared" si="23"/>
        <v>0</v>
      </c>
      <c r="CF59" s="102">
        <f t="shared" si="24"/>
        <v>0</v>
      </c>
      <c r="CG59" s="102">
        <f t="shared" si="25"/>
        <v>0</v>
      </c>
      <c r="CH59" s="124">
        <f t="shared" si="26"/>
        <v>20510</v>
      </c>
      <c r="CI59" s="125">
        <f t="shared" si="27"/>
        <v>0</v>
      </c>
      <c r="CJ59" s="126" t="str">
        <f t="shared" si="28"/>
        <v>数据正确</v>
      </c>
    </row>
    <row r="60" s="60" customFormat="1" customHeight="1" spans="2:88">
      <c r="B60" s="70" t="str">
        <f t="shared" si="18"/>
        <v>-</v>
      </c>
      <c r="C60" s="71" t="str">
        <f t="shared" si="19"/>
        <v>已付清</v>
      </c>
      <c r="D60" s="181">
        <f t="shared" si="20"/>
        <v>49800</v>
      </c>
      <c r="E60" s="181">
        <f>SUMIF(行政合同!$L$6:$L$300,L60,行政合同!$E$6:$E$300)</f>
        <v>0</v>
      </c>
      <c r="F60" s="181">
        <f>SUMIF(行政合同!$L$6:$L$300,L60,行政合同!$F$6:$F$300)</f>
        <v>0</v>
      </c>
      <c r="G60" s="181">
        <f>SUMIF(行政合同!$L$6:$L$300,L60,行政合同!$G$6:$G$300)</f>
        <v>0</v>
      </c>
      <c r="H60" s="181">
        <f>SUMIF(行政合同!$L$6:$L$300,L60,行政合同!$H$6:$H$300)</f>
        <v>0</v>
      </c>
      <c r="I60" s="181">
        <f t="shared" si="21"/>
        <v>0</v>
      </c>
      <c r="J60" s="86" t="s">
        <v>98</v>
      </c>
      <c r="K60" s="87"/>
      <c r="L60" s="88">
        <v>55</v>
      </c>
      <c r="M60" s="89" t="str">
        <f>VLOOKUP(L60,行政合同!$L$6:$CC$300,2,0)</f>
        <v>YRKJXZ-170009</v>
      </c>
      <c r="N60" s="90" t="str">
        <f>VLOOKUP(L60,行政合同!$L$6:$CC$300,3,0)</f>
        <v>行政合同</v>
      </c>
      <c r="O60" s="265" t="str">
        <f>VLOOKUP(L60,行政合同!$L$6:$CC$300,4,0)</f>
        <v>-</v>
      </c>
      <c r="P60" s="266">
        <f>VLOOKUP(L60,行政合同!$L$6:$CC$300,5,0)</f>
        <v>42895</v>
      </c>
      <c r="Q60" s="275">
        <f>VLOOKUP(L60,行政合同!$L$6:$CC$300,6,0)</f>
        <v>49800</v>
      </c>
      <c r="R60" s="89" t="str">
        <f>VLOOKUP(L60,行政合同!$L$6:$CC$300,7,0)</f>
        <v>劳保用品（安全鞋、纱手套、口罩、护目镜）</v>
      </c>
      <c r="S60" s="89" t="str">
        <f>VLOOKUP(L60,行政合同!$L$6:$CC$300,8,0)</f>
        <v>福州帆顺特需劳保用品有限公司</v>
      </c>
      <c r="T60" s="107" t="str">
        <f>VLOOKUP(L60,行政合同!$L$6:$CC$300,9,0)</f>
        <v>非装置</v>
      </c>
      <c r="U60" s="103" t="str">
        <f>VLOOKUP(L60,行政合同!$L$6:$CC$300,10,0)</f>
        <v>6个月承兑汇票</v>
      </c>
      <c r="V60" s="276" t="str">
        <f>VLOOKUP(L60,行政合同!$L$6:$CC$300,11,0)</f>
        <v>货到交货点验收合格后全额支付，乙方接受反向贴息</v>
      </c>
      <c r="W60" s="102">
        <f>VLOOKUP(L60,行政合同!$L$6:$CC$300,12,0)</f>
        <v>49800</v>
      </c>
      <c r="X60" s="102">
        <f>VLOOKUP(L60,行政合同!$L$6:$CC$300,13,0)</f>
        <v>49800</v>
      </c>
      <c r="Y60" s="102">
        <f>VLOOKUP(L60,行政合同!$L$6:$CC$300,14,0)</f>
        <v>49800</v>
      </c>
      <c r="Z60" s="102">
        <f>VLOOKUP(L60,行政合同!$L$6:$CC$300,15,0)</f>
        <v>0</v>
      </c>
      <c r="AA60" s="102">
        <f>VLOOKUP(L60,行政合同!$L$6:$CC$300,16,0)</f>
        <v>0</v>
      </c>
      <c r="AB60" s="102">
        <f>VLOOKUP(L60,行政合同!$L$6:$CC$300,17,0)</f>
        <v>0</v>
      </c>
      <c r="AC60" s="102">
        <f>VLOOKUP(L60,行政合同!$L$6:$CC$300,18,0)</f>
        <v>0</v>
      </c>
      <c r="AD60" s="102">
        <f>VLOOKUP(L60,行政合同!$L$6:$CC$300,19,0)</f>
        <v>0</v>
      </c>
      <c r="AE60" s="102">
        <f>VLOOKUP(L60,行政合同!$L$6:$CC$300,20,0)</f>
        <v>0</v>
      </c>
      <c r="AF60" s="102">
        <f>VLOOKUP(L60,行政合同!$L$6:$CC$300,21,0)</f>
        <v>0</v>
      </c>
      <c r="AG60" s="102">
        <f>VLOOKUP(L60,行政合同!$L$6:$CC$300,22,0)</f>
        <v>0</v>
      </c>
      <c r="AH60" s="102">
        <f>VLOOKUP(L60,行政合同!$L$6:$CC$300,23,0)</f>
        <v>0</v>
      </c>
      <c r="AI60" s="102">
        <f>VLOOKUP(L60,行政合同!$L$6:$CC$300,24,0)</f>
        <v>0</v>
      </c>
      <c r="AJ60" s="102">
        <f>VLOOKUP(L60,行政合同!$L$6:$CC$300,25,0)</f>
        <v>0</v>
      </c>
      <c r="AK60" s="102">
        <f>VLOOKUP(L60,行政合同!$L$6:$CC$300,26,0)</f>
        <v>0</v>
      </c>
      <c r="AL60" s="102">
        <f>VLOOKUP(L60,行政合同!$L$6:$CC$300,27,0)</f>
        <v>0</v>
      </c>
      <c r="AM60" s="102">
        <f>VLOOKUP(L60,行政合同!$L$6:$CC$300,28,0)</f>
        <v>0</v>
      </c>
      <c r="AN60" s="102">
        <f>VLOOKUP(L60,行政合同!$L$6:$CC$300,29,0)</f>
        <v>0</v>
      </c>
      <c r="AO60" s="102">
        <f>VLOOKUP(L60,行政合同!$L$6:$CC$300,30,0)</f>
        <v>0</v>
      </c>
      <c r="AP60" s="102">
        <f>VLOOKUP(L60,行政合同!$L$6:$CC$300,31,0)</f>
        <v>0</v>
      </c>
      <c r="AQ60" s="102">
        <f>VLOOKUP(L60,行政合同!$L$6:$CC$300,32,0)</f>
        <v>0</v>
      </c>
      <c r="AR60" s="102">
        <f>VLOOKUP(L60,行政合同!$L$6:$CC$300,33,0)</f>
        <v>0</v>
      </c>
      <c r="AS60" s="102">
        <f>VLOOKUP(L60,行政合同!$L$6:$CC$300,34,0)</f>
        <v>0</v>
      </c>
      <c r="AT60" s="102">
        <f>VLOOKUP(L60,行政合同!$L$6:$CC$300,35,0)</f>
        <v>0</v>
      </c>
      <c r="AU60" s="102">
        <f>VLOOKUP(L60,行政合同!$L$6:$CC$300,36,0)</f>
        <v>0</v>
      </c>
      <c r="AV60" s="102">
        <f>VLOOKUP(L60,行政合同!$L$6:$CC$300,37,0)</f>
        <v>0</v>
      </c>
      <c r="AW60" s="102">
        <f>VLOOKUP(L60,行政合同!$L$6:$CC$300,38,0)</f>
        <v>0</v>
      </c>
      <c r="AX60" s="102">
        <f>VLOOKUP(L60,行政合同!$L$6:$CC$300,39,0)</f>
        <v>0</v>
      </c>
      <c r="AY60" s="102">
        <f>VLOOKUP(L60,行政合同!$L$6:$CC$300,40,0)</f>
        <v>0</v>
      </c>
      <c r="AZ60" s="102">
        <f>VLOOKUP(L60,行政合同!$L$6:$CC$300,41,0)</f>
        <v>0</v>
      </c>
      <c r="BA60" s="102">
        <f>VLOOKUP(L60,行政合同!$L$6:$CC$300,42,0)</f>
        <v>0</v>
      </c>
      <c r="BB60" s="102">
        <f>VLOOKUP(L60,行政合同!$L$6:$CC$300,43,0)</f>
        <v>0</v>
      </c>
      <c r="BC60" s="102">
        <f>VLOOKUP(L60,行政合同!$L$6:$CC$300,44,0)</f>
        <v>0</v>
      </c>
      <c r="BD60" s="102">
        <f>VLOOKUP(L60,行政合同!$L$6:$CC$300,45,0)</f>
        <v>0</v>
      </c>
      <c r="BE60" s="102">
        <f>VLOOKUP(L60,行政合同!$L$6:$CC$300,46,0)</f>
        <v>0</v>
      </c>
      <c r="BF60" s="102">
        <f>VLOOKUP(L60,行政合同!$L$6:$CC$300,47,0)</f>
        <v>0</v>
      </c>
      <c r="BG60" s="102">
        <f>VLOOKUP(L60,行政合同!$L$6:$CC$300,48,0)</f>
        <v>0</v>
      </c>
      <c r="BH60" s="102">
        <f>VLOOKUP(L60,行政合同!$L$6:$CC$300,49,0)</f>
        <v>0</v>
      </c>
      <c r="BI60" s="102">
        <f>VLOOKUP(L60,行政合同!$L$6:$CC$300,50,0)</f>
        <v>0</v>
      </c>
      <c r="BJ60" s="102">
        <f>VLOOKUP(L60,行政合同!$L$6:$CC$300,51,0)</f>
        <v>0</v>
      </c>
      <c r="BK60" s="102">
        <f>VLOOKUP(L60,行政合同!$L$6:$CC$300,52,0)</f>
        <v>0</v>
      </c>
      <c r="BL60" s="102">
        <f>VLOOKUP(L60,行政合同!$L$6:$CC$300,53,0)</f>
        <v>0</v>
      </c>
      <c r="BM60" s="102">
        <f>VLOOKUP(L60,行政合同!$L$6:$CC$300,54,0)</f>
        <v>0</v>
      </c>
      <c r="BN60" s="102">
        <f>VLOOKUP(L60,行政合同!$L$6:$CC$300,55,0)</f>
        <v>0</v>
      </c>
      <c r="BO60" s="102">
        <f>VLOOKUP(L60,行政合同!$L$6:$CC$300,56,0)</f>
        <v>0</v>
      </c>
      <c r="BP60" s="102">
        <f>VLOOKUP(L60,行政合同!$L$6:$CC$300,57,0)</f>
        <v>0</v>
      </c>
      <c r="BQ60" s="102">
        <f>VLOOKUP(L60,行政合同!$L$6:$CC$300,58,0)</f>
        <v>0</v>
      </c>
      <c r="BR60" s="102">
        <f>VLOOKUP(L60,行政合同!$L$6:$CC$300,59,0)</f>
        <v>0</v>
      </c>
      <c r="BS60" s="102">
        <f>VLOOKUP(L60,行政合同!$L$6:$CC$300,60,0)</f>
        <v>0</v>
      </c>
      <c r="BT60" s="102">
        <f>VLOOKUP(L60,行政合同!$L$6:$CC$300,61,0)</f>
        <v>0</v>
      </c>
      <c r="BU60" s="102">
        <f>VLOOKUP(L60,行政合同!$L$6:$CC$300,62,0)</f>
        <v>0</v>
      </c>
      <c r="BV60" s="102">
        <f>VLOOKUP(L60,行政合同!$L$6:$CC$300,63,0)</f>
        <v>0</v>
      </c>
      <c r="BW60" s="102">
        <f>VLOOKUP(L60,行政合同!$L$6:$CC$300,64,0)</f>
        <v>0</v>
      </c>
      <c r="BX60" s="102">
        <f>VLOOKUP(L60,行政合同!$L$6:$CC$300,65,0)</f>
        <v>0</v>
      </c>
      <c r="BY60" s="102">
        <f>VLOOKUP(L60,行政合同!$L$6:$CC$300,66,0)</f>
        <v>0</v>
      </c>
      <c r="BZ60" s="102">
        <f>VLOOKUP(L60,行政合同!$L$6:$CC$300,67,0)</f>
        <v>0</v>
      </c>
      <c r="CA60" s="102">
        <f>VLOOKUP(L60,行政合同!$L$6:$CC$300,68,0)</f>
        <v>0</v>
      </c>
      <c r="CB60" s="102">
        <f>VLOOKUP(L60,行政合同!$L$6:$CC$300,69,0)</f>
        <v>0</v>
      </c>
      <c r="CC60" s="102">
        <f>VLOOKUP(L60,行政合同!$L$6:$CC$300,70,0)</f>
        <v>0</v>
      </c>
      <c r="CD60" s="123">
        <f t="shared" si="22"/>
        <v>49800</v>
      </c>
      <c r="CE60" s="102">
        <f t="shared" si="23"/>
        <v>49800</v>
      </c>
      <c r="CF60" s="102">
        <f t="shared" si="24"/>
        <v>49800</v>
      </c>
      <c r="CG60" s="102">
        <f t="shared" si="25"/>
        <v>0</v>
      </c>
      <c r="CH60" s="124">
        <f t="shared" si="26"/>
        <v>0</v>
      </c>
      <c r="CI60" s="125">
        <f t="shared" si="27"/>
        <v>1</v>
      </c>
      <c r="CJ60" s="126" t="str">
        <f t="shared" si="28"/>
        <v>数据正确</v>
      </c>
    </row>
    <row r="61" s="60" customFormat="1" customHeight="1" spans="2:88">
      <c r="B61" s="70" t="str">
        <f t="shared" si="18"/>
        <v>-</v>
      </c>
      <c r="C61" s="71" t="str">
        <f t="shared" si="19"/>
        <v>已付清</v>
      </c>
      <c r="D61" s="181">
        <f t="shared" si="20"/>
        <v>0.001</v>
      </c>
      <c r="E61" s="181">
        <f>SUMIF(行政合同!$L$6:$L$300,L61,行政合同!$E$6:$E$300)</f>
        <v>0</v>
      </c>
      <c r="F61" s="181">
        <f>SUMIF(行政合同!$L$6:$L$300,L61,行政合同!$F$6:$F$300)</f>
        <v>0</v>
      </c>
      <c r="G61" s="181">
        <f>SUMIF(行政合同!$L$6:$L$300,L61,行政合同!$G$6:$G$300)</f>
        <v>0</v>
      </c>
      <c r="H61" s="181">
        <f>SUMIF(行政合同!$L$6:$L$300,L61,行政合同!$H$6:$H$300)</f>
        <v>0</v>
      </c>
      <c r="I61" s="181">
        <f t="shared" si="21"/>
        <v>0</v>
      </c>
      <c r="J61" s="86" t="s">
        <v>98</v>
      </c>
      <c r="K61" s="87"/>
      <c r="L61" s="88">
        <v>56</v>
      </c>
      <c r="M61" s="89" t="str">
        <f>VLOOKUP(L61,行政合同!$L$6:$CC$300,2,0)</f>
        <v>YRKJXZ-170013</v>
      </c>
      <c r="N61" s="90" t="str">
        <f>VLOOKUP(L61,行政合同!$L$6:$CC$300,3,0)</f>
        <v>行政合同</v>
      </c>
      <c r="O61" s="265" t="str">
        <f>VLOOKUP(L61,行政合同!$L$6:$CC$300,4,0)</f>
        <v>-</v>
      </c>
      <c r="P61" s="266">
        <f>VLOOKUP(L61,行政合同!$L$6:$CC$300,5,0)</f>
        <v>42887</v>
      </c>
      <c r="Q61" s="275">
        <f>VLOOKUP(L61,行政合同!$L$6:$CC$300,6,0)</f>
        <v>0.001</v>
      </c>
      <c r="R61" s="89" t="str">
        <f>VLOOKUP(L61,行政合同!$L$6:$CC$300,7,0)</f>
        <v>食堂食材物资团购业务协议书（2017.6.4-2017.9.3）</v>
      </c>
      <c r="S61" s="89" t="str">
        <f>VLOOKUP(L61,行政合同!$L$6:$CC$300,8,0)</f>
        <v>莆田市凤凰百货有限公司</v>
      </c>
      <c r="T61" s="107" t="str">
        <f>VLOOKUP(L61,行政合同!$L$6:$CC$300,9,0)</f>
        <v>非装置</v>
      </c>
      <c r="U61" s="103" t="str">
        <f>VLOOKUP(L61,行政合同!$L$6:$CC$300,10,0)</f>
        <v>电汇</v>
      </c>
      <c r="V61" s="276" t="str">
        <f>VLOOKUP(L61,行政合同!$L$6:$CC$300,11,0)</f>
        <v>每月一结，下个月2-3日双方财务核对无误后，收到销售正式发票和请款单等资料给买方，买方30天内汇款制定账户</v>
      </c>
      <c r="W61" s="102">
        <f>VLOOKUP(L61,行政合同!$L$6:$CC$300,12,0)</f>
        <v>0.001</v>
      </c>
      <c r="X61" s="102">
        <f>VLOOKUP(L61,行政合同!$L$6:$CC$300,13,0)</f>
        <v>0.001</v>
      </c>
      <c r="Y61" s="102">
        <f>VLOOKUP(L61,行政合同!$L$6:$CC$300,14,0)</f>
        <v>0.001</v>
      </c>
      <c r="Z61" s="102">
        <f>VLOOKUP(L61,行政合同!$L$6:$CC$300,15,0)</f>
        <v>0</v>
      </c>
      <c r="AA61" s="102">
        <f>VLOOKUP(L61,行政合同!$L$6:$CC$300,16,0)</f>
        <v>0</v>
      </c>
      <c r="AB61" s="102">
        <f>VLOOKUP(L61,行政合同!$L$6:$CC$300,17,0)</f>
        <v>0</v>
      </c>
      <c r="AC61" s="102">
        <f>VLOOKUP(L61,行政合同!$L$6:$CC$300,18,0)</f>
        <v>0</v>
      </c>
      <c r="AD61" s="102">
        <f>VLOOKUP(L61,行政合同!$L$6:$CC$300,19,0)</f>
        <v>0</v>
      </c>
      <c r="AE61" s="102">
        <f>VLOOKUP(L61,行政合同!$L$6:$CC$300,20,0)</f>
        <v>0</v>
      </c>
      <c r="AF61" s="102">
        <f>VLOOKUP(L61,行政合同!$L$6:$CC$300,21,0)</f>
        <v>0</v>
      </c>
      <c r="AG61" s="102">
        <f>VLOOKUP(L61,行政合同!$L$6:$CC$300,22,0)</f>
        <v>0</v>
      </c>
      <c r="AH61" s="102">
        <f>VLOOKUP(L61,行政合同!$L$6:$CC$300,23,0)</f>
        <v>0</v>
      </c>
      <c r="AI61" s="102">
        <f>VLOOKUP(L61,行政合同!$L$6:$CC$300,24,0)</f>
        <v>0</v>
      </c>
      <c r="AJ61" s="102">
        <f>VLOOKUP(L61,行政合同!$L$6:$CC$300,25,0)</f>
        <v>0</v>
      </c>
      <c r="AK61" s="102">
        <f>VLOOKUP(L61,行政合同!$L$6:$CC$300,26,0)</f>
        <v>0</v>
      </c>
      <c r="AL61" s="102">
        <f>VLOOKUP(L61,行政合同!$L$6:$CC$300,27,0)</f>
        <v>0</v>
      </c>
      <c r="AM61" s="102">
        <f>VLOOKUP(L61,行政合同!$L$6:$CC$300,28,0)</f>
        <v>0</v>
      </c>
      <c r="AN61" s="102">
        <f>VLOOKUP(L61,行政合同!$L$6:$CC$300,29,0)</f>
        <v>0</v>
      </c>
      <c r="AO61" s="102">
        <f>VLOOKUP(L61,行政合同!$L$6:$CC$300,30,0)</f>
        <v>0</v>
      </c>
      <c r="AP61" s="102">
        <f>VLOOKUP(L61,行政合同!$L$6:$CC$300,31,0)</f>
        <v>0</v>
      </c>
      <c r="AQ61" s="102">
        <f>VLOOKUP(L61,行政合同!$L$6:$CC$300,32,0)</f>
        <v>0</v>
      </c>
      <c r="AR61" s="102">
        <f>VLOOKUP(L61,行政合同!$L$6:$CC$300,33,0)</f>
        <v>0</v>
      </c>
      <c r="AS61" s="102">
        <f>VLOOKUP(L61,行政合同!$L$6:$CC$300,34,0)</f>
        <v>0</v>
      </c>
      <c r="AT61" s="102">
        <f>VLOOKUP(L61,行政合同!$L$6:$CC$300,35,0)</f>
        <v>0</v>
      </c>
      <c r="AU61" s="102">
        <f>VLOOKUP(L61,行政合同!$L$6:$CC$300,36,0)</f>
        <v>0</v>
      </c>
      <c r="AV61" s="102">
        <f>VLOOKUP(L61,行政合同!$L$6:$CC$300,37,0)</f>
        <v>0</v>
      </c>
      <c r="AW61" s="102">
        <f>VLOOKUP(L61,行政合同!$L$6:$CC$300,38,0)</f>
        <v>0</v>
      </c>
      <c r="AX61" s="102">
        <f>VLOOKUP(L61,行政合同!$L$6:$CC$300,39,0)</f>
        <v>0</v>
      </c>
      <c r="AY61" s="102">
        <f>VLOOKUP(L61,行政合同!$L$6:$CC$300,40,0)</f>
        <v>0</v>
      </c>
      <c r="AZ61" s="102">
        <f>VLOOKUP(L61,行政合同!$L$6:$CC$300,41,0)</f>
        <v>0</v>
      </c>
      <c r="BA61" s="102">
        <f>VLOOKUP(L61,行政合同!$L$6:$CC$300,42,0)</f>
        <v>0</v>
      </c>
      <c r="BB61" s="102">
        <f>VLOOKUP(L61,行政合同!$L$6:$CC$300,43,0)</f>
        <v>0</v>
      </c>
      <c r="BC61" s="102">
        <f>VLOOKUP(L61,行政合同!$L$6:$CC$300,44,0)</f>
        <v>0</v>
      </c>
      <c r="BD61" s="102">
        <f>VLOOKUP(L61,行政合同!$L$6:$CC$300,45,0)</f>
        <v>0</v>
      </c>
      <c r="BE61" s="102">
        <f>VLOOKUP(L61,行政合同!$L$6:$CC$300,46,0)</f>
        <v>0</v>
      </c>
      <c r="BF61" s="102">
        <f>VLOOKUP(L61,行政合同!$L$6:$CC$300,47,0)</f>
        <v>0</v>
      </c>
      <c r="BG61" s="102">
        <f>VLOOKUP(L61,行政合同!$L$6:$CC$300,48,0)</f>
        <v>0</v>
      </c>
      <c r="BH61" s="102">
        <f>VLOOKUP(L61,行政合同!$L$6:$CC$300,49,0)</f>
        <v>0</v>
      </c>
      <c r="BI61" s="102">
        <f>VLOOKUP(L61,行政合同!$L$6:$CC$300,50,0)</f>
        <v>0</v>
      </c>
      <c r="BJ61" s="102">
        <f>VLOOKUP(L61,行政合同!$L$6:$CC$300,51,0)</f>
        <v>0</v>
      </c>
      <c r="BK61" s="102">
        <f>VLOOKUP(L61,行政合同!$L$6:$CC$300,52,0)</f>
        <v>0</v>
      </c>
      <c r="BL61" s="102">
        <f>VLOOKUP(L61,行政合同!$L$6:$CC$300,53,0)</f>
        <v>0</v>
      </c>
      <c r="BM61" s="102">
        <f>VLOOKUP(L61,行政合同!$L$6:$CC$300,54,0)</f>
        <v>0</v>
      </c>
      <c r="BN61" s="102">
        <f>VLOOKUP(L61,行政合同!$L$6:$CC$300,55,0)</f>
        <v>0</v>
      </c>
      <c r="BO61" s="102">
        <f>VLOOKUP(L61,行政合同!$L$6:$CC$300,56,0)</f>
        <v>0</v>
      </c>
      <c r="BP61" s="102">
        <f>VLOOKUP(L61,行政合同!$L$6:$CC$300,57,0)</f>
        <v>0</v>
      </c>
      <c r="BQ61" s="102">
        <f>VLOOKUP(L61,行政合同!$L$6:$CC$300,58,0)</f>
        <v>0</v>
      </c>
      <c r="BR61" s="102">
        <f>VLOOKUP(L61,行政合同!$L$6:$CC$300,59,0)</f>
        <v>0</v>
      </c>
      <c r="BS61" s="102">
        <f>VLOOKUP(L61,行政合同!$L$6:$CC$300,60,0)</f>
        <v>0</v>
      </c>
      <c r="BT61" s="102">
        <f>VLOOKUP(L61,行政合同!$L$6:$CC$300,61,0)</f>
        <v>0</v>
      </c>
      <c r="BU61" s="102">
        <f>VLOOKUP(L61,行政合同!$L$6:$CC$300,62,0)</f>
        <v>0</v>
      </c>
      <c r="BV61" s="102">
        <f>VLOOKUP(L61,行政合同!$L$6:$CC$300,63,0)</f>
        <v>0</v>
      </c>
      <c r="BW61" s="102">
        <f>VLOOKUP(L61,行政合同!$L$6:$CC$300,64,0)</f>
        <v>0</v>
      </c>
      <c r="BX61" s="102">
        <f>VLOOKUP(L61,行政合同!$L$6:$CC$300,65,0)</f>
        <v>0</v>
      </c>
      <c r="BY61" s="102">
        <f>VLOOKUP(L61,行政合同!$L$6:$CC$300,66,0)</f>
        <v>0</v>
      </c>
      <c r="BZ61" s="102">
        <f>VLOOKUP(L61,行政合同!$L$6:$CC$300,67,0)</f>
        <v>0</v>
      </c>
      <c r="CA61" s="102">
        <f>VLOOKUP(L61,行政合同!$L$6:$CC$300,68,0)</f>
        <v>0</v>
      </c>
      <c r="CB61" s="102">
        <f>VLOOKUP(L61,行政合同!$L$6:$CC$300,69,0)</f>
        <v>0</v>
      </c>
      <c r="CC61" s="102">
        <f>VLOOKUP(L61,行政合同!$L$6:$CC$300,70,0)</f>
        <v>0</v>
      </c>
      <c r="CD61" s="123">
        <f t="shared" si="22"/>
        <v>0.001</v>
      </c>
      <c r="CE61" s="102">
        <f t="shared" si="23"/>
        <v>0.001</v>
      </c>
      <c r="CF61" s="102">
        <f t="shared" si="24"/>
        <v>0.001</v>
      </c>
      <c r="CG61" s="102">
        <f t="shared" si="25"/>
        <v>0</v>
      </c>
      <c r="CH61" s="124">
        <f t="shared" si="26"/>
        <v>0</v>
      </c>
      <c r="CI61" s="125">
        <f t="shared" si="27"/>
        <v>1</v>
      </c>
      <c r="CJ61" s="126" t="str">
        <f t="shared" si="28"/>
        <v>数据正确</v>
      </c>
    </row>
    <row r="62" s="60" customFormat="1" customHeight="1" spans="2:88">
      <c r="B62" s="70" t="str">
        <f t="shared" si="18"/>
        <v>-</v>
      </c>
      <c r="C62" s="71" t="str">
        <f t="shared" si="19"/>
        <v>已付清</v>
      </c>
      <c r="D62" s="181">
        <f t="shared" si="20"/>
        <v>0.001</v>
      </c>
      <c r="E62" s="181">
        <f>SUMIF(行政合同!$L$6:$L$300,L62,行政合同!$E$6:$E$300)</f>
        <v>0</v>
      </c>
      <c r="F62" s="181">
        <f>SUMIF(行政合同!$L$6:$L$300,L62,行政合同!$F$6:$F$300)</f>
        <v>0</v>
      </c>
      <c r="G62" s="181">
        <f>SUMIF(行政合同!$L$6:$L$300,L62,行政合同!$G$6:$G$300)</f>
        <v>0</v>
      </c>
      <c r="H62" s="181">
        <f>SUMIF(行政合同!$L$6:$L$300,L62,行政合同!$H$6:$H$300)</f>
        <v>0</v>
      </c>
      <c r="I62" s="181">
        <f t="shared" si="21"/>
        <v>0</v>
      </c>
      <c r="J62" s="86" t="s">
        <v>98</v>
      </c>
      <c r="K62" s="87"/>
      <c r="L62" s="88">
        <v>57</v>
      </c>
      <c r="M62" s="89" t="str">
        <f>VLOOKUP(L62,行政合同!$L$6:$CC$300,2,0)</f>
        <v>YRKJXZ-170014</v>
      </c>
      <c r="N62" s="90" t="str">
        <f>VLOOKUP(L62,行政合同!$L$6:$CC$300,3,0)</f>
        <v>行政合同</v>
      </c>
      <c r="O62" s="265" t="str">
        <f>VLOOKUP(L62,行政合同!$L$6:$CC$300,4,0)</f>
        <v>-</v>
      </c>
      <c r="P62" s="266">
        <f>VLOOKUP(L62,行政合同!$L$6:$CC$300,5,0)</f>
        <v>42895</v>
      </c>
      <c r="Q62" s="275">
        <f>VLOOKUP(L62,行政合同!$L$6:$CC$300,6,0)</f>
        <v>0.001</v>
      </c>
      <c r="R62" s="89" t="str">
        <f>VLOOKUP(L62,行政合同!$L$6:$CC$300,7,0)</f>
        <v>食堂食材物资团购业务协议书（2017.9.4-2017.12.3）</v>
      </c>
      <c r="S62" s="89" t="str">
        <f>VLOOKUP(L62,行政合同!$L$6:$CC$300,8,0)</f>
        <v>锦江麦德龙现购自运有限公司莆田荔城商行</v>
      </c>
      <c r="T62" s="107" t="str">
        <f>VLOOKUP(L62,行政合同!$L$6:$CC$300,9,0)</f>
        <v>非装置</v>
      </c>
      <c r="U62" s="103" t="str">
        <f>VLOOKUP(L62,行政合同!$L$6:$CC$300,10,0)</f>
        <v>电汇</v>
      </c>
      <c r="V62" s="276" t="str">
        <f>VLOOKUP(L62,行政合同!$L$6:$CC$300,11,0)</f>
        <v>每月一结，下个月2-3日双方财务核对无误后，收到销售正式发票和请款单等资料给买方，买方30天内汇款制定账户</v>
      </c>
      <c r="W62" s="102">
        <f>VLOOKUP(L62,行政合同!$L$6:$CC$300,12,0)</f>
        <v>0.001</v>
      </c>
      <c r="X62" s="102">
        <f>VLOOKUP(L62,行政合同!$L$6:$CC$300,13,0)</f>
        <v>0.001</v>
      </c>
      <c r="Y62" s="102">
        <f>VLOOKUP(L62,行政合同!$L$6:$CC$300,14,0)</f>
        <v>0.001</v>
      </c>
      <c r="Z62" s="102">
        <f>VLOOKUP(L62,行政合同!$L$6:$CC$300,15,0)</f>
        <v>0</v>
      </c>
      <c r="AA62" s="102">
        <f>VLOOKUP(L62,行政合同!$L$6:$CC$300,16,0)</f>
        <v>0</v>
      </c>
      <c r="AB62" s="102">
        <f>VLOOKUP(L62,行政合同!$L$6:$CC$300,17,0)</f>
        <v>0</v>
      </c>
      <c r="AC62" s="102">
        <f>VLOOKUP(L62,行政合同!$L$6:$CC$300,18,0)</f>
        <v>0</v>
      </c>
      <c r="AD62" s="102">
        <f>VLOOKUP(L62,行政合同!$L$6:$CC$300,19,0)</f>
        <v>0</v>
      </c>
      <c r="AE62" s="102">
        <f>VLOOKUP(L62,行政合同!$L$6:$CC$300,20,0)</f>
        <v>0</v>
      </c>
      <c r="AF62" s="102">
        <f>VLOOKUP(L62,行政合同!$L$6:$CC$300,21,0)</f>
        <v>0</v>
      </c>
      <c r="AG62" s="102">
        <f>VLOOKUP(L62,行政合同!$L$6:$CC$300,22,0)</f>
        <v>0</v>
      </c>
      <c r="AH62" s="102">
        <f>VLOOKUP(L62,行政合同!$L$6:$CC$300,23,0)</f>
        <v>0</v>
      </c>
      <c r="AI62" s="102">
        <f>VLOOKUP(L62,行政合同!$L$6:$CC$300,24,0)</f>
        <v>0</v>
      </c>
      <c r="AJ62" s="102">
        <f>VLOOKUP(L62,行政合同!$L$6:$CC$300,25,0)</f>
        <v>0</v>
      </c>
      <c r="AK62" s="102">
        <f>VLOOKUP(L62,行政合同!$L$6:$CC$300,26,0)</f>
        <v>0</v>
      </c>
      <c r="AL62" s="102">
        <f>VLOOKUP(L62,行政合同!$L$6:$CC$300,27,0)</f>
        <v>0</v>
      </c>
      <c r="AM62" s="102">
        <f>VLOOKUP(L62,行政合同!$L$6:$CC$300,28,0)</f>
        <v>0</v>
      </c>
      <c r="AN62" s="102">
        <f>VLOOKUP(L62,行政合同!$L$6:$CC$300,29,0)</f>
        <v>0</v>
      </c>
      <c r="AO62" s="102">
        <f>VLOOKUP(L62,行政合同!$L$6:$CC$300,30,0)</f>
        <v>0</v>
      </c>
      <c r="AP62" s="102">
        <f>VLOOKUP(L62,行政合同!$L$6:$CC$300,31,0)</f>
        <v>0</v>
      </c>
      <c r="AQ62" s="102">
        <f>VLOOKUP(L62,行政合同!$L$6:$CC$300,32,0)</f>
        <v>0</v>
      </c>
      <c r="AR62" s="102">
        <f>VLOOKUP(L62,行政合同!$L$6:$CC$300,33,0)</f>
        <v>0</v>
      </c>
      <c r="AS62" s="102">
        <f>VLOOKUP(L62,行政合同!$L$6:$CC$300,34,0)</f>
        <v>0</v>
      </c>
      <c r="AT62" s="102">
        <f>VLOOKUP(L62,行政合同!$L$6:$CC$300,35,0)</f>
        <v>0</v>
      </c>
      <c r="AU62" s="102">
        <f>VLOOKUP(L62,行政合同!$L$6:$CC$300,36,0)</f>
        <v>0</v>
      </c>
      <c r="AV62" s="102">
        <f>VLOOKUP(L62,行政合同!$L$6:$CC$300,37,0)</f>
        <v>0</v>
      </c>
      <c r="AW62" s="102">
        <f>VLOOKUP(L62,行政合同!$L$6:$CC$300,38,0)</f>
        <v>0</v>
      </c>
      <c r="AX62" s="102">
        <f>VLOOKUP(L62,行政合同!$L$6:$CC$300,39,0)</f>
        <v>0</v>
      </c>
      <c r="AY62" s="102">
        <f>VLOOKUP(L62,行政合同!$L$6:$CC$300,40,0)</f>
        <v>0</v>
      </c>
      <c r="AZ62" s="102">
        <f>VLOOKUP(L62,行政合同!$L$6:$CC$300,41,0)</f>
        <v>0</v>
      </c>
      <c r="BA62" s="102">
        <f>VLOOKUP(L62,行政合同!$L$6:$CC$300,42,0)</f>
        <v>0</v>
      </c>
      <c r="BB62" s="102">
        <f>VLOOKUP(L62,行政合同!$L$6:$CC$300,43,0)</f>
        <v>0</v>
      </c>
      <c r="BC62" s="102">
        <f>VLOOKUP(L62,行政合同!$L$6:$CC$300,44,0)</f>
        <v>0</v>
      </c>
      <c r="BD62" s="102">
        <f>VLOOKUP(L62,行政合同!$L$6:$CC$300,45,0)</f>
        <v>0</v>
      </c>
      <c r="BE62" s="102">
        <f>VLOOKUP(L62,行政合同!$L$6:$CC$300,46,0)</f>
        <v>0</v>
      </c>
      <c r="BF62" s="102">
        <f>VLOOKUP(L62,行政合同!$L$6:$CC$300,47,0)</f>
        <v>0</v>
      </c>
      <c r="BG62" s="102">
        <f>VLOOKUP(L62,行政合同!$L$6:$CC$300,48,0)</f>
        <v>0</v>
      </c>
      <c r="BH62" s="102">
        <f>VLOOKUP(L62,行政合同!$L$6:$CC$300,49,0)</f>
        <v>0</v>
      </c>
      <c r="BI62" s="102">
        <f>VLOOKUP(L62,行政合同!$L$6:$CC$300,50,0)</f>
        <v>0</v>
      </c>
      <c r="BJ62" s="102">
        <f>VLOOKUP(L62,行政合同!$L$6:$CC$300,51,0)</f>
        <v>0</v>
      </c>
      <c r="BK62" s="102">
        <f>VLOOKUP(L62,行政合同!$L$6:$CC$300,52,0)</f>
        <v>0</v>
      </c>
      <c r="BL62" s="102">
        <f>VLOOKUP(L62,行政合同!$L$6:$CC$300,53,0)</f>
        <v>0</v>
      </c>
      <c r="BM62" s="102">
        <f>VLOOKUP(L62,行政合同!$L$6:$CC$300,54,0)</f>
        <v>0</v>
      </c>
      <c r="BN62" s="102">
        <f>VLOOKUP(L62,行政合同!$L$6:$CC$300,55,0)</f>
        <v>0</v>
      </c>
      <c r="BO62" s="102">
        <f>VLOOKUP(L62,行政合同!$L$6:$CC$300,56,0)</f>
        <v>0</v>
      </c>
      <c r="BP62" s="102">
        <f>VLOOKUP(L62,行政合同!$L$6:$CC$300,57,0)</f>
        <v>0</v>
      </c>
      <c r="BQ62" s="102">
        <f>VLOOKUP(L62,行政合同!$L$6:$CC$300,58,0)</f>
        <v>0</v>
      </c>
      <c r="BR62" s="102">
        <f>VLOOKUP(L62,行政合同!$L$6:$CC$300,59,0)</f>
        <v>0</v>
      </c>
      <c r="BS62" s="102">
        <f>VLOOKUP(L62,行政合同!$L$6:$CC$300,60,0)</f>
        <v>0</v>
      </c>
      <c r="BT62" s="102">
        <f>VLOOKUP(L62,行政合同!$L$6:$CC$300,61,0)</f>
        <v>0</v>
      </c>
      <c r="BU62" s="102">
        <f>VLOOKUP(L62,行政合同!$L$6:$CC$300,62,0)</f>
        <v>0</v>
      </c>
      <c r="BV62" s="102">
        <f>VLOOKUP(L62,行政合同!$L$6:$CC$300,63,0)</f>
        <v>0</v>
      </c>
      <c r="BW62" s="102">
        <f>VLOOKUP(L62,行政合同!$L$6:$CC$300,64,0)</f>
        <v>0</v>
      </c>
      <c r="BX62" s="102">
        <f>VLOOKUP(L62,行政合同!$L$6:$CC$300,65,0)</f>
        <v>0</v>
      </c>
      <c r="BY62" s="102">
        <f>VLOOKUP(L62,行政合同!$L$6:$CC$300,66,0)</f>
        <v>0</v>
      </c>
      <c r="BZ62" s="102">
        <f>VLOOKUP(L62,行政合同!$L$6:$CC$300,67,0)</f>
        <v>0</v>
      </c>
      <c r="CA62" s="102">
        <f>VLOOKUP(L62,行政合同!$L$6:$CC$300,68,0)</f>
        <v>0</v>
      </c>
      <c r="CB62" s="102">
        <f>VLOOKUP(L62,行政合同!$L$6:$CC$300,69,0)</f>
        <v>0</v>
      </c>
      <c r="CC62" s="102">
        <f>VLOOKUP(L62,行政合同!$L$6:$CC$300,70,0)</f>
        <v>0</v>
      </c>
      <c r="CD62" s="123">
        <f t="shared" si="22"/>
        <v>0.001</v>
      </c>
      <c r="CE62" s="102">
        <f t="shared" si="23"/>
        <v>0.001</v>
      </c>
      <c r="CF62" s="102">
        <f t="shared" si="24"/>
        <v>0.001</v>
      </c>
      <c r="CG62" s="102">
        <f t="shared" si="25"/>
        <v>0</v>
      </c>
      <c r="CH62" s="124">
        <f t="shared" si="26"/>
        <v>0</v>
      </c>
      <c r="CI62" s="125">
        <f t="shared" si="27"/>
        <v>1</v>
      </c>
      <c r="CJ62" s="126" t="str">
        <f t="shared" si="28"/>
        <v>数据正确</v>
      </c>
    </row>
    <row r="63" s="60" customFormat="1" customHeight="1" spans="2:88">
      <c r="B63" s="70" t="str">
        <f t="shared" si="18"/>
        <v>-</v>
      </c>
      <c r="C63" s="71" t="str">
        <f t="shared" si="19"/>
        <v>已付清</v>
      </c>
      <c r="D63" s="181">
        <f t="shared" si="20"/>
        <v>0.001</v>
      </c>
      <c r="E63" s="181">
        <f>SUMIF(行政合同!$L$6:$L$300,L63,行政合同!$E$6:$E$300)</f>
        <v>0</v>
      </c>
      <c r="F63" s="181">
        <f>SUMIF(行政合同!$L$6:$L$300,L63,行政合同!$F$6:$F$300)</f>
        <v>0</v>
      </c>
      <c r="G63" s="181">
        <f>SUMIF(行政合同!$L$6:$L$300,L63,行政合同!$G$6:$G$300)</f>
        <v>0</v>
      </c>
      <c r="H63" s="181">
        <f>SUMIF(行政合同!$L$6:$L$300,L63,行政合同!$H$6:$H$300)</f>
        <v>0</v>
      </c>
      <c r="I63" s="181">
        <f t="shared" si="21"/>
        <v>0</v>
      </c>
      <c r="J63" s="86" t="s">
        <v>98</v>
      </c>
      <c r="K63" s="87"/>
      <c r="L63" s="88">
        <v>58</v>
      </c>
      <c r="M63" s="89" t="str">
        <f>VLOOKUP(L63,行政合同!$L$6:$CC$300,2,0)</f>
        <v>YRKJXZ-170015</v>
      </c>
      <c r="N63" s="90" t="str">
        <f>VLOOKUP(L63,行政合同!$L$6:$CC$300,3,0)</f>
        <v>行政合同</v>
      </c>
      <c r="O63" s="265" t="str">
        <f>VLOOKUP(L63,行政合同!$L$6:$CC$300,4,0)</f>
        <v>-</v>
      </c>
      <c r="P63" s="266">
        <f>VLOOKUP(L63,行政合同!$L$6:$CC$300,5,0)</f>
        <v>42887</v>
      </c>
      <c r="Q63" s="275">
        <f>VLOOKUP(L63,行政合同!$L$6:$CC$300,6,0)</f>
        <v>0.001</v>
      </c>
      <c r="R63" s="89" t="str">
        <f>VLOOKUP(L63,行政合同!$L$6:$CC$300,7,0)</f>
        <v>食堂早餐食材物资业务协议书</v>
      </c>
      <c r="S63" s="89" t="str">
        <f>VLOOKUP(L63,行政合同!$L$6:$CC$300,8,0)</f>
        <v>莆田市秀屿区东庄镇赵祖浩包子店</v>
      </c>
      <c r="T63" s="107" t="str">
        <f>VLOOKUP(L63,行政合同!$L$6:$CC$300,9,0)</f>
        <v>非装置</v>
      </c>
      <c r="U63" s="103" t="str">
        <f>VLOOKUP(L63,行政合同!$L$6:$CC$300,10,0)</f>
        <v>电汇</v>
      </c>
      <c r="V63" s="276" t="str">
        <f>VLOOKUP(L63,行政合同!$L$6:$CC$300,11,0)</f>
        <v>每月一结，下个月2-3日双方财务核对无误后，收到销售正式发票和请款单等资料给买方，买方15天内汇款制定账户</v>
      </c>
      <c r="W63" s="102">
        <f>VLOOKUP(L63,行政合同!$L$6:$CC$300,12,0)</f>
        <v>0.001</v>
      </c>
      <c r="X63" s="102">
        <f>VLOOKUP(L63,行政合同!$L$6:$CC$300,13,0)</f>
        <v>0.001</v>
      </c>
      <c r="Y63" s="102">
        <f>VLOOKUP(L63,行政合同!$L$6:$CC$300,14,0)</f>
        <v>0.001</v>
      </c>
      <c r="Z63" s="102">
        <f>VLOOKUP(L63,行政合同!$L$6:$CC$300,15,0)</f>
        <v>0</v>
      </c>
      <c r="AA63" s="102">
        <f>VLOOKUP(L63,行政合同!$L$6:$CC$300,16,0)</f>
        <v>0</v>
      </c>
      <c r="AB63" s="102">
        <f>VLOOKUP(L63,行政合同!$L$6:$CC$300,17,0)</f>
        <v>0</v>
      </c>
      <c r="AC63" s="102">
        <f>VLOOKUP(L63,行政合同!$L$6:$CC$300,18,0)</f>
        <v>0</v>
      </c>
      <c r="AD63" s="102">
        <f>VLOOKUP(L63,行政合同!$L$6:$CC$300,19,0)</f>
        <v>0</v>
      </c>
      <c r="AE63" s="102">
        <f>VLOOKUP(L63,行政合同!$L$6:$CC$300,20,0)</f>
        <v>0</v>
      </c>
      <c r="AF63" s="102">
        <f>VLOOKUP(L63,行政合同!$L$6:$CC$300,21,0)</f>
        <v>0</v>
      </c>
      <c r="AG63" s="102">
        <f>VLOOKUP(L63,行政合同!$L$6:$CC$300,22,0)</f>
        <v>0</v>
      </c>
      <c r="AH63" s="102">
        <f>VLOOKUP(L63,行政合同!$L$6:$CC$300,23,0)</f>
        <v>0</v>
      </c>
      <c r="AI63" s="102">
        <f>VLOOKUP(L63,行政合同!$L$6:$CC$300,24,0)</f>
        <v>0</v>
      </c>
      <c r="AJ63" s="102">
        <f>VLOOKUP(L63,行政合同!$L$6:$CC$300,25,0)</f>
        <v>0</v>
      </c>
      <c r="AK63" s="102">
        <f>VLOOKUP(L63,行政合同!$L$6:$CC$300,26,0)</f>
        <v>0</v>
      </c>
      <c r="AL63" s="102">
        <f>VLOOKUP(L63,行政合同!$L$6:$CC$300,27,0)</f>
        <v>0</v>
      </c>
      <c r="AM63" s="102">
        <f>VLOOKUP(L63,行政合同!$L$6:$CC$300,28,0)</f>
        <v>0</v>
      </c>
      <c r="AN63" s="102">
        <f>VLOOKUP(L63,行政合同!$L$6:$CC$300,29,0)</f>
        <v>0</v>
      </c>
      <c r="AO63" s="102">
        <f>VLOOKUP(L63,行政合同!$L$6:$CC$300,30,0)</f>
        <v>0</v>
      </c>
      <c r="AP63" s="102">
        <f>VLOOKUP(L63,行政合同!$L$6:$CC$300,31,0)</f>
        <v>0</v>
      </c>
      <c r="AQ63" s="102">
        <f>VLOOKUP(L63,行政合同!$L$6:$CC$300,32,0)</f>
        <v>0</v>
      </c>
      <c r="AR63" s="102">
        <f>VLOOKUP(L63,行政合同!$L$6:$CC$300,33,0)</f>
        <v>0</v>
      </c>
      <c r="AS63" s="102">
        <f>VLOOKUP(L63,行政合同!$L$6:$CC$300,34,0)</f>
        <v>0</v>
      </c>
      <c r="AT63" s="102">
        <f>VLOOKUP(L63,行政合同!$L$6:$CC$300,35,0)</f>
        <v>0</v>
      </c>
      <c r="AU63" s="102">
        <f>VLOOKUP(L63,行政合同!$L$6:$CC$300,36,0)</f>
        <v>0</v>
      </c>
      <c r="AV63" s="102">
        <f>VLOOKUP(L63,行政合同!$L$6:$CC$300,37,0)</f>
        <v>0</v>
      </c>
      <c r="AW63" s="102">
        <f>VLOOKUP(L63,行政合同!$L$6:$CC$300,38,0)</f>
        <v>0</v>
      </c>
      <c r="AX63" s="102">
        <f>VLOOKUP(L63,行政合同!$L$6:$CC$300,39,0)</f>
        <v>0</v>
      </c>
      <c r="AY63" s="102">
        <f>VLOOKUP(L63,行政合同!$L$6:$CC$300,40,0)</f>
        <v>0</v>
      </c>
      <c r="AZ63" s="102">
        <f>VLOOKUP(L63,行政合同!$L$6:$CC$300,41,0)</f>
        <v>0</v>
      </c>
      <c r="BA63" s="102">
        <f>VLOOKUP(L63,行政合同!$L$6:$CC$300,42,0)</f>
        <v>0</v>
      </c>
      <c r="BB63" s="102">
        <f>VLOOKUP(L63,行政合同!$L$6:$CC$300,43,0)</f>
        <v>0</v>
      </c>
      <c r="BC63" s="102">
        <f>VLOOKUP(L63,行政合同!$L$6:$CC$300,44,0)</f>
        <v>0</v>
      </c>
      <c r="BD63" s="102">
        <f>VLOOKUP(L63,行政合同!$L$6:$CC$300,45,0)</f>
        <v>0</v>
      </c>
      <c r="BE63" s="102">
        <f>VLOOKUP(L63,行政合同!$L$6:$CC$300,46,0)</f>
        <v>0</v>
      </c>
      <c r="BF63" s="102">
        <f>VLOOKUP(L63,行政合同!$L$6:$CC$300,47,0)</f>
        <v>0</v>
      </c>
      <c r="BG63" s="102">
        <f>VLOOKUP(L63,行政合同!$L$6:$CC$300,48,0)</f>
        <v>0</v>
      </c>
      <c r="BH63" s="102">
        <f>VLOOKUP(L63,行政合同!$L$6:$CC$300,49,0)</f>
        <v>0</v>
      </c>
      <c r="BI63" s="102">
        <f>VLOOKUP(L63,行政合同!$L$6:$CC$300,50,0)</f>
        <v>0</v>
      </c>
      <c r="BJ63" s="102">
        <f>VLOOKUP(L63,行政合同!$L$6:$CC$300,51,0)</f>
        <v>0</v>
      </c>
      <c r="BK63" s="102">
        <f>VLOOKUP(L63,行政合同!$L$6:$CC$300,52,0)</f>
        <v>0</v>
      </c>
      <c r="BL63" s="102">
        <f>VLOOKUP(L63,行政合同!$L$6:$CC$300,53,0)</f>
        <v>0</v>
      </c>
      <c r="BM63" s="102">
        <f>VLOOKUP(L63,行政合同!$L$6:$CC$300,54,0)</f>
        <v>0</v>
      </c>
      <c r="BN63" s="102">
        <f>VLOOKUP(L63,行政合同!$L$6:$CC$300,55,0)</f>
        <v>0</v>
      </c>
      <c r="BO63" s="102">
        <f>VLOOKUP(L63,行政合同!$L$6:$CC$300,56,0)</f>
        <v>0</v>
      </c>
      <c r="BP63" s="102">
        <f>VLOOKUP(L63,行政合同!$L$6:$CC$300,57,0)</f>
        <v>0</v>
      </c>
      <c r="BQ63" s="102">
        <f>VLOOKUP(L63,行政合同!$L$6:$CC$300,58,0)</f>
        <v>0</v>
      </c>
      <c r="BR63" s="102">
        <f>VLOOKUP(L63,行政合同!$L$6:$CC$300,59,0)</f>
        <v>0</v>
      </c>
      <c r="BS63" s="102">
        <f>VLOOKUP(L63,行政合同!$L$6:$CC$300,60,0)</f>
        <v>0</v>
      </c>
      <c r="BT63" s="102">
        <f>VLOOKUP(L63,行政合同!$L$6:$CC$300,61,0)</f>
        <v>0</v>
      </c>
      <c r="BU63" s="102">
        <f>VLOOKUP(L63,行政合同!$L$6:$CC$300,62,0)</f>
        <v>0</v>
      </c>
      <c r="BV63" s="102">
        <f>VLOOKUP(L63,行政合同!$L$6:$CC$300,63,0)</f>
        <v>0</v>
      </c>
      <c r="BW63" s="102">
        <f>VLOOKUP(L63,行政合同!$L$6:$CC$300,64,0)</f>
        <v>0</v>
      </c>
      <c r="BX63" s="102">
        <f>VLOOKUP(L63,行政合同!$L$6:$CC$300,65,0)</f>
        <v>0</v>
      </c>
      <c r="BY63" s="102">
        <f>VLOOKUP(L63,行政合同!$L$6:$CC$300,66,0)</f>
        <v>0</v>
      </c>
      <c r="BZ63" s="102">
        <f>VLOOKUP(L63,行政合同!$L$6:$CC$300,67,0)</f>
        <v>0</v>
      </c>
      <c r="CA63" s="102">
        <f>VLOOKUP(L63,行政合同!$L$6:$CC$300,68,0)</f>
        <v>0</v>
      </c>
      <c r="CB63" s="102">
        <f>VLOOKUP(L63,行政合同!$L$6:$CC$300,69,0)</f>
        <v>0</v>
      </c>
      <c r="CC63" s="102">
        <f>VLOOKUP(L63,行政合同!$L$6:$CC$300,70,0)</f>
        <v>0</v>
      </c>
      <c r="CD63" s="123">
        <f t="shared" si="22"/>
        <v>0.001</v>
      </c>
      <c r="CE63" s="102">
        <f t="shared" si="23"/>
        <v>0.001</v>
      </c>
      <c r="CF63" s="102">
        <f t="shared" si="24"/>
        <v>0.001</v>
      </c>
      <c r="CG63" s="102">
        <f t="shared" si="25"/>
        <v>0</v>
      </c>
      <c r="CH63" s="124">
        <f t="shared" si="26"/>
        <v>0</v>
      </c>
      <c r="CI63" s="125">
        <f t="shared" si="27"/>
        <v>1</v>
      </c>
      <c r="CJ63" s="126" t="str">
        <f t="shared" si="28"/>
        <v>数据正确</v>
      </c>
    </row>
    <row r="64" s="60" customFormat="1" customHeight="1" spans="2:88">
      <c r="B64" s="70" t="str">
        <f t="shared" si="18"/>
        <v>-</v>
      </c>
      <c r="C64" s="71" t="str">
        <f t="shared" si="19"/>
        <v>-</v>
      </c>
      <c r="D64" s="181">
        <f t="shared" si="20"/>
        <v>0</v>
      </c>
      <c r="E64" s="181">
        <f>SUMIF(行政合同!$L$6:$L$300,L64,行政合同!$E$6:$E$300)</f>
        <v>0</v>
      </c>
      <c r="F64" s="181">
        <f>SUMIF(行政合同!$L$6:$L$300,L64,行政合同!$F$6:$F$300)</f>
        <v>0</v>
      </c>
      <c r="G64" s="181">
        <f>SUMIF(行政合同!$L$6:$L$300,L64,行政合同!$G$6:$G$300)</f>
        <v>0</v>
      </c>
      <c r="H64" s="181">
        <f>SUMIF(行政合同!$L$6:$L$300,L64,行政合同!$H$6:$H$300)</f>
        <v>0</v>
      </c>
      <c r="I64" s="181">
        <f t="shared" si="21"/>
        <v>0</v>
      </c>
      <c r="J64" s="86" t="s">
        <v>98</v>
      </c>
      <c r="K64" s="87"/>
      <c r="L64" s="88">
        <v>59</v>
      </c>
      <c r="M64" s="89" t="str">
        <f>VLOOKUP(L64,行政合同!$L$6:$CC$300,2,0)</f>
        <v>YRKJXZ-170017</v>
      </c>
      <c r="N64" s="90" t="str">
        <f>VLOOKUP(L64,行政合同!$L$6:$CC$300,3,0)</f>
        <v>行政合同</v>
      </c>
      <c r="O64" s="265" t="str">
        <f>VLOOKUP(L64,行政合同!$L$6:$CC$300,4,0)</f>
        <v>-</v>
      </c>
      <c r="P64" s="266">
        <f>VLOOKUP(L64,行政合同!$L$6:$CC$300,5,0)</f>
        <v>42898</v>
      </c>
      <c r="Q64" s="275">
        <f>VLOOKUP(L64,行政合同!$L$6:$CC$300,6,0)</f>
        <v>26370</v>
      </c>
      <c r="R64" s="89" t="str">
        <f>VLOOKUP(L64,行政合同!$L$6:$CC$300,7,0)</f>
        <v>9台扬天台式电脑</v>
      </c>
      <c r="S64" s="89" t="str">
        <f>VLOOKUP(L64,行政合同!$L$6:$CC$300,8,0)</f>
        <v>福建聚众科技有限公司</v>
      </c>
      <c r="T64" s="107">
        <f>VLOOKUP(L64,行政合同!$L$6:$CC$300,9,0)</f>
        <v>0</v>
      </c>
      <c r="U64" s="103" t="str">
        <f>VLOOKUP(L64,行政合同!$L$6:$CC$300,10,0)</f>
        <v>6个月承兑汇票</v>
      </c>
      <c r="V64" s="276" t="str">
        <f>VLOOKUP(L64,行政合同!$L$6:$CC$300,11,0)</f>
        <v>验收合格后支付，6个月的承兑汇票，卖方接受反向贴息</v>
      </c>
      <c r="W64" s="102">
        <f>VLOOKUP(L64,行政合同!$L$6:$CC$300,12,0)</f>
        <v>26370</v>
      </c>
      <c r="X64" s="102">
        <f>VLOOKUP(L64,行政合同!$L$6:$CC$300,13,0)</f>
        <v>0</v>
      </c>
      <c r="Y64" s="102">
        <f>VLOOKUP(L64,行政合同!$L$6:$CC$300,14,0)</f>
        <v>0</v>
      </c>
      <c r="Z64" s="102">
        <f>VLOOKUP(L64,行政合同!$L$6:$CC$300,15,0)</f>
        <v>0</v>
      </c>
      <c r="AA64" s="102">
        <f>VLOOKUP(L64,行政合同!$L$6:$CC$300,16,0)</f>
        <v>0</v>
      </c>
      <c r="AB64" s="102">
        <f>VLOOKUP(L64,行政合同!$L$6:$CC$300,17,0)</f>
        <v>0</v>
      </c>
      <c r="AC64" s="102">
        <f>VLOOKUP(L64,行政合同!$L$6:$CC$300,18,0)</f>
        <v>0</v>
      </c>
      <c r="AD64" s="102">
        <f>VLOOKUP(L64,行政合同!$L$6:$CC$300,19,0)</f>
        <v>0</v>
      </c>
      <c r="AE64" s="102">
        <f>VLOOKUP(L64,行政合同!$L$6:$CC$300,20,0)</f>
        <v>0</v>
      </c>
      <c r="AF64" s="102">
        <f>VLOOKUP(L64,行政合同!$L$6:$CC$300,21,0)</f>
        <v>0</v>
      </c>
      <c r="AG64" s="102">
        <f>VLOOKUP(L64,行政合同!$L$6:$CC$300,22,0)</f>
        <v>0</v>
      </c>
      <c r="AH64" s="102">
        <f>VLOOKUP(L64,行政合同!$L$6:$CC$300,23,0)</f>
        <v>0</v>
      </c>
      <c r="AI64" s="102">
        <f>VLOOKUP(L64,行政合同!$L$6:$CC$300,24,0)</f>
        <v>0</v>
      </c>
      <c r="AJ64" s="102">
        <f>VLOOKUP(L64,行政合同!$L$6:$CC$300,25,0)</f>
        <v>0</v>
      </c>
      <c r="AK64" s="102">
        <f>VLOOKUP(L64,行政合同!$L$6:$CC$300,26,0)</f>
        <v>0</v>
      </c>
      <c r="AL64" s="102">
        <f>VLOOKUP(L64,行政合同!$L$6:$CC$300,27,0)</f>
        <v>0</v>
      </c>
      <c r="AM64" s="102">
        <f>VLOOKUP(L64,行政合同!$L$6:$CC$300,28,0)</f>
        <v>0</v>
      </c>
      <c r="AN64" s="102">
        <f>VLOOKUP(L64,行政合同!$L$6:$CC$300,29,0)</f>
        <v>0</v>
      </c>
      <c r="AO64" s="102">
        <f>VLOOKUP(L64,行政合同!$L$6:$CC$300,30,0)</f>
        <v>0</v>
      </c>
      <c r="AP64" s="102">
        <f>VLOOKUP(L64,行政合同!$L$6:$CC$300,31,0)</f>
        <v>0</v>
      </c>
      <c r="AQ64" s="102">
        <f>VLOOKUP(L64,行政合同!$L$6:$CC$300,32,0)</f>
        <v>0</v>
      </c>
      <c r="AR64" s="102">
        <f>VLOOKUP(L64,行政合同!$L$6:$CC$300,33,0)</f>
        <v>0</v>
      </c>
      <c r="AS64" s="102">
        <f>VLOOKUP(L64,行政合同!$L$6:$CC$300,34,0)</f>
        <v>0</v>
      </c>
      <c r="AT64" s="102">
        <f>VLOOKUP(L64,行政合同!$L$6:$CC$300,35,0)</f>
        <v>0</v>
      </c>
      <c r="AU64" s="102">
        <f>VLOOKUP(L64,行政合同!$L$6:$CC$300,36,0)</f>
        <v>0</v>
      </c>
      <c r="AV64" s="102">
        <f>VLOOKUP(L64,行政合同!$L$6:$CC$300,37,0)</f>
        <v>0</v>
      </c>
      <c r="AW64" s="102">
        <f>VLOOKUP(L64,行政合同!$L$6:$CC$300,38,0)</f>
        <v>0</v>
      </c>
      <c r="AX64" s="102">
        <f>VLOOKUP(L64,行政合同!$L$6:$CC$300,39,0)</f>
        <v>0</v>
      </c>
      <c r="AY64" s="102">
        <f>VLOOKUP(L64,行政合同!$L$6:$CC$300,40,0)</f>
        <v>0</v>
      </c>
      <c r="AZ64" s="102">
        <f>VLOOKUP(L64,行政合同!$L$6:$CC$300,41,0)</f>
        <v>0</v>
      </c>
      <c r="BA64" s="102">
        <f>VLOOKUP(L64,行政合同!$L$6:$CC$300,42,0)</f>
        <v>0</v>
      </c>
      <c r="BB64" s="102">
        <f>VLOOKUP(L64,行政合同!$L$6:$CC$300,43,0)</f>
        <v>0</v>
      </c>
      <c r="BC64" s="102">
        <f>VLOOKUP(L64,行政合同!$L$6:$CC$300,44,0)</f>
        <v>0</v>
      </c>
      <c r="BD64" s="102">
        <f>VLOOKUP(L64,行政合同!$L$6:$CC$300,45,0)</f>
        <v>0</v>
      </c>
      <c r="BE64" s="102">
        <f>VLOOKUP(L64,行政合同!$L$6:$CC$300,46,0)</f>
        <v>0</v>
      </c>
      <c r="BF64" s="102">
        <f>VLOOKUP(L64,行政合同!$L$6:$CC$300,47,0)</f>
        <v>0</v>
      </c>
      <c r="BG64" s="102">
        <f>VLOOKUP(L64,行政合同!$L$6:$CC$300,48,0)</f>
        <v>0</v>
      </c>
      <c r="BH64" s="102">
        <f>VLOOKUP(L64,行政合同!$L$6:$CC$300,49,0)</f>
        <v>0</v>
      </c>
      <c r="BI64" s="102">
        <f>VLOOKUP(L64,行政合同!$L$6:$CC$300,50,0)</f>
        <v>0</v>
      </c>
      <c r="BJ64" s="102">
        <f>VLOOKUP(L64,行政合同!$L$6:$CC$300,51,0)</f>
        <v>0</v>
      </c>
      <c r="BK64" s="102">
        <f>VLOOKUP(L64,行政合同!$L$6:$CC$300,52,0)</f>
        <v>0</v>
      </c>
      <c r="BL64" s="102">
        <f>VLOOKUP(L64,行政合同!$L$6:$CC$300,53,0)</f>
        <v>0</v>
      </c>
      <c r="BM64" s="102">
        <f>VLOOKUP(L64,行政合同!$L$6:$CC$300,54,0)</f>
        <v>0</v>
      </c>
      <c r="BN64" s="102">
        <f>VLOOKUP(L64,行政合同!$L$6:$CC$300,55,0)</f>
        <v>0</v>
      </c>
      <c r="BO64" s="102">
        <f>VLOOKUP(L64,行政合同!$L$6:$CC$300,56,0)</f>
        <v>0</v>
      </c>
      <c r="BP64" s="102">
        <f>VLOOKUP(L64,行政合同!$L$6:$CC$300,57,0)</f>
        <v>0</v>
      </c>
      <c r="BQ64" s="102">
        <f>VLOOKUP(L64,行政合同!$L$6:$CC$300,58,0)</f>
        <v>0</v>
      </c>
      <c r="BR64" s="102">
        <f>VLOOKUP(L64,行政合同!$L$6:$CC$300,59,0)</f>
        <v>0</v>
      </c>
      <c r="BS64" s="102">
        <f>VLOOKUP(L64,行政合同!$L$6:$CC$300,60,0)</f>
        <v>0</v>
      </c>
      <c r="BT64" s="102">
        <f>VLOOKUP(L64,行政合同!$L$6:$CC$300,61,0)</f>
        <v>0</v>
      </c>
      <c r="BU64" s="102">
        <f>VLOOKUP(L64,行政合同!$L$6:$CC$300,62,0)</f>
        <v>0</v>
      </c>
      <c r="BV64" s="102">
        <f>VLOOKUP(L64,行政合同!$L$6:$CC$300,63,0)</f>
        <v>0</v>
      </c>
      <c r="BW64" s="102">
        <f>VLOOKUP(L64,行政合同!$L$6:$CC$300,64,0)</f>
        <v>0</v>
      </c>
      <c r="BX64" s="102">
        <f>VLOOKUP(L64,行政合同!$L$6:$CC$300,65,0)</f>
        <v>0</v>
      </c>
      <c r="BY64" s="102">
        <f>VLOOKUP(L64,行政合同!$L$6:$CC$300,66,0)</f>
        <v>0</v>
      </c>
      <c r="BZ64" s="102">
        <f>VLOOKUP(L64,行政合同!$L$6:$CC$300,67,0)</f>
        <v>0</v>
      </c>
      <c r="CA64" s="102">
        <f>VLOOKUP(L64,行政合同!$L$6:$CC$300,68,0)</f>
        <v>0</v>
      </c>
      <c r="CB64" s="102">
        <f>VLOOKUP(L64,行政合同!$L$6:$CC$300,69,0)</f>
        <v>0</v>
      </c>
      <c r="CC64" s="102">
        <f>VLOOKUP(L64,行政合同!$L$6:$CC$300,70,0)</f>
        <v>0</v>
      </c>
      <c r="CD64" s="123">
        <f t="shared" si="22"/>
        <v>26370</v>
      </c>
      <c r="CE64" s="102">
        <f t="shared" si="23"/>
        <v>0</v>
      </c>
      <c r="CF64" s="102">
        <f t="shared" si="24"/>
        <v>0</v>
      </c>
      <c r="CG64" s="102">
        <f t="shared" si="25"/>
        <v>0</v>
      </c>
      <c r="CH64" s="124">
        <f t="shared" si="26"/>
        <v>26370</v>
      </c>
      <c r="CI64" s="125">
        <f t="shared" si="27"/>
        <v>0</v>
      </c>
      <c r="CJ64" s="126" t="str">
        <f t="shared" si="28"/>
        <v>数据正确</v>
      </c>
    </row>
    <row r="65" s="60" customFormat="1" customHeight="1" spans="2:88">
      <c r="B65" s="70" t="str">
        <f t="shared" si="18"/>
        <v>-</v>
      </c>
      <c r="C65" s="71" t="str">
        <f t="shared" si="19"/>
        <v>-</v>
      </c>
      <c r="D65" s="181">
        <f t="shared" si="20"/>
        <v>187695</v>
      </c>
      <c r="E65" s="181">
        <f>SUMIF(行政合同!$L$6:$L$300,L65,行政合同!$E$6:$E$300)</f>
        <v>0</v>
      </c>
      <c r="F65" s="181">
        <f>SUMIF(行政合同!$L$6:$L$300,L65,行政合同!$F$6:$F$300)</f>
        <v>0</v>
      </c>
      <c r="G65" s="181">
        <f>SUMIF(行政合同!$L$6:$L$300,L65,行政合同!$G$6:$G$300)</f>
        <v>5805</v>
      </c>
      <c r="H65" s="181">
        <f>SUMIF(行政合同!$L$6:$L$300,L65,行政合同!$H$6:$H$300)</f>
        <v>0</v>
      </c>
      <c r="I65" s="181">
        <f t="shared" si="21"/>
        <v>0</v>
      </c>
      <c r="J65" s="86" t="s">
        <v>98</v>
      </c>
      <c r="K65" s="87"/>
      <c r="L65" s="88">
        <v>60</v>
      </c>
      <c r="M65" s="89" t="str">
        <f>VLOOKUP(L65,行政合同!$L$6:$CC$300,2,0)</f>
        <v>YRKJXZ-170019</v>
      </c>
      <c r="N65" s="90" t="str">
        <f>VLOOKUP(L65,行政合同!$L$6:$CC$300,3,0)</f>
        <v>行政合同</v>
      </c>
      <c r="O65" s="265">
        <f>VLOOKUP(L65,行政合同!$L$6:$CC$300,4,0)</f>
        <v>2017050001</v>
      </c>
      <c r="P65" s="266">
        <f>VLOOKUP(L65,行政合同!$L$6:$CC$300,5,0)</f>
        <v>42909</v>
      </c>
      <c r="Q65" s="275">
        <f>VLOOKUP(L65,行政合同!$L$6:$CC$300,6,0)</f>
        <v>215000</v>
      </c>
      <c r="R65" s="89" t="str">
        <f>VLOOKUP(L65,行政合同!$L$6:$CC$300,7,0)</f>
        <v>5#、6#宿舍楼空气能热水器2套</v>
      </c>
      <c r="S65" s="89" t="str">
        <f>VLOOKUP(L65,行政合同!$L$6:$CC$300,8,0)</f>
        <v>莆田市秀屿区宏达贸易有限公司</v>
      </c>
      <c r="T65" s="107" t="str">
        <f>VLOOKUP(L65,行政合同!$L$6:$CC$300,9,0)</f>
        <v>非装置</v>
      </c>
      <c r="U65" s="103" t="str">
        <f>VLOOKUP(L65,行政合同!$L$6:$CC$300,10,0)</f>
        <v>6个月承兑汇票</v>
      </c>
      <c r="V65" s="276" t="str">
        <f>VLOOKUP(L65,行政合同!$L$6:$CC$300,11,0)</f>
        <v>甲方收到货款验收合格以及全额的发票后15个工作日支付90%的货款</v>
      </c>
      <c r="W65" s="102">
        <f>VLOOKUP(L65,行政合同!$L$6:$CC$300,12,0)</f>
        <v>193500</v>
      </c>
      <c r="X65" s="102">
        <f>VLOOKUP(L65,行政合同!$L$6:$CC$300,13,0)</f>
        <v>193500</v>
      </c>
      <c r="Y65" s="102">
        <f>VLOOKUP(L65,行政合同!$L$6:$CC$300,14,0)</f>
        <v>187695</v>
      </c>
      <c r="Z65" s="102" t="str">
        <f>VLOOKUP(L65,行政合同!$L$6:$CC$300,15,0)</f>
        <v>本合同的10%作为质量保证金，验收后12个月后支付，甲方接收反向贴息</v>
      </c>
      <c r="AA65" s="102">
        <f>VLOOKUP(L65,行政合同!$L$6:$CC$300,16,0)</f>
        <v>21500</v>
      </c>
      <c r="AB65" s="102">
        <f>VLOOKUP(L65,行政合同!$L$6:$CC$300,17,0)</f>
        <v>0</v>
      </c>
      <c r="AC65" s="102">
        <f>VLOOKUP(L65,行政合同!$L$6:$CC$300,18,0)</f>
        <v>0</v>
      </c>
      <c r="AD65" s="102">
        <f>VLOOKUP(L65,行政合同!$L$6:$CC$300,19,0)</f>
        <v>0</v>
      </c>
      <c r="AE65" s="102">
        <f>VLOOKUP(L65,行政合同!$L$6:$CC$300,20,0)</f>
        <v>0</v>
      </c>
      <c r="AF65" s="102">
        <f>VLOOKUP(L65,行政合同!$L$6:$CC$300,21,0)</f>
        <v>0</v>
      </c>
      <c r="AG65" s="102">
        <f>VLOOKUP(L65,行政合同!$L$6:$CC$300,22,0)</f>
        <v>0</v>
      </c>
      <c r="AH65" s="102">
        <f>VLOOKUP(L65,行政合同!$L$6:$CC$300,23,0)</f>
        <v>0</v>
      </c>
      <c r="AI65" s="102">
        <f>VLOOKUP(L65,行政合同!$L$6:$CC$300,24,0)</f>
        <v>0</v>
      </c>
      <c r="AJ65" s="102">
        <f>VLOOKUP(L65,行政合同!$L$6:$CC$300,25,0)</f>
        <v>0</v>
      </c>
      <c r="AK65" s="102">
        <f>VLOOKUP(L65,行政合同!$L$6:$CC$300,26,0)</f>
        <v>0</v>
      </c>
      <c r="AL65" s="102">
        <f>VLOOKUP(L65,行政合同!$L$6:$CC$300,27,0)</f>
        <v>0</v>
      </c>
      <c r="AM65" s="102">
        <f>VLOOKUP(L65,行政合同!$L$6:$CC$300,28,0)</f>
        <v>0</v>
      </c>
      <c r="AN65" s="102">
        <f>VLOOKUP(L65,行政合同!$L$6:$CC$300,29,0)</f>
        <v>0</v>
      </c>
      <c r="AO65" s="102">
        <f>VLOOKUP(L65,行政合同!$L$6:$CC$300,30,0)</f>
        <v>0</v>
      </c>
      <c r="AP65" s="102">
        <f>VLOOKUP(L65,行政合同!$L$6:$CC$300,31,0)</f>
        <v>0</v>
      </c>
      <c r="AQ65" s="102">
        <f>VLOOKUP(L65,行政合同!$L$6:$CC$300,32,0)</f>
        <v>0</v>
      </c>
      <c r="AR65" s="102">
        <f>VLOOKUP(L65,行政合同!$L$6:$CC$300,33,0)</f>
        <v>0</v>
      </c>
      <c r="AS65" s="102">
        <f>VLOOKUP(L65,行政合同!$L$6:$CC$300,34,0)</f>
        <v>0</v>
      </c>
      <c r="AT65" s="102">
        <f>VLOOKUP(L65,行政合同!$L$6:$CC$300,35,0)</f>
        <v>0</v>
      </c>
      <c r="AU65" s="102">
        <f>VLOOKUP(L65,行政合同!$L$6:$CC$300,36,0)</f>
        <v>0</v>
      </c>
      <c r="AV65" s="102">
        <f>VLOOKUP(L65,行政合同!$L$6:$CC$300,37,0)</f>
        <v>0</v>
      </c>
      <c r="AW65" s="102">
        <f>VLOOKUP(L65,行政合同!$L$6:$CC$300,38,0)</f>
        <v>0</v>
      </c>
      <c r="AX65" s="102">
        <f>VLOOKUP(L65,行政合同!$L$6:$CC$300,39,0)</f>
        <v>0</v>
      </c>
      <c r="AY65" s="102">
        <f>VLOOKUP(L65,行政合同!$L$6:$CC$300,40,0)</f>
        <v>0</v>
      </c>
      <c r="AZ65" s="102">
        <f>VLOOKUP(L65,行政合同!$L$6:$CC$300,41,0)</f>
        <v>0</v>
      </c>
      <c r="BA65" s="102">
        <f>VLOOKUP(L65,行政合同!$L$6:$CC$300,42,0)</f>
        <v>0</v>
      </c>
      <c r="BB65" s="102">
        <f>VLOOKUP(L65,行政合同!$L$6:$CC$300,43,0)</f>
        <v>0</v>
      </c>
      <c r="BC65" s="102">
        <f>VLOOKUP(L65,行政合同!$L$6:$CC$300,44,0)</f>
        <v>0</v>
      </c>
      <c r="BD65" s="102">
        <f>VLOOKUP(L65,行政合同!$L$6:$CC$300,45,0)</f>
        <v>0</v>
      </c>
      <c r="BE65" s="102">
        <f>VLOOKUP(L65,行政合同!$L$6:$CC$300,46,0)</f>
        <v>0</v>
      </c>
      <c r="BF65" s="102">
        <f>VLOOKUP(L65,行政合同!$L$6:$CC$300,47,0)</f>
        <v>0</v>
      </c>
      <c r="BG65" s="102">
        <f>VLOOKUP(L65,行政合同!$L$6:$CC$300,48,0)</f>
        <v>0</v>
      </c>
      <c r="BH65" s="102">
        <f>VLOOKUP(L65,行政合同!$L$6:$CC$300,49,0)</f>
        <v>0</v>
      </c>
      <c r="BI65" s="102">
        <f>VLOOKUP(L65,行政合同!$L$6:$CC$300,50,0)</f>
        <v>0</v>
      </c>
      <c r="BJ65" s="102">
        <f>VLOOKUP(L65,行政合同!$L$6:$CC$300,51,0)</f>
        <v>0</v>
      </c>
      <c r="BK65" s="102">
        <f>VLOOKUP(L65,行政合同!$L$6:$CC$300,52,0)</f>
        <v>0</v>
      </c>
      <c r="BL65" s="102">
        <f>VLOOKUP(L65,行政合同!$L$6:$CC$300,53,0)</f>
        <v>0</v>
      </c>
      <c r="BM65" s="102">
        <f>VLOOKUP(L65,行政合同!$L$6:$CC$300,54,0)</f>
        <v>0</v>
      </c>
      <c r="BN65" s="102">
        <f>VLOOKUP(L65,行政合同!$L$6:$CC$300,55,0)</f>
        <v>0</v>
      </c>
      <c r="BO65" s="102">
        <f>VLOOKUP(L65,行政合同!$L$6:$CC$300,56,0)</f>
        <v>0</v>
      </c>
      <c r="BP65" s="102">
        <f>VLOOKUP(L65,行政合同!$L$6:$CC$300,57,0)</f>
        <v>0</v>
      </c>
      <c r="BQ65" s="102">
        <f>VLOOKUP(L65,行政合同!$L$6:$CC$300,58,0)</f>
        <v>0</v>
      </c>
      <c r="BR65" s="102">
        <f>VLOOKUP(L65,行政合同!$L$6:$CC$300,59,0)</f>
        <v>0</v>
      </c>
      <c r="BS65" s="102">
        <f>VLOOKUP(L65,行政合同!$L$6:$CC$300,60,0)</f>
        <v>0</v>
      </c>
      <c r="BT65" s="102">
        <f>VLOOKUP(L65,行政合同!$L$6:$CC$300,61,0)</f>
        <v>0</v>
      </c>
      <c r="BU65" s="102">
        <f>VLOOKUP(L65,行政合同!$L$6:$CC$300,62,0)</f>
        <v>0</v>
      </c>
      <c r="BV65" s="102">
        <f>VLOOKUP(L65,行政合同!$L$6:$CC$300,63,0)</f>
        <v>0</v>
      </c>
      <c r="BW65" s="102">
        <f>VLOOKUP(L65,行政合同!$L$6:$CC$300,64,0)</f>
        <v>0</v>
      </c>
      <c r="BX65" s="102">
        <f>VLOOKUP(L65,行政合同!$L$6:$CC$300,65,0)</f>
        <v>0</v>
      </c>
      <c r="BY65" s="102">
        <f>VLOOKUP(L65,行政合同!$L$6:$CC$300,66,0)</f>
        <v>0</v>
      </c>
      <c r="BZ65" s="102">
        <f>VLOOKUP(L65,行政合同!$L$6:$CC$300,67,0)</f>
        <v>0</v>
      </c>
      <c r="CA65" s="102">
        <f>VLOOKUP(L65,行政合同!$L$6:$CC$300,68,0)</f>
        <v>0</v>
      </c>
      <c r="CB65" s="102">
        <f>VLOOKUP(L65,行政合同!$L$6:$CC$300,69,0)</f>
        <v>0</v>
      </c>
      <c r="CC65" s="102">
        <f>VLOOKUP(L65,行政合同!$L$6:$CC$300,70,0)</f>
        <v>0</v>
      </c>
      <c r="CD65" s="123">
        <f t="shared" si="22"/>
        <v>215000</v>
      </c>
      <c r="CE65" s="102">
        <f t="shared" si="23"/>
        <v>193500</v>
      </c>
      <c r="CF65" s="102">
        <f t="shared" si="24"/>
        <v>187695</v>
      </c>
      <c r="CG65" s="102">
        <f t="shared" si="25"/>
        <v>5805</v>
      </c>
      <c r="CH65" s="124">
        <f t="shared" si="26"/>
        <v>21500</v>
      </c>
      <c r="CI65" s="125">
        <f t="shared" si="27"/>
        <v>0.9</v>
      </c>
      <c r="CJ65" s="126" t="str">
        <f t="shared" si="28"/>
        <v>数据正确</v>
      </c>
    </row>
    <row r="66" s="60" customFormat="1" customHeight="1" spans="2:88">
      <c r="B66" s="70" t="str">
        <f t="shared" si="18"/>
        <v>-</v>
      </c>
      <c r="C66" s="71" t="str">
        <f t="shared" si="19"/>
        <v>-</v>
      </c>
      <c r="D66" s="181">
        <f t="shared" si="20"/>
        <v>47550000</v>
      </c>
      <c r="E66" s="181">
        <f>SUMIF(服务合同!$L$6:$L$300,L66,服务合同!$E$6:$E$300)</f>
        <v>0</v>
      </c>
      <c r="F66" s="181">
        <f>SUMIF(服务合同!$L$6:$L$300,L66,服务合同!$F$6:$F$300)</f>
        <v>0</v>
      </c>
      <c r="G66" s="181">
        <f>SUMIF(服务合同!$L$6:$L$300,L66,服务合同!$G$6:$G$300)</f>
        <v>0</v>
      </c>
      <c r="H66" s="181">
        <f>SUMIF(服务合同!$L$6:$L$300,L66,服务合同!$H$6:$H$300)</f>
        <v>0</v>
      </c>
      <c r="I66" s="181">
        <f t="shared" si="21"/>
        <v>0</v>
      </c>
      <c r="J66" s="86" t="s">
        <v>98</v>
      </c>
      <c r="K66" s="87"/>
      <c r="L66" s="88">
        <v>61</v>
      </c>
      <c r="M66" s="89" t="str">
        <f>VLOOKUP(L66,服务合同!$L$6:$CC$300,2,0)</f>
        <v>YRKJGC-170003</v>
      </c>
      <c r="N66" s="90" t="str">
        <f>VLOOKUP(L66,服务合同!$L$6:$CC$300,3,0)</f>
        <v>服务合同</v>
      </c>
      <c r="O66" s="265">
        <f>VLOOKUP(L66,服务合同!$L$6:$CC$300,4,0)</f>
        <v>2017020021</v>
      </c>
      <c r="P66" s="266">
        <f>VLOOKUP(L66,服务合同!$L$6:$CC$300,5,0)</f>
        <v>42796</v>
      </c>
      <c r="Q66" s="275">
        <f>VLOOKUP(L66,服务合同!$L$6:$CC$300,6,0)</f>
        <v>125000000</v>
      </c>
      <c r="R66" s="89" t="str">
        <f>VLOOKUP(L66,服务合同!$L$6:$CC$300,7,0)</f>
        <v>环己酮装置设计服务(环己酮预算范围内管控） 合计</v>
      </c>
      <c r="S66" s="89" t="str">
        <f>VLOOKUP(L66,服务合同!$L$6:$CC$300,8,0)</f>
        <v>中国天辰工程有限公司</v>
      </c>
      <c r="T66" s="107">
        <f>VLOOKUP(L66,服务合同!$L$6:$CC$300,9,0)</f>
        <v>0</v>
      </c>
      <c r="U66" s="103" t="str">
        <f>VLOOKUP(L66,服务合同!$L$6:$CC$300,10,0)</f>
        <v>承兑汇票</v>
      </c>
      <c r="V66" s="276" t="str">
        <f>VLOOKUP(L66,服务合同!$L$6:$CC$300,11,0)</f>
        <v>-</v>
      </c>
      <c r="W66" s="102">
        <f>VLOOKUP(L66,服务合同!$L$6:$CC$300,12,0)</f>
        <v>43400000</v>
      </c>
      <c r="X66" s="102">
        <f>VLOOKUP(L66,服务合同!$L$6:$CC$300,13,0)</f>
        <v>10950000</v>
      </c>
      <c r="Y66" s="102">
        <f>VLOOKUP(L66,服务合同!$L$6:$CC$300,14,0)</f>
        <v>10950000</v>
      </c>
      <c r="Z66" s="102">
        <f>VLOOKUP(L66,服务合同!$L$6:$CC$300,15,0)</f>
        <v>0</v>
      </c>
      <c r="AA66" s="102">
        <f>VLOOKUP(L66,服务合同!$L$6:$CC$300,16,0)</f>
        <v>40750000</v>
      </c>
      <c r="AB66" s="102">
        <f>VLOOKUP(L66,服务合同!$L$6:$CC$300,17,0)</f>
        <v>26300000</v>
      </c>
      <c r="AC66" s="102">
        <f>VLOOKUP(L66,服务合同!$L$6:$CC$300,18,0)</f>
        <v>26300000</v>
      </c>
      <c r="AD66" s="102">
        <f>VLOOKUP(L66,服务合同!$L$6:$CC$300,19,0)</f>
        <v>0</v>
      </c>
      <c r="AE66" s="102">
        <f>VLOOKUP(L66,服务合同!$L$6:$CC$300,20,0)</f>
        <v>8900000</v>
      </c>
      <c r="AF66" s="102">
        <f>VLOOKUP(L66,服务合同!$L$6:$CC$300,21,0)</f>
        <v>10300000</v>
      </c>
      <c r="AG66" s="102">
        <f>VLOOKUP(L66,服务合同!$L$6:$CC$300,22,0)</f>
        <v>10300000</v>
      </c>
      <c r="AH66" s="102">
        <f>VLOOKUP(L66,服务合同!$L$6:$CC$300,23,0)</f>
        <v>0</v>
      </c>
      <c r="AI66" s="102">
        <f>VLOOKUP(L66,服务合同!$L$6:$CC$300,24,0)</f>
        <v>4400000</v>
      </c>
      <c r="AJ66" s="102">
        <f>VLOOKUP(L66,服务合同!$L$6:$CC$300,25,0)</f>
        <v>0</v>
      </c>
      <c r="AK66" s="102">
        <f>VLOOKUP(L66,服务合同!$L$6:$CC$300,26,0)</f>
        <v>0</v>
      </c>
      <c r="AL66" s="102">
        <f>VLOOKUP(L66,服务合同!$L$6:$CC$300,27,0)</f>
        <v>0</v>
      </c>
      <c r="AM66" s="102">
        <f>VLOOKUP(L66,服务合同!$L$6:$CC$300,28,0)</f>
        <v>8050000</v>
      </c>
      <c r="AN66" s="102">
        <f>VLOOKUP(L66,服务合同!$L$6:$CC$300,29,0)</f>
        <v>0</v>
      </c>
      <c r="AO66" s="102">
        <f>VLOOKUP(L66,服务合同!$L$6:$CC$300,30,0)</f>
        <v>0</v>
      </c>
      <c r="AP66" s="102">
        <f>VLOOKUP(L66,服务合同!$L$6:$CC$300,31,0)</f>
        <v>0</v>
      </c>
      <c r="AQ66" s="102">
        <f>VLOOKUP(L66,服务合同!$L$6:$CC$300,32,0)</f>
        <v>4400000</v>
      </c>
      <c r="AR66" s="102">
        <f>VLOOKUP(L66,服务合同!$L$6:$CC$300,33,0)</f>
        <v>0</v>
      </c>
      <c r="AS66" s="102">
        <f>VLOOKUP(L66,服务合同!$L$6:$CC$300,34,0)</f>
        <v>0</v>
      </c>
      <c r="AT66" s="102">
        <f>VLOOKUP(L66,服务合同!$L$6:$CC$300,35,0)</f>
        <v>0</v>
      </c>
      <c r="AU66" s="102">
        <f>VLOOKUP(L66,服务合同!$L$6:$CC$300,36,0)</f>
        <v>7800000</v>
      </c>
      <c r="AV66" s="102">
        <f>VLOOKUP(L66,服务合同!$L$6:$CC$300,37,0)</f>
        <v>0</v>
      </c>
      <c r="AW66" s="102">
        <f>VLOOKUP(L66,服务合同!$L$6:$CC$300,38,0)</f>
        <v>0</v>
      </c>
      <c r="AX66" s="102">
        <f>VLOOKUP(L66,服务合同!$L$6:$CC$300,39,0)</f>
        <v>0</v>
      </c>
      <c r="AY66" s="102">
        <f>VLOOKUP(L66,服务合同!$L$6:$CC$300,40,0)</f>
        <v>7300000</v>
      </c>
      <c r="AZ66" s="102">
        <f>VLOOKUP(L66,服务合同!$L$6:$CC$300,41,0)</f>
        <v>0</v>
      </c>
      <c r="BA66" s="102">
        <f>VLOOKUP(L66,服务合同!$L$6:$CC$300,42,0)</f>
        <v>0</v>
      </c>
      <c r="BB66" s="102">
        <f>VLOOKUP(L66,服务合同!$L$6:$CC$300,43,0)</f>
        <v>0</v>
      </c>
      <c r="BC66" s="102">
        <f>VLOOKUP(L66,服务合同!$L$6:$CC$300,44,0)</f>
        <v>0</v>
      </c>
      <c r="BD66" s="102">
        <f>VLOOKUP(L66,服务合同!$L$6:$CC$300,45,0)</f>
        <v>0</v>
      </c>
      <c r="BE66" s="102">
        <f>VLOOKUP(L66,服务合同!$L$6:$CC$300,46,0)</f>
        <v>0</v>
      </c>
      <c r="BF66" s="102">
        <f>VLOOKUP(L66,服务合同!$L$6:$CC$300,47,0)</f>
        <v>0</v>
      </c>
      <c r="BG66" s="102">
        <f>VLOOKUP(L66,服务合同!$L$6:$CC$300,48,0)</f>
        <v>0</v>
      </c>
      <c r="BH66" s="102">
        <f>VLOOKUP(L66,服务合同!$L$6:$CC$300,49,0)</f>
        <v>0</v>
      </c>
      <c r="BI66" s="102">
        <f>VLOOKUP(L66,服务合同!$L$6:$CC$300,50,0)</f>
        <v>0</v>
      </c>
      <c r="BJ66" s="102">
        <f>VLOOKUP(L66,服务合同!$L$6:$CC$300,51,0)</f>
        <v>0</v>
      </c>
      <c r="BK66" s="102">
        <f>VLOOKUP(L66,服务合同!$L$6:$CC$300,52,0)</f>
        <v>0</v>
      </c>
      <c r="BL66" s="102">
        <f>VLOOKUP(L66,服务合同!$L$6:$CC$300,53,0)</f>
        <v>0</v>
      </c>
      <c r="BM66" s="102">
        <f>VLOOKUP(L66,服务合同!$L$6:$CC$300,54,0)</f>
        <v>0</v>
      </c>
      <c r="BN66" s="102">
        <f>VLOOKUP(L66,服务合同!$L$6:$CC$300,55,0)</f>
        <v>0</v>
      </c>
      <c r="BO66" s="102">
        <f>VLOOKUP(L66,服务合同!$L$6:$CC$300,56,0)</f>
        <v>0</v>
      </c>
      <c r="BP66" s="102">
        <f>VLOOKUP(L66,服务合同!$L$6:$CC$300,57,0)</f>
        <v>0</v>
      </c>
      <c r="BQ66" s="102">
        <f>VLOOKUP(L66,服务合同!$L$6:$CC$300,58,0)</f>
        <v>0</v>
      </c>
      <c r="BR66" s="102">
        <f>VLOOKUP(L66,服务合同!$L$6:$CC$300,59,0)</f>
        <v>0</v>
      </c>
      <c r="BS66" s="102">
        <f>VLOOKUP(L66,服务合同!$L$6:$CC$300,60,0)</f>
        <v>0</v>
      </c>
      <c r="BT66" s="102">
        <f>VLOOKUP(L66,服务合同!$L$6:$CC$300,61,0)</f>
        <v>0</v>
      </c>
      <c r="BU66" s="102">
        <f>VLOOKUP(L66,服务合同!$L$6:$CC$300,62,0)</f>
        <v>0</v>
      </c>
      <c r="BV66" s="102">
        <f>VLOOKUP(L66,服务合同!$L$6:$CC$300,63,0)</f>
        <v>0</v>
      </c>
      <c r="BW66" s="102">
        <f>VLOOKUP(L66,服务合同!$L$6:$CC$300,64,0)</f>
        <v>0</v>
      </c>
      <c r="BX66" s="102">
        <f>VLOOKUP(L66,服务合同!$L$6:$CC$300,65,0)</f>
        <v>0</v>
      </c>
      <c r="BY66" s="102">
        <f>VLOOKUP(L66,服务合同!$L$6:$CC$300,66,0)</f>
        <v>0</v>
      </c>
      <c r="BZ66" s="102">
        <f>VLOOKUP(L66,服务合同!$L$6:$CC$300,67,0)</f>
        <v>0</v>
      </c>
      <c r="CA66" s="102">
        <f>VLOOKUP(L66,服务合同!$L$6:$CC$300,68,0)</f>
        <v>0</v>
      </c>
      <c r="CB66" s="102">
        <f>VLOOKUP(L66,服务合同!$L$6:$CC$300,69,0)</f>
        <v>0</v>
      </c>
      <c r="CC66" s="102">
        <f>VLOOKUP(L66,服务合同!$L$6:$CC$300,70,0)</f>
        <v>0</v>
      </c>
      <c r="CD66" s="123">
        <f t="shared" si="22"/>
        <v>125000000</v>
      </c>
      <c r="CE66" s="102">
        <f t="shared" si="23"/>
        <v>47550000</v>
      </c>
      <c r="CF66" s="102">
        <f t="shared" si="24"/>
        <v>47550000</v>
      </c>
      <c r="CG66" s="102">
        <f t="shared" si="25"/>
        <v>0</v>
      </c>
      <c r="CH66" s="124">
        <f t="shared" si="26"/>
        <v>77450000</v>
      </c>
      <c r="CI66" s="125">
        <f t="shared" si="27"/>
        <v>0.3804</v>
      </c>
      <c r="CJ66" s="126" t="str">
        <f t="shared" si="28"/>
        <v>数据正确</v>
      </c>
    </row>
    <row r="67" s="60" customFormat="1" customHeight="1" spans="2:88">
      <c r="B67" s="70" t="str">
        <f t="shared" si="18"/>
        <v>-</v>
      </c>
      <c r="C67" s="71" t="str">
        <f t="shared" si="19"/>
        <v>-</v>
      </c>
      <c r="D67" s="181">
        <f t="shared" si="20"/>
        <v>2614039.86</v>
      </c>
      <c r="E67" s="181">
        <f>SUMIF(工程合同!$L$6:$L$299,L67,工程合同!$E$6:$E$299)</f>
        <v>50000</v>
      </c>
      <c r="F67" s="181">
        <f>SUMIF(工程合同!$L$6:$L$299,L67,工程合同!$F$6:$F$299)</f>
        <v>69576</v>
      </c>
      <c r="G67" s="181">
        <f>SUMIF(工程合同!$L$6:$L$299,L67,工程合同!$G$6:$G$299)</f>
        <v>53484.14</v>
      </c>
      <c r="H67" s="181">
        <f>SUMIF(工程合同!$L$6:$L$299,L67,工程合同!$H$6:$H$299)</f>
        <v>500</v>
      </c>
      <c r="I67" s="181">
        <f t="shared" si="21"/>
        <v>0</v>
      </c>
      <c r="J67" s="86" t="s">
        <v>98</v>
      </c>
      <c r="K67" s="87"/>
      <c r="L67" s="88">
        <v>62</v>
      </c>
      <c r="M67" s="89" t="str">
        <f>VLOOKUP(L67,工程合同!$L$6:$CC$299,2,0)</f>
        <v>YRKJ-2017GC-SGHT004</v>
      </c>
      <c r="N67" s="90" t="str">
        <f>VLOOKUP(L67,工程合同!$L$6:$CC$299,3,0)</f>
        <v>工程合同</v>
      </c>
      <c r="O67" s="265" t="str">
        <f>VLOOKUP(L67,工程合同!$L$6:$CC$299,4,0)</f>
        <v>-</v>
      </c>
      <c r="P67" s="266">
        <f>VLOOKUP(L67,工程合同!$L$6:$CC$299,5,0)</f>
        <v>42814</v>
      </c>
      <c r="Q67" s="275">
        <f>VLOOKUP(L67,工程合同!$L$6:$CC$299,6,0)</f>
        <v>3360000</v>
      </c>
      <c r="R67" s="89" t="str">
        <f>VLOOKUP(L67,工程合同!$L$6:$CC$299,7,0)</f>
        <v>桩基打桩工程第1标段施工合同书（预应力非一体化管桩24元/米，一体化22.5元/米） </v>
      </c>
      <c r="S67" s="89" t="str">
        <f>VLOOKUP(L67,工程合同!$L$6:$CC$299,8,0)</f>
        <v>福建省岩田基础工程技术有限公司</v>
      </c>
      <c r="T67" s="107">
        <f>VLOOKUP(L67,工程合同!$L$6:$CC$299,9,0)</f>
        <v>0</v>
      </c>
      <c r="U67" s="103" t="str">
        <f>VLOOKUP(L67,工程合同!$L$6:$CC$299,10,0)</f>
        <v>6个月承兑汇票</v>
      </c>
      <c r="V67" s="276" t="str">
        <f>VLOOKUP(L67,工程合同!$L$6:$CC$299,11,0)</f>
        <v>按月支付工程款，支付当月已验收完工对应价的80%，工程竣工验收合格后付清余款。现金支付，则价格下浮1.5%，对方提供11%专票后付款</v>
      </c>
      <c r="W67" s="102">
        <f>VLOOKUP(L67,工程合同!$L$6:$CC$299,12,0)</f>
        <v>2688000</v>
      </c>
      <c r="X67" s="102">
        <f>VLOOKUP(L67,工程合同!$L$6:$CC$299,13,0)</f>
        <v>2787600</v>
      </c>
      <c r="Y67" s="102">
        <f>VLOOKUP(L67,工程合同!$L$6:$CC$299,14,0)</f>
        <v>2614039.86</v>
      </c>
      <c r="Z67" s="102" t="str">
        <f>VLOOKUP(L67,工程合同!$L$6:$CC$299,15,0)</f>
        <v>按月支付工程款，支付当月已验收完工对应价的80%，工程竣工验收合格后付清余款。现金支付，则价格下浮1.5%，对方提供11%专票后付款</v>
      </c>
      <c r="AA67" s="102">
        <f>VLOOKUP(L67,工程合同!$L$6:$CC$299,16,0)</f>
        <v>672000</v>
      </c>
      <c r="AB67" s="102">
        <f>VLOOKUP(L67,工程合同!$L$6:$CC$299,17,0)</f>
        <v>0</v>
      </c>
      <c r="AC67" s="102">
        <f>VLOOKUP(L67,工程合同!$L$6:$CC$299,18,0)</f>
        <v>0</v>
      </c>
      <c r="AD67" s="102">
        <f>VLOOKUP(L67,工程合同!$L$6:$CC$299,19,0)</f>
        <v>0</v>
      </c>
      <c r="AE67" s="102">
        <f>VLOOKUP(L67,工程合同!$L$6:$CC$299,20,0)</f>
        <v>0</v>
      </c>
      <c r="AF67" s="102">
        <f>VLOOKUP(L67,工程合同!$L$6:$CC$299,21,0)</f>
        <v>0</v>
      </c>
      <c r="AG67" s="102">
        <f>VLOOKUP(L67,工程合同!$L$6:$CC$299,22,0)</f>
        <v>0</v>
      </c>
      <c r="AH67" s="102">
        <f>VLOOKUP(L67,工程合同!$L$6:$CC$299,23,0)</f>
        <v>0</v>
      </c>
      <c r="AI67" s="102">
        <f>VLOOKUP(L67,工程合同!$L$6:$CC$299,24,0)</f>
        <v>0</v>
      </c>
      <c r="AJ67" s="102">
        <f>VLOOKUP(L67,工程合同!$L$6:$CC$299,25,0)</f>
        <v>0</v>
      </c>
      <c r="AK67" s="102">
        <f>VLOOKUP(L67,工程合同!$L$6:$CC$299,26,0)</f>
        <v>0</v>
      </c>
      <c r="AL67" s="102">
        <f>VLOOKUP(L67,工程合同!$L$6:$CC$299,27,0)</f>
        <v>0</v>
      </c>
      <c r="AM67" s="102">
        <f>VLOOKUP(L67,工程合同!$L$6:$CC$299,28,0)</f>
        <v>0</v>
      </c>
      <c r="AN67" s="102">
        <f>VLOOKUP(L67,工程合同!$L$6:$CC$299,29,0)</f>
        <v>0</v>
      </c>
      <c r="AO67" s="102">
        <f>VLOOKUP(L67,工程合同!$L$6:$CC$299,30,0)</f>
        <v>0</v>
      </c>
      <c r="AP67" s="102">
        <f>VLOOKUP(L67,工程合同!$L$6:$CC$299,31,0)</f>
        <v>0</v>
      </c>
      <c r="AQ67" s="102">
        <f>VLOOKUP(L67,工程合同!$L$6:$CC$299,32,0)</f>
        <v>0</v>
      </c>
      <c r="AR67" s="102">
        <f>VLOOKUP(L67,工程合同!$L$6:$CC$299,33,0)</f>
        <v>0</v>
      </c>
      <c r="AS67" s="102">
        <f>VLOOKUP(L67,工程合同!$L$6:$CC$299,34,0)</f>
        <v>0</v>
      </c>
      <c r="AT67" s="102">
        <f>VLOOKUP(L67,工程合同!$L$6:$CC$299,35,0)</f>
        <v>0</v>
      </c>
      <c r="AU67" s="102">
        <f>VLOOKUP(L67,工程合同!$L$6:$CC$299,36,0)</f>
        <v>0</v>
      </c>
      <c r="AV67" s="102">
        <f>VLOOKUP(L67,工程合同!$L$6:$CC$299,37,0)</f>
        <v>0</v>
      </c>
      <c r="AW67" s="102">
        <f>VLOOKUP(L67,工程合同!$L$6:$CC$299,38,0)</f>
        <v>0</v>
      </c>
      <c r="AX67" s="102">
        <f>VLOOKUP(L67,工程合同!$L$6:$CC$299,39,0)</f>
        <v>0</v>
      </c>
      <c r="AY67" s="102">
        <f>VLOOKUP(L67,工程合同!$L$6:$CC$299,40,0)</f>
        <v>0</v>
      </c>
      <c r="AZ67" s="102">
        <f>VLOOKUP(L67,工程合同!$L$6:$CC$299,41,0)</f>
        <v>0</v>
      </c>
      <c r="BA67" s="102">
        <f>VLOOKUP(L67,工程合同!$L$6:$CC$299,42,0)</f>
        <v>0</v>
      </c>
      <c r="BB67" s="102">
        <f>VLOOKUP(L67,工程合同!$L$6:$CC$299,43,0)</f>
        <v>0</v>
      </c>
      <c r="BC67" s="102">
        <f>VLOOKUP(L67,工程合同!$L$6:$CC$299,44,0)</f>
        <v>0</v>
      </c>
      <c r="BD67" s="102">
        <f>VLOOKUP(L67,工程合同!$L$6:$CC$299,45,0)</f>
        <v>0</v>
      </c>
      <c r="BE67" s="102">
        <f>VLOOKUP(L67,工程合同!$L$6:$CC$299,46,0)</f>
        <v>0</v>
      </c>
      <c r="BF67" s="102">
        <f>VLOOKUP(L67,工程合同!$L$6:$CC$299,47,0)</f>
        <v>0</v>
      </c>
      <c r="BG67" s="102">
        <f>VLOOKUP(L67,工程合同!$L$6:$CC$299,48,0)</f>
        <v>0</v>
      </c>
      <c r="BH67" s="102">
        <f>VLOOKUP(L67,工程合同!$L$6:$CC$299,49,0)</f>
        <v>0</v>
      </c>
      <c r="BI67" s="102">
        <f>VLOOKUP(L67,工程合同!$L$6:$CC$299,50,0)</f>
        <v>0</v>
      </c>
      <c r="BJ67" s="102">
        <f>VLOOKUP(L67,工程合同!$L$6:$CC$299,51,0)</f>
        <v>0</v>
      </c>
      <c r="BK67" s="102">
        <f>VLOOKUP(L67,工程合同!$L$6:$CC$299,52,0)</f>
        <v>0</v>
      </c>
      <c r="BL67" s="102">
        <f>VLOOKUP(L67,工程合同!$L$6:$CC$299,53,0)</f>
        <v>0</v>
      </c>
      <c r="BM67" s="102">
        <f>VLOOKUP(L67,工程合同!$L$6:$CC$299,54,0)</f>
        <v>0</v>
      </c>
      <c r="BN67" s="102">
        <f>VLOOKUP(L67,工程合同!$L$6:$CC$299,55,0)</f>
        <v>0</v>
      </c>
      <c r="BO67" s="102">
        <f>VLOOKUP(L67,工程合同!$L$6:$CC$299,56,0)</f>
        <v>0</v>
      </c>
      <c r="BP67" s="102">
        <f>VLOOKUP(L67,工程合同!$L$6:$CC$299,57,0)</f>
        <v>0</v>
      </c>
      <c r="BQ67" s="102">
        <f>VLOOKUP(L67,工程合同!$L$6:$CC$299,58,0)</f>
        <v>0</v>
      </c>
      <c r="BR67" s="102">
        <f>VLOOKUP(L67,工程合同!$L$6:$CC$299,59,0)</f>
        <v>0</v>
      </c>
      <c r="BS67" s="102">
        <f>VLOOKUP(L67,工程合同!$L$6:$CC$299,60,0)</f>
        <v>0</v>
      </c>
      <c r="BT67" s="102">
        <f>VLOOKUP(L67,工程合同!$L$6:$CC$299,61,0)</f>
        <v>0</v>
      </c>
      <c r="BU67" s="102">
        <f>VLOOKUP(L67,工程合同!$L$6:$CC$299,62,0)</f>
        <v>0</v>
      </c>
      <c r="BV67" s="102">
        <f>VLOOKUP(L67,工程合同!$L$6:$CC$299,63,0)</f>
        <v>0</v>
      </c>
      <c r="BW67" s="102">
        <f>VLOOKUP(L67,工程合同!$L$6:$CC$299,64,0)</f>
        <v>0</v>
      </c>
      <c r="BX67" s="102">
        <f>VLOOKUP(L67,工程合同!$L$6:$CC$299,65,0)</f>
        <v>0</v>
      </c>
      <c r="BY67" s="102">
        <f>VLOOKUP(L67,工程合同!$L$6:$CC$299,66,0)</f>
        <v>0</v>
      </c>
      <c r="BZ67" s="102">
        <f>VLOOKUP(L67,工程合同!$L$6:$CC$299,67,0)</f>
        <v>0</v>
      </c>
      <c r="CA67" s="102">
        <f>VLOOKUP(L67,工程合同!$L$6:$CC$299,68,0)</f>
        <v>0</v>
      </c>
      <c r="CB67" s="102">
        <f>VLOOKUP(L67,工程合同!$L$6:$CC$299,69,0)</f>
        <v>0</v>
      </c>
      <c r="CC67" s="102">
        <f>VLOOKUP(L67,工程合同!$L$6:$CC$299,70,0)</f>
        <v>0</v>
      </c>
      <c r="CD67" s="123">
        <f t="shared" si="22"/>
        <v>3360000</v>
      </c>
      <c r="CE67" s="102">
        <f t="shared" si="23"/>
        <v>2787600</v>
      </c>
      <c r="CF67" s="102">
        <f t="shared" si="24"/>
        <v>2614039.86</v>
      </c>
      <c r="CG67" s="102">
        <f t="shared" si="25"/>
        <v>173560.14</v>
      </c>
      <c r="CH67" s="124">
        <f t="shared" si="26"/>
        <v>572400</v>
      </c>
      <c r="CI67" s="125">
        <f t="shared" si="27"/>
        <v>0.829642857142857</v>
      </c>
      <c r="CJ67" s="126" t="str">
        <f t="shared" si="28"/>
        <v>数据正确</v>
      </c>
    </row>
    <row r="68" s="60" customFormat="1" customHeight="1" spans="2:88">
      <c r="B68" s="70" t="str">
        <f t="shared" si="18"/>
        <v>申请中</v>
      </c>
      <c r="C68" s="71" t="str">
        <f t="shared" si="19"/>
        <v>-</v>
      </c>
      <c r="D68" s="181">
        <f t="shared" si="20"/>
        <v>3049078.4</v>
      </c>
      <c r="E68" s="181">
        <f>SUMIF(服务合同!$L$6:$L$300,L68,服务合同!$E$6:$E$300)</f>
        <v>0</v>
      </c>
      <c r="F68" s="181">
        <f>SUMIF(服务合同!$L$6:$L$300,L68,服务合同!$F$6:$F$300)</f>
        <v>0</v>
      </c>
      <c r="G68" s="181">
        <f>SUMIF(服务合同!$L$6:$L$300,L68,服务合同!$G$6:$G$300)</f>
        <v>0</v>
      </c>
      <c r="H68" s="181">
        <f>SUMIF(服务合同!$L$6:$L$300,L68,服务合同!$H$6:$H$300)</f>
        <v>0</v>
      </c>
      <c r="I68" s="181">
        <f t="shared" si="21"/>
        <v>414568</v>
      </c>
      <c r="J68" s="86" t="s">
        <v>98</v>
      </c>
      <c r="K68" s="87"/>
      <c r="L68" s="88">
        <v>63</v>
      </c>
      <c r="M68" s="89" t="str">
        <f>VLOOKUP(L68,服务合同!$L$6:$CC$300,2,0)</f>
        <v>YRKJGC-170024</v>
      </c>
      <c r="N68" s="90" t="str">
        <f>VLOOKUP(L68,服务合同!$L$6:$CC$300,3,0)</f>
        <v>服务合同</v>
      </c>
      <c r="O68" s="265" t="str">
        <f>VLOOKUP(L68,服务合同!$L$6:$CC$300,4,0)</f>
        <v>-</v>
      </c>
      <c r="P68" s="266">
        <f>VLOOKUP(L68,服务合同!$L$6:$CC$300,5,0)</f>
        <v>42881</v>
      </c>
      <c r="Q68" s="275">
        <f>VLOOKUP(L68,服务合同!$L$6:$CC$300,6,0)</f>
        <v>3463646.46</v>
      </c>
      <c r="R68" s="89" t="str">
        <f>VLOOKUP(L68,服务合同!$L$6:$CC$300,7,0)</f>
        <v>关于己内酰胺项目管理框架协议 </v>
      </c>
      <c r="S68" s="89" t="str">
        <f>VLOOKUP(L68,服务合同!$L$6:$CC$300,8,0)</f>
        <v>东洋工程（上海）有限公司</v>
      </c>
      <c r="T68" s="107">
        <f>VLOOKUP(L68,服务合同!$L$6:$CC$300,9,0)</f>
        <v>0</v>
      </c>
      <c r="U68" s="103" t="str">
        <f>VLOOKUP(L68,服务合同!$L$6:$CC$300,10,0)</f>
        <v>电汇</v>
      </c>
      <c r="V68" s="276" t="str">
        <f>VLOOKUP(L68,服务合同!$L$6:$CC$300,11,0)</f>
        <v>收到东洋出具发票后15天内支付给东洋指定账户</v>
      </c>
      <c r="W68" s="102">
        <f>VLOOKUP(L68,服务合同!$L$6:$CC$300,12,0)</f>
        <v>3463646.46</v>
      </c>
      <c r="X68" s="102">
        <f>VLOOKUP(L68,服务合同!$L$6:$CC$300,13,0)</f>
        <v>3463646.4</v>
      </c>
      <c r="Y68" s="102">
        <f>VLOOKUP(L68,服务合同!$L$6:$CC$300,14,0)</f>
        <v>3049078.4</v>
      </c>
      <c r="Z68" s="102">
        <f>VLOOKUP(L68,服务合同!$L$6:$CC$300,15,0)</f>
        <v>0</v>
      </c>
      <c r="AA68" s="102">
        <f>VLOOKUP(L68,服务合同!$L$6:$CC$300,16,0)</f>
        <v>0</v>
      </c>
      <c r="AB68" s="102">
        <f>VLOOKUP(L68,服务合同!$L$6:$CC$300,17,0)</f>
        <v>0</v>
      </c>
      <c r="AC68" s="102">
        <f>VLOOKUP(L68,服务合同!$L$6:$CC$300,18,0)</f>
        <v>0</v>
      </c>
      <c r="AD68" s="102">
        <f>VLOOKUP(L68,服务合同!$L$6:$CC$300,19,0)</f>
        <v>0</v>
      </c>
      <c r="AE68" s="102">
        <f>VLOOKUP(L68,服务合同!$L$6:$CC$300,20,0)</f>
        <v>0</v>
      </c>
      <c r="AF68" s="102">
        <f>VLOOKUP(L68,服务合同!$L$6:$CC$300,21,0)</f>
        <v>0</v>
      </c>
      <c r="AG68" s="102">
        <f>VLOOKUP(L68,服务合同!$L$6:$CC$300,22,0)</f>
        <v>0</v>
      </c>
      <c r="AH68" s="102">
        <f>VLOOKUP(L68,服务合同!$L$6:$CC$300,23,0)</f>
        <v>0</v>
      </c>
      <c r="AI68" s="102">
        <f>VLOOKUP(L68,服务合同!$L$6:$CC$300,24,0)</f>
        <v>0</v>
      </c>
      <c r="AJ68" s="102">
        <f>VLOOKUP(L68,服务合同!$L$6:$CC$300,25,0)</f>
        <v>0</v>
      </c>
      <c r="AK68" s="102">
        <f>VLOOKUP(L68,服务合同!$L$6:$CC$300,26,0)</f>
        <v>0</v>
      </c>
      <c r="AL68" s="102">
        <f>VLOOKUP(L68,服务合同!$L$6:$CC$300,27,0)</f>
        <v>0</v>
      </c>
      <c r="AM68" s="102">
        <f>VLOOKUP(L68,服务合同!$L$6:$CC$300,28,0)</f>
        <v>0</v>
      </c>
      <c r="AN68" s="102">
        <f>VLOOKUP(L68,服务合同!$L$6:$CC$300,29,0)</f>
        <v>0</v>
      </c>
      <c r="AO68" s="102">
        <f>VLOOKUP(L68,服务合同!$L$6:$CC$300,30,0)</f>
        <v>0</v>
      </c>
      <c r="AP68" s="102">
        <f>VLOOKUP(L68,服务合同!$L$6:$CC$300,31,0)</f>
        <v>0</v>
      </c>
      <c r="AQ68" s="102">
        <f>VLOOKUP(L68,服务合同!$L$6:$CC$300,32,0)</f>
        <v>0</v>
      </c>
      <c r="AR68" s="102">
        <f>VLOOKUP(L68,服务合同!$L$6:$CC$300,33,0)</f>
        <v>0</v>
      </c>
      <c r="AS68" s="102">
        <f>VLOOKUP(L68,服务合同!$L$6:$CC$300,34,0)</f>
        <v>0</v>
      </c>
      <c r="AT68" s="102">
        <f>VLOOKUP(L68,服务合同!$L$6:$CC$300,35,0)</f>
        <v>0</v>
      </c>
      <c r="AU68" s="102">
        <f>VLOOKUP(L68,服务合同!$L$6:$CC$300,36,0)</f>
        <v>0</v>
      </c>
      <c r="AV68" s="102">
        <f>VLOOKUP(L68,服务合同!$L$6:$CC$300,37,0)</f>
        <v>0</v>
      </c>
      <c r="AW68" s="102">
        <f>VLOOKUP(L68,服务合同!$L$6:$CC$300,38,0)</f>
        <v>0</v>
      </c>
      <c r="AX68" s="102">
        <f>VLOOKUP(L68,服务合同!$L$6:$CC$300,39,0)</f>
        <v>0</v>
      </c>
      <c r="AY68" s="102">
        <f>VLOOKUP(L68,服务合同!$L$6:$CC$300,40,0)</f>
        <v>0</v>
      </c>
      <c r="AZ68" s="102">
        <f>VLOOKUP(L68,服务合同!$L$6:$CC$300,41,0)</f>
        <v>0</v>
      </c>
      <c r="BA68" s="102">
        <f>VLOOKUP(L68,服务合同!$L$6:$CC$300,42,0)</f>
        <v>0</v>
      </c>
      <c r="BB68" s="102">
        <f>VLOOKUP(L68,服务合同!$L$6:$CC$300,43,0)</f>
        <v>0</v>
      </c>
      <c r="BC68" s="102">
        <f>VLOOKUP(L68,服务合同!$L$6:$CC$300,44,0)</f>
        <v>0</v>
      </c>
      <c r="BD68" s="102">
        <f>VLOOKUP(L68,服务合同!$L$6:$CC$300,45,0)</f>
        <v>0</v>
      </c>
      <c r="BE68" s="102">
        <f>VLOOKUP(L68,服务合同!$L$6:$CC$300,46,0)</f>
        <v>0</v>
      </c>
      <c r="BF68" s="102">
        <f>VLOOKUP(L68,服务合同!$L$6:$CC$300,47,0)</f>
        <v>0</v>
      </c>
      <c r="BG68" s="102">
        <f>VLOOKUP(L68,服务合同!$L$6:$CC$300,48,0)</f>
        <v>0</v>
      </c>
      <c r="BH68" s="102">
        <f>VLOOKUP(L68,服务合同!$L$6:$CC$300,49,0)</f>
        <v>0</v>
      </c>
      <c r="BI68" s="102">
        <f>VLOOKUP(L68,服务合同!$L$6:$CC$300,50,0)</f>
        <v>0</v>
      </c>
      <c r="BJ68" s="102">
        <f>VLOOKUP(L68,服务合同!$L$6:$CC$300,51,0)</f>
        <v>0</v>
      </c>
      <c r="BK68" s="102">
        <f>VLOOKUP(L68,服务合同!$L$6:$CC$300,52,0)</f>
        <v>0</v>
      </c>
      <c r="BL68" s="102">
        <f>VLOOKUP(L68,服务合同!$L$6:$CC$300,53,0)</f>
        <v>0</v>
      </c>
      <c r="BM68" s="102">
        <f>VLOOKUP(L68,服务合同!$L$6:$CC$300,54,0)</f>
        <v>0</v>
      </c>
      <c r="BN68" s="102">
        <f>VLOOKUP(L68,服务合同!$L$6:$CC$300,55,0)</f>
        <v>0</v>
      </c>
      <c r="BO68" s="102">
        <f>VLOOKUP(L68,服务合同!$L$6:$CC$300,56,0)</f>
        <v>0</v>
      </c>
      <c r="BP68" s="102">
        <f>VLOOKUP(L68,服务合同!$L$6:$CC$300,57,0)</f>
        <v>0</v>
      </c>
      <c r="BQ68" s="102">
        <f>VLOOKUP(L68,服务合同!$L$6:$CC$300,58,0)</f>
        <v>0</v>
      </c>
      <c r="BR68" s="102">
        <f>VLOOKUP(L68,服务合同!$L$6:$CC$300,59,0)</f>
        <v>0</v>
      </c>
      <c r="BS68" s="102">
        <f>VLOOKUP(L68,服务合同!$L$6:$CC$300,60,0)</f>
        <v>0</v>
      </c>
      <c r="BT68" s="102">
        <f>VLOOKUP(L68,服务合同!$L$6:$CC$300,61,0)</f>
        <v>0</v>
      </c>
      <c r="BU68" s="102">
        <f>VLOOKUP(L68,服务合同!$L$6:$CC$300,62,0)</f>
        <v>0</v>
      </c>
      <c r="BV68" s="102">
        <f>VLOOKUP(L68,服务合同!$L$6:$CC$300,63,0)</f>
        <v>0</v>
      </c>
      <c r="BW68" s="102">
        <f>VLOOKUP(L68,服务合同!$L$6:$CC$300,64,0)</f>
        <v>0</v>
      </c>
      <c r="BX68" s="102">
        <f>VLOOKUP(L68,服务合同!$L$6:$CC$300,65,0)</f>
        <v>0</v>
      </c>
      <c r="BY68" s="102">
        <f>VLOOKUP(L68,服务合同!$L$6:$CC$300,66,0)</f>
        <v>0</v>
      </c>
      <c r="BZ68" s="102">
        <f>VLOOKUP(L68,服务合同!$L$6:$CC$300,67,0)</f>
        <v>0</v>
      </c>
      <c r="CA68" s="102">
        <f>VLOOKUP(L68,服务合同!$L$6:$CC$300,68,0)</f>
        <v>0</v>
      </c>
      <c r="CB68" s="102">
        <f>VLOOKUP(L68,服务合同!$L$6:$CC$300,69,0)</f>
        <v>0</v>
      </c>
      <c r="CC68" s="102">
        <f>VLOOKUP(L68,服务合同!$L$6:$CC$300,70,0)</f>
        <v>0</v>
      </c>
      <c r="CD68" s="123">
        <f t="shared" si="22"/>
        <v>3463646.46</v>
      </c>
      <c r="CE68" s="102">
        <f t="shared" si="23"/>
        <v>3463646.4</v>
      </c>
      <c r="CF68" s="102">
        <f t="shared" si="24"/>
        <v>3049078.4</v>
      </c>
      <c r="CG68" s="102">
        <f t="shared" si="25"/>
        <v>0</v>
      </c>
      <c r="CH68" s="124">
        <f t="shared" si="26"/>
        <v>414568.06</v>
      </c>
      <c r="CI68" s="125">
        <f t="shared" si="27"/>
        <v>0.88030878301592</v>
      </c>
      <c r="CJ68" s="126" t="str">
        <f t="shared" si="28"/>
        <v>数据正确</v>
      </c>
    </row>
    <row r="69" s="60" customFormat="1" customHeight="1" spans="2:88">
      <c r="B69" s="70" t="str">
        <f t="shared" si="18"/>
        <v>-</v>
      </c>
      <c r="C69" s="71" t="str">
        <f t="shared" si="19"/>
        <v>已付清</v>
      </c>
      <c r="D69" s="181">
        <f t="shared" si="20"/>
        <v>259486.9</v>
      </c>
      <c r="E69" s="181">
        <f>SUMIF(服务合同!$L$6:$L$300,L69,服务合同!$E$6:$E$300)</f>
        <v>0</v>
      </c>
      <c r="F69" s="181">
        <f>SUMIF(服务合同!$L$6:$L$300,L69,服务合同!$F$6:$F$300)</f>
        <v>0</v>
      </c>
      <c r="G69" s="181">
        <f>SUMIF(服务合同!$L$6:$L$300,L69,服务合同!$G$6:$G$300)</f>
        <v>0</v>
      </c>
      <c r="H69" s="181">
        <f>SUMIF(服务合同!$L$6:$L$300,L69,服务合同!$H$6:$H$300)</f>
        <v>0</v>
      </c>
      <c r="I69" s="181">
        <f t="shared" si="21"/>
        <v>0</v>
      </c>
      <c r="J69" s="86" t="s">
        <v>98</v>
      </c>
      <c r="K69" s="87"/>
      <c r="L69" s="88">
        <v>64</v>
      </c>
      <c r="M69" s="89" t="str">
        <f>VLOOKUP(L69,服务合同!$L$6:$CC$300,2,0)</f>
        <v>YRKJGC-170027</v>
      </c>
      <c r="N69" s="90" t="str">
        <f>VLOOKUP(L69,服务合同!$L$6:$CC$300,3,0)</f>
        <v>服务合同</v>
      </c>
      <c r="O69" s="265" t="str">
        <f>VLOOKUP(L69,服务合同!$L$6:$CC$300,4,0)</f>
        <v>-</v>
      </c>
      <c r="P69" s="266">
        <f>VLOOKUP(L69,服务合同!$L$6:$CC$300,5,0)</f>
        <v>42875</v>
      </c>
      <c r="Q69" s="275">
        <f>VLOOKUP(L69,服务合同!$L$6:$CC$300,6,0)</f>
        <v>259486.9</v>
      </c>
      <c r="R69" s="89" t="str">
        <f>VLOOKUP(L69,服务合同!$L$6:$CC$300,7,0)</f>
        <v>吊车租赁（按台班结算）</v>
      </c>
      <c r="S69" s="89" t="str">
        <f>VLOOKUP(L69,服务合同!$L$6:$CC$300,8,0)</f>
        <v>莆田市秀屿区笏石双雄吊车出租</v>
      </c>
      <c r="T69" s="107">
        <f>VLOOKUP(L69,服务合同!$L$6:$CC$300,9,0)</f>
        <v>0</v>
      </c>
      <c r="U69" s="103" t="str">
        <f>VLOOKUP(L69,服务合同!$L$6:$CC$300,10,0)</f>
        <v>电汇</v>
      </c>
      <c r="V69" s="276" t="str">
        <f>VLOOKUP(L69,服务合同!$L$6:$CC$300,11,0)</f>
        <v>发票：机械租赁费17%，吊车费6%，甲方如需开票，税点另算。每月结算一次，收到发票后5天内支付</v>
      </c>
      <c r="W69" s="102">
        <f>VLOOKUP(L69,服务合同!$L$6:$CC$300,12,0)</f>
        <v>259486.9</v>
      </c>
      <c r="X69" s="102">
        <f>VLOOKUP(L69,服务合同!$L$6:$CC$300,13,0)</f>
        <v>259486.9</v>
      </c>
      <c r="Y69" s="102">
        <f>VLOOKUP(L69,服务合同!$L$6:$CC$300,14,0)</f>
        <v>259486.9</v>
      </c>
      <c r="Z69" s="102">
        <f>VLOOKUP(L69,服务合同!$L$6:$CC$300,15,0)</f>
        <v>0</v>
      </c>
      <c r="AA69" s="102">
        <f>VLOOKUP(L69,服务合同!$L$6:$CC$300,16,0)</f>
        <v>0</v>
      </c>
      <c r="AB69" s="102">
        <f>VLOOKUP(L69,服务合同!$L$6:$CC$300,17,0)</f>
        <v>0</v>
      </c>
      <c r="AC69" s="102">
        <f>VLOOKUP(L69,服务合同!$L$6:$CC$300,18,0)</f>
        <v>0</v>
      </c>
      <c r="AD69" s="102">
        <f>VLOOKUP(L69,服务合同!$L$6:$CC$300,19,0)</f>
        <v>0</v>
      </c>
      <c r="AE69" s="102">
        <f>VLOOKUP(L69,服务合同!$L$6:$CC$300,20,0)</f>
        <v>0</v>
      </c>
      <c r="AF69" s="102">
        <f>VLOOKUP(L69,服务合同!$L$6:$CC$300,21,0)</f>
        <v>0</v>
      </c>
      <c r="AG69" s="102">
        <f>VLOOKUP(L69,服务合同!$L$6:$CC$300,22,0)</f>
        <v>0</v>
      </c>
      <c r="AH69" s="102">
        <f>VLOOKUP(L69,服务合同!$L$6:$CC$300,23,0)</f>
        <v>0</v>
      </c>
      <c r="AI69" s="102">
        <f>VLOOKUP(L69,服务合同!$L$6:$CC$300,24,0)</f>
        <v>0</v>
      </c>
      <c r="AJ69" s="102">
        <f>VLOOKUP(L69,服务合同!$L$6:$CC$300,25,0)</f>
        <v>0</v>
      </c>
      <c r="AK69" s="102">
        <f>VLOOKUP(L69,服务合同!$L$6:$CC$300,26,0)</f>
        <v>0</v>
      </c>
      <c r="AL69" s="102">
        <f>VLOOKUP(L69,服务合同!$L$6:$CC$300,27,0)</f>
        <v>0</v>
      </c>
      <c r="AM69" s="102">
        <f>VLOOKUP(L69,服务合同!$L$6:$CC$300,28,0)</f>
        <v>0</v>
      </c>
      <c r="AN69" s="102">
        <f>VLOOKUP(L69,服务合同!$L$6:$CC$300,29,0)</f>
        <v>0</v>
      </c>
      <c r="AO69" s="102">
        <f>VLOOKUP(L69,服务合同!$L$6:$CC$300,30,0)</f>
        <v>0</v>
      </c>
      <c r="AP69" s="102">
        <f>VLOOKUP(L69,服务合同!$L$6:$CC$300,31,0)</f>
        <v>0</v>
      </c>
      <c r="AQ69" s="102">
        <f>VLOOKUP(L69,服务合同!$L$6:$CC$300,32,0)</f>
        <v>0</v>
      </c>
      <c r="AR69" s="102">
        <f>VLOOKUP(L69,服务合同!$L$6:$CC$300,33,0)</f>
        <v>0</v>
      </c>
      <c r="AS69" s="102">
        <f>VLOOKUP(L69,服务合同!$L$6:$CC$300,34,0)</f>
        <v>0</v>
      </c>
      <c r="AT69" s="102">
        <f>VLOOKUP(L69,服务合同!$L$6:$CC$300,35,0)</f>
        <v>0</v>
      </c>
      <c r="AU69" s="102">
        <f>VLOOKUP(L69,服务合同!$L$6:$CC$300,36,0)</f>
        <v>0</v>
      </c>
      <c r="AV69" s="102">
        <f>VLOOKUP(L69,服务合同!$L$6:$CC$300,37,0)</f>
        <v>0</v>
      </c>
      <c r="AW69" s="102">
        <f>VLOOKUP(L69,服务合同!$L$6:$CC$300,38,0)</f>
        <v>0</v>
      </c>
      <c r="AX69" s="102">
        <f>VLOOKUP(L69,服务合同!$L$6:$CC$300,39,0)</f>
        <v>0</v>
      </c>
      <c r="AY69" s="102">
        <f>VLOOKUP(L69,服务合同!$L$6:$CC$300,40,0)</f>
        <v>0</v>
      </c>
      <c r="AZ69" s="102">
        <f>VLOOKUP(L69,服务合同!$L$6:$CC$300,41,0)</f>
        <v>0</v>
      </c>
      <c r="BA69" s="102">
        <f>VLOOKUP(L69,服务合同!$L$6:$CC$300,42,0)</f>
        <v>0</v>
      </c>
      <c r="BB69" s="102">
        <f>VLOOKUP(L69,服务合同!$L$6:$CC$300,43,0)</f>
        <v>0</v>
      </c>
      <c r="BC69" s="102">
        <f>VLOOKUP(L69,服务合同!$L$6:$CC$300,44,0)</f>
        <v>0</v>
      </c>
      <c r="BD69" s="102">
        <f>VLOOKUP(L69,服务合同!$L$6:$CC$300,45,0)</f>
        <v>0</v>
      </c>
      <c r="BE69" s="102">
        <f>VLOOKUP(L69,服务合同!$L$6:$CC$300,46,0)</f>
        <v>0</v>
      </c>
      <c r="BF69" s="102">
        <f>VLOOKUP(L69,服务合同!$L$6:$CC$300,47,0)</f>
        <v>0</v>
      </c>
      <c r="BG69" s="102">
        <f>VLOOKUP(L69,服务合同!$L$6:$CC$300,48,0)</f>
        <v>0</v>
      </c>
      <c r="BH69" s="102">
        <f>VLOOKUP(L69,服务合同!$L$6:$CC$300,49,0)</f>
        <v>0</v>
      </c>
      <c r="BI69" s="102">
        <f>VLOOKUP(L69,服务合同!$L$6:$CC$300,50,0)</f>
        <v>0</v>
      </c>
      <c r="BJ69" s="102">
        <f>VLOOKUP(L69,服务合同!$L$6:$CC$300,51,0)</f>
        <v>0</v>
      </c>
      <c r="BK69" s="102">
        <f>VLOOKUP(L69,服务合同!$L$6:$CC$300,52,0)</f>
        <v>0</v>
      </c>
      <c r="BL69" s="102">
        <f>VLOOKUP(L69,服务合同!$L$6:$CC$300,53,0)</f>
        <v>0</v>
      </c>
      <c r="BM69" s="102">
        <f>VLOOKUP(L69,服务合同!$L$6:$CC$300,54,0)</f>
        <v>0</v>
      </c>
      <c r="BN69" s="102">
        <f>VLOOKUP(L69,服务合同!$L$6:$CC$300,55,0)</f>
        <v>0</v>
      </c>
      <c r="BO69" s="102">
        <f>VLOOKUP(L69,服务合同!$L$6:$CC$300,56,0)</f>
        <v>0</v>
      </c>
      <c r="BP69" s="102">
        <f>VLOOKUP(L69,服务合同!$L$6:$CC$300,57,0)</f>
        <v>0</v>
      </c>
      <c r="BQ69" s="102">
        <f>VLOOKUP(L69,服务合同!$L$6:$CC$300,58,0)</f>
        <v>0</v>
      </c>
      <c r="BR69" s="102">
        <f>VLOOKUP(L69,服务合同!$L$6:$CC$300,59,0)</f>
        <v>0</v>
      </c>
      <c r="BS69" s="102">
        <f>VLOOKUP(L69,服务合同!$L$6:$CC$300,60,0)</f>
        <v>0</v>
      </c>
      <c r="BT69" s="102">
        <f>VLOOKUP(L69,服务合同!$L$6:$CC$300,61,0)</f>
        <v>0</v>
      </c>
      <c r="BU69" s="102">
        <f>VLOOKUP(L69,服务合同!$L$6:$CC$300,62,0)</f>
        <v>0</v>
      </c>
      <c r="BV69" s="102">
        <f>VLOOKUP(L69,服务合同!$L$6:$CC$300,63,0)</f>
        <v>0</v>
      </c>
      <c r="BW69" s="102">
        <f>VLOOKUP(L69,服务合同!$L$6:$CC$300,64,0)</f>
        <v>0</v>
      </c>
      <c r="BX69" s="102">
        <f>VLOOKUP(L69,服务合同!$L$6:$CC$300,65,0)</f>
        <v>0</v>
      </c>
      <c r="BY69" s="102">
        <f>VLOOKUP(L69,服务合同!$L$6:$CC$300,66,0)</f>
        <v>0</v>
      </c>
      <c r="BZ69" s="102">
        <f>VLOOKUP(L69,服务合同!$L$6:$CC$300,67,0)</f>
        <v>0</v>
      </c>
      <c r="CA69" s="102">
        <f>VLOOKUP(L69,服务合同!$L$6:$CC$300,68,0)</f>
        <v>0</v>
      </c>
      <c r="CB69" s="102">
        <f>VLOOKUP(L69,服务合同!$L$6:$CC$300,69,0)</f>
        <v>0</v>
      </c>
      <c r="CC69" s="102">
        <f>VLOOKUP(L69,服务合同!$L$6:$CC$300,70,0)</f>
        <v>0</v>
      </c>
      <c r="CD69" s="123">
        <f t="shared" si="22"/>
        <v>259486.9</v>
      </c>
      <c r="CE69" s="102">
        <f t="shared" si="23"/>
        <v>259486.9</v>
      </c>
      <c r="CF69" s="102">
        <f t="shared" si="24"/>
        <v>259486.9</v>
      </c>
      <c r="CG69" s="102">
        <f t="shared" si="25"/>
        <v>0</v>
      </c>
      <c r="CH69" s="124">
        <f t="shared" si="26"/>
        <v>0</v>
      </c>
      <c r="CI69" s="125">
        <f t="shared" si="27"/>
        <v>1</v>
      </c>
      <c r="CJ69" s="126" t="str">
        <f t="shared" si="28"/>
        <v>数据正确</v>
      </c>
    </row>
    <row r="70" s="60" customFormat="1" customHeight="1" spans="2:88">
      <c r="B70" s="70" t="str">
        <f t="shared" si="18"/>
        <v>-</v>
      </c>
      <c r="C70" s="71" t="str">
        <f t="shared" si="19"/>
        <v>-</v>
      </c>
      <c r="D70" s="181">
        <f t="shared" si="20"/>
        <v>14883000</v>
      </c>
      <c r="E70" s="181">
        <f>SUMIF(服务合同!$L$6:$L$300,L70,服务合同!$E$6:$E$300)</f>
        <v>0</v>
      </c>
      <c r="F70" s="181">
        <f>SUMIF(服务合同!$L$6:$L$300,L70,服务合同!$F$6:$F$300)</f>
        <v>0</v>
      </c>
      <c r="G70" s="181">
        <f>SUMIF(服务合同!$L$6:$L$300,L70,服务合同!$G$6:$G$300)</f>
        <v>0</v>
      </c>
      <c r="H70" s="181">
        <f>SUMIF(服务合同!$L$6:$L$300,L70,服务合同!$H$6:$H$300)</f>
        <v>0</v>
      </c>
      <c r="I70" s="181">
        <f t="shared" si="21"/>
        <v>0</v>
      </c>
      <c r="J70" s="86" t="s">
        <v>98</v>
      </c>
      <c r="K70" s="87"/>
      <c r="L70" s="88">
        <v>65</v>
      </c>
      <c r="M70" s="89" t="str">
        <f>VLOOKUP(L70,服务合同!$L$6:$CC$300,2,0)</f>
        <v>EVERSUN201506</v>
      </c>
      <c r="N70" s="90" t="str">
        <f>VLOOKUP(L70,服务合同!$L$6:$CC$300,3,0)</f>
        <v>服务合同</v>
      </c>
      <c r="O70" s="265" t="str">
        <f>VLOOKUP(L70,服务合同!$L$6:$CC$300,4,0)</f>
        <v>-</v>
      </c>
      <c r="P70" s="266">
        <f>VLOOKUP(L70,服务合同!$L$6:$CC$300,5,0)</f>
        <v>42160</v>
      </c>
      <c r="Q70" s="275">
        <f>VLOOKUP(L70,服务合同!$L$6:$CC$300,6,0)</f>
        <v>21940000</v>
      </c>
      <c r="R70" s="89" t="str">
        <f>VLOOKUP(L70,服务合同!$L$6:$CC$300,7,0)</f>
        <v>湖南百利设计费</v>
      </c>
      <c r="S70" s="89" t="str">
        <f>VLOOKUP(L70,服务合同!$L$6:$CC$300,8,0)</f>
        <v>湖南百利工程科技股份有限公司</v>
      </c>
      <c r="T70" s="107" t="str">
        <f>VLOOKUP(L70,服务合同!$L$6:$CC$300,9,0)</f>
        <v>非装置</v>
      </c>
      <c r="U70" s="103" t="str">
        <f>VLOOKUP(L70,服务合同!$L$6:$CC$300,10,0)</f>
        <v>承兑</v>
      </c>
      <c r="V70" s="276" t="str">
        <f>VLOOKUP(L70,服务合同!$L$6:$CC$300,11,0)</f>
        <v>合同签订且甲方收到乙方对应金额的正式发票后，甲方在三十天内向乙方支付设计费的15%，作为定金。</v>
      </c>
      <c r="W70" s="102">
        <f>VLOOKUP(L70,服务合同!$L$6:$CC$300,12,0)</f>
        <v>3291000</v>
      </c>
      <c r="X70" s="102">
        <f>VLOOKUP(L70,服务合同!$L$6:$CC$300,13,0)</f>
        <v>3750000</v>
      </c>
      <c r="Y70" s="102">
        <f>VLOOKUP(L70,服务合同!$L$6:$CC$300,14,0)</f>
        <v>3750000</v>
      </c>
      <c r="Z70" s="102" t="str">
        <f>VLOOKUP(L70,服务合同!$L$6:$CC$300,15,0)</f>
        <v>乙方向甲方提交长周期设备数据表或工程图及用于长周期设备采购文件，甲方需咋一周内进行确认，确认后三十天内，甲方支付设计费的5%</v>
      </c>
      <c r="AA70" s="102">
        <f>VLOOKUP(L70,服务合同!$L$6:$CC$300,16,0)</f>
        <v>1097000</v>
      </c>
      <c r="AB70" s="102">
        <f>VLOOKUP(L70,服务合同!$L$6:$CC$300,17,0)</f>
        <v>10000000</v>
      </c>
      <c r="AC70" s="102">
        <f>VLOOKUP(L70,服务合同!$L$6:$CC$300,18,0)</f>
        <v>10000000</v>
      </c>
      <c r="AD70" s="102" t="str">
        <f>VLOOKUP(L70,服务合同!$L$6:$CC$300,19,0)</f>
        <v>乙方基础工程设计文件审查后，甲方在30天内甲方向乙方支付设计费30%</v>
      </c>
      <c r="AE70" s="102">
        <f>VLOOKUP(L70,服务合同!$L$6:$CC$300,20,0)</f>
        <v>6582000</v>
      </c>
      <c r="AF70" s="102">
        <f>VLOOKUP(L70,服务合同!$L$6:$CC$300,21,0)</f>
        <v>1133000</v>
      </c>
      <c r="AG70" s="102">
        <f>VLOOKUP(L70,服务合同!$L$6:$CC$300,22,0)</f>
        <v>1133000</v>
      </c>
      <c r="AH70" s="102" t="str">
        <f>VLOOKUP(L70,服务合同!$L$6:$CC$300,23,0)</f>
        <v>乙方向甲方提交工艺管道及仪表流程图PID,甲方需在一周内进行确认，确认后三十天内，甲方支付设计费5%</v>
      </c>
      <c r="AI70" s="102">
        <f>VLOOKUP(L70,服务合同!$L$6:$CC$300,24,0)</f>
        <v>1097000</v>
      </c>
      <c r="AJ70" s="102">
        <f>VLOOKUP(L70,服务合同!$L$6:$CC$300,25,0)</f>
        <v>0</v>
      </c>
      <c r="AK70" s="102">
        <f>VLOOKUP(L70,服务合同!$L$6:$CC$300,26,0)</f>
        <v>0</v>
      </c>
      <c r="AL70" s="102" t="str">
        <f>VLOOKUP(L70,服务合同!$L$6:$CC$300,27,0)</f>
        <v>乙方向甲方提供主要建构筑物的土建施工图，甲方需在一周内进行确认，确认后30天内向乙方支付设计费的30%</v>
      </c>
      <c r="AM70" s="102">
        <f>VLOOKUP(L70,服务合同!$L$6:$CC$300,28,0)</f>
        <v>1097000</v>
      </c>
      <c r="AN70" s="102">
        <f>VLOOKUP(L70,服务合同!$L$6:$CC$300,29,0)</f>
        <v>0</v>
      </c>
      <c r="AO70" s="102">
        <f>VLOOKUP(L70,服务合同!$L$6:$CC$300,30,0)</f>
        <v>0</v>
      </c>
      <c r="AP70" s="102" t="str">
        <f>VLOOKUP(L70,服务合同!$L$6:$CC$300,31,0)</f>
        <v>乙方向甲方提交全部详细工程设计文件，甲方需在一周内进行确认，30天内支付设计费的30%</v>
      </c>
      <c r="AQ70" s="102">
        <f>VLOOKUP(L70,服务合同!$L$6:$CC$300,32,0)</f>
        <v>6582000</v>
      </c>
      <c r="AR70" s="102">
        <f>VLOOKUP(L70,服务合同!$L$6:$CC$300,33,0)</f>
        <v>0</v>
      </c>
      <c r="AS70" s="102">
        <f>VLOOKUP(L70,服务合同!$L$6:$CC$300,34,0)</f>
        <v>0</v>
      </c>
      <c r="AT70" s="102" t="str">
        <f>VLOOKUP(L70,服务合同!$L$6:$CC$300,35,0)</f>
        <v>待本合同项下所有工厂装置性能考核合格，项目开车成功后3个月内，甲方向乙方支付至设计费的100%。</v>
      </c>
      <c r="AU70" s="102">
        <f>VLOOKUP(L70,服务合同!$L$6:$CC$300,36,0)</f>
        <v>2194000</v>
      </c>
      <c r="AV70" s="102">
        <f>VLOOKUP(L70,服务合同!$L$6:$CC$300,37,0)</f>
        <v>0</v>
      </c>
      <c r="AW70" s="102">
        <f>VLOOKUP(L70,服务合同!$L$6:$CC$300,38,0)</f>
        <v>0</v>
      </c>
      <c r="AX70" s="102">
        <f>VLOOKUP(L70,服务合同!$L$6:$CC$300,39,0)</f>
        <v>0</v>
      </c>
      <c r="AY70" s="102">
        <f>VLOOKUP(L70,服务合同!$L$6:$CC$300,40,0)</f>
        <v>0</v>
      </c>
      <c r="AZ70" s="102">
        <f>VLOOKUP(L70,服务合同!$L$6:$CC$300,41,0)</f>
        <v>0</v>
      </c>
      <c r="BA70" s="102">
        <f>VLOOKUP(L70,服务合同!$L$6:$CC$300,42,0)</f>
        <v>0</v>
      </c>
      <c r="BB70" s="102">
        <f>VLOOKUP(L70,服务合同!$L$6:$CC$300,43,0)</f>
        <v>0</v>
      </c>
      <c r="BC70" s="102">
        <f>VLOOKUP(L70,服务合同!$L$6:$CC$300,44,0)</f>
        <v>0</v>
      </c>
      <c r="BD70" s="102">
        <f>VLOOKUP(L70,服务合同!$L$6:$CC$300,45,0)</f>
        <v>0</v>
      </c>
      <c r="BE70" s="102">
        <f>VLOOKUP(L70,服务合同!$L$6:$CC$300,46,0)</f>
        <v>0</v>
      </c>
      <c r="BF70" s="102">
        <f>VLOOKUP(L70,服务合同!$L$6:$CC$300,47,0)</f>
        <v>0</v>
      </c>
      <c r="BG70" s="102">
        <f>VLOOKUP(L70,服务合同!$L$6:$CC$300,48,0)</f>
        <v>0</v>
      </c>
      <c r="BH70" s="102">
        <f>VLOOKUP(L70,服务合同!$L$6:$CC$300,49,0)</f>
        <v>0</v>
      </c>
      <c r="BI70" s="102">
        <f>VLOOKUP(L70,服务合同!$L$6:$CC$300,50,0)</f>
        <v>0</v>
      </c>
      <c r="BJ70" s="102">
        <f>VLOOKUP(L70,服务合同!$L$6:$CC$300,51,0)</f>
        <v>0</v>
      </c>
      <c r="BK70" s="102">
        <f>VLOOKUP(L70,服务合同!$L$6:$CC$300,52,0)</f>
        <v>0</v>
      </c>
      <c r="BL70" s="102">
        <f>VLOOKUP(L70,服务合同!$L$6:$CC$300,53,0)</f>
        <v>0</v>
      </c>
      <c r="BM70" s="102">
        <f>VLOOKUP(L70,服务合同!$L$6:$CC$300,54,0)</f>
        <v>0</v>
      </c>
      <c r="BN70" s="102">
        <f>VLOOKUP(L70,服务合同!$L$6:$CC$300,55,0)</f>
        <v>0</v>
      </c>
      <c r="BO70" s="102">
        <f>VLOOKUP(L70,服务合同!$L$6:$CC$300,56,0)</f>
        <v>0</v>
      </c>
      <c r="BP70" s="102">
        <f>VLOOKUP(L70,服务合同!$L$6:$CC$300,57,0)</f>
        <v>0</v>
      </c>
      <c r="BQ70" s="102">
        <f>VLOOKUP(L70,服务合同!$L$6:$CC$300,58,0)</f>
        <v>0</v>
      </c>
      <c r="BR70" s="102">
        <f>VLOOKUP(L70,服务合同!$L$6:$CC$300,59,0)</f>
        <v>0</v>
      </c>
      <c r="BS70" s="102">
        <f>VLOOKUP(L70,服务合同!$L$6:$CC$300,60,0)</f>
        <v>0</v>
      </c>
      <c r="BT70" s="102">
        <f>VLOOKUP(L70,服务合同!$L$6:$CC$300,61,0)</f>
        <v>0</v>
      </c>
      <c r="BU70" s="102">
        <f>VLOOKUP(L70,服务合同!$L$6:$CC$300,62,0)</f>
        <v>0</v>
      </c>
      <c r="BV70" s="102">
        <f>VLOOKUP(L70,服务合同!$L$6:$CC$300,63,0)</f>
        <v>0</v>
      </c>
      <c r="BW70" s="102">
        <f>VLOOKUP(L70,服务合同!$L$6:$CC$300,64,0)</f>
        <v>0</v>
      </c>
      <c r="BX70" s="102">
        <f>VLOOKUP(L70,服务合同!$L$6:$CC$300,65,0)</f>
        <v>0</v>
      </c>
      <c r="BY70" s="102">
        <f>VLOOKUP(L70,服务合同!$L$6:$CC$300,66,0)</f>
        <v>0</v>
      </c>
      <c r="BZ70" s="102">
        <f>VLOOKUP(L70,服务合同!$L$6:$CC$300,67,0)</f>
        <v>0</v>
      </c>
      <c r="CA70" s="102">
        <f>VLOOKUP(L70,服务合同!$L$6:$CC$300,68,0)</f>
        <v>0</v>
      </c>
      <c r="CB70" s="102">
        <f>VLOOKUP(L70,服务合同!$L$6:$CC$300,69,0)</f>
        <v>0</v>
      </c>
      <c r="CC70" s="102">
        <f>VLOOKUP(L70,服务合同!$L$6:$CC$300,70,0)</f>
        <v>0</v>
      </c>
      <c r="CD70" s="123">
        <f t="shared" si="22"/>
        <v>21940000</v>
      </c>
      <c r="CE70" s="102">
        <f t="shared" si="23"/>
        <v>14883000</v>
      </c>
      <c r="CF70" s="102">
        <f t="shared" si="24"/>
        <v>14883000</v>
      </c>
      <c r="CG70" s="102">
        <f t="shared" si="25"/>
        <v>0</v>
      </c>
      <c r="CH70" s="124">
        <f t="shared" si="26"/>
        <v>7057000</v>
      </c>
      <c r="CI70" s="125">
        <f t="shared" si="27"/>
        <v>0.678350045578851</v>
      </c>
      <c r="CJ70" s="126" t="str">
        <f t="shared" si="28"/>
        <v>数据正确</v>
      </c>
    </row>
    <row r="71" s="60" customFormat="1" customHeight="1" spans="2:88">
      <c r="B71" s="70" t="str">
        <f t="shared" si="18"/>
        <v>申请中</v>
      </c>
      <c r="C71" s="71" t="str">
        <f t="shared" si="19"/>
        <v>-</v>
      </c>
      <c r="D71" s="181">
        <f t="shared" si="20"/>
        <v>2987398</v>
      </c>
      <c r="E71" s="181">
        <f>SUMIF(工程合同!$L$6:$L$299,L71,工程合同!$E$6:$E$299)</f>
        <v>68000</v>
      </c>
      <c r="F71" s="181">
        <f>SUMIF(工程合同!$L$6:$L$299,L71,工程合同!$F$6:$F$299)</f>
        <v>37602</v>
      </c>
      <c r="G71" s="181">
        <f>SUMIF(工程合同!$L$6:$L$299,L71,工程合同!$G$6:$G$299)</f>
        <v>0</v>
      </c>
      <c r="H71" s="181">
        <f>SUMIF(工程合同!$L$6:$L$299,L71,工程合同!$H$6:$H$299)</f>
        <v>0</v>
      </c>
      <c r="I71" s="181">
        <f t="shared" si="21"/>
        <v>3807000</v>
      </c>
      <c r="J71" s="86" t="s">
        <v>98</v>
      </c>
      <c r="K71" s="87"/>
      <c r="L71" s="88">
        <v>66</v>
      </c>
      <c r="M71" s="89" t="str">
        <f>VLOOKUP(L71,工程合同!$L$6:$CC$299,2,0)</f>
        <v>YRKJ-2017GC-SGHT005</v>
      </c>
      <c r="N71" s="90" t="str">
        <f>VLOOKUP(L71,工程合同!$L$6:$CC$299,3,0)</f>
        <v>工程合同</v>
      </c>
      <c r="O71" s="265" t="str">
        <f>VLOOKUP(L71,工程合同!$L$6:$CC$299,4,0)</f>
        <v>-</v>
      </c>
      <c r="P71" s="266">
        <f>VLOOKUP(L71,工程合同!$L$6:$CC$299,5,0)</f>
        <v>42814</v>
      </c>
      <c r="Q71" s="275">
        <f>VLOOKUP(L71,工程合同!$L$6:$CC$299,6,0)</f>
        <v>8625000</v>
      </c>
      <c r="R71" s="89" t="str">
        <f>VLOOKUP(L71,工程合同!$L$6:$CC$299,7,0)</f>
        <v> </v>
      </c>
      <c r="S71" s="89" t="str">
        <f>VLOOKUP(L71,工程合同!$L$6:$CC$299,8,0)</f>
        <v>湖北建东勘察基础工程有限公司</v>
      </c>
      <c r="T71" s="107">
        <f>VLOOKUP(L71,工程合同!$L$6:$CC$299,9,0)</f>
        <v>0</v>
      </c>
      <c r="U71" s="103" t="str">
        <f>VLOOKUP(L71,工程合同!$L$6:$CC$299,10,0)</f>
        <v>6个月承兑汇票</v>
      </c>
      <c r="V71" s="276" t="str">
        <f>VLOOKUP(L71,工程合同!$L$6:$CC$299,11,0)</f>
        <v>按月支付工程款，支付当月已验收完工对应价的80%，工程竣工验收合格后付清余款。现金支付，则价格下浮2%，对方提供11%专票后付款</v>
      </c>
      <c r="W71" s="102">
        <f>VLOOKUP(L71,工程合同!$L$6:$CC$299,12,0)</f>
        <v>6900000</v>
      </c>
      <c r="X71" s="102">
        <f>VLOOKUP(L71,工程合同!$L$6:$CC$299,13,0)</f>
        <v>6900000</v>
      </c>
      <c r="Y71" s="102">
        <f>VLOOKUP(L71,工程合同!$L$6:$CC$299,14,0)</f>
        <v>2987398</v>
      </c>
      <c r="Z71" s="102" t="str">
        <f>VLOOKUP(L71,工程合同!$L$6:$CC$299,15,0)</f>
        <v>按月支付工程款，支付当月已验收完工对应价的80%，工程竣工验收合格后付清余款。现金支付，则价格下浮2%，对方提供11%专票后付款</v>
      </c>
      <c r="AA71" s="102">
        <f>VLOOKUP(L71,工程合同!$L$6:$CC$299,16,0)</f>
        <v>1725000</v>
      </c>
      <c r="AB71" s="102">
        <f>VLOOKUP(L71,工程合同!$L$6:$CC$299,17,0)</f>
        <v>0</v>
      </c>
      <c r="AC71" s="102">
        <f>VLOOKUP(L71,工程合同!$L$6:$CC$299,18,0)</f>
        <v>0</v>
      </c>
      <c r="AD71" s="102">
        <f>VLOOKUP(L71,工程合同!$L$6:$CC$299,19,0)</f>
        <v>0</v>
      </c>
      <c r="AE71" s="102">
        <f>VLOOKUP(L71,工程合同!$L$6:$CC$299,20,0)</f>
        <v>0</v>
      </c>
      <c r="AF71" s="102">
        <f>VLOOKUP(L71,工程合同!$L$6:$CC$299,21,0)</f>
        <v>0</v>
      </c>
      <c r="AG71" s="102">
        <f>VLOOKUP(L71,工程合同!$L$6:$CC$299,22,0)</f>
        <v>0</v>
      </c>
      <c r="AH71" s="102">
        <f>VLOOKUP(L71,工程合同!$L$6:$CC$299,23,0)</f>
        <v>0</v>
      </c>
      <c r="AI71" s="102">
        <f>VLOOKUP(L71,工程合同!$L$6:$CC$299,24,0)</f>
        <v>0</v>
      </c>
      <c r="AJ71" s="102">
        <f>VLOOKUP(L71,工程合同!$L$6:$CC$299,25,0)</f>
        <v>0</v>
      </c>
      <c r="AK71" s="102">
        <f>VLOOKUP(L71,工程合同!$L$6:$CC$299,26,0)</f>
        <v>0</v>
      </c>
      <c r="AL71" s="102">
        <f>VLOOKUP(L71,工程合同!$L$6:$CC$299,27,0)</f>
        <v>0</v>
      </c>
      <c r="AM71" s="102">
        <f>VLOOKUP(L71,工程合同!$L$6:$CC$299,28,0)</f>
        <v>0</v>
      </c>
      <c r="AN71" s="102">
        <f>VLOOKUP(L71,工程合同!$L$6:$CC$299,29,0)</f>
        <v>0</v>
      </c>
      <c r="AO71" s="102">
        <f>VLOOKUP(L71,工程合同!$L$6:$CC$299,30,0)</f>
        <v>0</v>
      </c>
      <c r="AP71" s="102">
        <f>VLOOKUP(L71,工程合同!$L$6:$CC$299,31,0)</f>
        <v>0</v>
      </c>
      <c r="AQ71" s="102">
        <f>VLOOKUP(L71,工程合同!$L$6:$CC$299,32,0)</f>
        <v>0</v>
      </c>
      <c r="AR71" s="102">
        <f>VLOOKUP(L71,工程合同!$L$6:$CC$299,33,0)</f>
        <v>0</v>
      </c>
      <c r="AS71" s="102">
        <f>VLOOKUP(L71,工程合同!$L$6:$CC$299,34,0)</f>
        <v>0</v>
      </c>
      <c r="AT71" s="102">
        <f>VLOOKUP(L71,工程合同!$L$6:$CC$299,35,0)</f>
        <v>0</v>
      </c>
      <c r="AU71" s="102">
        <f>VLOOKUP(L71,工程合同!$L$6:$CC$299,36,0)</f>
        <v>0</v>
      </c>
      <c r="AV71" s="102">
        <f>VLOOKUP(L71,工程合同!$L$6:$CC$299,37,0)</f>
        <v>0</v>
      </c>
      <c r="AW71" s="102">
        <f>VLOOKUP(L71,工程合同!$L$6:$CC$299,38,0)</f>
        <v>0</v>
      </c>
      <c r="AX71" s="102">
        <f>VLOOKUP(L71,工程合同!$L$6:$CC$299,39,0)</f>
        <v>0</v>
      </c>
      <c r="AY71" s="102">
        <f>VLOOKUP(L71,工程合同!$L$6:$CC$299,40,0)</f>
        <v>0</v>
      </c>
      <c r="AZ71" s="102">
        <f>VLOOKUP(L71,工程合同!$L$6:$CC$299,41,0)</f>
        <v>0</v>
      </c>
      <c r="BA71" s="102">
        <f>VLOOKUP(L71,工程合同!$L$6:$CC$299,42,0)</f>
        <v>0</v>
      </c>
      <c r="BB71" s="102">
        <f>VLOOKUP(L71,工程合同!$L$6:$CC$299,43,0)</f>
        <v>0</v>
      </c>
      <c r="BC71" s="102">
        <f>VLOOKUP(L71,工程合同!$L$6:$CC$299,44,0)</f>
        <v>0</v>
      </c>
      <c r="BD71" s="102">
        <f>VLOOKUP(L71,工程合同!$L$6:$CC$299,45,0)</f>
        <v>0</v>
      </c>
      <c r="BE71" s="102">
        <f>VLOOKUP(L71,工程合同!$L$6:$CC$299,46,0)</f>
        <v>0</v>
      </c>
      <c r="BF71" s="102">
        <f>VLOOKUP(L71,工程合同!$L$6:$CC$299,47,0)</f>
        <v>0</v>
      </c>
      <c r="BG71" s="102">
        <f>VLOOKUP(L71,工程合同!$L$6:$CC$299,48,0)</f>
        <v>0</v>
      </c>
      <c r="BH71" s="102">
        <f>VLOOKUP(L71,工程合同!$L$6:$CC$299,49,0)</f>
        <v>0</v>
      </c>
      <c r="BI71" s="102">
        <f>VLOOKUP(L71,工程合同!$L$6:$CC$299,50,0)</f>
        <v>0</v>
      </c>
      <c r="BJ71" s="102">
        <f>VLOOKUP(L71,工程合同!$L$6:$CC$299,51,0)</f>
        <v>0</v>
      </c>
      <c r="BK71" s="102">
        <f>VLOOKUP(L71,工程合同!$L$6:$CC$299,52,0)</f>
        <v>0</v>
      </c>
      <c r="BL71" s="102">
        <f>VLOOKUP(L71,工程合同!$L$6:$CC$299,53,0)</f>
        <v>0</v>
      </c>
      <c r="BM71" s="102">
        <f>VLOOKUP(L71,工程合同!$L$6:$CC$299,54,0)</f>
        <v>0</v>
      </c>
      <c r="BN71" s="102">
        <f>VLOOKUP(L71,工程合同!$L$6:$CC$299,55,0)</f>
        <v>0</v>
      </c>
      <c r="BO71" s="102">
        <f>VLOOKUP(L71,工程合同!$L$6:$CC$299,56,0)</f>
        <v>0</v>
      </c>
      <c r="BP71" s="102">
        <f>VLOOKUP(L71,工程合同!$L$6:$CC$299,57,0)</f>
        <v>0</v>
      </c>
      <c r="BQ71" s="102">
        <f>VLOOKUP(L71,工程合同!$L$6:$CC$299,58,0)</f>
        <v>0</v>
      </c>
      <c r="BR71" s="102">
        <f>VLOOKUP(L71,工程合同!$L$6:$CC$299,59,0)</f>
        <v>0</v>
      </c>
      <c r="BS71" s="102">
        <f>VLOOKUP(L71,工程合同!$L$6:$CC$299,60,0)</f>
        <v>0</v>
      </c>
      <c r="BT71" s="102">
        <f>VLOOKUP(L71,工程合同!$L$6:$CC$299,61,0)</f>
        <v>0</v>
      </c>
      <c r="BU71" s="102">
        <f>VLOOKUP(L71,工程合同!$L$6:$CC$299,62,0)</f>
        <v>0</v>
      </c>
      <c r="BV71" s="102">
        <f>VLOOKUP(L71,工程合同!$L$6:$CC$299,63,0)</f>
        <v>0</v>
      </c>
      <c r="BW71" s="102">
        <f>VLOOKUP(L71,工程合同!$L$6:$CC$299,64,0)</f>
        <v>0</v>
      </c>
      <c r="BX71" s="102">
        <f>VLOOKUP(L71,工程合同!$L$6:$CC$299,65,0)</f>
        <v>0</v>
      </c>
      <c r="BY71" s="102">
        <f>VLOOKUP(L71,工程合同!$L$6:$CC$299,66,0)</f>
        <v>0</v>
      </c>
      <c r="BZ71" s="102">
        <f>VLOOKUP(L71,工程合同!$L$6:$CC$299,67,0)</f>
        <v>0</v>
      </c>
      <c r="CA71" s="102">
        <f>VLOOKUP(L71,工程合同!$L$6:$CC$299,68,0)</f>
        <v>0</v>
      </c>
      <c r="CB71" s="102">
        <f>VLOOKUP(L71,工程合同!$L$6:$CC$299,69,0)</f>
        <v>0</v>
      </c>
      <c r="CC71" s="102">
        <f>VLOOKUP(L71,工程合同!$L$6:$CC$299,70,0)</f>
        <v>0</v>
      </c>
      <c r="CD71" s="123">
        <f t="shared" si="22"/>
        <v>8625000</v>
      </c>
      <c r="CE71" s="102">
        <f t="shared" si="23"/>
        <v>6900000</v>
      </c>
      <c r="CF71" s="102">
        <f t="shared" si="24"/>
        <v>2987398</v>
      </c>
      <c r="CG71" s="102">
        <f t="shared" si="25"/>
        <v>105602</v>
      </c>
      <c r="CH71" s="124">
        <f t="shared" si="26"/>
        <v>5532000</v>
      </c>
      <c r="CI71" s="125">
        <f t="shared" si="27"/>
        <v>0.358608695652174</v>
      </c>
      <c r="CJ71" s="126" t="str">
        <f t="shared" si="28"/>
        <v>数据正确</v>
      </c>
    </row>
    <row r="72" s="60" customFormat="1" customHeight="1" spans="2:88">
      <c r="B72" s="70" t="str">
        <f t="shared" si="18"/>
        <v>-</v>
      </c>
      <c r="C72" s="71" t="str">
        <f t="shared" si="19"/>
        <v>-</v>
      </c>
      <c r="D72" s="181">
        <f t="shared" si="20"/>
        <v>0</v>
      </c>
      <c r="E72" s="181">
        <f>SUMIF(设备合同!$L$6:$L$302,L72,设备合同!$E$6:$E$302)</f>
        <v>0</v>
      </c>
      <c r="F72" s="181">
        <f>SUMIF(设备合同!$L$6:$L$302,L72,设备合同!$F$6:$F$302)</f>
        <v>0</v>
      </c>
      <c r="G72" s="181">
        <f>SUMIF(设备合同!$L$6:$L$302,L72,设备合同!$G$6:$G$302)</f>
        <v>0</v>
      </c>
      <c r="H72" s="181">
        <f>SUMIF(设备合同!$L$6:$L$302,L72,设备合同!$H$6:$H$302)</f>
        <v>0</v>
      </c>
      <c r="I72" s="181">
        <f t="shared" si="21"/>
        <v>0</v>
      </c>
      <c r="J72" s="86" t="s">
        <v>98</v>
      </c>
      <c r="K72" s="87"/>
      <c r="L72" s="88">
        <v>67</v>
      </c>
      <c r="M72" s="89" t="str">
        <f>VLOOKUP(L72,设备合同!$L$6:$CC$302,2,0)</f>
        <v>YRKJEQ-170024-1</v>
      </c>
      <c r="N72" s="90" t="str">
        <f>VLOOKUP(L72,设备合同!$L$6:$CC$302,3,0)</f>
        <v>设备合同</v>
      </c>
      <c r="O72" s="265">
        <f>VLOOKUP(L72,设备合同!$L$6:$CC$302,4,0)</f>
        <v>0</v>
      </c>
      <c r="P72" s="266">
        <f>VLOOKUP(L72,设备合同!$L$6:$CC$302,5,0)</f>
        <v>42912</v>
      </c>
      <c r="Q72" s="275">
        <f>VLOOKUP(L72,设备合同!$L$6:$CC$302,6,0)</f>
        <v>160000</v>
      </c>
      <c r="R72" s="89" t="str">
        <f>VLOOKUP(L72,设备合同!$L$6:$CC$302,7,0)</f>
        <v>过滤器3台及增补技术协议</v>
      </c>
      <c r="S72" s="89" t="str">
        <f>VLOOKUP(L72,设备合同!$L$6:$CC$302,8,0)</f>
        <v>上海泽尔石化设备有限公司</v>
      </c>
      <c r="T72" s="107">
        <f>VLOOKUP(L72,设备合同!$L$6:$CC$302,9,0)</f>
        <v>0</v>
      </c>
      <c r="U72" s="103" t="str">
        <f>VLOOKUP(L72,设备合同!$L$6:$CC$302,10,0)</f>
        <v>承兑汇票</v>
      </c>
      <c r="V72" s="276" t="str">
        <f>VLOOKUP(L72,设备合同!$L$6:$CC$302,11,0)</f>
        <v>在乙方工厂初步验收后支付合同金额的60%为发货款。乙方提供10%的履约保证金</v>
      </c>
      <c r="W72" s="102">
        <f>VLOOKUP(L72,设备合同!$L$6:$CC$302,12,0)</f>
        <v>96000</v>
      </c>
      <c r="X72" s="102">
        <f>VLOOKUP(L72,设备合同!$L$6:$CC$302,13,0)</f>
        <v>0</v>
      </c>
      <c r="Y72" s="102">
        <f>VLOOKUP(L72,设备合同!$L$6:$CC$302,14,0)</f>
        <v>0</v>
      </c>
      <c r="Z72" s="102" t="str">
        <f>VLOOKUP(L72,设备合同!$L$6:$CC$302,15,0)</f>
        <v>甲方接收货物验收合格安装调试合格后30个工作日，收到全额的增值税发票后，支付30%货款</v>
      </c>
      <c r="AA72" s="102">
        <f>VLOOKUP(L72,设备合同!$L$6:$CC$302,16,0)</f>
        <v>48000</v>
      </c>
      <c r="AB72" s="102">
        <f>VLOOKUP(L72,设备合同!$L$6:$CC$302,17,0)</f>
        <v>0</v>
      </c>
      <c r="AC72" s="102">
        <f>VLOOKUP(L72,设备合同!$L$6:$CC$302,18,0)</f>
        <v>0</v>
      </c>
      <c r="AD72" s="102" t="str">
        <f>VLOOKUP(L72,设备合同!$L$6:$CC$302,19,0)</f>
        <v>10%质量保证金，验收合格后满18月后支付</v>
      </c>
      <c r="AE72" s="102">
        <f>VLOOKUP(L72,设备合同!$L$6:$CC$302,20,0)</f>
        <v>16000</v>
      </c>
      <c r="AF72" s="102">
        <f>VLOOKUP(L72,设备合同!$L$6:$CC$302,21,0)</f>
        <v>0</v>
      </c>
      <c r="AG72" s="102">
        <f>VLOOKUP(L72,设备合同!$L$6:$CC$302,22,0)</f>
        <v>0</v>
      </c>
      <c r="AH72" s="102">
        <f>VLOOKUP(L72,设备合同!$L$6:$CC$302,23,0)</f>
        <v>0</v>
      </c>
      <c r="AI72" s="102">
        <f>VLOOKUP(L72,设备合同!$L$6:$CC$302,24,0)</f>
        <v>0</v>
      </c>
      <c r="AJ72" s="102">
        <f>VLOOKUP(L72,设备合同!$L$6:$CC$302,25,0)</f>
        <v>0</v>
      </c>
      <c r="AK72" s="102">
        <f>VLOOKUP(L72,设备合同!$L$6:$CC$302,26,0)</f>
        <v>0</v>
      </c>
      <c r="AL72" s="102">
        <f>VLOOKUP(L72,设备合同!$L$6:$CC$302,27,0)</f>
        <v>0</v>
      </c>
      <c r="AM72" s="102">
        <f>VLOOKUP(L72,设备合同!$L$6:$CC$302,28,0)</f>
        <v>0</v>
      </c>
      <c r="AN72" s="102">
        <f>VLOOKUP(L72,设备合同!$L$6:$CC$302,29,0)</f>
        <v>0</v>
      </c>
      <c r="AO72" s="102">
        <f>VLOOKUP(L72,设备合同!$L$6:$CC$302,30,0)</f>
        <v>0</v>
      </c>
      <c r="AP72" s="102">
        <f>VLOOKUP(L72,设备合同!$L$6:$CC$302,31,0)</f>
        <v>0</v>
      </c>
      <c r="AQ72" s="102">
        <f>VLOOKUP(L72,设备合同!$L$6:$CC$302,32,0)</f>
        <v>0</v>
      </c>
      <c r="AR72" s="102">
        <f>VLOOKUP(L72,设备合同!$L$6:$CC$302,33,0)</f>
        <v>0</v>
      </c>
      <c r="AS72" s="102">
        <f>VLOOKUP(L72,设备合同!$L$6:$CC$302,34,0)</f>
        <v>0</v>
      </c>
      <c r="AT72" s="102">
        <f>VLOOKUP(L72,设备合同!$L$6:$CC$302,35,0)</f>
        <v>0</v>
      </c>
      <c r="AU72" s="102">
        <f>VLOOKUP(L72,设备合同!$L$6:$CC$302,36,0)</f>
        <v>0</v>
      </c>
      <c r="AV72" s="102">
        <f>VLOOKUP(L72,设备合同!$L$6:$CC$302,37,0)</f>
        <v>0</v>
      </c>
      <c r="AW72" s="102">
        <f>VLOOKUP(L72,设备合同!$L$6:$CC$302,38,0)</f>
        <v>0</v>
      </c>
      <c r="AX72" s="102">
        <f>VLOOKUP(L72,设备合同!$L$6:$CC$302,39,0)</f>
        <v>0</v>
      </c>
      <c r="AY72" s="102">
        <f>VLOOKUP(L72,设备合同!$L$6:$CC$302,40,0)</f>
        <v>0</v>
      </c>
      <c r="AZ72" s="102">
        <f>VLOOKUP(L72,设备合同!$L$6:$CC$302,41,0)</f>
        <v>0</v>
      </c>
      <c r="BA72" s="102">
        <f>VLOOKUP(L72,设备合同!$L$6:$CC$302,42,0)</f>
        <v>0</v>
      </c>
      <c r="BB72" s="102">
        <f>VLOOKUP(L72,设备合同!$L$6:$CC$302,43,0)</f>
        <v>0</v>
      </c>
      <c r="BC72" s="102">
        <f>VLOOKUP(L72,设备合同!$L$6:$CC$302,44,0)</f>
        <v>0</v>
      </c>
      <c r="BD72" s="102">
        <f>VLOOKUP(L72,设备合同!$L$6:$CC$302,45,0)</f>
        <v>0</v>
      </c>
      <c r="BE72" s="102">
        <f>VLOOKUP(L72,设备合同!$L$6:$CC$302,46,0)</f>
        <v>0</v>
      </c>
      <c r="BF72" s="102">
        <f>VLOOKUP(L72,设备合同!$L$6:$CC$302,47,0)</f>
        <v>0</v>
      </c>
      <c r="BG72" s="102">
        <f>VLOOKUP(L72,设备合同!$L$6:$CC$302,48,0)</f>
        <v>0</v>
      </c>
      <c r="BH72" s="102">
        <f>VLOOKUP(L72,设备合同!$L$6:$CC$302,49,0)</f>
        <v>0</v>
      </c>
      <c r="BI72" s="102">
        <f>VLOOKUP(L72,设备合同!$L$6:$CC$302,50,0)</f>
        <v>0</v>
      </c>
      <c r="BJ72" s="102">
        <f>VLOOKUP(L72,设备合同!$L$6:$CC$302,51,0)</f>
        <v>0</v>
      </c>
      <c r="BK72" s="102">
        <f>VLOOKUP(L72,设备合同!$L$6:$CC$302,52,0)</f>
        <v>0</v>
      </c>
      <c r="BL72" s="102">
        <f>VLOOKUP(L72,设备合同!$L$6:$CC$302,53,0)</f>
        <v>0</v>
      </c>
      <c r="BM72" s="102">
        <f>VLOOKUP(L72,设备合同!$L$6:$CC$302,54,0)</f>
        <v>0</v>
      </c>
      <c r="BN72" s="102">
        <f>VLOOKUP(L72,设备合同!$L$6:$CC$302,55,0)</f>
        <v>0</v>
      </c>
      <c r="BO72" s="102">
        <f>VLOOKUP(L72,设备合同!$L$6:$CC$302,56,0)</f>
        <v>0</v>
      </c>
      <c r="BP72" s="102">
        <f>VLOOKUP(L72,设备合同!$L$6:$CC$302,57,0)</f>
        <v>0</v>
      </c>
      <c r="BQ72" s="102">
        <f>VLOOKUP(L72,设备合同!$L$6:$CC$302,58,0)</f>
        <v>0</v>
      </c>
      <c r="BR72" s="102">
        <f>VLOOKUP(L72,设备合同!$L$6:$CC$302,59,0)</f>
        <v>0</v>
      </c>
      <c r="BS72" s="102">
        <f>VLOOKUP(L72,设备合同!$L$6:$CC$302,60,0)</f>
        <v>0</v>
      </c>
      <c r="BT72" s="102">
        <f>VLOOKUP(L72,设备合同!$L$6:$CC$302,61,0)</f>
        <v>0</v>
      </c>
      <c r="BU72" s="102">
        <f>VLOOKUP(L72,设备合同!$L$6:$CC$302,62,0)</f>
        <v>0</v>
      </c>
      <c r="BV72" s="102">
        <f>VLOOKUP(L72,设备合同!$L$6:$CC$302,63,0)</f>
        <v>0</v>
      </c>
      <c r="BW72" s="102">
        <f>VLOOKUP(L72,设备合同!$L$6:$CC$302,64,0)</f>
        <v>0</v>
      </c>
      <c r="BX72" s="102">
        <f>VLOOKUP(L72,设备合同!$L$6:$CC$302,65,0)</f>
        <v>0</v>
      </c>
      <c r="BY72" s="102">
        <f>VLOOKUP(L72,设备合同!$L$6:$CC$302,66,0)</f>
        <v>0</v>
      </c>
      <c r="BZ72" s="102">
        <f>VLOOKUP(L72,设备合同!$L$6:$CC$302,67,0)</f>
        <v>0</v>
      </c>
      <c r="CA72" s="102">
        <f>VLOOKUP(L72,设备合同!$L$6:$CC$302,68,0)</f>
        <v>0</v>
      </c>
      <c r="CB72" s="102">
        <f>VLOOKUP(L72,设备合同!$L$6:$CC$302,69,0)</f>
        <v>0</v>
      </c>
      <c r="CC72" s="102">
        <f>VLOOKUP(L72,设备合同!$L$6:$CC$302,70,0)</f>
        <v>0</v>
      </c>
      <c r="CD72" s="123">
        <f t="shared" si="22"/>
        <v>160000</v>
      </c>
      <c r="CE72" s="102">
        <f t="shared" si="23"/>
        <v>0</v>
      </c>
      <c r="CF72" s="102">
        <f t="shared" si="24"/>
        <v>0</v>
      </c>
      <c r="CG72" s="102">
        <f t="shared" si="25"/>
        <v>0</v>
      </c>
      <c r="CH72" s="124">
        <f t="shared" si="26"/>
        <v>160000</v>
      </c>
      <c r="CI72" s="125">
        <f t="shared" si="27"/>
        <v>0</v>
      </c>
      <c r="CJ72" s="126" t="str">
        <f t="shared" si="28"/>
        <v>数据正确</v>
      </c>
    </row>
    <row r="73" s="60" customFormat="1" customHeight="1" spans="2:88">
      <c r="B73" s="70" t="str">
        <f t="shared" si="18"/>
        <v>-</v>
      </c>
      <c r="C73" s="71" t="str">
        <f t="shared" si="19"/>
        <v>-</v>
      </c>
      <c r="D73" s="181">
        <f t="shared" si="20"/>
        <v>0</v>
      </c>
      <c r="E73" s="181">
        <f>SUMIF(行政合同!$L$6:$L$300,L73,行政合同!$E$6:$E$300)</f>
        <v>0</v>
      </c>
      <c r="F73" s="181">
        <f>SUMIF(行政合同!$L$6:$L$300,L73,行政合同!$F$6:$F$300)</f>
        <v>0</v>
      </c>
      <c r="G73" s="181">
        <f>SUMIF(行政合同!$L$6:$L$300,L73,行政合同!$G$6:$G$300)</f>
        <v>0</v>
      </c>
      <c r="H73" s="181">
        <f>SUMIF(行政合同!$L$6:$L$300,L73,行政合同!$H$6:$H$300)</f>
        <v>0</v>
      </c>
      <c r="I73" s="181">
        <f t="shared" si="21"/>
        <v>0</v>
      </c>
      <c r="J73" s="86" t="s">
        <v>98</v>
      </c>
      <c r="K73" s="87"/>
      <c r="L73" s="88">
        <v>68</v>
      </c>
      <c r="M73" s="89" t="str">
        <f>VLOOKUP(L73,行政合同!$L$6:$CC$300,2,0)</f>
        <v>YRKJXZ-170025</v>
      </c>
      <c r="N73" s="90" t="str">
        <f>VLOOKUP(L73,行政合同!$L$6:$CC$300,3,0)</f>
        <v>行政合同</v>
      </c>
      <c r="O73" s="265">
        <f>VLOOKUP(L73,行政合同!$L$6:$CC$300,4,0)</f>
        <v>2017050001</v>
      </c>
      <c r="P73" s="266">
        <f>VLOOKUP(L73,行政合同!$L$6:$CC$300,5,0)</f>
        <v>42920</v>
      </c>
      <c r="Q73" s="275">
        <f>VLOOKUP(L73,行政合同!$L$6:$CC$300,6,0)</f>
        <v>74784</v>
      </c>
      <c r="R73" s="89" t="str">
        <f>VLOOKUP(L73,行政合同!$L$6:$CC$300,7,0)</f>
        <v>窗帘</v>
      </c>
      <c r="S73" s="89" t="str">
        <f>VLOOKUP(L73,行政合同!$L$6:$CC$300,8,0)</f>
        <v>莆田市鸿运窗饰贸易有限公司</v>
      </c>
      <c r="T73" s="107">
        <f>VLOOKUP(L73,行政合同!$L$6:$CC$300,9,0)</f>
        <v>0</v>
      </c>
      <c r="U73" s="103" t="str">
        <f>VLOOKUP(L73,行政合同!$L$6:$CC$300,10,0)</f>
        <v>电汇</v>
      </c>
      <c r="V73" s="276" t="str">
        <f>VLOOKUP(L73,行政合同!$L$6:$CC$300,11,0)</f>
        <v>收到全额的增值税普票后，支付15%预付款</v>
      </c>
      <c r="W73" s="102">
        <f>VLOOKUP(L73,行政合同!$L$6:$CC$300,12,0)</f>
        <v>11217.6</v>
      </c>
      <c r="X73" s="102">
        <f>VLOOKUP(L73,行政合同!$L$6:$CC$300,13,0)</f>
        <v>0</v>
      </c>
      <c r="Y73" s="102">
        <f>VLOOKUP(L73,行政合同!$L$6:$CC$300,14,0)</f>
        <v>0</v>
      </c>
      <c r="Z73" s="102" t="str">
        <f>VLOOKUP(L73,行政合同!$L$6:$CC$300,15,0)</f>
        <v>甲方接收货物验收合格后，在安装调试验收合格后20个工作日支付85%</v>
      </c>
      <c r="AA73" s="102">
        <f>VLOOKUP(L73,行政合同!$L$6:$CC$300,16,0)</f>
        <v>63566.4</v>
      </c>
      <c r="AB73" s="102">
        <f>VLOOKUP(L73,行政合同!$L$6:$CC$300,17,0)</f>
        <v>0</v>
      </c>
      <c r="AC73" s="102">
        <f>VLOOKUP(L73,行政合同!$L$6:$CC$300,18,0)</f>
        <v>0</v>
      </c>
      <c r="AD73" s="102">
        <f>VLOOKUP(L73,行政合同!$L$6:$CC$300,19,0)</f>
        <v>0</v>
      </c>
      <c r="AE73" s="102">
        <f>VLOOKUP(L73,行政合同!$L$6:$CC$300,20,0)</f>
        <v>0</v>
      </c>
      <c r="AF73" s="102">
        <f>VLOOKUP(L73,行政合同!$L$6:$CC$300,21,0)</f>
        <v>0</v>
      </c>
      <c r="AG73" s="102">
        <f>VLOOKUP(L73,行政合同!$L$6:$CC$300,22,0)</f>
        <v>0</v>
      </c>
      <c r="AH73" s="102">
        <f>VLOOKUP(L73,行政合同!$L$6:$CC$300,23,0)</f>
        <v>0</v>
      </c>
      <c r="AI73" s="102">
        <f>VLOOKUP(L73,行政合同!$L$6:$CC$300,24,0)</f>
        <v>0</v>
      </c>
      <c r="AJ73" s="102">
        <f>VLOOKUP(L73,行政合同!$L$6:$CC$300,25,0)</f>
        <v>0</v>
      </c>
      <c r="AK73" s="102">
        <f>VLOOKUP(L73,行政合同!$L$6:$CC$300,26,0)</f>
        <v>0</v>
      </c>
      <c r="AL73" s="102">
        <f>VLOOKUP(L73,行政合同!$L$6:$CC$300,27,0)</f>
        <v>0</v>
      </c>
      <c r="AM73" s="102">
        <f>VLOOKUP(L73,行政合同!$L$6:$CC$300,28,0)</f>
        <v>0</v>
      </c>
      <c r="AN73" s="102">
        <f>VLOOKUP(L73,行政合同!$L$6:$CC$300,29,0)</f>
        <v>0</v>
      </c>
      <c r="AO73" s="102">
        <f>VLOOKUP(L73,行政合同!$L$6:$CC$300,30,0)</f>
        <v>0</v>
      </c>
      <c r="AP73" s="102">
        <f>VLOOKUP(L73,行政合同!$L$6:$CC$300,31,0)</f>
        <v>0</v>
      </c>
      <c r="AQ73" s="102">
        <f>VLOOKUP(L73,行政合同!$L$6:$CC$300,32,0)</f>
        <v>0</v>
      </c>
      <c r="AR73" s="102">
        <f>VLOOKUP(L73,行政合同!$L$6:$CC$300,33,0)</f>
        <v>0</v>
      </c>
      <c r="AS73" s="102">
        <f>VLOOKUP(L73,行政合同!$L$6:$CC$300,34,0)</f>
        <v>0</v>
      </c>
      <c r="AT73" s="102">
        <f>VLOOKUP(L73,行政合同!$L$6:$CC$300,35,0)</f>
        <v>0</v>
      </c>
      <c r="AU73" s="102">
        <f>VLOOKUP(L73,行政合同!$L$6:$CC$300,36,0)</f>
        <v>0</v>
      </c>
      <c r="AV73" s="102">
        <f>VLOOKUP(L73,行政合同!$L$6:$CC$300,37,0)</f>
        <v>0</v>
      </c>
      <c r="AW73" s="102">
        <f>VLOOKUP(L73,行政合同!$L$6:$CC$300,38,0)</f>
        <v>0</v>
      </c>
      <c r="AX73" s="102">
        <f>VLOOKUP(L73,行政合同!$L$6:$CC$300,39,0)</f>
        <v>0</v>
      </c>
      <c r="AY73" s="102">
        <f>VLOOKUP(L73,行政合同!$L$6:$CC$300,40,0)</f>
        <v>0</v>
      </c>
      <c r="AZ73" s="102">
        <f>VLOOKUP(L73,行政合同!$L$6:$CC$300,41,0)</f>
        <v>0</v>
      </c>
      <c r="BA73" s="102">
        <f>VLOOKUP(L73,行政合同!$L$6:$CC$300,42,0)</f>
        <v>0</v>
      </c>
      <c r="BB73" s="102">
        <f>VLOOKUP(L73,行政合同!$L$6:$CC$300,43,0)</f>
        <v>0</v>
      </c>
      <c r="BC73" s="102">
        <f>VLOOKUP(L73,行政合同!$L$6:$CC$300,44,0)</f>
        <v>0</v>
      </c>
      <c r="BD73" s="102">
        <f>VLOOKUP(L73,行政合同!$L$6:$CC$300,45,0)</f>
        <v>0</v>
      </c>
      <c r="BE73" s="102">
        <f>VLOOKUP(L73,行政合同!$L$6:$CC$300,46,0)</f>
        <v>0</v>
      </c>
      <c r="BF73" s="102">
        <f>VLOOKUP(L73,行政合同!$L$6:$CC$300,47,0)</f>
        <v>0</v>
      </c>
      <c r="BG73" s="102">
        <f>VLOOKUP(L73,行政合同!$L$6:$CC$300,48,0)</f>
        <v>0</v>
      </c>
      <c r="BH73" s="102">
        <f>VLOOKUP(L73,行政合同!$L$6:$CC$300,49,0)</f>
        <v>0</v>
      </c>
      <c r="BI73" s="102">
        <f>VLOOKUP(L73,行政合同!$L$6:$CC$300,50,0)</f>
        <v>0</v>
      </c>
      <c r="BJ73" s="102">
        <f>VLOOKUP(L73,行政合同!$L$6:$CC$300,51,0)</f>
        <v>0</v>
      </c>
      <c r="BK73" s="102">
        <f>VLOOKUP(L73,行政合同!$L$6:$CC$300,52,0)</f>
        <v>0</v>
      </c>
      <c r="BL73" s="102">
        <f>VLOOKUP(L73,行政合同!$L$6:$CC$300,53,0)</f>
        <v>0</v>
      </c>
      <c r="BM73" s="102">
        <f>VLOOKUP(L73,行政合同!$L$6:$CC$300,54,0)</f>
        <v>0</v>
      </c>
      <c r="BN73" s="102">
        <f>VLOOKUP(L73,行政合同!$L$6:$CC$300,55,0)</f>
        <v>0</v>
      </c>
      <c r="BO73" s="102">
        <f>VLOOKUP(L73,行政合同!$L$6:$CC$300,56,0)</f>
        <v>0</v>
      </c>
      <c r="BP73" s="102">
        <f>VLOOKUP(L73,行政合同!$L$6:$CC$300,57,0)</f>
        <v>0</v>
      </c>
      <c r="BQ73" s="102">
        <f>VLOOKUP(L73,行政合同!$L$6:$CC$300,58,0)</f>
        <v>0</v>
      </c>
      <c r="BR73" s="102">
        <f>VLOOKUP(L73,行政合同!$L$6:$CC$300,59,0)</f>
        <v>0</v>
      </c>
      <c r="BS73" s="102">
        <f>VLOOKUP(L73,行政合同!$L$6:$CC$300,60,0)</f>
        <v>0</v>
      </c>
      <c r="BT73" s="102">
        <f>VLOOKUP(L73,行政合同!$L$6:$CC$300,61,0)</f>
        <v>0</v>
      </c>
      <c r="BU73" s="102">
        <f>VLOOKUP(L73,行政合同!$L$6:$CC$300,62,0)</f>
        <v>0</v>
      </c>
      <c r="BV73" s="102">
        <f>VLOOKUP(L73,行政合同!$L$6:$CC$300,63,0)</f>
        <v>0</v>
      </c>
      <c r="BW73" s="102">
        <f>VLOOKUP(L73,行政合同!$L$6:$CC$300,64,0)</f>
        <v>0</v>
      </c>
      <c r="BX73" s="102">
        <f>VLOOKUP(L73,行政合同!$L$6:$CC$300,65,0)</f>
        <v>0</v>
      </c>
      <c r="BY73" s="102">
        <f>VLOOKUP(L73,行政合同!$L$6:$CC$300,66,0)</f>
        <v>0</v>
      </c>
      <c r="BZ73" s="102">
        <f>VLOOKUP(L73,行政合同!$L$6:$CC$300,67,0)</f>
        <v>0</v>
      </c>
      <c r="CA73" s="102">
        <f>VLOOKUP(L73,行政合同!$L$6:$CC$300,68,0)</f>
        <v>0</v>
      </c>
      <c r="CB73" s="102">
        <f>VLOOKUP(L73,行政合同!$L$6:$CC$300,69,0)</f>
        <v>0</v>
      </c>
      <c r="CC73" s="102">
        <f>VLOOKUP(L73,行政合同!$L$6:$CC$300,70,0)</f>
        <v>0</v>
      </c>
      <c r="CD73" s="123">
        <f t="shared" si="22"/>
        <v>74784</v>
      </c>
      <c r="CE73" s="102">
        <f t="shared" si="23"/>
        <v>0</v>
      </c>
      <c r="CF73" s="102">
        <f t="shared" si="24"/>
        <v>0</v>
      </c>
      <c r="CG73" s="102">
        <f t="shared" si="25"/>
        <v>0</v>
      </c>
      <c r="CH73" s="124">
        <f t="shared" si="26"/>
        <v>74784</v>
      </c>
      <c r="CI73" s="125">
        <f t="shared" si="27"/>
        <v>0</v>
      </c>
      <c r="CJ73" s="126" t="str">
        <f t="shared" si="28"/>
        <v>数据正确</v>
      </c>
    </row>
    <row r="74" s="60" customFormat="1" customHeight="1" spans="2:88">
      <c r="B74" s="70" t="str">
        <f t="shared" si="18"/>
        <v>-</v>
      </c>
      <c r="C74" s="71" t="str">
        <f t="shared" si="19"/>
        <v>已付清</v>
      </c>
      <c r="D74" s="181">
        <f t="shared" si="20"/>
        <v>100000</v>
      </c>
      <c r="E74" s="181">
        <f>SUMIF(材料合同!$L$6:$L$305,L74,材料合同!$E$6:$E$305)</f>
        <v>0</v>
      </c>
      <c r="F74" s="181">
        <f>SUMIF(材料合同!$L$6:$L$305,L74,材料合同!$F$6:$F$305)</f>
        <v>0</v>
      </c>
      <c r="G74" s="181">
        <f>SUMIF(材料合同!$L$6:$L$305,L74,材料合同!$G$6:$G$305)</f>
        <v>0</v>
      </c>
      <c r="H74" s="181">
        <f>SUMIF(材料合同!$L$6:$L$305,L74,材料合同!$H$6:$H$305)</f>
        <v>0</v>
      </c>
      <c r="I74" s="181">
        <f t="shared" si="21"/>
        <v>0</v>
      </c>
      <c r="J74" s="86" t="s">
        <v>98</v>
      </c>
      <c r="K74" s="87"/>
      <c r="L74" s="88">
        <v>69</v>
      </c>
      <c r="M74" s="89" t="str">
        <f>VLOOKUP(L74,材料合同!$L$6:$CC$305,2,0)</f>
        <v>YRKJGC-170030</v>
      </c>
      <c r="N74" s="90" t="str">
        <f>VLOOKUP(L74,材料合同!$L$6:$CC$305,3,0)</f>
        <v>材料合同</v>
      </c>
      <c r="O74" s="265">
        <f>VLOOKUP(L74,材料合同!$L$6:$CC$305,4,0)</f>
        <v>2017060007</v>
      </c>
      <c r="P74" s="266">
        <f>VLOOKUP(L74,材料合同!$L$6:$CC$305,5,0)</f>
        <v>42912</v>
      </c>
      <c r="Q74" s="275">
        <f>VLOOKUP(L74,材料合同!$L$6:$CC$305,6,0)</f>
        <v>100000</v>
      </c>
      <c r="R74" s="89" t="str">
        <f>VLOOKUP(L74,材料合同!$L$6:$CC$305,7,0)</f>
        <v>枕木等五金工具</v>
      </c>
      <c r="S74" s="89" t="str">
        <f>VLOOKUP(L74,材料合同!$L$6:$CC$305,8,0)</f>
        <v>泉州市超越机电设备有限公司</v>
      </c>
      <c r="T74" s="107">
        <f>VLOOKUP(L74,材料合同!$L$6:$CC$305,9,0)</f>
        <v>0</v>
      </c>
      <c r="U74" s="103" t="str">
        <f>VLOOKUP(L74,材料合同!$L$6:$CC$305,10,0)</f>
        <v>6个月承兑汇票</v>
      </c>
      <c r="V74" s="276" t="str">
        <f>VLOOKUP(L74,材料合同!$L$6:$CC$305,11,0)</f>
        <v>甲方收到核定验收合格报告及全额的发票后30日之内支付100%货款</v>
      </c>
      <c r="W74" s="102">
        <f>VLOOKUP(L74,材料合同!$L$6:$CC$305,12,0)</f>
        <v>100000</v>
      </c>
      <c r="X74" s="102">
        <f>VLOOKUP(L74,材料合同!$L$6:$CC$305,13,0)</f>
        <v>100000</v>
      </c>
      <c r="Y74" s="102">
        <f>VLOOKUP(L74,材料合同!$L$6:$CC$305,14,0)</f>
        <v>100000</v>
      </c>
      <c r="Z74" s="102">
        <f>VLOOKUP(L74,材料合同!$L$6:$CC$305,15,0)</f>
        <v>0</v>
      </c>
      <c r="AA74" s="102">
        <f>VLOOKUP(L74,材料合同!$L$6:$CC$305,16,0)</f>
        <v>0</v>
      </c>
      <c r="AB74" s="102">
        <f>VLOOKUP(L74,材料合同!$L$6:$CC$305,17,0)</f>
        <v>0</v>
      </c>
      <c r="AC74" s="102">
        <f>VLOOKUP(L74,材料合同!$L$6:$CC$305,18,0)</f>
        <v>0</v>
      </c>
      <c r="AD74" s="102">
        <f>VLOOKUP(L74,材料合同!$L$6:$CC$305,19,0)</f>
        <v>0</v>
      </c>
      <c r="AE74" s="102">
        <f>VLOOKUP(L74,材料合同!$L$6:$CC$305,20,0)</f>
        <v>0</v>
      </c>
      <c r="AF74" s="102">
        <f>VLOOKUP(L74,材料合同!$L$6:$CC$305,21,0)</f>
        <v>0</v>
      </c>
      <c r="AG74" s="102">
        <f>VLOOKUP(L74,材料合同!$L$6:$CC$305,22,0)</f>
        <v>0</v>
      </c>
      <c r="AH74" s="102">
        <f>VLOOKUP(L74,材料合同!$L$6:$CC$305,23,0)</f>
        <v>0</v>
      </c>
      <c r="AI74" s="102">
        <f>VLOOKUP(L74,材料合同!$L$6:$CC$305,24,0)</f>
        <v>0</v>
      </c>
      <c r="AJ74" s="102">
        <f>VLOOKUP(L74,材料合同!$L$6:$CC$305,25,0)</f>
        <v>0</v>
      </c>
      <c r="AK74" s="102">
        <f>VLOOKUP(L74,材料合同!$L$6:$CC$305,26,0)</f>
        <v>0</v>
      </c>
      <c r="AL74" s="102">
        <f>VLOOKUP(L74,材料合同!$L$6:$CC$305,27,0)</f>
        <v>0</v>
      </c>
      <c r="AM74" s="102">
        <f>VLOOKUP(L74,材料合同!$L$6:$CC$305,28,0)</f>
        <v>0</v>
      </c>
      <c r="AN74" s="102">
        <f>VLOOKUP(L74,材料合同!$L$6:$CC$305,29,0)</f>
        <v>0</v>
      </c>
      <c r="AO74" s="102">
        <f>VLOOKUP(L74,材料合同!$L$6:$CC$305,30,0)</f>
        <v>0</v>
      </c>
      <c r="AP74" s="102">
        <f>VLOOKUP(L74,材料合同!$L$6:$CC$305,31,0)</f>
        <v>0</v>
      </c>
      <c r="AQ74" s="102">
        <f>VLOOKUP(L74,材料合同!$L$6:$CC$305,32,0)</f>
        <v>0</v>
      </c>
      <c r="AR74" s="102">
        <f>VLOOKUP(L74,材料合同!$L$6:$CC$305,33,0)</f>
        <v>0</v>
      </c>
      <c r="AS74" s="102">
        <f>VLOOKUP(L74,材料合同!$L$6:$CC$305,34,0)</f>
        <v>0</v>
      </c>
      <c r="AT74" s="102">
        <f>VLOOKUP(L74,材料合同!$L$6:$CC$305,35,0)</f>
        <v>0</v>
      </c>
      <c r="AU74" s="102">
        <f>VLOOKUP(L74,材料合同!$L$6:$CC$305,36,0)</f>
        <v>0</v>
      </c>
      <c r="AV74" s="102">
        <f>VLOOKUP(L74,材料合同!$L$6:$CC$305,37,0)</f>
        <v>0</v>
      </c>
      <c r="AW74" s="102">
        <f>VLOOKUP(L74,材料合同!$L$6:$CC$305,38,0)</f>
        <v>0</v>
      </c>
      <c r="AX74" s="102">
        <f>VLOOKUP(L74,材料合同!$L$6:$CC$305,39,0)</f>
        <v>0</v>
      </c>
      <c r="AY74" s="102">
        <f>VLOOKUP(L74,材料合同!$L$6:$CC$305,40,0)</f>
        <v>0</v>
      </c>
      <c r="AZ74" s="102">
        <f>VLOOKUP(L74,材料合同!$L$6:$CC$305,41,0)</f>
        <v>0</v>
      </c>
      <c r="BA74" s="102">
        <f>VLOOKUP(L74,材料合同!$L$6:$CC$305,42,0)</f>
        <v>0</v>
      </c>
      <c r="BB74" s="102">
        <f>VLOOKUP(L74,材料合同!$L$6:$CC$305,43,0)</f>
        <v>0</v>
      </c>
      <c r="BC74" s="102">
        <f>VLOOKUP(L74,材料合同!$L$6:$CC$305,44,0)</f>
        <v>0</v>
      </c>
      <c r="BD74" s="102">
        <f>VLOOKUP(L74,材料合同!$L$6:$CC$305,45,0)</f>
        <v>0</v>
      </c>
      <c r="BE74" s="102">
        <f>VLOOKUP(L74,材料合同!$L$6:$CC$305,46,0)</f>
        <v>0</v>
      </c>
      <c r="BF74" s="102">
        <f>VLOOKUP(L74,材料合同!$L$6:$CC$305,47,0)</f>
        <v>0</v>
      </c>
      <c r="BG74" s="102">
        <f>VLOOKUP(L74,材料合同!$L$6:$CC$305,48,0)</f>
        <v>0</v>
      </c>
      <c r="BH74" s="102">
        <f>VLOOKUP(L74,材料合同!$L$6:$CC$305,49,0)</f>
        <v>0</v>
      </c>
      <c r="BI74" s="102">
        <f>VLOOKUP(L74,材料合同!$L$6:$CC$305,50,0)</f>
        <v>0</v>
      </c>
      <c r="BJ74" s="102">
        <f>VLOOKUP(L74,材料合同!$L$6:$CC$305,51,0)</f>
        <v>0</v>
      </c>
      <c r="BK74" s="102">
        <f>VLOOKUP(L74,材料合同!$L$6:$CC$305,52,0)</f>
        <v>0</v>
      </c>
      <c r="BL74" s="102">
        <f>VLOOKUP(L74,材料合同!$L$6:$CC$305,53,0)</f>
        <v>0</v>
      </c>
      <c r="BM74" s="102">
        <f>VLOOKUP(L74,材料合同!$L$6:$CC$305,54,0)</f>
        <v>0</v>
      </c>
      <c r="BN74" s="102">
        <f>VLOOKUP(L74,材料合同!$L$6:$CC$305,55,0)</f>
        <v>0</v>
      </c>
      <c r="BO74" s="102">
        <f>VLOOKUP(L74,材料合同!$L$6:$CC$305,56,0)</f>
        <v>0</v>
      </c>
      <c r="BP74" s="102">
        <f>VLOOKUP(L74,材料合同!$L$6:$CC$305,57,0)</f>
        <v>0</v>
      </c>
      <c r="BQ74" s="102">
        <f>VLOOKUP(L74,材料合同!$L$6:$CC$305,58,0)</f>
        <v>0</v>
      </c>
      <c r="BR74" s="102">
        <f>VLOOKUP(L74,材料合同!$L$6:$CC$305,59,0)</f>
        <v>0</v>
      </c>
      <c r="BS74" s="102">
        <f>VLOOKUP(L74,材料合同!$L$6:$CC$305,60,0)</f>
        <v>0</v>
      </c>
      <c r="BT74" s="102">
        <f>VLOOKUP(L74,材料合同!$L$6:$CC$305,61,0)</f>
        <v>0</v>
      </c>
      <c r="BU74" s="102">
        <f>VLOOKUP(L74,材料合同!$L$6:$CC$305,62,0)</f>
        <v>0</v>
      </c>
      <c r="BV74" s="102">
        <f>VLOOKUP(L74,材料合同!$L$6:$CC$305,63,0)</f>
        <v>0</v>
      </c>
      <c r="BW74" s="102">
        <f>VLOOKUP(L74,材料合同!$L$6:$CC$305,64,0)</f>
        <v>0</v>
      </c>
      <c r="BX74" s="102">
        <f>VLOOKUP(L74,材料合同!$L$6:$CC$305,65,0)</f>
        <v>0</v>
      </c>
      <c r="BY74" s="102">
        <f>VLOOKUP(L74,材料合同!$L$6:$CC$305,66,0)</f>
        <v>0</v>
      </c>
      <c r="BZ74" s="102">
        <f>VLOOKUP(L74,材料合同!$L$6:$CC$305,67,0)</f>
        <v>0</v>
      </c>
      <c r="CA74" s="102">
        <f>VLOOKUP(L74,材料合同!$L$6:$CC$305,68,0)</f>
        <v>0</v>
      </c>
      <c r="CB74" s="102">
        <f>VLOOKUP(L74,材料合同!$L$6:$CC$305,69,0)</f>
        <v>0</v>
      </c>
      <c r="CC74" s="102">
        <f>VLOOKUP(L74,材料合同!$L$6:$CC$305,70,0)</f>
        <v>0</v>
      </c>
      <c r="CD74" s="123">
        <f t="shared" si="22"/>
        <v>100000</v>
      </c>
      <c r="CE74" s="102">
        <f t="shared" si="23"/>
        <v>100000</v>
      </c>
      <c r="CF74" s="102">
        <f t="shared" si="24"/>
        <v>100000</v>
      </c>
      <c r="CG74" s="102">
        <f t="shared" si="25"/>
        <v>0</v>
      </c>
      <c r="CH74" s="124">
        <f t="shared" si="26"/>
        <v>0</v>
      </c>
      <c r="CI74" s="125">
        <f t="shared" si="27"/>
        <v>1</v>
      </c>
      <c r="CJ74" s="126" t="str">
        <f t="shared" si="28"/>
        <v>数据正确</v>
      </c>
    </row>
    <row r="75" s="60" customFormat="1" customHeight="1" spans="2:88">
      <c r="B75" s="70" t="str">
        <f t="shared" si="18"/>
        <v>-</v>
      </c>
      <c r="C75" s="71" t="str">
        <f t="shared" si="19"/>
        <v>-</v>
      </c>
      <c r="D75" s="181">
        <f t="shared" si="20"/>
        <v>0</v>
      </c>
      <c r="E75" s="181">
        <f>SUMIF(设备合同!$L$6:$L$302,L75,设备合同!$E$6:$E$302)</f>
        <v>0</v>
      </c>
      <c r="F75" s="181">
        <f>SUMIF(设备合同!$L$6:$L$302,L75,设备合同!$F$6:$F$302)</f>
        <v>0</v>
      </c>
      <c r="G75" s="181">
        <f>SUMIF(设备合同!$L$6:$L$302,L75,设备合同!$G$6:$G$302)</f>
        <v>0</v>
      </c>
      <c r="H75" s="181">
        <f>SUMIF(设备合同!$L$6:$L$302,L75,设备合同!$H$6:$H$302)</f>
        <v>0</v>
      </c>
      <c r="I75" s="181">
        <f t="shared" si="21"/>
        <v>0</v>
      </c>
      <c r="J75" s="86" t="s">
        <v>98</v>
      </c>
      <c r="K75" s="87"/>
      <c r="L75" s="88">
        <v>70</v>
      </c>
      <c r="M75" s="89" t="str">
        <f>VLOOKUP(L75,设备合同!$L$6:$CC$302,2,0)</f>
        <v>YRKJEQ-170040</v>
      </c>
      <c r="N75" s="90" t="str">
        <f>VLOOKUP(L75,设备合同!$L$6:$CC$302,3,0)</f>
        <v>设备合同</v>
      </c>
      <c r="O75" s="265">
        <f>VLOOKUP(L75,设备合同!$L$6:$CC$302,4,0)</f>
        <v>2017050055</v>
      </c>
      <c r="P75" s="266">
        <f>VLOOKUP(L75,设备合同!$L$6:$CC$302,5,0)</f>
        <v>42912</v>
      </c>
      <c r="Q75" s="275">
        <f>VLOOKUP(L75,设备合同!$L$6:$CC$302,6,0)</f>
        <v>300000</v>
      </c>
      <c r="R75" s="89" t="str">
        <f>VLOOKUP(L75,设备合同!$L$6:$CC$302,7,0)</f>
        <v>8台磁力泵</v>
      </c>
      <c r="S75" s="89" t="str">
        <f>VLOOKUP(L75,设备合同!$L$6:$CC$302,8,0)</f>
        <v>杭州大路实业有限公司</v>
      </c>
      <c r="T75" s="107" t="str">
        <f>VLOOKUP(L75,设备合同!$L$6:$CC$302,9,0)</f>
        <v>己内酰胺装置30万元</v>
      </c>
      <c r="U75" s="103" t="str">
        <f>VLOOKUP(L75,设备合同!$L$6:$CC$302,10,0)</f>
        <v>6个月承兑汇票，不接受反向贴息</v>
      </c>
      <c r="V75" s="276" t="str">
        <f>VLOOKUP(L75,设备合同!$L$6:$CC$302,11,0)</f>
        <v>到乙方工厂检验合格后，签发发货同意书，收到等额的17%专票后15个工作日支付60%发货款</v>
      </c>
      <c r="W75" s="102">
        <f>VLOOKUP(L75,设备合同!$L$6:$CC$302,12,0)</f>
        <v>180000</v>
      </c>
      <c r="X75" s="102">
        <f>VLOOKUP(L75,设备合同!$L$6:$CC$302,13,0)</f>
        <v>0</v>
      </c>
      <c r="Y75" s="102">
        <f>VLOOKUP(L75,设备合同!$L$6:$CC$302,14,0)</f>
        <v>0</v>
      </c>
      <c r="Z75" s="102" t="str">
        <f>VLOOKUP(L75,设备合同!$L$6:$CC$302,15,0)</f>
        <v>甲方收到调试合格报告及足额的发票后15个工作日支付30%调试款</v>
      </c>
      <c r="AA75" s="102">
        <f>VLOOKUP(L75,设备合同!$L$6:$CC$302,16,0)</f>
        <v>90000</v>
      </c>
      <c r="AB75" s="102">
        <f>VLOOKUP(L75,设备合同!$L$6:$CC$302,17,0)</f>
        <v>0</v>
      </c>
      <c r="AC75" s="102">
        <f>VLOOKUP(L75,设备合同!$L$6:$CC$302,18,0)</f>
        <v>0</v>
      </c>
      <c r="AD75" s="102" t="str">
        <f>VLOOKUP(L75,设备合同!$L$6:$CC$302,19,0)</f>
        <v>10%质量保证金，验收合格后12个月或到货香肠18个月支付</v>
      </c>
      <c r="AE75" s="102">
        <f>VLOOKUP(L75,设备合同!$L$6:$CC$302,20,0)</f>
        <v>30000</v>
      </c>
      <c r="AF75" s="102">
        <f>VLOOKUP(L75,设备合同!$L$6:$CC$302,21,0)</f>
        <v>0</v>
      </c>
      <c r="AG75" s="102">
        <f>VLOOKUP(L75,设备合同!$L$6:$CC$302,22,0)</f>
        <v>0</v>
      </c>
      <c r="AH75" s="102">
        <f>VLOOKUP(L75,设备合同!$L$6:$CC$302,23,0)</f>
        <v>0</v>
      </c>
      <c r="AI75" s="102">
        <f>VLOOKUP(L75,设备合同!$L$6:$CC$302,24,0)</f>
        <v>0</v>
      </c>
      <c r="AJ75" s="102">
        <f>VLOOKUP(L75,设备合同!$L$6:$CC$302,25,0)</f>
        <v>0</v>
      </c>
      <c r="AK75" s="102">
        <f>VLOOKUP(L75,设备合同!$L$6:$CC$302,26,0)</f>
        <v>0</v>
      </c>
      <c r="AL75" s="102">
        <f>VLOOKUP(L75,设备合同!$L$6:$CC$302,27,0)</f>
        <v>0</v>
      </c>
      <c r="AM75" s="102">
        <f>VLOOKUP(L75,设备合同!$L$6:$CC$302,28,0)</f>
        <v>0</v>
      </c>
      <c r="AN75" s="102">
        <f>VLOOKUP(L75,设备合同!$L$6:$CC$302,29,0)</f>
        <v>0</v>
      </c>
      <c r="AO75" s="102">
        <f>VLOOKUP(L75,设备合同!$L$6:$CC$302,30,0)</f>
        <v>0</v>
      </c>
      <c r="AP75" s="102">
        <f>VLOOKUP(L75,设备合同!$L$6:$CC$302,31,0)</f>
        <v>0</v>
      </c>
      <c r="AQ75" s="102">
        <f>VLOOKUP(L75,设备合同!$L$6:$CC$302,32,0)</f>
        <v>0</v>
      </c>
      <c r="AR75" s="102">
        <f>VLOOKUP(L75,设备合同!$L$6:$CC$302,33,0)</f>
        <v>0</v>
      </c>
      <c r="AS75" s="102">
        <f>VLOOKUP(L75,设备合同!$L$6:$CC$302,34,0)</f>
        <v>0</v>
      </c>
      <c r="AT75" s="102">
        <f>VLOOKUP(L75,设备合同!$L$6:$CC$302,35,0)</f>
        <v>0</v>
      </c>
      <c r="AU75" s="102">
        <f>VLOOKUP(L75,设备合同!$L$6:$CC$302,36,0)</f>
        <v>0</v>
      </c>
      <c r="AV75" s="102">
        <f>VLOOKUP(L75,设备合同!$L$6:$CC$302,37,0)</f>
        <v>0</v>
      </c>
      <c r="AW75" s="102">
        <f>VLOOKUP(L75,设备合同!$L$6:$CC$302,38,0)</f>
        <v>0</v>
      </c>
      <c r="AX75" s="102">
        <f>VLOOKUP(L75,设备合同!$L$6:$CC$302,39,0)</f>
        <v>0</v>
      </c>
      <c r="AY75" s="102">
        <f>VLOOKUP(L75,设备合同!$L$6:$CC$302,40,0)</f>
        <v>0</v>
      </c>
      <c r="AZ75" s="102">
        <f>VLOOKUP(L75,设备合同!$L$6:$CC$302,41,0)</f>
        <v>0</v>
      </c>
      <c r="BA75" s="102">
        <f>VLOOKUP(L75,设备合同!$L$6:$CC$302,42,0)</f>
        <v>0</v>
      </c>
      <c r="BB75" s="102">
        <f>VLOOKUP(L75,设备合同!$L$6:$CC$302,43,0)</f>
        <v>0</v>
      </c>
      <c r="BC75" s="102">
        <f>VLOOKUP(L75,设备合同!$L$6:$CC$302,44,0)</f>
        <v>0</v>
      </c>
      <c r="BD75" s="102">
        <f>VLOOKUP(L75,设备合同!$L$6:$CC$302,45,0)</f>
        <v>0</v>
      </c>
      <c r="BE75" s="102">
        <f>VLOOKUP(L75,设备合同!$L$6:$CC$302,46,0)</f>
        <v>0</v>
      </c>
      <c r="BF75" s="102">
        <f>VLOOKUP(L75,设备合同!$L$6:$CC$302,47,0)</f>
        <v>0</v>
      </c>
      <c r="BG75" s="102">
        <f>VLOOKUP(L75,设备合同!$L$6:$CC$302,48,0)</f>
        <v>0</v>
      </c>
      <c r="BH75" s="102">
        <f>VLOOKUP(L75,设备合同!$L$6:$CC$302,49,0)</f>
        <v>0</v>
      </c>
      <c r="BI75" s="102">
        <f>VLOOKUP(L75,设备合同!$L$6:$CC$302,50,0)</f>
        <v>0</v>
      </c>
      <c r="BJ75" s="102">
        <f>VLOOKUP(L75,设备合同!$L$6:$CC$302,51,0)</f>
        <v>0</v>
      </c>
      <c r="BK75" s="102">
        <f>VLOOKUP(L75,设备合同!$L$6:$CC$302,52,0)</f>
        <v>0</v>
      </c>
      <c r="BL75" s="102">
        <f>VLOOKUP(L75,设备合同!$L$6:$CC$302,53,0)</f>
        <v>0</v>
      </c>
      <c r="BM75" s="102">
        <f>VLOOKUP(L75,设备合同!$L$6:$CC$302,54,0)</f>
        <v>0</v>
      </c>
      <c r="BN75" s="102">
        <f>VLOOKUP(L75,设备合同!$L$6:$CC$302,55,0)</f>
        <v>0</v>
      </c>
      <c r="BO75" s="102">
        <f>VLOOKUP(L75,设备合同!$L$6:$CC$302,56,0)</f>
        <v>0</v>
      </c>
      <c r="BP75" s="102">
        <f>VLOOKUP(L75,设备合同!$L$6:$CC$302,57,0)</f>
        <v>0</v>
      </c>
      <c r="BQ75" s="102">
        <f>VLOOKUP(L75,设备合同!$L$6:$CC$302,58,0)</f>
        <v>0</v>
      </c>
      <c r="BR75" s="102">
        <f>VLOOKUP(L75,设备合同!$L$6:$CC$302,59,0)</f>
        <v>0</v>
      </c>
      <c r="BS75" s="102">
        <f>VLOOKUP(L75,设备合同!$L$6:$CC$302,60,0)</f>
        <v>0</v>
      </c>
      <c r="BT75" s="102">
        <f>VLOOKUP(L75,设备合同!$L$6:$CC$302,61,0)</f>
        <v>0</v>
      </c>
      <c r="BU75" s="102">
        <f>VLOOKUP(L75,设备合同!$L$6:$CC$302,62,0)</f>
        <v>0</v>
      </c>
      <c r="BV75" s="102">
        <f>VLOOKUP(L75,设备合同!$L$6:$CC$302,63,0)</f>
        <v>0</v>
      </c>
      <c r="BW75" s="102">
        <f>VLOOKUP(L75,设备合同!$L$6:$CC$302,64,0)</f>
        <v>0</v>
      </c>
      <c r="BX75" s="102">
        <f>VLOOKUP(L75,设备合同!$L$6:$CC$302,65,0)</f>
        <v>0</v>
      </c>
      <c r="BY75" s="102">
        <f>VLOOKUP(L75,设备合同!$L$6:$CC$302,66,0)</f>
        <v>0</v>
      </c>
      <c r="BZ75" s="102">
        <f>VLOOKUP(L75,设备合同!$L$6:$CC$302,67,0)</f>
        <v>0</v>
      </c>
      <c r="CA75" s="102">
        <f>VLOOKUP(L75,设备合同!$L$6:$CC$302,68,0)</f>
        <v>0</v>
      </c>
      <c r="CB75" s="102">
        <f>VLOOKUP(L75,设备合同!$L$6:$CC$302,69,0)</f>
        <v>0</v>
      </c>
      <c r="CC75" s="102">
        <f>VLOOKUP(L75,设备合同!$L$6:$CC$302,70,0)</f>
        <v>0</v>
      </c>
      <c r="CD75" s="123">
        <f t="shared" si="22"/>
        <v>300000</v>
      </c>
      <c r="CE75" s="102">
        <f t="shared" si="23"/>
        <v>0</v>
      </c>
      <c r="CF75" s="102">
        <f t="shared" si="24"/>
        <v>0</v>
      </c>
      <c r="CG75" s="102">
        <f t="shared" si="25"/>
        <v>0</v>
      </c>
      <c r="CH75" s="124">
        <f t="shared" si="26"/>
        <v>300000</v>
      </c>
      <c r="CI75" s="125">
        <f t="shared" si="27"/>
        <v>0</v>
      </c>
      <c r="CJ75" s="126" t="str">
        <f t="shared" si="28"/>
        <v>数据正确</v>
      </c>
    </row>
    <row r="76" s="60" customFormat="1" customHeight="1" spans="2:88">
      <c r="B76" s="70" t="str">
        <f t="shared" ref="B76:B139" si="29">IF(I76=0,"-","申请中")</f>
        <v>-</v>
      </c>
      <c r="C76" s="71" t="str">
        <f t="shared" ref="C76:C139" si="30">IF(CI76=100%,"已付清","-")</f>
        <v>已付清</v>
      </c>
      <c r="D76" s="181">
        <f t="shared" ref="D76:D139" si="31">CF76</f>
        <v>56000</v>
      </c>
      <c r="E76" s="181">
        <f>SUMIF(材料合同!$L$6:$L$305,L76,材料合同!$E$6:$E$305)</f>
        <v>0</v>
      </c>
      <c r="F76" s="181">
        <f>SUMIF(材料合同!$L$6:$L$305,L76,材料合同!$F$6:$F$305)</f>
        <v>0</v>
      </c>
      <c r="G76" s="181">
        <f>SUMIF(材料合同!$L$6:$L$305,L76,材料合同!$G$6:$G$305)</f>
        <v>0</v>
      </c>
      <c r="H76" s="181">
        <f>SUMIF(材料合同!$L$6:$L$305,L76,材料合同!$H$6:$H$305)</f>
        <v>0</v>
      </c>
      <c r="I76" s="181">
        <f t="shared" ref="I76:I139" si="32">CE76-CF76-CG76</f>
        <v>0</v>
      </c>
      <c r="J76" s="86" t="s">
        <v>98</v>
      </c>
      <c r="K76" s="87"/>
      <c r="L76" s="88">
        <v>71</v>
      </c>
      <c r="M76" s="89" t="str">
        <f>VLOOKUP(L76,材料合同!$L$6:$CC$305,2,0)</f>
        <v>YRKJGC-170029</v>
      </c>
      <c r="N76" s="90" t="str">
        <f>VLOOKUP(L76,材料合同!$L$6:$CC$305,3,0)</f>
        <v>材料合同</v>
      </c>
      <c r="O76" s="265">
        <f>VLOOKUP(L76,材料合同!$L$6:$CC$305,4,0)</f>
        <v>2017060007</v>
      </c>
      <c r="P76" s="266">
        <f>VLOOKUP(L76,材料合同!$L$6:$CC$305,5,0)</f>
        <v>42912</v>
      </c>
      <c r="Q76" s="275">
        <f>VLOOKUP(L76,材料合同!$L$6:$CC$305,6,0)</f>
        <v>56000</v>
      </c>
      <c r="R76" s="89" t="str">
        <f>VLOOKUP(L76,材料合同!$L$6:$CC$305,7,0)</f>
        <v>蜗居房共6间</v>
      </c>
      <c r="S76" s="89" t="str">
        <f>VLOOKUP(L76,材料合同!$L$6:$CC$305,8,0)</f>
        <v>莆田市秀屿区蜗居活动房有限公司</v>
      </c>
      <c r="T76" s="107">
        <f>VLOOKUP(L76,材料合同!$L$6:$CC$305,9,0)</f>
        <v>0</v>
      </c>
      <c r="U76" s="103" t="str">
        <f>VLOOKUP(L76,材料合同!$L$6:$CC$305,10,0)</f>
        <v>电汇</v>
      </c>
      <c r="V76" s="276" t="str">
        <f>VLOOKUP(L76,材料合同!$L$6:$CC$305,11,0)</f>
        <v>甲方收到核定验收合格报告及全额的发票后30日之内支付100%货款</v>
      </c>
      <c r="W76" s="102">
        <f>VLOOKUP(L76,材料合同!$L$6:$CC$305,12,0)</f>
        <v>56000</v>
      </c>
      <c r="X76" s="102">
        <f>VLOOKUP(L76,材料合同!$L$6:$CC$305,13,0)</f>
        <v>56000</v>
      </c>
      <c r="Y76" s="102">
        <f>VLOOKUP(L76,材料合同!$L$6:$CC$305,14,0)</f>
        <v>56000</v>
      </c>
      <c r="Z76" s="102">
        <f>VLOOKUP(L76,材料合同!$L$6:$CC$305,15,0)</f>
        <v>0</v>
      </c>
      <c r="AA76" s="102">
        <f>VLOOKUP(L76,材料合同!$L$6:$CC$305,16,0)</f>
        <v>0</v>
      </c>
      <c r="AB76" s="102">
        <f>VLOOKUP(L76,材料合同!$L$6:$CC$305,17,0)</f>
        <v>0</v>
      </c>
      <c r="AC76" s="102">
        <f>VLOOKUP(L76,材料合同!$L$6:$CC$305,18,0)</f>
        <v>0</v>
      </c>
      <c r="AD76" s="102">
        <f>VLOOKUP(L76,材料合同!$L$6:$CC$305,19,0)</f>
        <v>0</v>
      </c>
      <c r="AE76" s="102">
        <f>VLOOKUP(L76,材料合同!$L$6:$CC$305,20,0)</f>
        <v>0</v>
      </c>
      <c r="AF76" s="102">
        <f>VLOOKUP(L76,材料合同!$L$6:$CC$305,21,0)</f>
        <v>0</v>
      </c>
      <c r="AG76" s="102">
        <f>VLOOKUP(L76,材料合同!$L$6:$CC$305,22,0)</f>
        <v>0</v>
      </c>
      <c r="AH76" s="102">
        <f>VLOOKUP(L76,材料合同!$L$6:$CC$305,23,0)</f>
        <v>0</v>
      </c>
      <c r="AI76" s="102">
        <f>VLOOKUP(L76,材料合同!$L$6:$CC$305,24,0)</f>
        <v>0</v>
      </c>
      <c r="AJ76" s="102">
        <f>VLOOKUP(L76,材料合同!$L$6:$CC$305,25,0)</f>
        <v>0</v>
      </c>
      <c r="AK76" s="102">
        <f>VLOOKUP(L76,材料合同!$L$6:$CC$305,26,0)</f>
        <v>0</v>
      </c>
      <c r="AL76" s="102">
        <f>VLOOKUP(L76,材料合同!$L$6:$CC$305,27,0)</f>
        <v>0</v>
      </c>
      <c r="AM76" s="102">
        <f>VLOOKUP(L76,材料合同!$L$6:$CC$305,28,0)</f>
        <v>0</v>
      </c>
      <c r="AN76" s="102">
        <f>VLOOKUP(L76,材料合同!$L$6:$CC$305,29,0)</f>
        <v>0</v>
      </c>
      <c r="AO76" s="102">
        <f>VLOOKUP(L76,材料合同!$L$6:$CC$305,30,0)</f>
        <v>0</v>
      </c>
      <c r="AP76" s="102">
        <f>VLOOKUP(L76,材料合同!$L$6:$CC$305,31,0)</f>
        <v>0</v>
      </c>
      <c r="AQ76" s="102">
        <f>VLOOKUP(L76,材料合同!$L$6:$CC$305,32,0)</f>
        <v>0</v>
      </c>
      <c r="AR76" s="102">
        <f>VLOOKUP(L76,材料合同!$L$6:$CC$305,33,0)</f>
        <v>0</v>
      </c>
      <c r="AS76" s="102">
        <f>VLOOKUP(L76,材料合同!$L$6:$CC$305,34,0)</f>
        <v>0</v>
      </c>
      <c r="AT76" s="102">
        <f>VLOOKUP(L76,材料合同!$L$6:$CC$305,35,0)</f>
        <v>0</v>
      </c>
      <c r="AU76" s="102">
        <f>VLOOKUP(L76,材料合同!$L$6:$CC$305,36,0)</f>
        <v>0</v>
      </c>
      <c r="AV76" s="102">
        <f>VLOOKUP(L76,材料合同!$L$6:$CC$305,37,0)</f>
        <v>0</v>
      </c>
      <c r="AW76" s="102">
        <f>VLOOKUP(L76,材料合同!$L$6:$CC$305,38,0)</f>
        <v>0</v>
      </c>
      <c r="AX76" s="102">
        <f>VLOOKUP(L76,材料合同!$L$6:$CC$305,39,0)</f>
        <v>0</v>
      </c>
      <c r="AY76" s="102">
        <f>VLOOKUP(L76,材料合同!$L$6:$CC$305,40,0)</f>
        <v>0</v>
      </c>
      <c r="AZ76" s="102">
        <f>VLOOKUP(L76,材料合同!$L$6:$CC$305,41,0)</f>
        <v>0</v>
      </c>
      <c r="BA76" s="102">
        <f>VLOOKUP(L76,材料合同!$L$6:$CC$305,42,0)</f>
        <v>0</v>
      </c>
      <c r="BB76" s="102">
        <f>VLOOKUP(L76,材料合同!$L$6:$CC$305,43,0)</f>
        <v>0</v>
      </c>
      <c r="BC76" s="102">
        <f>VLOOKUP(L76,材料合同!$L$6:$CC$305,44,0)</f>
        <v>0</v>
      </c>
      <c r="BD76" s="102">
        <f>VLOOKUP(L76,材料合同!$L$6:$CC$305,45,0)</f>
        <v>0</v>
      </c>
      <c r="BE76" s="102">
        <f>VLOOKUP(L76,材料合同!$L$6:$CC$305,46,0)</f>
        <v>0</v>
      </c>
      <c r="BF76" s="102">
        <f>VLOOKUP(L76,材料合同!$L$6:$CC$305,47,0)</f>
        <v>0</v>
      </c>
      <c r="BG76" s="102">
        <f>VLOOKUP(L76,材料合同!$L$6:$CC$305,48,0)</f>
        <v>0</v>
      </c>
      <c r="BH76" s="102">
        <f>VLOOKUP(L76,材料合同!$L$6:$CC$305,49,0)</f>
        <v>0</v>
      </c>
      <c r="BI76" s="102">
        <f>VLOOKUP(L76,材料合同!$L$6:$CC$305,50,0)</f>
        <v>0</v>
      </c>
      <c r="BJ76" s="102">
        <f>VLOOKUP(L76,材料合同!$L$6:$CC$305,51,0)</f>
        <v>0</v>
      </c>
      <c r="BK76" s="102">
        <f>VLOOKUP(L76,材料合同!$L$6:$CC$305,52,0)</f>
        <v>0</v>
      </c>
      <c r="BL76" s="102">
        <f>VLOOKUP(L76,材料合同!$L$6:$CC$305,53,0)</f>
        <v>0</v>
      </c>
      <c r="BM76" s="102">
        <f>VLOOKUP(L76,材料合同!$L$6:$CC$305,54,0)</f>
        <v>0</v>
      </c>
      <c r="BN76" s="102">
        <f>VLOOKUP(L76,材料合同!$L$6:$CC$305,55,0)</f>
        <v>0</v>
      </c>
      <c r="BO76" s="102">
        <f>VLOOKUP(L76,材料合同!$L$6:$CC$305,56,0)</f>
        <v>0</v>
      </c>
      <c r="BP76" s="102">
        <f>VLOOKUP(L76,材料合同!$L$6:$CC$305,57,0)</f>
        <v>0</v>
      </c>
      <c r="BQ76" s="102">
        <f>VLOOKUP(L76,材料合同!$L$6:$CC$305,58,0)</f>
        <v>0</v>
      </c>
      <c r="BR76" s="102">
        <f>VLOOKUP(L76,材料合同!$L$6:$CC$305,59,0)</f>
        <v>0</v>
      </c>
      <c r="BS76" s="102">
        <f>VLOOKUP(L76,材料合同!$L$6:$CC$305,60,0)</f>
        <v>0</v>
      </c>
      <c r="BT76" s="102">
        <f>VLOOKUP(L76,材料合同!$L$6:$CC$305,61,0)</f>
        <v>0</v>
      </c>
      <c r="BU76" s="102">
        <f>VLOOKUP(L76,材料合同!$L$6:$CC$305,62,0)</f>
        <v>0</v>
      </c>
      <c r="BV76" s="102">
        <f>VLOOKUP(L76,材料合同!$L$6:$CC$305,63,0)</f>
        <v>0</v>
      </c>
      <c r="BW76" s="102">
        <f>VLOOKUP(L76,材料合同!$L$6:$CC$305,64,0)</f>
        <v>0</v>
      </c>
      <c r="BX76" s="102">
        <f>VLOOKUP(L76,材料合同!$L$6:$CC$305,65,0)</f>
        <v>0</v>
      </c>
      <c r="BY76" s="102">
        <f>VLOOKUP(L76,材料合同!$L$6:$CC$305,66,0)</f>
        <v>0</v>
      </c>
      <c r="BZ76" s="102">
        <f>VLOOKUP(L76,材料合同!$L$6:$CC$305,67,0)</f>
        <v>0</v>
      </c>
      <c r="CA76" s="102">
        <f>VLOOKUP(L76,材料合同!$L$6:$CC$305,68,0)</f>
        <v>0</v>
      </c>
      <c r="CB76" s="102">
        <f>VLOOKUP(L76,材料合同!$L$6:$CC$305,69,0)</f>
        <v>0</v>
      </c>
      <c r="CC76" s="102">
        <f>VLOOKUP(L76,材料合同!$L$6:$CC$305,70,0)</f>
        <v>0</v>
      </c>
      <c r="CD76" s="123">
        <f t="shared" ref="CD76:CD139" si="33">W76+AA76+AE76+AI76+AM76+AQ76+AU76+AY76+BC76+BG76+BK76+BO76+BS76+BW76+CA76</f>
        <v>56000</v>
      </c>
      <c r="CE76" s="102">
        <f t="shared" ref="CE76:CE139" si="34">X76+AB76+AF76+AJ76+AN76+AR76+AV76+AZ76+BD76+BH76+BL76+BP76+BT76+BX76+CB76</f>
        <v>56000</v>
      </c>
      <c r="CF76" s="102">
        <f t="shared" ref="CF76:CF139" si="35">Y76+AC76+AG76+AK76+AO76+AS76+AW76+BA76+BE76+BI76+BM76+BQ76+BU76+BY76+CC76</f>
        <v>56000</v>
      </c>
      <c r="CG76" s="102">
        <f t="shared" ref="CG76:CG139" si="36">E76+F76+G76+H76</f>
        <v>0</v>
      </c>
      <c r="CH76" s="124">
        <f t="shared" ref="CH76:CH139" si="37">Q76-CF76-CG76</f>
        <v>0</v>
      </c>
      <c r="CI76" s="125">
        <f t="shared" ref="CI76:CI139" si="38">IF(ISERROR((CF76+CG76)/Q76),"-",(CF76+CG76)/Q76)</f>
        <v>1</v>
      </c>
      <c r="CJ76" s="126" t="str">
        <f t="shared" ref="CJ76:CJ139" si="39">IF(Q76-CD76=0,"数据正确","数据错误")</f>
        <v>数据正确</v>
      </c>
    </row>
    <row r="77" s="60" customFormat="1" customHeight="1" spans="2:88">
      <c r="B77" s="70" t="str">
        <f t="shared" si="29"/>
        <v>-</v>
      </c>
      <c r="C77" s="71" t="str">
        <f t="shared" si="30"/>
        <v>-</v>
      </c>
      <c r="D77" s="181">
        <f t="shared" si="31"/>
        <v>0</v>
      </c>
      <c r="E77" s="181">
        <f>SUMIF(行政合同!$L$6:$L$300,L77,行政合同!$E$6:$E$300)</f>
        <v>0</v>
      </c>
      <c r="F77" s="181">
        <f>SUMIF(行政合同!$L$6:$L$300,L77,行政合同!$F$6:$F$300)</f>
        <v>0</v>
      </c>
      <c r="G77" s="181">
        <f>SUMIF(行政合同!$L$6:$L$300,L77,行政合同!$G$6:$G$300)</f>
        <v>0</v>
      </c>
      <c r="H77" s="181">
        <f>SUMIF(行政合同!$L$6:$L$300,L77,行政合同!$H$6:$H$300)</f>
        <v>0</v>
      </c>
      <c r="I77" s="181">
        <f t="shared" si="32"/>
        <v>0</v>
      </c>
      <c r="J77" s="86" t="s">
        <v>98</v>
      </c>
      <c r="K77" s="87"/>
      <c r="L77" s="88">
        <v>72</v>
      </c>
      <c r="M77" s="89" t="str">
        <f>VLOOKUP(L77,行政合同!$L$6:$CC$300,2,0)</f>
        <v>YRKJXZ-170021</v>
      </c>
      <c r="N77" s="90" t="str">
        <f>VLOOKUP(L77,行政合同!$L$6:$CC$300,3,0)</f>
        <v>行政合同</v>
      </c>
      <c r="O77" s="265">
        <f>VLOOKUP(L77,行政合同!$L$6:$CC$300,4,0)</f>
        <v>2017050001</v>
      </c>
      <c r="P77" s="266">
        <f>VLOOKUP(L77,行政合同!$L$6:$CC$300,5,0)</f>
        <v>42921</v>
      </c>
      <c r="Q77" s="275">
        <f>VLOOKUP(L77,行政合同!$L$6:$CC$300,6,0)</f>
        <v>271360</v>
      </c>
      <c r="R77" s="89" t="str">
        <f>VLOOKUP(L77,行政合同!$L$6:$CC$300,7,0)</f>
        <v>5#、6#宿舍楼256台电视机共256台*1060元/台</v>
      </c>
      <c r="S77" s="89" t="str">
        <f>VLOOKUP(L77,行政合同!$L$6:$CC$300,8,0)</f>
        <v>福建省广电网络集团股份有限公司</v>
      </c>
      <c r="T77" s="107">
        <f>VLOOKUP(L77,行政合同!$L$6:$CC$300,9,0)</f>
        <v>0</v>
      </c>
      <c r="U77" s="103" t="str">
        <f>VLOOKUP(L77,行政合同!$L$6:$CC$300,10,0)</f>
        <v>6个月承兑汇票</v>
      </c>
      <c r="V77" s="276" t="str">
        <f>VLOOKUP(L77,行政合同!$L$6:$CC$300,11,0)</f>
        <v>货到安装验收合格后收到全额发票后15个工作日支付90%货款。8000元履约保证金退还</v>
      </c>
      <c r="W77" s="102">
        <f>VLOOKUP(L77,行政合同!$L$6:$CC$300,12,0)</f>
        <v>244224</v>
      </c>
      <c r="X77" s="102">
        <f>VLOOKUP(L77,行政合同!$L$6:$CC$300,13,0)</f>
        <v>0</v>
      </c>
      <c r="Y77" s="102">
        <f>VLOOKUP(L77,行政合同!$L$6:$CC$300,14,0)</f>
        <v>0</v>
      </c>
      <c r="Z77" s="102" t="str">
        <f>VLOOKUP(L77,行政合同!$L$6:$CC$300,15,0)</f>
        <v>10%质量保证金，验收合格后12个月支付</v>
      </c>
      <c r="AA77" s="102">
        <f>VLOOKUP(L77,行政合同!$L$6:$CC$300,16,0)</f>
        <v>27136</v>
      </c>
      <c r="AB77" s="102">
        <f>VLOOKUP(L77,行政合同!$L$6:$CC$300,17,0)</f>
        <v>0</v>
      </c>
      <c r="AC77" s="102">
        <f>VLOOKUP(L77,行政合同!$L$6:$CC$300,18,0)</f>
        <v>0</v>
      </c>
      <c r="AD77" s="102">
        <f>VLOOKUP(L77,行政合同!$L$6:$CC$300,19,0)</f>
        <v>0</v>
      </c>
      <c r="AE77" s="102">
        <f>VLOOKUP(L77,行政合同!$L$6:$CC$300,20,0)</f>
        <v>0</v>
      </c>
      <c r="AF77" s="102">
        <f>VLOOKUP(L77,行政合同!$L$6:$CC$300,21,0)</f>
        <v>0</v>
      </c>
      <c r="AG77" s="102">
        <f>VLOOKUP(L77,行政合同!$L$6:$CC$300,22,0)</f>
        <v>0</v>
      </c>
      <c r="AH77" s="102">
        <f>VLOOKUP(L77,行政合同!$L$6:$CC$300,23,0)</f>
        <v>0</v>
      </c>
      <c r="AI77" s="102">
        <f>VLOOKUP(L77,行政合同!$L$6:$CC$300,24,0)</f>
        <v>0</v>
      </c>
      <c r="AJ77" s="102">
        <f>VLOOKUP(L77,行政合同!$L$6:$CC$300,25,0)</f>
        <v>0</v>
      </c>
      <c r="AK77" s="102">
        <f>VLOOKUP(L77,行政合同!$L$6:$CC$300,26,0)</f>
        <v>0</v>
      </c>
      <c r="AL77" s="102">
        <f>VLOOKUP(L77,行政合同!$L$6:$CC$300,27,0)</f>
        <v>0</v>
      </c>
      <c r="AM77" s="102">
        <f>VLOOKUP(L77,行政合同!$L$6:$CC$300,28,0)</f>
        <v>0</v>
      </c>
      <c r="AN77" s="102">
        <f>VLOOKUP(L77,行政合同!$L$6:$CC$300,29,0)</f>
        <v>0</v>
      </c>
      <c r="AO77" s="102">
        <f>VLOOKUP(L77,行政合同!$L$6:$CC$300,30,0)</f>
        <v>0</v>
      </c>
      <c r="AP77" s="102">
        <f>VLOOKUP(L77,行政合同!$L$6:$CC$300,31,0)</f>
        <v>0</v>
      </c>
      <c r="AQ77" s="102">
        <f>VLOOKUP(L77,行政合同!$L$6:$CC$300,32,0)</f>
        <v>0</v>
      </c>
      <c r="AR77" s="102">
        <f>VLOOKUP(L77,行政合同!$L$6:$CC$300,33,0)</f>
        <v>0</v>
      </c>
      <c r="AS77" s="102">
        <f>VLOOKUP(L77,行政合同!$L$6:$CC$300,34,0)</f>
        <v>0</v>
      </c>
      <c r="AT77" s="102">
        <f>VLOOKUP(L77,行政合同!$L$6:$CC$300,35,0)</f>
        <v>0</v>
      </c>
      <c r="AU77" s="102">
        <f>VLOOKUP(L77,行政合同!$L$6:$CC$300,36,0)</f>
        <v>0</v>
      </c>
      <c r="AV77" s="102">
        <f>VLOOKUP(L77,行政合同!$L$6:$CC$300,37,0)</f>
        <v>0</v>
      </c>
      <c r="AW77" s="102">
        <f>VLOOKUP(L77,行政合同!$L$6:$CC$300,38,0)</f>
        <v>0</v>
      </c>
      <c r="AX77" s="102">
        <f>VLOOKUP(L77,行政合同!$L$6:$CC$300,39,0)</f>
        <v>0</v>
      </c>
      <c r="AY77" s="102">
        <f>VLOOKUP(L77,行政合同!$L$6:$CC$300,40,0)</f>
        <v>0</v>
      </c>
      <c r="AZ77" s="102">
        <f>VLOOKUP(L77,行政合同!$L$6:$CC$300,41,0)</f>
        <v>0</v>
      </c>
      <c r="BA77" s="102">
        <f>VLOOKUP(L77,行政合同!$L$6:$CC$300,42,0)</f>
        <v>0</v>
      </c>
      <c r="BB77" s="102">
        <f>VLOOKUP(L77,行政合同!$L$6:$CC$300,43,0)</f>
        <v>0</v>
      </c>
      <c r="BC77" s="102">
        <f>VLOOKUP(L77,行政合同!$L$6:$CC$300,44,0)</f>
        <v>0</v>
      </c>
      <c r="BD77" s="102">
        <f>VLOOKUP(L77,行政合同!$L$6:$CC$300,45,0)</f>
        <v>0</v>
      </c>
      <c r="BE77" s="102">
        <f>VLOOKUP(L77,行政合同!$L$6:$CC$300,46,0)</f>
        <v>0</v>
      </c>
      <c r="BF77" s="102">
        <f>VLOOKUP(L77,行政合同!$L$6:$CC$300,47,0)</f>
        <v>0</v>
      </c>
      <c r="BG77" s="102">
        <f>VLOOKUP(L77,行政合同!$L$6:$CC$300,48,0)</f>
        <v>0</v>
      </c>
      <c r="BH77" s="102">
        <f>VLOOKUP(L77,行政合同!$L$6:$CC$300,49,0)</f>
        <v>0</v>
      </c>
      <c r="BI77" s="102">
        <f>VLOOKUP(L77,行政合同!$L$6:$CC$300,50,0)</f>
        <v>0</v>
      </c>
      <c r="BJ77" s="102">
        <f>VLOOKUP(L77,行政合同!$L$6:$CC$300,51,0)</f>
        <v>0</v>
      </c>
      <c r="BK77" s="102">
        <f>VLOOKUP(L77,行政合同!$L$6:$CC$300,52,0)</f>
        <v>0</v>
      </c>
      <c r="BL77" s="102">
        <f>VLOOKUP(L77,行政合同!$L$6:$CC$300,53,0)</f>
        <v>0</v>
      </c>
      <c r="BM77" s="102">
        <f>VLOOKUP(L77,行政合同!$L$6:$CC$300,54,0)</f>
        <v>0</v>
      </c>
      <c r="BN77" s="102">
        <f>VLOOKUP(L77,行政合同!$L$6:$CC$300,55,0)</f>
        <v>0</v>
      </c>
      <c r="BO77" s="102">
        <f>VLOOKUP(L77,行政合同!$L$6:$CC$300,56,0)</f>
        <v>0</v>
      </c>
      <c r="BP77" s="102">
        <f>VLOOKUP(L77,行政合同!$L$6:$CC$300,57,0)</f>
        <v>0</v>
      </c>
      <c r="BQ77" s="102">
        <f>VLOOKUP(L77,行政合同!$L$6:$CC$300,58,0)</f>
        <v>0</v>
      </c>
      <c r="BR77" s="102">
        <f>VLOOKUP(L77,行政合同!$L$6:$CC$300,59,0)</f>
        <v>0</v>
      </c>
      <c r="BS77" s="102">
        <f>VLOOKUP(L77,行政合同!$L$6:$CC$300,60,0)</f>
        <v>0</v>
      </c>
      <c r="BT77" s="102">
        <f>VLOOKUP(L77,行政合同!$L$6:$CC$300,61,0)</f>
        <v>0</v>
      </c>
      <c r="BU77" s="102">
        <f>VLOOKUP(L77,行政合同!$L$6:$CC$300,62,0)</f>
        <v>0</v>
      </c>
      <c r="BV77" s="102">
        <f>VLOOKUP(L77,行政合同!$L$6:$CC$300,63,0)</f>
        <v>0</v>
      </c>
      <c r="BW77" s="102">
        <f>VLOOKUP(L77,行政合同!$L$6:$CC$300,64,0)</f>
        <v>0</v>
      </c>
      <c r="BX77" s="102">
        <f>VLOOKUP(L77,行政合同!$L$6:$CC$300,65,0)</f>
        <v>0</v>
      </c>
      <c r="BY77" s="102">
        <f>VLOOKUP(L77,行政合同!$L$6:$CC$300,66,0)</f>
        <v>0</v>
      </c>
      <c r="BZ77" s="102">
        <f>VLOOKUP(L77,行政合同!$L$6:$CC$300,67,0)</f>
        <v>0</v>
      </c>
      <c r="CA77" s="102">
        <f>VLOOKUP(L77,行政合同!$L$6:$CC$300,68,0)</f>
        <v>0</v>
      </c>
      <c r="CB77" s="102">
        <f>VLOOKUP(L77,行政合同!$L$6:$CC$300,69,0)</f>
        <v>0</v>
      </c>
      <c r="CC77" s="102">
        <f>VLOOKUP(L77,行政合同!$L$6:$CC$300,70,0)</f>
        <v>0</v>
      </c>
      <c r="CD77" s="123">
        <f t="shared" si="33"/>
        <v>271360</v>
      </c>
      <c r="CE77" s="102">
        <f t="shared" si="34"/>
        <v>0</v>
      </c>
      <c r="CF77" s="102">
        <f t="shared" si="35"/>
        <v>0</v>
      </c>
      <c r="CG77" s="102">
        <f t="shared" si="36"/>
        <v>0</v>
      </c>
      <c r="CH77" s="124">
        <f t="shared" si="37"/>
        <v>271360</v>
      </c>
      <c r="CI77" s="125">
        <f t="shared" si="38"/>
        <v>0</v>
      </c>
      <c r="CJ77" s="126" t="str">
        <f t="shared" si="39"/>
        <v>数据正确</v>
      </c>
    </row>
    <row r="78" s="60" customFormat="1" customHeight="1" spans="2:88">
      <c r="B78" s="70" t="str">
        <f t="shared" si="29"/>
        <v>-</v>
      </c>
      <c r="C78" s="71" t="str">
        <f t="shared" si="30"/>
        <v>-</v>
      </c>
      <c r="D78" s="181">
        <f t="shared" si="31"/>
        <v>0</v>
      </c>
      <c r="E78" s="181">
        <f>SUMIF(设备合同!$L$6:$L$302,L78,设备合同!$E$6:$E$302)</f>
        <v>0</v>
      </c>
      <c r="F78" s="181">
        <f>SUMIF(设备合同!$L$6:$L$302,L78,设备合同!$F$6:$F$302)</f>
        <v>0</v>
      </c>
      <c r="G78" s="181">
        <f>SUMIF(设备合同!$L$6:$L$302,L78,设备合同!$G$6:$G$302)</f>
        <v>0</v>
      </c>
      <c r="H78" s="181">
        <f>SUMIF(设备合同!$L$6:$L$302,L78,设备合同!$H$6:$H$302)</f>
        <v>0</v>
      </c>
      <c r="I78" s="181">
        <f t="shared" si="32"/>
        <v>0</v>
      </c>
      <c r="J78" s="86" t="s">
        <v>98</v>
      </c>
      <c r="K78" s="87"/>
      <c r="L78" s="88">
        <v>73</v>
      </c>
      <c r="M78" s="89" t="str">
        <f>VLOOKUP(L78,设备合同!$L$6:$CC$302,2,0)</f>
        <v>YRKJEQ-170046</v>
      </c>
      <c r="N78" s="90" t="str">
        <f>VLOOKUP(L78,设备合同!$L$6:$CC$302,3,0)</f>
        <v>设备合同</v>
      </c>
      <c r="O78" s="265">
        <f>VLOOKUP(L78,设备合同!$L$6:$CC$302,4,0)</f>
        <v>2017060021</v>
      </c>
      <c r="P78" s="266">
        <f>VLOOKUP(L78,设备合同!$L$6:$CC$302,5,0)</f>
        <v>42927</v>
      </c>
      <c r="Q78" s="275">
        <f>VLOOKUP(L78,设备合同!$L$6:$CC$302,6,0)</f>
        <v>180000</v>
      </c>
      <c r="R78" s="89" t="str">
        <f>VLOOKUP(L78,设备合同!$L$6:$CC$302,7,0)</f>
        <v>板框式压滤机1台</v>
      </c>
      <c r="S78" s="89" t="str">
        <f>VLOOKUP(L78,设备合同!$L$6:$CC$302,8,0)</f>
        <v>浙江隆源环境科技有限公司</v>
      </c>
      <c r="T78" s="107" t="str">
        <f>VLOOKUP(L78,设备合同!$L$6:$CC$302,9,0)</f>
        <v>氨肟化装置18万元</v>
      </c>
      <c r="U78" s="103" t="str">
        <f>VLOOKUP(L78,设备合同!$L$6:$CC$302,10,0)</f>
        <v>电汇</v>
      </c>
      <c r="V78" s="276" t="str">
        <f>VLOOKUP(L78,设备合同!$L$6:$CC$302,11,0)</f>
        <v>到乙方工厂检验货物合格后，签发发货同意书，收到等额的17%专票后15个工作日支付60%发货款</v>
      </c>
      <c r="W78" s="102">
        <f>VLOOKUP(L78,设备合同!$L$6:$CC$302,12,0)</f>
        <v>108000</v>
      </c>
      <c r="X78" s="102">
        <f>VLOOKUP(L78,设备合同!$L$6:$CC$302,13,0)</f>
        <v>0</v>
      </c>
      <c r="Y78" s="102">
        <f>VLOOKUP(L78,设备合同!$L$6:$CC$302,14,0)</f>
        <v>0</v>
      </c>
      <c r="Z78" s="102" t="str">
        <f>VLOOKUP(L78,设备合同!$L$6:$CC$302,15,0)</f>
        <v>甲方核定的调试合格报告及足额的发票后支付30%的验收款</v>
      </c>
      <c r="AA78" s="102">
        <f>VLOOKUP(L78,设备合同!$L$6:$CC$302,16,0)</f>
        <v>54000</v>
      </c>
      <c r="AB78" s="102">
        <f>VLOOKUP(L78,设备合同!$L$6:$CC$302,17,0)</f>
        <v>0</v>
      </c>
      <c r="AC78" s="102">
        <f>VLOOKUP(L78,设备合同!$L$6:$CC$302,18,0)</f>
        <v>0</v>
      </c>
      <c r="AD78" s="102" t="str">
        <f>VLOOKUP(L78,设备合同!$L$6:$CC$302,19,0)</f>
        <v>10%作质量保证金，货物验收合格后12个月后的15个工作日支付</v>
      </c>
      <c r="AE78" s="102">
        <f>VLOOKUP(L78,设备合同!$L$6:$CC$302,20,0)</f>
        <v>18000</v>
      </c>
      <c r="AF78" s="102">
        <f>VLOOKUP(L78,设备合同!$L$6:$CC$302,21,0)</f>
        <v>0</v>
      </c>
      <c r="AG78" s="102">
        <f>VLOOKUP(L78,设备合同!$L$6:$CC$302,22,0)</f>
        <v>0</v>
      </c>
      <c r="AH78" s="102">
        <f>VLOOKUP(L78,设备合同!$L$6:$CC$302,23,0)</f>
        <v>0</v>
      </c>
      <c r="AI78" s="102">
        <f>VLOOKUP(L78,设备合同!$L$6:$CC$302,24,0)</f>
        <v>0</v>
      </c>
      <c r="AJ78" s="102">
        <f>VLOOKUP(L78,设备合同!$L$6:$CC$302,25,0)</f>
        <v>0</v>
      </c>
      <c r="AK78" s="102">
        <f>VLOOKUP(L78,设备合同!$L$6:$CC$302,26,0)</f>
        <v>0</v>
      </c>
      <c r="AL78" s="102">
        <f>VLOOKUP(L78,设备合同!$L$6:$CC$302,27,0)</f>
        <v>0</v>
      </c>
      <c r="AM78" s="102">
        <f>VLOOKUP(L78,设备合同!$L$6:$CC$302,28,0)</f>
        <v>0</v>
      </c>
      <c r="AN78" s="102">
        <f>VLOOKUP(L78,设备合同!$L$6:$CC$302,29,0)</f>
        <v>0</v>
      </c>
      <c r="AO78" s="102">
        <f>VLOOKUP(L78,设备合同!$L$6:$CC$302,30,0)</f>
        <v>0</v>
      </c>
      <c r="AP78" s="102">
        <f>VLOOKUP(L78,设备合同!$L$6:$CC$302,31,0)</f>
        <v>0</v>
      </c>
      <c r="AQ78" s="102">
        <f>VLOOKUP(L78,设备合同!$L$6:$CC$302,32,0)</f>
        <v>0</v>
      </c>
      <c r="AR78" s="102">
        <f>VLOOKUP(L78,设备合同!$L$6:$CC$302,33,0)</f>
        <v>0</v>
      </c>
      <c r="AS78" s="102">
        <f>VLOOKUP(L78,设备合同!$L$6:$CC$302,34,0)</f>
        <v>0</v>
      </c>
      <c r="AT78" s="102">
        <f>VLOOKUP(L78,设备合同!$L$6:$CC$302,35,0)</f>
        <v>0</v>
      </c>
      <c r="AU78" s="102">
        <f>VLOOKUP(L78,设备合同!$L$6:$CC$302,36,0)</f>
        <v>0</v>
      </c>
      <c r="AV78" s="102">
        <f>VLOOKUP(L78,设备合同!$L$6:$CC$302,37,0)</f>
        <v>0</v>
      </c>
      <c r="AW78" s="102">
        <f>VLOOKUP(L78,设备合同!$L$6:$CC$302,38,0)</f>
        <v>0</v>
      </c>
      <c r="AX78" s="102">
        <f>VLOOKUP(L78,设备合同!$L$6:$CC$302,39,0)</f>
        <v>0</v>
      </c>
      <c r="AY78" s="102">
        <f>VLOOKUP(L78,设备合同!$L$6:$CC$302,40,0)</f>
        <v>0</v>
      </c>
      <c r="AZ78" s="102">
        <f>VLOOKUP(L78,设备合同!$L$6:$CC$302,41,0)</f>
        <v>0</v>
      </c>
      <c r="BA78" s="102">
        <f>VLOOKUP(L78,设备合同!$L$6:$CC$302,42,0)</f>
        <v>0</v>
      </c>
      <c r="BB78" s="102">
        <f>VLOOKUP(L78,设备合同!$L$6:$CC$302,43,0)</f>
        <v>0</v>
      </c>
      <c r="BC78" s="102">
        <f>VLOOKUP(L78,设备合同!$L$6:$CC$302,44,0)</f>
        <v>0</v>
      </c>
      <c r="BD78" s="102">
        <f>VLOOKUP(L78,设备合同!$L$6:$CC$302,45,0)</f>
        <v>0</v>
      </c>
      <c r="BE78" s="102">
        <f>VLOOKUP(L78,设备合同!$L$6:$CC$302,46,0)</f>
        <v>0</v>
      </c>
      <c r="BF78" s="102">
        <f>VLOOKUP(L78,设备合同!$L$6:$CC$302,47,0)</f>
        <v>0</v>
      </c>
      <c r="BG78" s="102">
        <f>VLOOKUP(L78,设备合同!$L$6:$CC$302,48,0)</f>
        <v>0</v>
      </c>
      <c r="BH78" s="102">
        <f>VLOOKUP(L78,设备合同!$L$6:$CC$302,49,0)</f>
        <v>0</v>
      </c>
      <c r="BI78" s="102">
        <f>VLOOKUP(L78,设备合同!$L$6:$CC$302,50,0)</f>
        <v>0</v>
      </c>
      <c r="BJ78" s="102">
        <f>VLOOKUP(L78,设备合同!$L$6:$CC$302,51,0)</f>
        <v>0</v>
      </c>
      <c r="BK78" s="102">
        <f>VLOOKUP(L78,设备合同!$L$6:$CC$302,52,0)</f>
        <v>0</v>
      </c>
      <c r="BL78" s="102">
        <f>VLOOKUP(L78,设备合同!$L$6:$CC$302,53,0)</f>
        <v>0</v>
      </c>
      <c r="BM78" s="102">
        <f>VLOOKUP(L78,设备合同!$L$6:$CC$302,54,0)</f>
        <v>0</v>
      </c>
      <c r="BN78" s="102">
        <f>VLOOKUP(L78,设备合同!$L$6:$CC$302,55,0)</f>
        <v>0</v>
      </c>
      <c r="BO78" s="102">
        <f>VLOOKUP(L78,设备合同!$L$6:$CC$302,56,0)</f>
        <v>0</v>
      </c>
      <c r="BP78" s="102">
        <f>VLOOKUP(L78,设备合同!$L$6:$CC$302,57,0)</f>
        <v>0</v>
      </c>
      <c r="BQ78" s="102">
        <f>VLOOKUP(L78,设备合同!$L$6:$CC$302,58,0)</f>
        <v>0</v>
      </c>
      <c r="BR78" s="102">
        <f>VLOOKUP(L78,设备合同!$L$6:$CC$302,59,0)</f>
        <v>0</v>
      </c>
      <c r="BS78" s="102">
        <f>VLOOKUP(L78,设备合同!$L$6:$CC$302,60,0)</f>
        <v>0</v>
      </c>
      <c r="BT78" s="102">
        <f>VLOOKUP(L78,设备合同!$L$6:$CC$302,61,0)</f>
        <v>0</v>
      </c>
      <c r="BU78" s="102">
        <f>VLOOKUP(L78,设备合同!$L$6:$CC$302,62,0)</f>
        <v>0</v>
      </c>
      <c r="BV78" s="102">
        <f>VLOOKUP(L78,设备合同!$L$6:$CC$302,63,0)</f>
        <v>0</v>
      </c>
      <c r="BW78" s="102">
        <f>VLOOKUP(L78,设备合同!$L$6:$CC$302,64,0)</f>
        <v>0</v>
      </c>
      <c r="BX78" s="102">
        <f>VLOOKUP(L78,设备合同!$L$6:$CC$302,65,0)</f>
        <v>0</v>
      </c>
      <c r="BY78" s="102">
        <f>VLOOKUP(L78,设备合同!$L$6:$CC$302,66,0)</f>
        <v>0</v>
      </c>
      <c r="BZ78" s="102">
        <f>VLOOKUP(L78,设备合同!$L$6:$CC$302,67,0)</f>
        <v>0</v>
      </c>
      <c r="CA78" s="102">
        <f>VLOOKUP(L78,设备合同!$L$6:$CC$302,68,0)</f>
        <v>0</v>
      </c>
      <c r="CB78" s="102">
        <f>VLOOKUP(L78,设备合同!$L$6:$CC$302,69,0)</f>
        <v>0</v>
      </c>
      <c r="CC78" s="102">
        <f>VLOOKUP(L78,设备合同!$L$6:$CC$302,70,0)</f>
        <v>0</v>
      </c>
      <c r="CD78" s="123">
        <f t="shared" si="33"/>
        <v>180000</v>
      </c>
      <c r="CE78" s="102">
        <f t="shared" si="34"/>
        <v>0</v>
      </c>
      <c r="CF78" s="102">
        <f t="shared" si="35"/>
        <v>0</v>
      </c>
      <c r="CG78" s="102">
        <f t="shared" si="36"/>
        <v>0</v>
      </c>
      <c r="CH78" s="124">
        <f t="shared" si="37"/>
        <v>180000</v>
      </c>
      <c r="CI78" s="125">
        <f t="shared" si="38"/>
        <v>0</v>
      </c>
      <c r="CJ78" s="126" t="str">
        <f t="shared" si="39"/>
        <v>数据正确</v>
      </c>
    </row>
    <row r="79" s="60" customFormat="1" customHeight="1" spans="2:88">
      <c r="B79" s="70" t="str">
        <f t="shared" si="29"/>
        <v>-</v>
      </c>
      <c r="C79" s="71" t="str">
        <f t="shared" si="30"/>
        <v>-</v>
      </c>
      <c r="D79" s="181">
        <f t="shared" si="31"/>
        <v>400000</v>
      </c>
      <c r="E79" s="181">
        <f>SUMIF(行政合同!$L$6:$L$300,L79,行政合同!$E$6:$E$300)</f>
        <v>0</v>
      </c>
      <c r="F79" s="181">
        <f>SUMIF(行政合同!$L$6:$L$300,L79,行政合同!$F$6:$F$300)</f>
        <v>0</v>
      </c>
      <c r="G79" s="181">
        <f>SUMIF(行政合同!$L$6:$L$300,L79,行政合同!$G$6:$G$300)</f>
        <v>0</v>
      </c>
      <c r="H79" s="181">
        <f>SUMIF(行政合同!$L$6:$L$300,L79,行政合同!$H$6:$H$300)</f>
        <v>0</v>
      </c>
      <c r="I79" s="181">
        <f t="shared" si="32"/>
        <v>0</v>
      </c>
      <c r="J79" s="86" t="s">
        <v>98</v>
      </c>
      <c r="K79" s="87"/>
      <c r="L79" s="88">
        <v>74</v>
      </c>
      <c r="M79" s="89" t="str">
        <f>VLOOKUP(L79,行政合同!$L$6:$CC$300,2,0)</f>
        <v>YRKJGC-170028</v>
      </c>
      <c r="N79" s="90" t="str">
        <f>VLOOKUP(L79,行政合同!$L$6:$CC$300,3,0)</f>
        <v>行政合同</v>
      </c>
      <c r="O79" s="265">
        <f>VLOOKUP(L79,行政合同!$L$6:$CC$300,4,0)</f>
        <v>2017050051</v>
      </c>
      <c r="P79" s="266">
        <f>VLOOKUP(L79,行政合同!$L$6:$CC$300,5,0)</f>
        <v>42905</v>
      </c>
      <c r="Q79" s="275">
        <f>VLOOKUP(L79,行政合同!$L$6:$CC$300,6,0)</f>
        <v>768068.21</v>
      </c>
      <c r="R79" s="89" t="str">
        <f>VLOOKUP(L79,行政合同!$L$6:$CC$300,7,0)</f>
        <v>工程一切险及第三者责任险（17.6.20-18.10.31）</v>
      </c>
      <c r="S79" s="89" t="str">
        <f>VLOOKUP(L79,行政合同!$L$6:$CC$300,8,0)</f>
        <v>中华联合财产保险股份有限公司</v>
      </c>
      <c r="T79" s="107">
        <f>VLOOKUP(L79,行政合同!$L$6:$CC$300,9,0)</f>
        <v>0</v>
      </c>
      <c r="U79" s="103" t="str">
        <f>VLOOKUP(L79,行政合同!$L$6:$CC$300,10,0)</f>
        <v>电汇</v>
      </c>
      <c r="V79" s="276" t="str">
        <f>VLOOKUP(L79,行政合同!$L$6:$CC$300,11,0)</f>
        <v>6.25日之前付清</v>
      </c>
      <c r="W79" s="102">
        <f>VLOOKUP(L79,行政合同!$L$6:$CC$300,12,0)</f>
        <v>400000</v>
      </c>
      <c r="X79" s="102">
        <f>VLOOKUP(L79,行政合同!$L$6:$CC$300,13,0)</f>
        <v>400000</v>
      </c>
      <c r="Y79" s="102">
        <f>VLOOKUP(L79,行政合同!$L$6:$CC$300,14,0)</f>
        <v>400000</v>
      </c>
      <c r="Z79" s="102" t="str">
        <f>VLOOKUP(L79,行政合同!$L$6:$CC$300,15,0)</f>
        <v>2017.12.31之前付清</v>
      </c>
      <c r="AA79" s="102">
        <f>VLOOKUP(L79,行政合同!$L$6:$CC$300,16,0)</f>
        <v>368068.21</v>
      </c>
      <c r="AB79" s="102">
        <f>VLOOKUP(L79,行政合同!$L$6:$CC$300,17,0)</f>
        <v>0</v>
      </c>
      <c r="AC79" s="102">
        <f>VLOOKUP(L79,行政合同!$L$6:$CC$300,18,0)</f>
        <v>0</v>
      </c>
      <c r="AD79" s="102">
        <f>VLOOKUP(L79,行政合同!$L$6:$CC$300,19,0)</f>
        <v>0</v>
      </c>
      <c r="AE79" s="102">
        <f>VLOOKUP(L79,行政合同!$L$6:$CC$300,20,0)</f>
        <v>0</v>
      </c>
      <c r="AF79" s="102">
        <f>VLOOKUP(L79,行政合同!$L$6:$CC$300,21,0)</f>
        <v>0</v>
      </c>
      <c r="AG79" s="102">
        <f>VLOOKUP(L79,行政合同!$L$6:$CC$300,22,0)</f>
        <v>0</v>
      </c>
      <c r="AH79" s="102">
        <f>VLOOKUP(L79,行政合同!$L$6:$CC$300,23,0)</f>
        <v>0</v>
      </c>
      <c r="AI79" s="102">
        <f>VLOOKUP(L79,行政合同!$L$6:$CC$300,24,0)</f>
        <v>0</v>
      </c>
      <c r="AJ79" s="102">
        <f>VLOOKUP(L79,行政合同!$L$6:$CC$300,25,0)</f>
        <v>0</v>
      </c>
      <c r="AK79" s="102">
        <f>VLOOKUP(L79,行政合同!$L$6:$CC$300,26,0)</f>
        <v>0</v>
      </c>
      <c r="AL79" s="102">
        <f>VLOOKUP(L79,行政合同!$L$6:$CC$300,27,0)</f>
        <v>0</v>
      </c>
      <c r="AM79" s="102">
        <f>VLOOKUP(L79,行政合同!$L$6:$CC$300,28,0)</f>
        <v>0</v>
      </c>
      <c r="AN79" s="102">
        <f>VLOOKUP(L79,行政合同!$L$6:$CC$300,29,0)</f>
        <v>0</v>
      </c>
      <c r="AO79" s="102">
        <f>VLOOKUP(L79,行政合同!$L$6:$CC$300,30,0)</f>
        <v>0</v>
      </c>
      <c r="AP79" s="102">
        <f>VLOOKUP(L79,行政合同!$L$6:$CC$300,31,0)</f>
        <v>0</v>
      </c>
      <c r="AQ79" s="102">
        <f>VLOOKUP(L79,行政合同!$L$6:$CC$300,32,0)</f>
        <v>0</v>
      </c>
      <c r="AR79" s="102">
        <f>VLOOKUP(L79,行政合同!$L$6:$CC$300,33,0)</f>
        <v>0</v>
      </c>
      <c r="AS79" s="102">
        <f>VLOOKUP(L79,行政合同!$L$6:$CC$300,34,0)</f>
        <v>0</v>
      </c>
      <c r="AT79" s="102">
        <f>VLOOKUP(L79,行政合同!$L$6:$CC$300,35,0)</f>
        <v>0</v>
      </c>
      <c r="AU79" s="102">
        <f>VLOOKUP(L79,行政合同!$L$6:$CC$300,36,0)</f>
        <v>0</v>
      </c>
      <c r="AV79" s="102">
        <f>VLOOKUP(L79,行政合同!$L$6:$CC$300,37,0)</f>
        <v>0</v>
      </c>
      <c r="AW79" s="102">
        <f>VLOOKUP(L79,行政合同!$L$6:$CC$300,38,0)</f>
        <v>0</v>
      </c>
      <c r="AX79" s="102">
        <f>VLOOKUP(L79,行政合同!$L$6:$CC$300,39,0)</f>
        <v>0</v>
      </c>
      <c r="AY79" s="102">
        <f>VLOOKUP(L79,行政合同!$L$6:$CC$300,40,0)</f>
        <v>0</v>
      </c>
      <c r="AZ79" s="102">
        <f>VLOOKUP(L79,行政合同!$L$6:$CC$300,41,0)</f>
        <v>0</v>
      </c>
      <c r="BA79" s="102">
        <f>VLOOKUP(L79,行政合同!$L$6:$CC$300,42,0)</f>
        <v>0</v>
      </c>
      <c r="BB79" s="102">
        <f>VLOOKUP(L79,行政合同!$L$6:$CC$300,43,0)</f>
        <v>0</v>
      </c>
      <c r="BC79" s="102">
        <f>VLOOKUP(L79,行政合同!$L$6:$CC$300,44,0)</f>
        <v>0</v>
      </c>
      <c r="BD79" s="102">
        <f>VLOOKUP(L79,行政合同!$L$6:$CC$300,45,0)</f>
        <v>0</v>
      </c>
      <c r="BE79" s="102">
        <f>VLOOKUP(L79,行政合同!$L$6:$CC$300,46,0)</f>
        <v>0</v>
      </c>
      <c r="BF79" s="102">
        <f>VLOOKUP(L79,行政合同!$L$6:$CC$300,47,0)</f>
        <v>0</v>
      </c>
      <c r="BG79" s="102">
        <f>VLOOKUP(L79,行政合同!$L$6:$CC$300,48,0)</f>
        <v>0</v>
      </c>
      <c r="BH79" s="102">
        <f>VLOOKUP(L79,行政合同!$L$6:$CC$300,49,0)</f>
        <v>0</v>
      </c>
      <c r="BI79" s="102">
        <f>VLOOKUP(L79,行政合同!$L$6:$CC$300,50,0)</f>
        <v>0</v>
      </c>
      <c r="BJ79" s="102">
        <f>VLOOKUP(L79,行政合同!$L$6:$CC$300,51,0)</f>
        <v>0</v>
      </c>
      <c r="BK79" s="102">
        <f>VLOOKUP(L79,行政合同!$L$6:$CC$300,52,0)</f>
        <v>0</v>
      </c>
      <c r="BL79" s="102">
        <f>VLOOKUP(L79,行政合同!$L$6:$CC$300,53,0)</f>
        <v>0</v>
      </c>
      <c r="BM79" s="102">
        <f>VLOOKUP(L79,行政合同!$L$6:$CC$300,54,0)</f>
        <v>0</v>
      </c>
      <c r="BN79" s="102">
        <f>VLOOKUP(L79,行政合同!$L$6:$CC$300,55,0)</f>
        <v>0</v>
      </c>
      <c r="BO79" s="102">
        <f>VLOOKUP(L79,行政合同!$L$6:$CC$300,56,0)</f>
        <v>0</v>
      </c>
      <c r="BP79" s="102">
        <f>VLOOKUP(L79,行政合同!$L$6:$CC$300,57,0)</f>
        <v>0</v>
      </c>
      <c r="BQ79" s="102">
        <f>VLOOKUP(L79,行政合同!$L$6:$CC$300,58,0)</f>
        <v>0</v>
      </c>
      <c r="BR79" s="102">
        <f>VLOOKUP(L79,行政合同!$L$6:$CC$300,59,0)</f>
        <v>0</v>
      </c>
      <c r="BS79" s="102">
        <f>VLOOKUP(L79,行政合同!$L$6:$CC$300,60,0)</f>
        <v>0</v>
      </c>
      <c r="BT79" s="102">
        <f>VLOOKUP(L79,行政合同!$L$6:$CC$300,61,0)</f>
        <v>0</v>
      </c>
      <c r="BU79" s="102">
        <f>VLOOKUP(L79,行政合同!$L$6:$CC$300,62,0)</f>
        <v>0</v>
      </c>
      <c r="BV79" s="102">
        <f>VLOOKUP(L79,行政合同!$L$6:$CC$300,63,0)</f>
        <v>0</v>
      </c>
      <c r="BW79" s="102">
        <f>VLOOKUP(L79,行政合同!$L$6:$CC$300,64,0)</f>
        <v>0</v>
      </c>
      <c r="BX79" s="102">
        <f>VLOOKUP(L79,行政合同!$L$6:$CC$300,65,0)</f>
        <v>0</v>
      </c>
      <c r="BY79" s="102">
        <f>VLOOKUP(L79,行政合同!$L$6:$CC$300,66,0)</f>
        <v>0</v>
      </c>
      <c r="BZ79" s="102">
        <f>VLOOKUP(L79,行政合同!$L$6:$CC$300,67,0)</f>
        <v>0</v>
      </c>
      <c r="CA79" s="102">
        <f>VLOOKUP(L79,行政合同!$L$6:$CC$300,68,0)</f>
        <v>0</v>
      </c>
      <c r="CB79" s="102">
        <f>VLOOKUP(L79,行政合同!$L$6:$CC$300,69,0)</f>
        <v>0</v>
      </c>
      <c r="CC79" s="102">
        <f>VLOOKUP(L79,行政合同!$L$6:$CC$300,70,0)</f>
        <v>0</v>
      </c>
      <c r="CD79" s="123">
        <f t="shared" si="33"/>
        <v>768068.21</v>
      </c>
      <c r="CE79" s="102">
        <f t="shared" si="34"/>
        <v>400000</v>
      </c>
      <c r="CF79" s="102">
        <f t="shared" si="35"/>
        <v>400000</v>
      </c>
      <c r="CG79" s="102">
        <f t="shared" si="36"/>
        <v>0</v>
      </c>
      <c r="CH79" s="124">
        <f t="shared" si="37"/>
        <v>368068.21</v>
      </c>
      <c r="CI79" s="125">
        <f t="shared" si="38"/>
        <v>0.520787079574612</v>
      </c>
      <c r="CJ79" s="126" t="str">
        <f t="shared" si="39"/>
        <v>数据正确</v>
      </c>
    </row>
    <row r="80" s="60" customFormat="1" customHeight="1" spans="2:88">
      <c r="B80" s="70" t="str">
        <f t="shared" si="29"/>
        <v>-</v>
      </c>
      <c r="C80" s="71" t="str">
        <f t="shared" si="30"/>
        <v>-</v>
      </c>
      <c r="D80" s="181">
        <f t="shared" si="31"/>
        <v>0</v>
      </c>
      <c r="E80" s="181">
        <f>SUMIF(设备合同!$L$6:$L$302,L80,设备合同!$E$6:$E$302)</f>
        <v>0</v>
      </c>
      <c r="F80" s="181">
        <f>SUMIF(设备合同!$L$6:$L$302,L80,设备合同!$F$6:$F$302)</f>
        <v>0</v>
      </c>
      <c r="G80" s="181">
        <f>SUMIF(设备合同!$L$6:$L$302,L80,设备合同!$G$6:$G$302)</f>
        <v>0</v>
      </c>
      <c r="H80" s="181">
        <f>SUMIF(设备合同!$L$6:$L$302,L80,设备合同!$H$6:$H$302)</f>
        <v>0</v>
      </c>
      <c r="I80" s="181">
        <f t="shared" si="32"/>
        <v>0</v>
      </c>
      <c r="J80" s="86" t="s">
        <v>98</v>
      </c>
      <c r="K80" s="87"/>
      <c r="L80" s="88">
        <v>75</v>
      </c>
      <c r="M80" s="89" t="str">
        <f>VLOOKUP(L80,设备合同!$L$6:$CC$302,2,0)</f>
        <v>YRKJEQ-170038</v>
      </c>
      <c r="N80" s="90" t="str">
        <f>VLOOKUP(L80,设备合同!$L$6:$CC$302,3,0)</f>
        <v>设备合同</v>
      </c>
      <c r="O80" s="265">
        <f>VLOOKUP(L80,设备合同!$L$6:$CC$302,4,0)</f>
        <v>2017060029</v>
      </c>
      <c r="P80" s="266">
        <f>VLOOKUP(L80,设备合同!$L$6:$CC$302,5,0)</f>
        <v>42908</v>
      </c>
      <c r="Q80" s="275">
        <f>VLOOKUP(L80,设备合同!$L$6:$CC$302,6,0)</f>
        <v>7900</v>
      </c>
      <c r="R80" s="89" t="str">
        <f>VLOOKUP(L80,设备合同!$L$6:$CC$302,7,0)</f>
        <v>4台气动隔膜泵</v>
      </c>
      <c r="S80" s="89" t="str">
        <f>VLOOKUP(L80,设备合同!$L$6:$CC$302,8,0)</f>
        <v>上海边锋泵业制造有限公司</v>
      </c>
      <c r="T80" s="107" t="str">
        <f>VLOOKUP(L80,设备合同!$L$6:$CC$302,9,0)</f>
        <v>氨肟化装置2360元，环己酮装置2388元，己内酰胺装置3249元</v>
      </c>
      <c r="U80" s="103" t="str">
        <f>VLOOKUP(L80,设备合同!$L$6:$CC$302,10,0)</f>
        <v>电汇</v>
      </c>
      <c r="V80" s="276" t="str">
        <f>VLOOKUP(L80,设备合同!$L$6:$CC$302,11,0)</f>
        <v>乙方收到甲方全部货款后7天内将货物发出甲方附近物流点，7天后寄出17%增值税发票</v>
      </c>
      <c r="W80" s="102">
        <f>VLOOKUP(L80,设备合同!$L$6:$CC$302,12,0)</f>
        <v>7900</v>
      </c>
      <c r="X80" s="102">
        <f>VLOOKUP(L80,设备合同!$L$6:$CC$302,13,0)</f>
        <v>0</v>
      </c>
      <c r="Y80" s="102">
        <f>VLOOKUP(L80,设备合同!$L$6:$CC$302,14,0)</f>
        <v>0</v>
      </c>
      <c r="Z80" s="102">
        <f>VLOOKUP(L80,设备合同!$L$6:$CC$302,15,0)</f>
        <v>0</v>
      </c>
      <c r="AA80" s="102">
        <f>VLOOKUP(L80,设备合同!$L$6:$CC$302,16,0)</f>
        <v>0</v>
      </c>
      <c r="AB80" s="102">
        <f>VLOOKUP(L80,设备合同!$L$6:$CC$302,17,0)</f>
        <v>0</v>
      </c>
      <c r="AC80" s="102">
        <f>VLOOKUP(L80,设备合同!$L$6:$CC$302,18,0)</f>
        <v>0</v>
      </c>
      <c r="AD80" s="102">
        <f>VLOOKUP(L80,设备合同!$L$6:$CC$302,19,0)</f>
        <v>0</v>
      </c>
      <c r="AE80" s="102">
        <f>VLOOKUP(L80,设备合同!$L$6:$CC$302,20,0)</f>
        <v>0</v>
      </c>
      <c r="AF80" s="102">
        <f>VLOOKUP(L80,设备合同!$L$6:$CC$302,21,0)</f>
        <v>0</v>
      </c>
      <c r="AG80" s="102">
        <f>VLOOKUP(L80,设备合同!$L$6:$CC$302,22,0)</f>
        <v>0</v>
      </c>
      <c r="AH80" s="102">
        <f>VLOOKUP(L80,设备合同!$L$6:$CC$302,23,0)</f>
        <v>0</v>
      </c>
      <c r="AI80" s="102">
        <f>VLOOKUP(L80,设备合同!$L$6:$CC$302,24,0)</f>
        <v>0</v>
      </c>
      <c r="AJ80" s="102">
        <f>VLOOKUP(L80,设备合同!$L$6:$CC$302,25,0)</f>
        <v>0</v>
      </c>
      <c r="AK80" s="102">
        <f>VLOOKUP(L80,设备合同!$L$6:$CC$302,26,0)</f>
        <v>0</v>
      </c>
      <c r="AL80" s="102">
        <f>VLOOKUP(L80,设备合同!$L$6:$CC$302,27,0)</f>
        <v>0</v>
      </c>
      <c r="AM80" s="102">
        <f>VLOOKUP(L80,设备合同!$L$6:$CC$302,28,0)</f>
        <v>0</v>
      </c>
      <c r="AN80" s="102">
        <f>VLOOKUP(L80,设备合同!$L$6:$CC$302,29,0)</f>
        <v>0</v>
      </c>
      <c r="AO80" s="102">
        <f>VLOOKUP(L80,设备合同!$L$6:$CC$302,30,0)</f>
        <v>0</v>
      </c>
      <c r="AP80" s="102">
        <f>VLOOKUP(L80,设备合同!$L$6:$CC$302,31,0)</f>
        <v>0</v>
      </c>
      <c r="AQ80" s="102">
        <f>VLOOKUP(L80,设备合同!$L$6:$CC$302,32,0)</f>
        <v>0</v>
      </c>
      <c r="AR80" s="102">
        <f>VLOOKUP(L80,设备合同!$L$6:$CC$302,33,0)</f>
        <v>0</v>
      </c>
      <c r="AS80" s="102">
        <f>VLOOKUP(L80,设备合同!$L$6:$CC$302,34,0)</f>
        <v>0</v>
      </c>
      <c r="AT80" s="102">
        <f>VLOOKUP(L80,设备合同!$L$6:$CC$302,35,0)</f>
        <v>0</v>
      </c>
      <c r="AU80" s="102">
        <f>VLOOKUP(L80,设备合同!$L$6:$CC$302,36,0)</f>
        <v>0</v>
      </c>
      <c r="AV80" s="102">
        <f>VLOOKUP(L80,设备合同!$L$6:$CC$302,37,0)</f>
        <v>0</v>
      </c>
      <c r="AW80" s="102">
        <f>VLOOKUP(L80,设备合同!$L$6:$CC$302,38,0)</f>
        <v>0</v>
      </c>
      <c r="AX80" s="102">
        <f>VLOOKUP(L80,设备合同!$L$6:$CC$302,39,0)</f>
        <v>0</v>
      </c>
      <c r="AY80" s="102">
        <f>VLOOKUP(L80,设备合同!$L$6:$CC$302,40,0)</f>
        <v>0</v>
      </c>
      <c r="AZ80" s="102">
        <f>VLOOKUP(L80,设备合同!$L$6:$CC$302,41,0)</f>
        <v>0</v>
      </c>
      <c r="BA80" s="102">
        <f>VLOOKUP(L80,设备合同!$L$6:$CC$302,42,0)</f>
        <v>0</v>
      </c>
      <c r="BB80" s="102">
        <f>VLOOKUP(L80,设备合同!$L$6:$CC$302,43,0)</f>
        <v>0</v>
      </c>
      <c r="BC80" s="102">
        <f>VLOOKUP(L80,设备合同!$L$6:$CC$302,44,0)</f>
        <v>0</v>
      </c>
      <c r="BD80" s="102">
        <f>VLOOKUP(L80,设备合同!$L$6:$CC$302,45,0)</f>
        <v>0</v>
      </c>
      <c r="BE80" s="102">
        <f>VLOOKUP(L80,设备合同!$L$6:$CC$302,46,0)</f>
        <v>0</v>
      </c>
      <c r="BF80" s="102">
        <f>VLOOKUP(L80,设备合同!$L$6:$CC$302,47,0)</f>
        <v>0</v>
      </c>
      <c r="BG80" s="102">
        <f>VLOOKUP(L80,设备合同!$L$6:$CC$302,48,0)</f>
        <v>0</v>
      </c>
      <c r="BH80" s="102">
        <f>VLOOKUP(L80,设备合同!$L$6:$CC$302,49,0)</f>
        <v>0</v>
      </c>
      <c r="BI80" s="102">
        <f>VLOOKUP(L80,设备合同!$L$6:$CC$302,50,0)</f>
        <v>0</v>
      </c>
      <c r="BJ80" s="102">
        <f>VLOOKUP(L80,设备合同!$L$6:$CC$302,51,0)</f>
        <v>0</v>
      </c>
      <c r="BK80" s="102">
        <f>VLOOKUP(L80,设备合同!$L$6:$CC$302,52,0)</f>
        <v>0</v>
      </c>
      <c r="BL80" s="102">
        <f>VLOOKUP(L80,设备合同!$L$6:$CC$302,53,0)</f>
        <v>0</v>
      </c>
      <c r="BM80" s="102">
        <f>VLOOKUP(L80,设备合同!$L$6:$CC$302,54,0)</f>
        <v>0</v>
      </c>
      <c r="BN80" s="102">
        <f>VLOOKUP(L80,设备合同!$L$6:$CC$302,55,0)</f>
        <v>0</v>
      </c>
      <c r="BO80" s="102">
        <f>VLOOKUP(L80,设备合同!$L$6:$CC$302,56,0)</f>
        <v>0</v>
      </c>
      <c r="BP80" s="102">
        <f>VLOOKUP(L80,设备合同!$L$6:$CC$302,57,0)</f>
        <v>0</v>
      </c>
      <c r="BQ80" s="102">
        <f>VLOOKUP(L80,设备合同!$L$6:$CC$302,58,0)</f>
        <v>0</v>
      </c>
      <c r="BR80" s="102">
        <f>VLOOKUP(L80,设备合同!$L$6:$CC$302,59,0)</f>
        <v>0</v>
      </c>
      <c r="BS80" s="102">
        <f>VLOOKUP(L80,设备合同!$L$6:$CC$302,60,0)</f>
        <v>0</v>
      </c>
      <c r="BT80" s="102">
        <f>VLOOKUP(L80,设备合同!$L$6:$CC$302,61,0)</f>
        <v>0</v>
      </c>
      <c r="BU80" s="102">
        <f>VLOOKUP(L80,设备合同!$L$6:$CC$302,62,0)</f>
        <v>0</v>
      </c>
      <c r="BV80" s="102">
        <f>VLOOKUP(L80,设备合同!$L$6:$CC$302,63,0)</f>
        <v>0</v>
      </c>
      <c r="BW80" s="102">
        <f>VLOOKUP(L80,设备合同!$L$6:$CC$302,64,0)</f>
        <v>0</v>
      </c>
      <c r="BX80" s="102">
        <f>VLOOKUP(L80,设备合同!$L$6:$CC$302,65,0)</f>
        <v>0</v>
      </c>
      <c r="BY80" s="102">
        <f>VLOOKUP(L80,设备合同!$L$6:$CC$302,66,0)</f>
        <v>0</v>
      </c>
      <c r="BZ80" s="102">
        <f>VLOOKUP(L80,设备合同!$L$6:$CC$302,67,0)</f>
        <v>0</v>
      </c>
      <c r="CA80" s="102">
        <f>VLOOKUP(L80,设备合同!$L$6:$CC$302,68,0)</f>
        <v>0</v>
      </c>
      <c r="CB80" s="102">
        <f>VLOOKUP(L80,设备合同!$L$6:$CC$302,69,0)</f>
        <v>0</v>
      </c>
      <c r="CC80" s="102">
        <f>VLOOKUP(L80,设备合同!$L$6:$CC$302,70,0)</f>
        <v>0</v>
      </c>
      <c r="CD80" s="123">
        <f t="shared" si="33"/>
        <v>7900</v>
      </c>
      <c r="CE80" s="102">
        <f t="shared" si="34"/>
        <v>0</v>
      </c>
      <c r="CF80" s="102">
        <f t="shared" si="35"/>
        <v>0</v>
      </c>
      <c r="CG80" s="102">
        <f t="shared" si="36"/>
        <v>0</v>
      </c>
      <c r="CH80" s="124">
        <f t="shared" si="37"/>
        <v>7900</v>
      </c>
      <c r="CI80" s="125">
        <f t="shared" si="38"/>
        <v>0</v>
      </c>
      <c r="CJ80" s="126" t="str">
        <f t="shared" si="39"/>
        <v>数据正确</v>
      </c>
    </row>
    <row r="81" s="60" customFormat="1" customHeight="1" spans="2:88">
      <c r="B81" s="70" t="str">
        <f t="shared" si="29"/>
        <v>-</v>
      </c>
      <c r="C81" s="71" t="str">
        <f t="shared" si="30"/>
        <v>-</v>
      </c>
      <c r="D81" s="181">
        <f t="shared" si="31"/>
        <v>0</v>
      </c>
      <c r="E81" s="181">
        <f>SUMIF(行政合同!$L$6:$L$300,L81,行政合同!$E$6:$E$300)</f>
        <v>0</v>
      </c>
      <c r="F81" s="181">
        <f>SUMIF(行政合同!$L$6:$L$300,L81,行政合同!$F$6:$F$300)</f>
        <v>0</v>
      </c>
      <c r="G81" s="181">
        <f>SUMIF(行政合同!$L$6:$L$300,L81,行政合同!$G$6:$G$300)</f>
        <v>0</v>
      </c>
      <c r="H81" s="181">
        <f>SUMIF(行政合同!$L$6:$L$300,L81,行政合同!$H$6:$H$300)</f>
        <v>0</v>
      </c>
      <c r="I81" s="181">
        <f t="shared" si="32"/>
        <v>0</v>
      </c>
      <c r="J81" s="86" t="s">
        <v>98</v>
      </c>
      <c r="K81" s="87"/>
      <c r="L81" s="88">
        <v>76</v>
      </c>
      <c r="M81" s="89" t="str">
        <f>VLOOKUP(L81,行政合同!$L$6:$CC$300,2,0)</f>
        <v>YRKJXZ-170024</v>
      </c>
      <c r="N81" s="90" t="str">
        <f>VLOOKUP(L81,行政合同!$L$6:$CC$300,3,0)</f>
        <v>行政合同</v>
      </c>
      <c r="O81" s="265">
        <f>VLOOKUP(L81,行政合同!$L$6:$CC$300,4,0)</f>
        <v>2017050001</v>
      </c>
      <c r="P81" s="266">
        <f>VLOOKUP(L81,行政合同!$L$6:$CC$300,5,0)</f>
        <v>42944</v>
      </c>
      <c r="Q81" s="275">
        <f>VLOOKUP(L81,行政合同!$L$6:$CC$300,6,0)</f>
        <v>34740</v>
      </c>
      <c r="R81" s="89" t="str">
        <f>VLOOKUP(L81,行政合同!$L$6:$CC$300,7,0)</f>
        <v>5#、6#宿舍楼冰箱18台*980元/台，洗衣机18台*950元/台</v>
      </c>
      <c r="S81" s="89" t="str">
        <f>VLOOKUP(L81,行政合同!$L$6:$CC$300,8,0)</f>
        <v>莆田市秀屿区宏达贸易有限公司</v>
      </c>
      <c r="T81" s="107">
        <f>VLOOKUP(L81,行政合同!$L$6:$CC$300,9,0)</f>
        <v>0</v>
      </c>
      <c r="U81" s="103" t="str">
        <f>VLOOKUP(L81,行政合同!$L$6:$CC$300,10,0)</f>
        <v>电汇</v>
      </c>
      <c r="V81" s="276" t="str">
        <f>VLOOKUP(L81,行政合同!$L$6:$CC$300,11,0)</f>
        <v>货到安装验收合格后收到全额发票后15个工作日支付90%货款。8000元履约保证金退还</v>
      </c>
      <c r="W81" s="102">
        <f>VLOOKUP(L81,行政合同!$L$6:$CC$300,12,0)</f>
        <v>31266</v>
      </c>
      <c r="X81" s="102">
        <f>VLOOKUP(L81,行政合同!$L$6:$CC$300,13,0)</f>
        <v>0</v>
      </c>
      <c r="Y81" s="102">
        <f>VLOOKUP(L81,行政合同!$L$6:$CC$300,14,0)</f>
        <v>0</v>
      </c>
      <c r="Z81" s="102" t="str">
        <f>VLOOKUP(L81,行政合同!$L$6:$CC$300,15,0)</f>
        <v>10%质量保证金，验收合格后12个月支付</v>
      </c>
      <c r="AA81" s="102">
        <f>VLOOKUP(L81,行政合同!$L$6:$CC$300,16,0)</f>
        <v>3474</v>
      </c>
      <c r="AB81" s="102">
        <f>VLOOKUP(L81,行政合同!$L$6:$CC$300,17,0)</f>
        <v>0</v>
      </c>
      <c r="AC81" s="102">
        <f>VLOOKUP(L81,行政合同!$L$6:$CC$300,18,0)</f>
        <v>0</v>
      </c>
      <c r="AD81" s="102">
        <f>VLOOKUP(L81,行政合同!$L$6:$CC$300,19,0)</f>
        <v>0</v>
      </c>
      <c r="AE81" s="102">
        <f>VLOOKUP(L81,行政合同!$L$6:$CC$300,20,0)</f>
        <v>0</v>
      </c>
      <c r="AF81" s="102">
        <f>VLOOKUP(L81,行政合同!$L$6:$CC$300,21,0)</f>
        <v>0</v>
      </c>
      <c r="AG81" s="102">
        <f>VLOOKUP(L81,行政合同!$L$6:$CC$300,22,0)</f>
        <v>0</v>
      </c>
      <c r="AH81" s="102">
        <f>VLOOKUP(L81,行政合同!$L$6:$CC$300,23,0)</f>
        <v>0</v>
      </c>
      <c r="AI81" s="102">
        <f>VLOOKUP(L81,行政合同!$L$6:$CC$300,24,0)</f>
        <v>0</v>
      </c>
      <c r="AJ81" s="102">
        <f>VLOOKUP(L81,行政合同!$L$6:$CC$300,25,0)</f>
        <v>0</v>
      </c>
      <c r="AK81" s="102">
        <f>VLOOKUP(L81,行政合同!$L$6:$CC$300,26,0)</f>
        <v>0</v>
      </c>
      <c r="AL81" s="102">
        <f>VLOOKUP(L81,行政合同!$L$6:$CC$300,27,0)</f>
        <v>0</v>
      </c>
      <c r="AM81" s="102">
        <f>VLOOKUP(L81,行政合同!$L$6:$CC$300,28,0)</f>
        <v>0</v>
      </c>
      <c r="AN81" s="102">
        <f>VLOOKUP(L81,行政合同!$L$6:$CC$300,29,0)</f>
        <v>0</v>
      </c>
      <c r="AO81" s="102">
        <f>VLOOKUP(L81,行政合同!$L$6:$CC$300,30,0)</f>
        <v>0</v>
      </c>
      <c r="AP81" s="102">
        <f>VLOOKUP(L81,行政合同!$L$6:$CC$300,31,0)</f>
        <v>0</v>
      </c>
      <c r="AQ81" s="102">
        <f>VLOOKUP(L81,行政合同!$L$6:$CC$300,32,0)</f>
        <v>0</v>
      </c>
      <c r="AR81" s="102">
        <f>VLOOKUP(L81,行政合同!$L$6:$CC$300,33,0)</f>
        <v>0</v>
      </c>
      <c r="AS81" s="102">
        <f>VLOOKUP(L81,行政合同!$L$6:$CC$300,34,0)</f>
        <v>0</v>
      </c>
      <c r="AT81" s="102">
        <f>VLOOKUP(L81,行政合同!$L$6:$CC$300,35,0)</f>
        <v>0</v>
      </c>
      <c r="AU81" s="102">
        <f>VLOOKUP(L81,行政合同!$L$6:$CC$300,36,0)</f>
        <v>0</v>
      </c>
      <c r="AV81" s="102">
        <f>VLOOKUP(L81,行政合同!$L$6:$CC$300,37,0)</f>
        <v>0</v>
      </c>
      <c r="AW81" s="102">
        <f>VLOOKUP(L81,行政合同!$L$6:$CC$300,38,0)</f>
        <v>0</v>
      </c>
      <c r="AX81" s="102">
        <f>VLOOKUP(L81,行政合同!$L$6:$CC$300,39,0)</f>
        <v>0</v>
      </c>
      <c r="AY81" s="102">
        <f>VLOOKUP(L81,行政合同!$L$6:$CC$300,40,0)</f>
        <v>0</v>
      </c>
      <c r="AZ81" s="102">
        <f>VLOOKUP(L81,行政合同!$L$6:$CC$300,41,0)</f>
        <v>0</v>
      </c>
      <c r="BA81" s="102">
        <f>VLOOKUP(L81,行政合同!$L$6:$CC$300,42,0)</f>
        <v>0</v>
      </c>
      <c r="BB81" s="102">
        <f>VLOOKUP(L81,行政合同!$L$6:$CC$300,43,0)</f>
        <v>0</v>
      </c>
      <c r="BC81" s="102">
        <f>VLOOKUP(L81,行政合同!$L$6:$CC$300,44,0)</f>
        <v>0</v>
      </c>
      <c r="BD81" s="102">
        <f>VLOOKUP(L81,行政合同!$L$6:$CC$300,45,0)</f>
        <v>0</v>
      </c>
      <c r="BE81" s="102">
        <f>VLOOKUP(L81,行政合同!$L$6:$CC$300,46,0)</f>
        <v>0</v>
      </c>
      <c r="BF81" s="102">
        <f>VLOOKUP(L81,行政合同!$L$6:$CC$300,47,0)</f>
        <v>0</v>
      </c>
      <c r="BG81" s="102">
        <f>VLOOKUP(L81,行政合同!$L$6:$CC$300,48,0)</f>
        <v>0</v>
      </c>
      <c r="BH81" s="102">
        <f>VLOOKUP(L81,行政合同!$L$6:$CC$300,49,0)</f>
        <v>0</v>
      </c>
      <c r="BI81" s="102">
        <f>VLOOKUP(L81,行政合同!$L$6:$CC$300,50,0)</f>
        <v>0</v>
      </c>
      <c r="BJ81" s="102">
        <f>VLOOKUP(L81,行政合同!$L$6:$CC$300,51,0)</f>
        <v>0</v>
      </c>
      <c r="BK81" s="102">
        <f>VLOOKUP(L81,行政合同!$L$6:$CC$300,52,0)</f>
        <v>0</v>
      </c>
      <c r="BL81" s="102">
        <f>VLOOKUP(L81,行政合同!$L$6:$CC$300,53,0)</f>
        <v>0</v>
      </c>
      <c r="BM81" s="102">
        <f>VLOOKUP(L81,行政合同!$L$6:$CC$300,54,0)</f>
        <v>0</v>
      </c>
      <c r="BN81" s="102">
        <f>VLOOKUP(L81,行政合同!$L$6:$CC$300,55,0)</f>
        <v>0</v>
      </c>
      <c r="BO81" s="102">
        <f>VLOOKUP(L81,行政合同!$L$6:$CC$300,56,0)</f>
        <v>0</v>
      </c>
      <c r="BP81" s="102">
        <f>VLOOKUP(L81,行政合同!$L$6:$CC$300,57,0)</f>
        <v>0</v>
      </c>
      <c r="BQ81" s="102">
        <f>VLOOKUP(L81,行政合同!$L$6:$CC$300,58,0)</f>
        <v>0</v>
      </c>
      <c r="BR81" s="102">
        <f>VLOOKUP(L81,行政合同!$L$6:$CC$300,59,0)</f>
        <v>0</v>
      </c>
      <c r="BS81" s="102">
        <f>VLOOKUP(L81,行政合同!$L$6:$CC$300,60,0)</f>
        <v>0</v>
      </c>
      <c r="BT81" s="102">
        <f>VLOOKUP(L81,行政合同!$L$6:$CC$300,61,0)</f>
        <v>0</v>
      </c>
      <c r="BU81" s="102">
        <f>VLOOKUP(L81,行政合同!$L$6:$CC$300,62,0)</f>
        <v>0</v>
      </c>
      <c r="BV81" s="102">
        <f>VLOOKUP(L81,行政合同!$L$6:$CC$300,63,0)</f>
        <v>0</v>
      </c>
      <c r="BW81" s="102">
        <f>VLOOKUP(L81,行政合同!$L$6:$CC$300,64,0)</f>
        <v>0</v>
      </c>
      <c r="BX81" s="102">
        <f>VLOOKUP(L81,行政合同!$L$6:$CC$300,65,0)</f>
        <v>0</v>
      </c>
      <c r="BY81" s="102">
        <f>VLOOKUP(L81,行政合同!$L$6:$CC$300,66,0)</f>
        <v>0</v>
      </c>
      <c r="BZ81" s="102">
        <f>VLOOKUP(L81,行政合同!$L$6:$CC$300,67,0)</f>
        <v>0</v>
      </c>
      <c r="CA81" s="102">
        <f>VLOOKUP(L81,行政合同!$L$6:$CC$300,68,0)</f>
        <v>0</v>
      </c>
      <c r="CB81" s="102">
        <f>VLOOKUP(L81,行政合同!$L$6:$CC$300,69,0)</f>
        <v>0</v>
      </c>
      <c r="CC81" s="102">
        <f>VLOOKUP(L81,行政合同!$L$6:$CC$300,70,0)</f>
        <v>0</v>
      </c>
      <c r="CD81" s="123">
        <f t="shared" si="33"/>
        <v>34740</v>
      </c>
      <c r="CE81" s="102">
        <f t="shared" si="34"/>
        <v>0</v>
      </c>
      <c r="CF81" s="102">
        <f t="shared" si="35"/>
        <v>0</v>
      </c>
      <c r="CG81" s="102">
        <f t="shared" si="36"/>
        <v>0</v>
      </c>
      <c r="CH81" s="124">
        <f t="shared" si="37"/>
        <v>34740</v>
      </c>
      <c r="CI81" s="125">
        <f t="shared" si="38"/>
        <v>0</v>
      </c>
      <c r="CJ81" s="126" t="str">
        <f t="shared" si="39"/>
        <v>数据正确</v>
      </c>
    </row>
    <row r="82" s="60" customFormat="1" customHeight="1" spans="2:88">
      <c r="B82" s="70" t="str">
        <f t="shared" si="29"/>
        <v>-</v>
      </c>
      <c r="C82" s="71" t="str">
        <f t="shared" si="30"/>
        <v>-</v>
      </c>
      <c r="D82" s="181">
        <f t="shared" si="31"/>
        <v>669697</v>
      </c>
      <c r="E82" s="181">
        <f>SUMIF(行政合同!$L$6:$L$300,L82,行政合同!$E$6:$E$300)</f>
        <v>0</v>
      </c>
      <c r="F82" s="181">
        <f>SUMIF(行政合同!$L$6:$L$300,L82,行政合同!$F$6:$F$300)</f>
        <v>0</v>
      </c>
      <c r="G82" s="181">
        <f>SUMIF(行政合同!$L$6:$L$300,L82,行政合同!$G$6:$G$300)</f>
        <v>0</v>
      </c>
      <c r="H82" s="181">
        <f>SUMIF(行政合同!$L$6:$L$300,L82,行政合同!$H$6:$H$300)</f>
        <v>0</v>
      </c>
      <c r="I82" s="181">
        <f t="shared" si="32"/>
        <v>0</v>
      </c>
      <c r="J82" s="86" t="s">
        <v>98</v>
      </c>
      <c r="K82" s="87"/>
      <c r="L82" s="88">
        <v>77</v>
      </c>
      <c r="M82" s="89" t="str">
        <f>VLOOKUP(L82,行政合同!$L$6:$CC$300,2,0)</f>
        <v>YRKJXZ-170020</v>
      </c>
      <c r="N82" s="90" t="str">
        <f>VLOOKUP(L82,行政合同!$L$6:$CC$300,3,0)</f>
        <v>行政合同</v>
      </c>
      <c r="O82" s="265">
        <f>VLOOKUP(L82,行政合同!$L$6:$CC$300,4,0)</f>
        <v>2017050001</v>
      </c>
      <c r="P82" s="266">
        <f>VLOOKUP(L82,行政合同!$L$6:$CC$300,5,0)</f>
        <v>42940</v>
      </c>
      <c r="Q82" s="275">
        <f>VLOOKUP(L82,行政合同!$L$6:$CC$300,6,0)</f>
        <v>740145</v>
      </c>
      <c r="R82" s="89" t="str">
        <f>VLOOKUP(L82,行政合同!$L$6:$CC$300,7,0)</f>
        <v>5#、6#宿舍楼296台空调</v>
      </c>
      <c r="S82" s="89" t="str">
        <f>VLOOKUP(L82,行政合同!$L$6:$CC$300,8,0)</f>
        <v>莆田市秀屿区宏达贸易有限公司</v>
      </c>
      <c r="T82" s="107">
        <f>VLOOKUP(L82,行政合同!$L$6:$CC$300,9,0)</f>
        <v>0</v>
      </c>
      <c r="U82" s="103" t="str">
        <f>VLOOKUP(L82,行政合同!$L$6:$CC$300,10,0)</f>
        <v>电汇</v>
      </c>
      <c r="V82" s="276" t="str">
        <f>VLOOKUP(L82,行政合同!$L$6:$CC$300,11,0)</f>
        <v>货到安装验收合格后收到全额发票后15个工作日支付90%货款。8000元履约保证金退还</v>
      </c>
      <c r="W82" s="102">
        <f>VLOOKUP(L82,行政合同!$L$6:$CC$300,12,0)</f>
        <v>669697</v>
      </c>
      <c r="X82" s="102">
        <f>VLOOKUP(L82,行政合同!$L$6:$CC$300,13,0)</f>
        <v>669697</v>
      </c>
      <c r="Y82" s="102">
        <f>VLOOKUP(L82,行政合同!$L$6:$CC$300,14,0)</f>
        <v>669697</v>
      </c>
      <c r="Z82" s="102" t="str">
        <f>VLOOKUP(L82,行政合同!$L$6:$CC$300,15,0)</f>
        <v>10%质量保证金，验收合格后12个月支付</v>
      </c>
      <c r="AA82" s="102">
        <f>VLOOKUP(L82,行政合同!$L$6:$CC$300,16,0)</f>
        <v>70448</v>
      </c>
      <c r="AB82" s="102">
        <f>VLOOKUP(L82,行政合同!$L$6:$CC$300,17,0)</f>
        <v>0</v>
      </c>
      <c r="AC82" s="102">
        <f>VLOOKUP(L82,行政合同!$L$6:$CC$300,18,0)</f>
        <v>0</v>
      </c>
      <c r="AD82" s="102">
        <f>VLOOKUP(L82,行政合同!$L$6:$CC$300,19,0)</f>
        <v>0</v>
      </c>
      <c r="AE82" s="102">
        <f>VLOOKUP(L82,行政合同!$L$6:$CC$300,20,0)</f>
        <v>0</v>
      </c>
      <c r="AF82" s="102">
        <f>VLOOKUP(L82,行政合同!$L$6:$CC$300,21,0)</f>
        <v>0</v>
      </c>
      <c r="AG82" s="102">
        <f>VLOOKUP(L82,行政合同!$L$6:$CC$300,22,0)</f>
        <v>0</v>
      </c>
      <c r="AH82" s="102">
        <f>VLOOKUP(L82,行政合同!$L$6:$CC$300,23,0)</f>
        <v>0</v>
      </c>
      <c r="AI82" s="102">
        <f>VLOOKUP(L82,行政合同!$L$6:$CC$300,24,0)</f>
        <v>0</v>
      </c>
      <c r="AJ82" s="102">
        <f>VLOOKUP(L82,行政合同!$L$6:$CC$300,25,0)</f>
        <v>0</v>
      </c>
      <c r="AK82" s="102">
        <f>VLOOKUP(L82,行政合同!$L$6:$CC$300,26,0)</f>
        <v>0</v>
      </c>
      <c r="AL82" s="102">
        <f>VLOOKUP(L82,行政合同!$L$6:$CC$300,27,0)</f>
        <v>0</v>
      </c>
      <c r="AM82" s="102">
        <f>VLOOKUP(L82,行政合同!$L$6:$CC$300,28,0)</f>
        <v>0</v>
      </c>
      <c r="AN82" s="102">
        <f>VLOOKUP(L82,行政合同!$L$6:$CC$300,29,0)</f>
        <v>0</v>
      </c>
      <c r="AO82" s="102">
        <f>VLOOKUP(L82,行政合同!$L$6:$CC$300,30,0)</f>
        <v>0</v>
      </c>
      <c r="AP82" s="102">
        <f>VLOOKUP(L82,行政合同!$L$6:$CC$300,31,0)</f>
        <v>0</v>
      </c>
      <c r="AQ82" s="102">
        <f>VLOOKUP(L82,行政合同!$L$6:$CC$300,32,0)</f>
        <v>0</v>
      </c>
      <c r="AR82" s="102">
        <f>VLOOKUP(L82,行政合同!$L$6:$CC$300,33,0)</f>
        <v>0</v>
      </c>
      <c r="AS82" s="102">
        <f>VLOOKUP(L82,行政合同!$L$6:$CC$300,34,0)</f>
        <v>0</v>
      </c>
      <c r="AT82" s="102">
        <f>VLOOKUP(L82,行政合同!$L$6:$CC$300,35,0)</f>
        <v>0</v>
      </c>
      <c r="AU82" s="102">
        <f>VLOOKUP(L82,行政合同!$L$6:$CC$300,36,0)</f>
        <v>0</v>
      </c>
      <c r="AV82" s="102">
        <f>VLOOKUP(L82,行政合同!$L$6:$CC$300,37,0)</f>
        <v>0</v>
      </c>
      <c r="AW82" s="102">
        <f>VLOOKUP(L82,行政合同!$L$6:$CC$300,38,0)</f>
        <v>0</v>
      </c>
      <c r="AX82" s="102">
        <f>VLOOKUP(L82,行政合同!$L$6:$CC$300,39,0)</f>
        <v>0</v>
      </c>
      <c r="AY82" s="102">
        <f>VLOOKUP(L82,行政合同!$L$6:$CC$300,40,0)</f>
        <v>0</v>
      </c>
      <c r="AZ82" s="102">
        <f>VLOOKUP(L82,行政合同!$L$6:$CC$300,41,0)</f>
        <v>0</v>
      </c>
      <c r="BA82" s="102">
        <f>VLOOKUP(L82,行政合同!$L$6:$CC$300,42,0)</f>
        <v>0</v>
      </c>
      <c r="BB82" s="102">
        <f>VLOOKUP(L82,行政合同!$L$6:$CC$300,43,0)</f>
        <v>0</v>
      </c>
      <c r="BC82" s="102">
        <f>VLOOKUP(L82,行政合同!$L$6:$CC$300,44,0)</f>
        <v>0</v>
      </c>
      <c r="BD82" s="102">
        <f>VLOOKUP(L82,行政合同!$L$6:$CC$300,45,0)</f>
        <v>0</v>
      </c>
      <c r="BE82" s="102">
        <f>VLOOKUP(L82,行政合同!$L$6:$CC$300,46,0)</f>
        <v>0</v>
      </c>
      <c r="BF82" s="102">
        <f>VLOOKUP(L82,行政合同!$L$6:$CC$300,47,0)</f>
        <v>0</v>
      </c>
      <c r="BG82" s="102">
        <f>VLOOKUP(L82,行政合同!$L$6:$CC$300,48,0)</f>
        <v>0</v>
      </c>
      <c r="BH82" s="102">
        <f>VLOOKUP(L82,行政合同!$L$6:$CC$300,49,0)</f>
        <v>0</v>
      </c>
      <c r="BI82" s="102">
        <f>VLOOKUP(L82,行政合同!$L$6:$CC$300,50,0)</f>
        <v>0</v>
      </c>
      <c r="BJ82" s="102">
        <f>VLOOKUP(L82,行政合同!$L$6:$CC$300,51,0)</f>
        <v>0</v>
      </c>
      <c r="BK82" s="102">
        <f>VLOOKUP(L82,行政合同!$L$6:$CC$300,52,0)</f>
        <v>0</v>
      </c>
      <c r="BL82" s="102">
        <f>VLOOKUP(L82,行政合同!$L$6:$CC$300,53,0)</f>
        <v>0</v>
      </c>
      <c r="BM82" s="102">
        <f>VLOOKUP(L82,行政合同!$L$6:$CC$300,54,0)</f>
        <v>0</v>
      </c>
      <c r="BN82" s="102">
        <f>VLOOKUP(L82,行政合同!$L$6:$CC$300,55,0)</f>
        <v>0</v>
      </c>
      <c r="BO82" s="102">
        <f>VLOOKUP(L82,行政合同!$L$6:$CC$300,56,0)</f>
        <v>0</v>
      </c>
      <c r="BP82" s="102">
        <f>VLOOKUP(L82,行政合同!$L$6:$CC$300,57,0)</f>
        <v>0</v>
      </c>
      <c r="BQ82" s="102">
        <f>VLOOKUP(L82,行政合同!$L$6:$CC$300,58,0)</f>
        <v>0</v>
      </c>
      <c r="BR82" s="102">
        <f>VLOOKUP(L82,行政合同!$L$6:$CC$300,59,0)</f>
        <v>0</v>
      </c>
      <c r="BS82" s="102">
        <f>VLOOKUP(L82,行政合同!$L$6:$CC$300,60,0)</f>
        <v>0</v>
      </c>
      <c r="BT82" s="102">
        <f>VLOOKUP(L82,行政合同!$L$6:$CC$300,61,0)</f>
        <v>0</v>
      </c>
      <c r="BU82" s="102">
        <f>VLOOKUP(L82,行政合同!$L$6:$CC$300,62,0)</f>
        <v>0</v>
      </c>
      <c r="BV82" s="102">
        <f>VLOOKUP(L82,行政合同!$L$6:$CC$300,63,0)</f>
        <v>0</v>
      </c>
      <c r="BW82" s="102">
        <f>VLOOKUP(L82,行政合同!$L$6:$CC$300,64,0)</f>
        <v>0</v>
      </c>
      <c r="BX82" s="102">
        <f>VLOOKUP(L82,行政合同!$L$6:$CC$300,65,0)</f>
        <v>0</v>
      </c>
      <c r="BY82" s="102">
        <f>VLOOKUP(L82,行政合同!$L$6:$CC$300,66,0)</f>
        <v>0</v>
      </c>
      <c r="BZ82" s="102">
        <f>VLOOKUP(L82,行政合同!$L$6:$CC$300,67,0)</f>
        <v>0</v>
      </c>
      <c r="CA82" s="102">
        <f>VLOOKUP(L82,行政合同!$L$6:$CC$300,68,0)</f>
        <v>0</v>
      </c>
      <c r="CB82" s="102">
        <f>VLOOKUP(L82,行政合同!$L$6:$CC$300,69,0)</f>
        <v>0</v>
      </c>
      <c r="CC82" s="102">
        <f>VLOOKUP(L82,行政合同!$L$6:$CC$300,70,0)</f>
        <v>0</v>
      </c>
      <c r="CD82" s="123">
        <f t="shared" si="33"/>
        <v>740145</v>
      </c>
      <c r="CE82" s="102">
        <f t="shared" si="34"/>
        <v>669697</v>
      </c>
      <c r="CF82" s="102">
        <f t="shared" si="35"/>
        <v>669697</v>
      </c>
      <c r="CG82" s="102">
        <f t="shared" si="36"/>
        <v>0</v>
      </c>
      <c r="CH82" s="124">
        <f t="shared" si="37"/>
        <v>70448</v>
      </c>
      <c r="CI82" s="125">
        <f t="shared" si="38"/>
        <v>0.904818650399584</v>
      </c>
      <c r="CJ82" s="126" t="str">
        <f t="shared" si="39"/>
        <v>数据正确</v>
      </c>
    </row>
    <row r="83" s="60" customFormat="1" customHeight="1" spans="2:88">
      <c r="B83" s="70" t="str">
        <f t="shared" si="29"/>
        <v>-</v>
      </c>
      <c r="C83" s="71" t="str">
        <f t="shared" si="30"/>
        <v>-</v>
      </c>
      <c r="D83" s="181">
        <f t="shared" si="31"/>
        <v>76000</v>
      </c>
      <c r="E83" s="181">
        <f>SUMIF(行政合同!$L$6:$L$300,L83,行政合同!$E$6:$E$300)</f>
        <v>0</v>
      </c>
      <c r="F83" s="181">
        <f>SUMIF(行政合同!$L$6:$L$300,L83,行政合同!$F$6:$F$300)</f>
        <v>0</v>
      </c>
      <c r="G83" s="181">
        <f>SUMIF(行政合同!$L$6:$L$300,L83,行政合同!$G$6:$G$300)</f>
        <v>0</v>
      </c>
      <c r="H83" s="181">
        <f>SUMIF(行政合同!$L$6:$L$300,L83,行政合同!$H$6:$H$300)</f>
        <v>0</v>
      </c>
      <c r="I83" s="181">
        <f t="shared" si="32"/>
        <v>0</v>
      </c>
      <c r="J83" s="86" t="s">
        <v>98</v>
      </c>
      <c r="K83" s="87"/>
      <c r="L83" s="88">
        <v>78</v>
      </c>
      <c r="M83" s="89" t="str">
        <f>VLOOKUP(L83,行政合同!$L$6:$CC$300,2,0)</f>
        <v>YRKJXZ-160004</v>
      </c>
      <c r="N83" s="90" t="str">
        <f>VLOOKUP(L83,行政合同!$L$6:$CC$300,3,0)</f>
        <v>行政合同</v>
      </c>
      <c r="O83" s="265" t="str">
        <f>VLOOKUP(L83,行政合同!$L$6:$CC$300,4,0)</f>
        <v>-</v>
      </c>
      <c r="P83" s="266">
        <f>VLOOKUP(L83,行政合同!$L$6:$CC$300,5,0)</f>
        <v>42479</v>
      </c>
      <c r="Q83" s="275">
        <f>VLOOKUP(L83,行政合同!$L$6:$CC$300,6,0)</f>
        <v>80000</v>
      </c>
      <c r="R83" s="89" t="str">
        <f>VLOOKUP(L83,行政合同!$L$6:$CC$300,7,0)</f>
        <v>房租房用家具类（床、床头柜、衣柜、书桌等）</v>
      </c>
      <c r="S83" s="89" t="str">
        <f>VLOOKUP(L83,行政合同!$L$6:$CC$300,8,0)</f>
        <v>福州市仓山区恒通日用品经营部</v>
      </c>
      <c r="T83" s="107">
        <f>VLOOKUP(L83,行政合同!$L$6:$CC$300,9,0)</f>
        <v>0</v>
      </c>
      <c r="U83" s="103" t="str">
        <f>VLOOKUP(L83,行政合同!$L$6:$CC$300,10,0)</f>
        <v>承兑汇票</v>
      </c>
      <c r="V83" s="276" t="str">
        <f>VLOOKUP(L83,行政合同!$L$6:$CC$300,11,0)</f>
        <v>货到验收合格收到全额发票后支付95%</v>
      </c>
      <c r="W83" s="102">
        <f>VLOOKUP(L83,行政合同!$L$6:$CC$300,12,0)</f>
        <v>76000</v>
      </c>
      <c r="X83" s="102">
        <f>VLOOKUP(L83,行政合同!$L$6:$CC$300,13,0)</f>
        <v>76000</v>
      </c>
      <c r="Y83" s="102">
        <f>VLOOKUP(L83,行政合同!$L$6:$CC$300,14,0)</f>
        <v>76000</v>
      </c>
      <c r="Z83" s="102" t="str">
        <f>VLOOKUP(L83,行政合同!$L$6:$CC$300,15,0)</f>
        <v>5%质保金</v>
      </c>
      <c r="AA83" s="102">
        <f>VLOOKUP(L83,行政合同!$L$6:$CC$300,16,0)</f>
        <v>4000</v>
      </c>
      <c r="AB83" s="102">
        <f>VLOOKUP(L83,行政合同!$L$6:$CC$300,17,0)</f>
        <v>0</v>
      </c>
      <c r="AC83" s="102">
        <f>VLOOKUP(L83,行政合同!$L$6:$CC$300,18,0)</f>
        <v>0</v>
      </c>
      <c r="AD83" s="102">
        <f>VLOOKUP(L83,行政合同!$L$6:$CC$300,19,0)</f>
        <v>0</v>
      </c>
      <c r="AE83" s="102">
        <f>VLOOKUP(L83,行政合同!$L$6:$CC$300,20,0)</f>
        <v>0</v>
      </c>
      <c r="AF83" s="102">
        <f>VLOOKUP(L83,行政合同!$L$6:$CC$300,21,0)</f>
        <v>0</v>
      </c>
      <c r="AG83" s="102">
        <f>VLOOKUP(L83,行政合同!$L$6:$CC$300,22,0)</f>
        <v>0</v>
      </c>
      <c r="AH83" s="102">
        <f>VLOOKUP(L83,行政合同!$L$6:$CC$300,23,0)</f>
        <v>0</v>
      </c>
      <c r="AI83" s="102">
        <f>VLOOKUP(L83,行政合同!$L$6:$CC$300,24,0)</f>
        <v>0</v>
      </c>
      <c r="AJ83" s="102">
        <f>VLOOKUP(L83,行政合同!$L$6:$CC$300,25,0)</f>
        <v>0</v>
      </c>
      <c r="AK83" s="102">
        <f>VLOOKUP(L83,行政合同!$L$6:$CC$300,26,0)</f>
        <v>0</v>
      </c>
      <c r="AL83" s="102">
        <f>VLOOKUP(L83,行政合同!$L$6:$CC$300,27,0)</f>
        <v>0</v>
      </c>
      <c r="AM83" s="102">
        <f>VLOOKUP(L83,行政合同!$L$6:$CC$300,28,0)</f>
        <v>0</v>
      </c>
      <c r="AN83" s="102">
        <f>VLOOKUP(L83,行政合同!$L$6:$CC$300,29,0)</f>
        <v>0</v>
      </c>
      <c r="AO83" s="102">
        <f>VLOOKUP(L83,行政合同!$L$6:$CC$300,30,0)</f>
        <v>0</v>
      </c>
      <c r="AP83" s="102">
        <f>VLOOKUP(L83,行政合同!$L$6:$CC$300,31,0)</f>
        <v>0</v>
      </c>
      <c r="AQ83" s="102">
        <f>VLOOKUP(L83,行政合同!$L$6:$CC$300,32,0)</f>
        <v>0</v>
      </c>
      <c r="AR83" s="102">
        <f>VLOOKUP(L83,行政合同!$L$6:$CC$300,33,0)</f>
        <v>0</v>
      </c>
      <c r="AS83" s="102">
        <f>VLOOKUP(L83,行政合同!$L$6:$CC$300,34,0)</f>
        <v>0</v>
      </c>
      <c r="AT83" s="102">
        <f>VLOOKUP(L83,行政合同!$L$6:$CC$300,35,0)</f>
        <v>0</v>
      </c>
      <c r="AU83" s="102">
        <f>VLOOKUP(L83,行政合同!$L$6:$CC$300,36,0)</f>
        <v>0</v>
      </c>
      <c r="AV83" s="102">
        <f>VLOOKUP(L83,行政合同!$L$6:$CC$300,37,0)</f>
        <v>0</v>
      </c>
      <c r="AW83" s="102">
        <f>VLOOKUP(L83,行政合同!$L$6:$CC$300,38,0)</f>
        <v>0</v>
      </c>
      <c r="AX83" s="102">
        <f>VLOOKUP(L83,行政合同!$L$6:$CC$300,39,0)</f>
        <v>0</v>
      </c>
      <c r="AY83" s="102">
        <f>VLOOKUP(L83,行政合同!$L$6:$CC$300,40,0)</f>
        <v>0</v>
      </c>
      <c r="AZ83" s="102">
        <f>VLOOKUP(L83,行政合同!$L$6:$CC$300,41,0)</f>
        <v>0</v>
      </c>
      <c r="BA83" s="102">
        <f>VLOOKUP(L83,行政合同!$L$6:$CC$300,42,0)</f>
        <v>0</v>
      </c>
      <c r="BB83" s="102">
        <f>VLOOKUP(L83,行政合同!$L$6:$CC$300,43,0)</f>
        <v>0</v>
      </c>
      <c r="BC83" s="102">
        <f>VLOOKUP(L83,行政合同!$L$6:$CC$300,44,0)</f>
        <v>0</v>
      </c>
      <c r="BD83" s="102">
        <f>VLOOKUP(L83,行政合同!$L$6:$CC$300,45,0)</f>
        <v>0</v>
      </c>
      <c r="BE83" s="102">
        <f>VLOOKUP(L83,行政合同!$L$6:$CC$300,46,0)</f>
        <v>0</v>
      </c>
      <c r="BF83" s="102">
        <f>VLOOKUP(L83,行政合同!$L$6:$CC$300,47,0)</f>
        <v>0</v>
      </c>
      <c r="BG83" s="102">
        <f>VLOOKUP(L83,行政合同!$L$6:$CC$300,48,0)</f>
        <v>0</v>
      </c>
      <c r="BH83" s="102">
        <f>VLOOKUP(L83,行政合同!$L$6:$CC$300,49,0)</f>
        <v>0</v>
      </c>
      <c r="BI83" s="102">
        <f>VLOOKUP(L83,行政合同!$L$6:$CC$300,50,0)</f>
        <v>0</v>
      </c>
      <c r="BJ83" s="102">
        <f>VLOOKUP(L83,行政合同!$L$6:$CC$300,51,0)</f>
        <v>0</v>
      </c>
      <c r="BK83" s="102">
        <f>VLOOKUP(L83,行政合同!$L$6:$CC$300,52,0)</f>
        <v>0</v>
      </c>
      <c r="BL83" s="102">
        <f>VLOOKUP(L83,行政合同!$L$6:$CC$300,53,0)</f>
        <v>0</v>
      </c>
      <c r="BM83" s="102">
        <f>VLOOKUP(L83,行政合同!$L$6:$CC$300,54,0)</f>
        <v>0</v>
      </c>
      <c r="BN83" s="102">
        <f>VLOOKUP(L83,行政合同!$L$6:$CC$300,55,0)</f>
        <v>0</v>
      </c>
      <c r="BO83" s="102">
        <f>VLOOKUP(L83,行政合同!$L$6:$CC$300,56,0)</f>
        <v>0</v>
      </c>
      <c r="BP83" s="102">
        <f>VLOOKUP(L83,行政合同!$L$6:$CC$300,57,0)</f>
        <v>0</v>
      </c>
      <c r="BQ83" s="102">
        <f>VLOOKUP(L83,行政合同!$L$6:$CC$300,58,0)</f>
        <v>0</v>
      </c>
      <c r="BR83" s="102">
        <f>VLOOKUP(L83,行政合同!$L$6:$CC$300,59,0)</f>
        <v>0</v>
      </c>
      <c r="BS83" s="102">
        <f>VLOOKUP(L83,行政合同!$L$6:$CC$300,60,0)</f>
        <v>0</v>
      </c>
      <c r="BT83" s="102">
        <f>VLOOKUP(L83,行政合同!$L$6:$CC$300,61,0)</f>
        <v>0</v>
      </c>
      <c r="BU83" s="102">
        <f>VLOOKUP(L83,行政合同!$L$6:$CC$300,62,0)</f>
        <v>0</v>
      </c>
      <c r="BV83" s="102">
        <f>VLOOKUP(L83,行政合同!$L$6:$CC$300,63,0)</f>
        <v>0</v>
      </c>
      <c r="BW83" s="102">
        <f>VLOOKUP(L83,行政合同!$L$6:$CC$300,64,0)</f>
        <v>0</v>
      </c>
      <c r="BX83" s="102">
        <f>VLOOKUP(L83,行政合同!$L$6:$CC$300,65,0)</f>
        <v>0</v>
      </c>
      <c r="BY83" s="102">
        <f>VLOOKUP(L83,行政合同!$L$6:$CC$300,66,0)</f>
        <v>0</v>
      </c>
      <c r="BZ83" s="102">
        <f>VLOOKUP(L83,行政合同!$L$6:$CC$300,67,0)</f>
        <v>0</v>
      </c>
      <c r="CA83" s="102">
        <f>VLOOKUP(L83,行政合同!$L$6:$CC$300,68,0)</f>
        <v>0</v>
      </c>
      <c r="CB83" s="102">
        <f>VLOOKUP(L83,行政合同!$L$6:$CC$300,69,0)</f>
        <v>0</v>
      </c>
      <c r="CC83" s="102">
        <f>VLOOKUP(L83,行政合同!$L$6:$CC$300,70,0)</f>
        <v>0</v>
      </c>
      <c r="CD83" s="123">
        <f t="shared" si="33"/>
        <v>80000</v>
      </c>
      <c r="CE83" s="102">
        <f t="shared" si="34"/>
        <v>76000</v>
      </c>
      <c r="CF83" s="102">
        <f t="shared" si="35"/>
        <v>76000</v>
      </c>
      <c r="CG83" s="102">
        <f t="shared" si="36"/>
        <v>0</v>
      </c>
      <c r="CH83" s="124">
        <f t="shared" si="37"/>
        <v>4000</v>
      </c>
      <c r="CI83" s="125">
        <f t="shared" si="38"/>
        <v>0.95</v>
      </c>
      <c r="CJ83" s="126" t="str">
        <f t="shared" si="39"/>
        <v>数据正确</v>
      </c>
    </row>
    <row r="84" s="60" customFormat="1" customHeight="1" spans="2:88">
      <c r="B84" s="70" t="str">
        <f t="shared" si="29"/>
        <v>-</v>
      </c>
      <c r="C84" s="71" t="str">
        <f t="shared" si="30"/>
        <v>已付清</v>
      </c>
      <c r="D84" s="181">
        <f t="shared" si="31"/>
        <v>57988</v>
      </c>
      <c r="E84" s="181">
        <f>SUMIF(行政合同!$L$6:$L$300,L84,行政合同!$E$6:$E$300)</f>
        <v>0</v>
      </c>
      <c r="F84" s="181">
        <f>SUMIF(行政合同!$L$6:$L$300,L84,行政合同!$F$6:$F$300)</f>
        <v>0</v>
      </c>
      <c r="G84" s="181">
        <f>SUMIF(行政合同!$L$6:$L$300,L84,行政合同!$G$6:$G$300)</f>
        <v>0</v>
      </c>
      <c r="H84" s="181">
        <f>SUMIF(行政合同!$L$6:$L$300,L84,行政合同!$H$6:$H$300)</f>
        <v>0</v>
      </c>
      <c r="I84" s="181">
        <f t="shared" si="32"/>
        <v>0</v>
      </c>
      <c r="J84" s="86" t="s">
        <v>98</v>
      </c>
      <c r="K84" s="87"/>
      <c r="L84" s="88">
        <v>79</v>
      </c>
      <c r="M84" s="89" t="str">
        <f>VLOOKUP(L84,行政合同!$L$6:$CC$300,2,0)</f>
        <v>YRKJXZ-160005</v>
      </c>
      <c r="N84" s="90" t="str">
        <f>VLOOKUP(L84,行政合同!$L$6:$CC$300,3,0)</f>
        <v>行政合同</v>
      </c>
      <c r="O84" s="265" t="str">
        <f>VLOOKUP(L84,行政合同!$L$6:$CC$300,4,0)</f>
        <v>-</v>
      </c>
      <c r="P84" s="266">
        <f>VLOOKUP(L84,行政合同!$L$6:$CC$300,5,0)</f>
        <v>42508</v>
      </c>
      <c r="Q84" s="275">
        <f>VLOOKUP(L84,行政合同!$L$6:$CC$300,6,0)</f>
        <v>57988</v>
      </c>
      <c r="R84" s="89" t="str">
        <f>VLOOKUP(L84,行政合同!$L$6:$CC$300,7,0)</f>
        <v>访客一体机1台</v>
      </c>
      <c r="S84" s="89" t="str">
        <f>VLOOKUP(L84,行政合同!$L$6:$CC$300,8,0)</f>
        <v>福建聚众科技有限公司</v>
      </c>
      <c r="T84" s="107">
        <f>VLOOKUP(L84,行政合同!$L$6:$CC$300,9,0)</f>
        <v>0</v>
      </c>
      <c r="U84" s="103" t="str">
        <f>VLOOKUP(L84,行政合同!$L$6:$CC$300,10,0)</f>
        <v>电汇</v>
      </c>
      <c r="V84" s="276" t="str">
        <f>VLOOKUP(L84,行政合同!$L$6:$CC$300,11,0)</f>
        <v>款到发货</v>
      </c>
      <c r="W84" s="102">
        <f>VLOOKUP(L84,行政合同!$L$6:$CC$300,12,0)</f>
        <v>57988</v>
      </c>
      <c r="X84" s="102">
        <f>VLOOKUP(L84,行政合同!$L$6:$CC$300,13,0)</f>
        <v>57988</v>
      </c>
      <c r="Y84" s="102">
        <f>VLOOKUP(L84,行政合同!$L$6:$CC$300,14,0)</f>
        <v>57988</v>
      </c>
      <c r="Z84" s="102">
        <f>VLOOKUP(L84,行政合同!$L$6:$CC$300,15,0)</f>
        <v>0</v>
      </c>
      <c r="AA84" s="102">
        <f>VLOOKUP(L84,行政合同!$L$6:$CC$300,16,0)</f>
        <v>0</v>
      </c>
      <c r="AB84" s="102">
        <f>VLOOKUP(L84,行政合同!$L$6:$CC$300,17,0)</f>
        <v>0</v>
      </c>
      <c r="AC84" s="102">
        <f>VLOOKUP(L84,行政合同!$L$6:$CC$300,18,0)</f>
        <v>0</v>
      </c>
      <c r="AD84" s="102">
        <f>VLOOKUP(L84,行政合同!$L$6:$CC$300,19,0)</f>
        <v>0</v>
      </c>
      <c r="AE84" s="102">
        <f>VLOOKUP(L84,行政合同!$L$6:$CC$300,20,0)</f>
        <v>0</v>
      </c>
      <c r="AF84" s="102">
        <f>VLOOKUP(L84,行政合同!$L$6:$CC$300,21,0)</f>
        <v>0</v>
      </c>
      <c r="AG84" s="102">
        <f>VLOOKUP(L84,行政合同!$L$6:$CC$300,22,0)</f>
        <v>0</v>
      </c>
      <c r="AH84" s="102">
        <f>VLOOKUP(L84,行政合同!$L$6:$CC$300,23,0)</f>
        <v>0</v>
      </c>
      <c r="AI84" s="102">
        <f>VLOOKUP(L84,行政合同!$L$6:$CC$300,24,0)</f>
        <v>0</v>
      </c>
      <c r="AJ84" s="102">
        <f>VLOOKUP(L84,行政合同!$L$6:$CC$300,25,0)</f>
        <v>0</v>
      </c>
      <c r="AK84" s="102">
        <f>VLOOKUP(L84,行政合同!$L$6:$CC$300,26,0)</f>
        <v>0</v>
      </c>
      <c r="AL84" s="102">
        <f>VLOOKUP(L84,行政合同!$L$6:$CC$300,27,0)</f>
        <v>0</v>
      </c>
      <c r="AM84" s="102">
        <f>VLOOKUP(L84,行政合同!$L$6:$CC$300,28,0)</f>
        <v>0</v>
      </c>
      <c r="AN84" s="102">
        <f>VLOOKUP(L84,行政合同!$L$6:$CC$300,29,0)</f>
        <v>0</v>
      </c>
      <c r="AO84" s="102">
        <f>VLOOKUP(L84,行政合同!$L$6:$CC$300,30,0)</f>
        <v>0</v>
      </c>
      <c r="AP84" s="102">
        <f>VLOOKUP(L84,行政合同!$L$6:$CC$300,31,0)</f>
        <v>0</v>
      </c>
      <c r="AQ84" s="102">
        <f>VLOOKUP(L84,行政合同!$L$6:$CC$300,32,0)</f>
        <v>0</v>
      </c>
      <c r="AR84" s="102">
        <f>VLOOKUP(L84,行政合同!$L$6:$CC$300,33,0)</f>
        <v>0</v>
      </c>
      <c r="AS84" s="102">
        <f>VLOOKUP(L84,行政合同!$L$6:$CC$300,34,0)</f>
        <v>0</v>
      </c>
      <c r="AT84" s="102">
        <f>VLOOKUP(L84,行政合同!$L$6:$CC$300,35,0)</f>
        <v>0</v>
      </c>
      <c r="AU84" s="102">
        <f>VLOOKUP(L84,行政合同!$L$6:$CC$300,36,0)</f>
        <v>0</v>
      </c>
      <c r="AV84" s="102">
        <f>VLOOKUP(L84,行政合同!$L$6:$CC$300,37,0)</f>
        <v>0</v>
      </c>
      <c r="AW84" s="102">
        <f>VLOOKUP(L84,行政合同!$L$6:$CC$300,38,0)</f>
        <v>0</v>
      </c>
      <c r="AX84" s="102">
        <f>VLOOKUP(L84,行政合同!$L$6:$CC$300,39,0)</f>
        <v>0</v>
      </c>
      <c r="AY84" s="102">
        <f>VLOOKUP(L84,行政合同!$L$6:$CC$300,40,0)</f>
        <v>0</v>
      </c>
      <c r="AZ84" s="102">
        <f>VLOOKUP(L84,行政合同!$L$6:$CC$300,41,0)</f>
        <v>0</v>
      </c>
      <c r="BA84" s="102">
        <f>VLOOKUP(L84,行政合同!$L$6:$CC$300,42,0)</f>
        <v>0</v>
      </c>
      <c r="BB84" s="102">
        <f>VLOOKUP(L84,行政合同!$L$6:$CC$300,43,0)</f>
        <v>0</v>
      </c>
      <c r="BC84" s="102">
        <f>VLOOKUP(L84,行政合同!$L$6:$CC$300,44,0)</f>
        <v>0</v>
      </c>
      <c r="BD84" s="102">
        <f>VLOOKUP(L84,行政合同!$L$6:$CC$300,45,0)</f>
        <v>0</v>
      </c>
      <c r="BE84" s="102">
        <f>VLOOKUP(L84,行政合同!$L$6:$CC$300,46,0)</f>
        <v>0</v>
      </c>
      <c r="BF84" s="102">
        <f>VLOOKUP(L84,行政合同!$L$6:$CC$300,47,0)</f>
        <v>0</v>
      </c>
      <c r="BG84" s="102">
        <f>VLOOKUP(L84,行政合同!$L$6:$CC$300,48,0)</f>
        <v>0</v>
      </c>
      <c r="BH84" s="102">
        <f>VLOOKUP(L84,行政合同!$L$6:$CC$300,49,0)</f>
        <v>0</v>
      </c>
      <c r="BI84" s="102">
        <f>VLOOKUP(L84,行政合同!$L$6:$CC$300,50,0)</f>
        <v>0</v>
      </c>
      <c r="BJ84" s="102">
        <f>VLOOKUP(L84,行政合同!$L$6:$CC$300,51,0)</f>
        <v>0</v>
      </c>
      <c r="BK84" s="102">
        <f>VLOOKUP(L84,行政合同!$L$6:$CC$300,52,0)</f>
        <v>0</v>
      </c>
      <c r="BL84" s="102">
        <f>VLOOKUP(L84,行政合同!$L$6:$CC$300,53,0)</f>
        <v>0</v>
      </c>
      <c r="BM84" s="102">
        <f>VLOOKUP(L84,行政合同!$L$6:$CC$300,54,0)</f>
        <v>0</v>
      </c>
      <c r="BN84" s="102">
        <f>VLOOKUP(L84,行政合同!$L$6:$CC$300,55,0)</f>
        <v>0</v>
      </c>
      <c r="BO84" s="102">
        <f>VLOOKUP(L84,行政合同!$L$6:$CC$300,56,0)</f>
        <v>0</v>
      </c>
      <c r="BP84" s="102">
        <f>VLOOKUP(L84,行政合同!$L$6:$CC$300,57,0)</f>
        <v>0</v>
      </c>
      <c r="BQ84" s="102">
        <f>VLOOKUP(L84,行政合同!$L$6:$CC$300,58,0)</f>
        <v>0</v>
      </c>
      <c r="BR84" s="102">
        <f>VLOOKUP(L84,行政合同!$L$6:$CC$300,59,0)</f>
        <v>0</v>
      </c>
      <c r="BS84" s="102">
        <f>VLOOKUP(L84,行政合同!$L$6:$CC$300,60,0)</f>
        <v>0</v>
      </c>
      <c r="BT84" s="102">
        <f>VLOOKUP(L84,行政合同!$L$6:$CC$300,61,0)</f>
        <v>0</v>
      </c>
      <c r="BU84" s="102">
        <f>VLOOKUP(L84,行政合同!$L$6:$CC$300,62,0)</f>
        <v>0</v>
      </c>
      <c r="BV84" s="102">
        <f>VLOOKUP(L84,行政合同!$L$6:$CC$300,63,0)</f>
        <v>0</v>
      </c>
      <c r="BW84" s="102">
        <f>VLOOKUP(L84,行政合同!$L$6:$CC$300,64,0)</f>
        <v>0</v>
      </c>
      <c r="BX84" s="102">
        <f>VLOOKUP(L84,行政合同!$L$6:$CC$300,65,0)</f>
        <v>0</v>
      </c>
      <c r="BY84" s="102">
        <f>VLOOKUP(L84,行政合同!$L$6:$CC$300,66,0)</f>
        <v>0</v>
      </c>
      <c r="BZ84" s="102">
        <f>VLOOKUP(L84,行政合同!$L$6:$CC$300,67,0)</f>
        <v>0</v>
      </c>
      <c r="CA84" s="102">
        <f>VLOOKUP(L84,行政合同!$L$6:$CC$300,68,0)</f>
        <v>0</v>
      </c>
      <c r="CB84" s="102">
        <f>VLOOKUP(L84,行政合同!$L$6:$CC$300,69,0)</f>
        <v>0</v>
      </c>
      <c r="CC84" s="102">
        <f>VLOOKUP(L84,行政合同!$L$6:$CC$300,70,0)</f>
        <v>0</v>
      </c>
      <c r="CD84" s="123">
        <f t="shared" si="33"/>
        <v>57988</v>
      </c>
      <c r="CE84" s="102">
        <f t="shared" si="34"/>
        <v>57988</v>
      </c>
      <c r="CF84" s="102">
        <f t="shared" si="35"/>
        <v>57988</v>
      </c>
      <c r="CG84" s="102">
        <f t="shared" si="36"/>
        <v>0</v>
      </c>
      <c r="CH84" s="124">
        <f t="shared" si="37"/>
        <v>0</v>
      </c>
      <c r="CI84" s="125">
        <f t="shared" si="38"/>
        <v>1</v>
      </c>
      <c r="CJ84" s="126" t="str">
        <f t="shared" si="39"/>
        <v>数据正确</v>
      </c>
    </row>
    <row r="85" s="60" customFormat="1" customHeight="1" spans="2:88">
      <c r="B85" s="70" t="str">
        <f t="shared" si="29"/>
        <v>-</v>
      </c>
      <c r="C85" s="71" t="str">
        <f t="shared" si="30"/>
        <v>已付清</v>
      </c>
      <c r="D85" s="181">
        <f t="shared" si="31"/>
        <v>21850</v>
      </c>
      <c r="E85" s="181">
        <f>SUMIF(行政合同!$L$6:$L$300,L85,行政合同!$E$6:$E$300)</f>
        <v>0</v>
      </c>
      <c r="F85" s="181">
        <f>SUMIF(行政合同!$L$6:$L$300,L85,行政合同!$F$6:$F$300)</f>
        <v>0</v>
      </c>
      <c r="G85" s="181">
        <f>SUMIF(行政合同!$L$6:$L$300,L85,行政合同!$G$6:$G$300)</f>
        <v>0</v>
      </c>
      <c r="H85" s="181">
        <f>SUMIF(行政合同!$L$6:$L$300,L85,行政合同!$H$6:$H$300)</f>
        <v>0</v>
      </c>
      <c r="I85" s="181">
        <f t="shared" si="32"/>
        <v>0</v>
      </c>
      <c r="J85" s="86" t="s">
        <v>98</v>
      </c>
      <c r="K85" s="87"/>
      <c r="L85" s="88">
        <v>80</v>
      </c>
      <c r="M85" s="89" t="str">
        <f>VLOOKUP(L85,行政合同!$L$6:$CC$300,2,0)</f>
        <v>YRKJXZ-160006</v>
      </c>
      <c r="N85" s="90" t="str">
        <f>VLOOKUP(L85,行政合同!$L$6:$CC$300,3,0)</f>
        <v>行政合同</v>
      </c>
      <c r="O85" s="265" t="str">
        <f>VLOOKUP(L85,行政合同!$L$6:$CC$300,4,0)</f>
        <v>-</v>
      </c>
      <c r="P85" s="266">
        <f>VLOOKUP(L85,行政合同!$L$6:$CC$300,5,0)</f>
        <v>42545</v>
      </c>
      <c r="Q85" s="275">
        <f>VLOOKUP(L85,行政合同!$L$6:$CC$300,6,0)</f>
        <v>21850</v>
      </c>
      <c r="R85" s="89" t="str">
        <f>VLOOKUP(L85,行政合同!$L$6:$CC$300,7,0)</f>
        <v>卓创资讯网站（化工网、钢铁网等商务信息）</v>
      </c>
      <c r="S85" s="89" t="str">
        <f>VLOOKUP(L85,行政合同!$L$6:$CC$300,8,0)</f>
        <v>山东卓创资讯集团有限公司</v>
      </c>
      <c r="T85" s="107">
        <f>VLOOKUP(L85,行政合同!$L$6:$CC$300,9,0)</f>
        <v>0</v>
      </c>
      <c r="U85" s="103" t="str">
        <f>VLOOKUP(L85,行政合同!$L$6:$CC$300,10,0)</f>
        <v>电汇</v>
      </c>
      <c r="V85" s="276" t="str">
        <f>VLOOKUP(L85,行政合同!$L$6:$CC$300,11,0)</f>
        <v>款到发货</v>
      </c>
      <c r="W85" s="102">
        <f>VLOOKUP(L85,行政合同!$L$6:$CC$300,12,0)</f>
        <v>21850</v>
      </c>
      <c r="X85" s="102">
        <f>VLOOKUP(L85,行政合同!$L$6:$CC$300,13,0)</f>
        <v>21850</v>
      </c>
      <c r="Y85" s="102">
        <f>VLOOKUP(L85,行政合同!$L$6:$CC$300,14,0)</f>
        <v>21850</v>
      </c>
      <c r="Z85" s="102">
        <f>VLOOKUP(L85,行政合同!$L$6:$CC$300,15,0)</f>
        <v>0</v>
      </c>
      <c r="AA85" s="102">
        <f>VLOOKUP(L85,行政合同!$L$6:$CC$300,16,0)</f>
        <v>0</v>
      </c>
      <c r="AB85" s="102">
        <f>VLOOKUP(L85,行政合同!$L$6:$CC$300,17,0)</f>
        <v>0</v>
      </c>
      <c r="AC85" s="102">
        <f>VLOOKUP(L85,行政合同!$L$6:$CC$300,18,0)</f>
        <v>0</v>
      </c>
      <c r="AD85" s="102">
        <f>VLOOKUP(L85,行政合同!$L$6:$CC$300,19,0)</f>
        <v>0</v>
      </c>
      <c r="AE85" s="102">
        <f>VLOOKUP(L85,行政合同!$L$6:$CC$300,20,0)</f>
        <v>0</v>
      </c>
      <c r="AF85" s="102">
        <f>VLOOKUP(L85,行政合同!$L$6:$CC$300,21,0)</f>
        <v>0</v>
      </c>
      <c r="AG85" s="102">
        <f>VLOOKUP(L85,行政合同!$L$6:$CC$300,22,0)</f>
        <v>0</v>
      </c>
      <c r="AH85" s="102">
        <f>VLOOKUP(L85,行政合同!$L$6:$CC$300,23,0)</f>
        <v>0</v>
      </c>
      <c r="AI85" s="102">
        <f>VLOOKUP(L85,行政合同!$L$6:$CC$300,24,0)</f>
        <v>0</v>
      </c>
      <c r="AJ85" s="102">
        <f>VLOOKUP(L85,行政合同!$L$6:$CC$300,25,0)</f>
        <v>0</v>
      </c>
      <c r="AK85" s="102">
        <f>VLOOKUP(L85,行政合同!$L$6:$CC$300,26,0)</f>
        <v>0</v>
      </c>
      <c r="AL85" s="102">
        <f>VLOOKUP(L85,行政合同!$L$6:$CC$300,27,0)</f>
        <v>0</v>
      </c>
      <c r="AM85" s="102">
        <f>VLOOKUP(L85,行政合同!$L$6:$CC$300,28,0)</f>
        <v>0</v>
      </c>
      <c r="AN85" s="102">
        <f>VLOOKUP(L85,行政合同!$L$6:$CC$300,29,0)</f>
        <v>0</v>
      </c>
      <c r="AO85" s="102">
        <f>VLOOKUP(L85,行政合同!$L$6:$CC$300,30,0)</f>
        <v>0</v>
      </c>
      <c r="AP85" s="102">
        <f>VLOOKUP(L85,行政合同!$L$6:$CC$300,31,0)</f>
        <v>0</v>
      </c>
      <c r="AQ85" s="102">
        <f>VLOOKUP(L85,行政合同!$L$6:$CC$300,32,0)</f>
        <v>0</v>
      </c>
      <c r="AR85" s="102">
        <f>VLOOKUP(L85,行政合同!$L$6:$CC$300,33,0)</f>
        <v>0</v>
      </c>
      <c r="AS85" s="102">
        <f>VLOOKUP(L85,行政合同!$L$6:$CC$300,34,0)</f>
        <v>0</v>
      </c>
      <c r="AT85" s="102">
        <f>VLOOKUP(L85,行政合同!$L$6:$CC$300,35,0)</f>
        <v>0</v>
      </c>
      <c r="AU85" s="102">
        <f>VLOOKUP(L85,行政合同!$L$6:$CC$300,36,0)</f>
        <v>0</v>
      </c>
      <c r="AV85" s="102">
        <f>VLOOKUP(L85,行政合同!$L$6:$CC$300,37,0)</f>
        <v>0</v>
      </c>
      <c r="AW85" s="102">
        <f>VLOOKUP(L85,行政合同!$L$6:$CC$300,38,0)</f>
        <v>0</v>
      </c>
      <c r="AX85" s="102">
        <f>VLOOKUP(L85,行政合同!$L$6:$CC$300,39,0)</f>
        <v>0</v>
      </c>
      <c r="AY85" s="102">
        <f>VLOOKUP(L85,行政合同!$L$6:$CC$300,40,0)</f>
        <v>0</v>
      </c>
      <c r="AZ85" s="102">
        <f>VLOOKUP(L85,行政合同!$L$6:$CC$300,41,0)</f>
        <v>0</v>
      </c>
      <c r="BA85" s="102">
        <f>VLOOKUP(L85,行政合同!$L$6:$CC$300,42,0)</f>
        <v>0</v>
      </c>
      <c r="BB85" s="102">
        <f>VLOOKUP(L85,行政合同!$L$6:$CC$300,43,0)</f>
        <v>0</v>
      </c>
      <c r="BC85" s="102">
        <f>VLOOKUP(L85,行政合同!$L$6:$CC$300,44,0)</f>
        <v>0</v>
      </c>
      <c r="BD85" s="102">
        <f>VLOOKUP(L85,行政合同!$L$6:$CC$300,45,0)</f>
        <v>0</v>
      </c>
      <c r="BE85" s="102">
        <f>VLOOKUP(L85,行政合同!$L$6:$CC$300,46,0)</f>
        <v>0</v>
      </c>
      <c r="BF85" s="102">
        <f>VLOOKUP(L85,行政合同!$L$6:$CC$300,47,0)</f>
        <v>0</v>
      </c>
      <c r="BG85" s="102">
        <f>VLOOKUP(L85,行政合同!$L$6:$CC$300,48,0)</f>
        <v>0</v>
      </c>
      <c r="BH85" s="102">
        <f>VLOOKUP(L85,行政合同!$L$6:$CC$300,49,0)</f>
        <v>0</v>
      </c>
      <c r="BI85" s="102">
        <f>VLOOKUP(L85,行政合同!$L$6:$CC$300,50,0)</f>
        <v>0</v>
      </c>
      <c r="BJ85" s="102">
        <f>VLOOKUP(L85,行政合同!$L$6:$CC$300,51,0)</f>
        <v>0</v>
      </c>
      <c r="BK85" s="102">
        <f>VLOOKUP(L85,行政合同!$L$6:$CC$300,52,0)</f>
        <v>0</v>
      </c>
      <c r="BL85" s="102">
        <f>VLOOKUP(L85,行政合同!$L$6:$CC$300,53,0)</f>
        <v>0</v>
      </c>
      <c r="BM85" s="102">
        <f>VLOOKUP(L85,行政合同!$L$6:$CC$300,54,0)</f>
        <v>0</v>
      </c>
      <c r="BN85" s="102">
        <f>VLOOKUP(L85,行政合同!$L$6:$CC$300,55,0)</f>
        <v>0</v>
      </c>
      <c r="BO85" s="102">
        <f>VLOOKUP(L85,行政合同!$L$6:$CC$300,56,0)</f>
        <v>0</v>
      </c>
      <c r="BP85" s="102">
        <f>VLOOKUP(L85,行政合同!$L$6:$CC$300,57,0)</f>
        <v>0</v>
      </c>
      <c r="BQ85" s="102">
        <f>VLOOKUP(L85,行政合同!$L$6:$CC$300,58,0)</f>
        <v>0</v>
      </c>
      <c r="BR85" s="102">
        <f>VLOOKUP(L85,行政合同!$L$6:$CC$300,59,0)</f>
        <v>0</v>
      </c>
      <c r="BS85" s="102">
        <f>VLOOKUP(L85,行政合同!$L$6:$CC$300,60,0)</f>
        <v>0</v>
      </c>
      <c r="BT85" s="102">
        <f>VLOOKUP(L85,行政合同!$L$6:$CC$300,61,0)</f>
        <v>0</v>
      </c>
      <c r="BU85" s="102">
        <f>VLOOKUP(L85,行政合同!$L$6:$CC$300,62,0)</f>
        <v>0</v>
      </c>
      <c r="BV85" s="102">
        <f>VLOOKUP(L85,行政合同!$L$6:$CC$300,63,0)</f>
        <v>0</v>
      </c>
      <c r="BW85" s="102">
        <f>VLOOKUP(L85,行政合同!$L$6:$CC$300,64,0)</f>
        <v>0</v>
      </c>
      <c r="BX85" s="102">
        <f>VLOOKUP(L85,行政合同!$L$6:$CC$300,65,0)</f>
        <v>0</v>
      </c>
      <c r="BY85" s="102">
        <f>VLOOKUP(L85,行政合同!$L$6:$CC$300,66,0)</f>
        <v>0</v>
      </c>
      <c r="BZ85" s="102">
        <f>VLOOKUP(L85,行政合同!$L$6:$CC$300,67,0)</f>
        <v>0</v>
      </c>
      <c r="CA85" s="102">
        <f>VLOOKUP(L85,行政合同!$L$6:$CC$300,68,0)</f>
        <v>0</v>
      </c>
      <c r="CB85" s="102">
        <f>VLOOKUP(L85,行政合同!$L$6:$CC$300,69,0)</f>
        <v>0</v>
      </c>
      <c r="CC85" s="102">
        <f>VLOOKUP(L85,行政合同!$L$6:$CC$300,70,0)</f>
        <v>0</v>
      </c>
      <c r="CD85" s="123">
        <f t="shared" si="33"/>
        <v>21850</v>
      </c>
      <c r="CE85" s="102">
        <f t="shared" si="34"/>
        <v>21850</v>
      </c>
      <c r="CF85" s="102">
        <f t="shared" si="35"/>
        <v>21850</v>
      </c>
      <c r="CG85" s="102">
        <f t="shared" si="36"/>
        <v>0</v>
      </c>
      <c r="CH85" s="124">
        <f t="shared" si="37"/>
        <v>0</v>
      </c>
      <c r="CI85" s="125">
        <f t="shared" si="38"/>
        <v>1</v>
      </c>
      <c r="CJ85" s="126" t="str">
        <f t="shared" si="39"/>
        <v>数据正确</v>
      </c>
    </row>
    <row r="86" s="60" customFormat="1" customHeight="1" spans="2:88">
      <c r="B86" s="70" t="str">
        <f t="shared" si="29"/>
        <v>-</v>
      </c>
      <c r="C86" s="71" t="str">
        <f t="shared" si="30"/>
        <v>已付清</v>
      </c>
      <c r="D86" s="181">
        <f t="shared" si="31"/>
        <v>22050</v>
      </c>
      <c r="E86" s="181">
        <f>SUMIF(行政合同!$L$6:$L$300,L86,行政合同!$E$6:$E$300)</f>
        <v>0</v>
      </c>
      <c r="F86" s="181">
        <f>SUMIF(行政合同!$L$6:$L$300,L86,行政合同!$F$6:$F$300)</f>
        <v>0</v>
      </c>
      <c r="G86" s="181">
        <f>SUMIF(行政合同!$L$6:$L$300,L86,行政合同!$G$6:$G$300)</f>
        <v>0</v>
      </c>
      <c r="H86" s="181">
        <f>SUMIF(行政合同!$L$6:$L$300,L86,行政合同!$H$6:$H$300)</f>
        <v>0</v>
      </c>
      <c r="I86" s="181">
        <f t="shared" si="32"/>
        <v>0</v>
      </c>
      <c r="J86" s="86" t="s">
        <v>98</v>
      </c>
      <c r="K86" s="87"/>
      <c r="L86" s="88">
        <v>81</v>
      </c>
      <c r="M86" s="89" t="str">
        <f>VLOOKUP(L86,行政合同!$L$6:$CC$300,2,0)</f>
        <v>YRKJXZ-160006</v>
      </c>
      <c r="N86" s="90" t="str">
        <f>VLOOKUP(L86,行政合同!$L$6:$CC$300,3,0)</f>
        <v>行政合同</v>
      </c>
      <c r="O86" s="265" t="str">
        <f>VLOOKUP(L86,行政合同!$L$6:$CC$300,4,0)</f>
        <v>-</v>
      </c>
      <c r="P86" s="266">
        <f>VLOOKUP(L86,行政合同!$L$6:$CC$300,5,0)</f>
        <v>42520</v>
      </c>
      <c r="Q86" s="275">
        <f>VLOOKUP(L86,行政合同!$L$6:$CC$300,6,0)</f>
        <v>22050</v>
      </c>
      <c r="R86" s="89" t="str">
        <f>VLOOKUP(L86,行政合同!$L$6:$CC$300,7,0)</f>
        <v>TCL液晶电视21台*1050元/台</v>
      </c>
      <c r="S86" s="89" t="str">
        <f>VLOOKUP(L86,行政合同!$L$6:$CC$300,8,0)</f>
        <v>福建广电网络集团有限公司莆田分公司</v>
      </c>
      <c r="T86" s="107">
        <f>VLOOKUP(L86,行政合同!$L$6:$CC$300,9,0)</f>
        <v>0</v>
      </c>
      <c r="U86" s="103" t="str">
        <f>VLOOKUP(L86,行政合同!$L$6:$CC$300,10,0)</f>
        <v>电汇</v>
      </c>
      <c r="V86" s="276" t="str">
        <f>VLOOKUP(L86,行政合同!$L$6:$CC$300,11,0)</f>
        <v>收到发票，验收合格支付</v>
      </c>
      <c r="W86" s="102">
        <f>VLOOKUP(L86,行政合同!$L$6:$CC$300,12,0)</f>
        <v>22050</v>
      </c>
      <c r="X86" s="102">
        <f>VLOOKUP(L86,行政合同!$L$6:$CC$300,13,0)</f>
        <v>22050</v>
      </c>
      <c r="Y86" s="102">
        <f>VLOOKUP(L86,行政合同!$L$6:$CC$300,14,0)</f>
        <v>22050</v>
      </c>
      <c r="Z86" s="102">
        <f>VLOOKUP(L86,行政合同!$L$6:$CC$300,15,0)</f>
        <v>0</v>
      </c>
      <c r="AA86" s="102">
        <f>VLOOKUP(L86,行政合同!$L$6:$CC$300,16,0)</f>
        <v>0</v>
      </c>
      <c r="AB86" s="102">
        <f>VLOOKUP(L86,行政合同!$L$6:$CC$300,17,0)</f>
        <v>0</v>
      </c>
      <c r="AC86" s="102">
        <f>VLOOKUP(L86,行政合同!$L$6:$CC$300,18,0)</f>
        <v>0</v>
      </c>
      <c r="AD86" s="102">
        <f>VLOOKUP(L86,行政合同!$L$6:$CC$300,19,0)</f>
        <v>0</v>
      </c>
      <c r="AE86" s="102">
        <f>VLOOKUP(L86,行政合同!$L$6:$CC$300,20,0)</f>
        <v>0</v>
      </c>
      <c r="AF86" s="102">
        <f>VLOOKUP(L86,行政合同!$L$6:$CC$300,21,0)</f>
        <v>0</v>
      </c>
      <c r="AG86" s="102">
        <f>VLOOKUP(L86,行政合同!$L$6:$CC$300,22,0)</f>
        <v>0</v>
      </c>
      <c r="AH86" s="102">
        <f>VLOOKUP(L86,行政合同!$L$6:$CC$300,23,0)</f>
        <v>0</v>
      </c>
      <c r="AI86" s="102">
        <f>VLOOKUP(L86,行政合同!$L$6:$CC$300,24,0)</f>
        <v>0</v>
      </c>
      <c r="AJ86" s="102">
        <f>VLOOKUP(L86,行政合同!$L$6:$CC$300,25,0)</f>
        <v>0</v>
      </c>
      <c r="AK86" s="102">
        <f>VLOOKUP(L86,行政合同!$L$6:$CC$300,26,0)</f>
        <v>0</v>
      </c>
      <c r="AL86" s="102">
        <f>VLOOKUP(L86,行政合同!$L$6:$CC$300,27,0)</f>
        <v>0</v>
      </c>
      <c r="AM86" s="102">
        <f>VLOOKUP(L86,行政合同!$L$6:$CC$300,28,0)</f>
        <v>0</v>
      </c>
      <c r="AN86" s="102">
        <f>VLOOKUP(L86,行政合同!$L$6:$CC$300,29,0)</f>
        <v>0</v>
      </c>
      <c r="AO86" s="102">
        <f>VLOOKUP(L86,行政合同!$L$6:$CC$300,30,0)</f>
        <v>0</v>
      </c>
      <c r="AP86" s="102">
        <f>VLOOKUP(L86,行政合同!$L$6:$CC$300,31,0)</f>
        <v>0</v>
      </c>
      <c r="AQ86" s="102">
        <f>VLOOKUP(L86,行政合同!$L$6:$CC$300,32,0)</f>
        <v>0</v>
      </c>
      <c r="AR86" s="102">
        <f>VLOOKUP(L86,行政合同!$L$6:$CC$300,33,0)</f>
        <v>0</v>
      </c>
      <c r="AS86" s="102">
        <f>VLOOKUP(L86,行政合同!$L$6:$CC$300,34,0)</f>
        <v>0</v>
      </c>
      <c r="AT86" s="102">
        <f>VLOOKUP(L86,行政合同!$L$6:$CC$300,35,0)</f>
        <v>0</v>
      </c>
      <c r="AU86" s="102">
        <f>VLOOKUP(L86,行政合同!$L$6:$CC$300,36,0)</f>
        <v>0</v>
      </c>
      <c r="AV86" s="102">
        <f>VLOOKUP(L86,行政合同!$L$6:$CC$300,37,0)</f>
        <v>0</v>
      </c>
      <c r="AW86" s="102">
        <f>VLOOKUP(L86,行政合同!$L$6:$CC$300,38,0)</f>
        <v>0</v>
      </c>
      <c r="AX86" s="102">
        <f>VLOOKUP(L86,行政合同!$L$6:$CC$300,39,0)</f>
        <v>0</v>
      </c>
      <c r="AY86" s="102">
        <f>VLOOKUP(L86,行政合同!$L$6:$CC$300,40,0)</f>
        <v>0</v>
      </c>
      <c r="AZ86" s="102">
        <f>VLOOKUP(L86,行政合同!$L$6:$CC$300,41,0)</f>
        <v>0</v>
      </c>
      <c r="BA86" s="102">
        <f>VLOOKUP(L86,行政合同!$L$6:$CC$300,42,0)</f>
        <v>0</v>
      </c>
      <c r="BB86" s="102">
        <f>VLOOKUP(L86,行政合同!$L$6:$CC$300,43,0)</f>
        <v>0</v>
      </c>
      <c r="BC86" s="102">
        <f>VLOOKUP(L86,行政合同!$L$6:$CC$300,44,0)</f>
        <v>0</v>
      </c>
      <c r="BD86" s="102">
        <f>VLOOKUP(L86,行政合同!$L$6:$CC$300,45,0)</f>
        <v>0</v>
      </c>
      <c r="BE86" s="102">
        <f>VLOOKUP(L86,行政合同!$L$6:$CC$300,46,0)</f>
        <v>0</v>
      </c>
      <c r="BF86" s="102">
        <f>VLOOKUP(L86,行政合同!$L$6:$CC$300,47,0)</f>
        <v>0</v>
      </c>
      <c r="BG86" s="102">
        <f>VLOOKUP(L86,行政合同!$L$6:$CC$300,48,0)</f>
        <v>0</v>
      </c>
      <c r="BH86" s="102">
        <f>VLOOKUP(L86,行政合同!$L$6:$CC$300,49,0)</f>
        <v>0</v>
      </c>
      <c r="BI86" s="102">
        <f>VLOOKUP(L86,行政合同!$L$6:$CC$300,50,0)</f>
        <v>0</v>
      </c>
      <c r="BJ86" s="102">
        <f>VLOOKUP(L86,行政合同!$L$6:$CC$300,51,0)</f>
        <v>0</v>
      </c>
      <c r="BK86" s="102">
        <f>VLOOKUP(L86,行政合同!$L$6:$CC$300,52,0)</f>
        <v>0</v>
      </c>
      <c r="BL86" s="102">
        <f>VLOOKUP(L86,行政合同!$L$6:$CC$300,53,0)</f>
        <v>0</v>
      </c>
      <c r="BM86" s="102">
        <f>VLOOKUP(L86,行政合同!$L$6:$CC$300,54,0)</f>
        <v>0</v>
      </c>
      <c r="BN86" s="102">
        <f>VLOOKUP(L86,行政合同!$L$6:$CC$300,55,0)</f>
        <v>0</v>
      </c>
      <c r="BO86" s="102">
        <f>VLOOKUP(L86,行政合同!$L$6:$CC$300,56,0)</f>
        <v>0</v>
      </c>
      <c r="BP86" s="102">
        <f>VLOOKUP(L86,行政合同!$L$6:$CC$300,57,0)</f>
        <v>0</v>
      </c>
      <c r="BQ86" s="102">
        <f>VLOOKUP(L86,行政合同!$L$6:$CC$300,58,0)</f>
        <v>0</v>
      </c>
      <c r="BR86" s="102">
        <f>VLOOKUP(L86,行政合同!$L$6:$CC$300,59,0)</f>
        <v>0</v>
      </c>
      <c r="BS86" s="102">
        <f>VLOOKUP(L86,行政合同!$L$6:$CC$300,60,0)</f>
        <v>0</v>
      </c>
      <c r="BT86" s="102">
        <f>VLOOKUP(L86,行政合同!$L$6:$CC$300,61,0)</f>
        <v>0</v>
      </c>
      <c r="BU86" s="102">
        <f>VLOOKUP(L86,行政合同!$L$6:$CC$300,62,0)</f>
        <v>0</v>
      </c>
      <c r="BV86" s="102">
        <f>VLOOKUP(L86,行政合同!$L$6:$CC$300,63,0)</f>
        <v>0</v>
      </c>
      <c r="BW86" s="102">
        <f>VLOOKUP(L86,行政合同!$L$6:$CC$300,64,0)</f>
        <v>0</v>
      </c>
      <c r="BX86" s="102">
        <f>VLOOKUP(L86,行政合同!$L$6:$CC$300,65,0)</f>
        <v>0</v>
      </c>
      <c r="BY86" s="102">
        <f>VLOOKUP(L86,行政合同!$L$6:$CC$300,66,0)</f>
        <v>0</v>
      </c>
      <c r="BZ86" s="102">
        <f>VLOOKUP(L86,行政合同!$L$6:$CC$300,67,0)</f>
        <v>0</v>
      </c>
      <c r="CA86" s="102">
        <f>VLOOKUP(L86,行政合同!$L$6:$CC$300,68,0)</f>
        <v>0</v>
      </c>
      <c r="CB86" s="102">
        <f>VLOOKUP(L86,行政合同!$L$6:$CC$300,69,0)</f>
        <v>0</v>
      </c>
      <c r="CC86" s="102">
        <f>VLOOKUP(L86,行政合同!$L$6:$CC$300,70,0)</f>
        <v>0</v>
      </c>
      <c r="CD86" s="123">
        <f t="shared" si="33"/>
        <v>22050</v>
      </c>
      <c r="CE86" s="102">
        <f t="shared" si="34"/>
        <v>22050</v>
      </c>
      <c r="CF86" s="102">
        <f t="shared" si="35"/>
        <v>22050</v>
      </c>
      <c r="CG86" s="102">
        <f t="shared" si="36"/>
        <v>0</v>
      </c>
      <c r="CH86" s="124">
        <f t="shared" si="37"/>
        <v>0</v>
      </c>
      <c r="CI86" s="125">
        <f t="shared" si="38"/>
        <v>1</v>
      </c>
      <c r="CJ86" s="126" t="str">
        <f t="shared" si="39"/>
        <v>数据正确</v>
      </c>
    </row>
    <row r="87" s="60" customFormat="1" customHeight="1" spans="2:88">
      <c r="B87" s="70" t="str">
        <f t="shared" si="29"/>
        <v>-</v>
      </c>
      <c r="C87" s="71" t="str">
        <f t="shared" si="30"/>
        <v>-</v>
      </c>
      <c r="D87" s="181">
        <f t="shared" si="31"/>
        <v>32585</v>
      </c>
      <c r="E87" s="181">
        <f>SUMIF(行政合同!$L$6:$L$300,L87,行政合同!$E$6:$E$300)</f>
        <v>0</v>
      </c>
      <c r="F87" s="181">
        <f>SUMIF(行政合同!$L$6:$L$300,L87,行政合同!$F$6:$F$300)</f>
        <v>0</v>
      </c>
      <c r="G87" s="181">
        <f>SUMIF(行政合同!$L$6:$L$300,L87,行政合同!$G$6:$G$300)</f>
        <v>0</v>
      </c>
      <c r="H87" s="181">
        <f>SUMIF(行政合同!$L$6:$L$300,L87,行政合同!$H$6:$H$300)</f>
        <v>0</v>
      </c>
      <c r="I87" s="181">
        <f t="shared" si="32"/>
        <v>0</v>
      </c>
      <c r="J87" s="86" t="s">
        <v>98</v>
      </c>
      <c r="K87" s="87"/>
      <c r="L87" s="88">
        <v>82</v>
      </c>
      <c r="M87" s="89" t="str">
        <f>VLOOKUP(L87,行政合同!$L$6:$CC$300,2,0)</f>
        <v>YRKJXZ-160007</v>
      </c>
      <c r="N87" s="90" t="str">
        <f>VLOOKUP(L87,行政合同!$L$6:$CC$300,3,0)</f>
        <v>行政合同</v>
      </c>
      <c r="O87" s="265" t="str">
        <f>VLOOKUP(L87,行政合同!$L$6:$CC$300,4,0)</f>
        <v>-</v>
      </c>
      <c r="P87" s="266">
        <f>VLOOKUP(L87,行政合同!$L$6:$CC$300,5,0)</f>
        <v>42595</v>
      </c>
      <c r="Q87" s="275">
        <f>VLOOKUP(L87,行政合同!$L$6:$CC$300,6,0)</f>
        <v>34300</v>
      </c>
      <c r="R87" s="89" t="str">
        <f>VLOOKUP(L87,行政合同!$L$6:$CC$300,7,0)</f>
        <v>办公及宿舍家具（圆桌、凳子、茶几等）</v>
      </c>
      <c r="S87" s="89" t="str">
        <f>VLOOKUP(L87,行政合同!$L$6:$CC$300,8,0)</f>
        <v>福州市仓山区恒通日用品经营部</v>
      </c>
      <c r="T87" s="107">
        <f>VLOOKUP(L87,行政合同!$L$6:$CC$300,9,0)</f>
        <v>0</v>
      </c>
      <c r="U87" s="103" t="str">
        <f>VLOOKUP(L87,行政合同!$L$6:$CC$300,10,0)</f>
        <v>6个月承兑汇票</v>
      </c>
      <c r="V87" s="276" t="str">
        <f>VLOOKUP(L87,行政合同!$L$6:$CC$300,11,0)</f>
        <v>收到发票，验收合格支付95%</v>
      </c>
      <c r="W87" s="102">
        <f>VLOOKUP(L87,行政合同!$L$6:$CC$300,12,0)</f>
        <v>32585</v>
      </c>
      <c r="X87" s="102">
        <f>VLOOKUP(L87,行政合同!$L$6:$CC$300,13,0)</f>
        <v>32585</v>
      </c>
      <c r="Y87" s="102">
        <f>VLOOKUP(L87,行政合同!$L$6:$CC$300,14,0)</f>
        <v>32585</v>
      </c>
      <c r="Z87" s="102" t="str">
        <f>VLOOKUP(L87,行政合同!$L$6:$CC$300,15,0)</f>
        <v>5%质保金，一年</v>
      </c>
      <c r="AA87" s="102">
        <f>VLOOKUP(L87,行政合同!$L$6:$CC$300,16,0)</f>
        <v>1715</v>
      </c>
      <c r="AB87" s="102">
        <f>VLOOKUP(L87,行政合同!$L$6:$CC$300,17,0)</f>
        <v>0</v>
      </c>
      <c r="AC87" s="102">
        <f>VLOOKUP(L87,行政合同!$L$6:$CC$300,18,0)</f>
        <v>0</v>
      </c>
      <c r="AD87" s="102">
        <f>VLOOKUP(L87,行政合同!$L$6:$CC$300,19,0)</f>
        <v>0</v>
      </c>
      <c r="AE87" s="102">
        <f>VLOOKUP(L87,行政合同!$L$6:$CC$300,20,0)</f>
        <v>0</v>
      </c>
      <c r="AF87" s="102">
        <f>VLOOKUP(L87,行政合同!$L$6:$CC$300,21,0)</f>
        <v>0</v>
      </c>
      <c r="AG87" s="102">
        <f>VLOOKUP(L87,行政合同!$L$6:$CC$300,22,0)</f>
        <v>0</v>
      </c>
      <c r="AH87" s="102">
        <f>VLOOKUP(L87,行政合同!$L$6:$CC$300,23,0)</f>
        <v>0</v>
      </c>
      <c r="AI87" s="102">
        <f>VLOOKUP(L87,行政合同!$L$6:$CC$300,24,0)</f>
        <v>0</v>
      </c>
      <c r="AJ87" s="102">
        <f>VLOOKUP(L87,行政合同!$L$6:$CC$300,25,0)</f>
        <v>0</v>
      </c>
      <c r="AK87" s="102">
        <f>VLOOKUP(L87,行政合同!$L$6:$CC$300,26,0)</f>
        <v>0</v>
      </c>
      <c r="AL87" s="102">
        <f>VLOOKUP(L87,行政合同!$L$6:$CC$300,27,0)</f>
        <v>0</v>
      </c>
      <c r="AM87" s="102">
        <f>VLOOKUP(L87,行政合同!$L$6:$CC$300,28,0)</f>
        <v>0</v>
      </c>
      <c r="AN87" s="102">
        <f>VLOOKUP(L87,行政合同!$L$6:$CC$300,29,0)</f>
        <v>0</v>
      </c>
      <c r="AO87" s="102">
        <f>VLOOKUP(L87,行政合同!$L$6:$CC$300,30,0)</f>
        <v>0</v>
      </c>
      <c r="AP87" s="102">
        <f>VLOOKUP(L87,行政合同!$L$6:$CC$300,31,0)</f>
        <v>0</v>
      </c>
      <c r="AQ87" s="102">
        <f>VLOOKUP(L87,行政合同!$L$6:$CC$300,32,0)</f>
        <v>0</v>
      </c>
      <c r="AR87" s="102">
        <f>VLOOKUP(L87,行政合同!$L$6:$CC$300,33,0)</f>
        <v>0</v>
      </c>
      <c r="AS87" s="102">
        <f>VLOOKUP(L87,行政合同!$L$6:$CC$300,34,0)</f>
        <v>0</v>
      </c>
      <c r="AT87" s="102">
        <f>VLOOKUP(L87,行政合同!$L$6:$CC$300,35,0)</f>
        <v>0</v>
      </c>
      <c r="AU87" s="102">
        <f>VLOOKUP(L87,行政合同!$L$6:$CC$300,36,0)</f>
        <v>0</v>
      </c>
      <c r="AV87" s="102">
        <f>VLOOKUP(L87,行政合同!$L$6:$CC$300,37,0)</f>
        <v>0</v>
      </c>
      <c r="AW87" s="102">
        <f>VLOOKUP(L87,行政合同!$L$6:$CC$300,38,0)</f>
        <v>0</v>
      </c>
      <c r="AX87" s="102">
        <f>VLOOKUP(L87,行政合同!$L$6:$CC$300,39,0)</f>
        <v>0</v>
      </c>
      <c r="AY87" s="102">
        <f>VLOOKUP(L87,行政合同!$L$6:$CC$300,40,0)</f>
        <v>0</v>
      </c>
      <c r="AZ87" s="102">
        <f>VLOOKUP(L87,行政合同!$L$6:$CC$300,41,0)</f>
        <v>0</v>
      </c>
      <c r="BA87" s="102">
        <f>VLOOKUP(L87,行政合同!$L$6:$CC$300,42,0)</f>
        <v>0</v>
      </c>
      <c r="BB87" s="102">
        <f>VLOOKUP(L87,行政合同!$L$6:$CC$300,43,0)</f>
        <v>0</v>
      </c>
      <c r="BC87" s="102">
        <f>VLOOKUP(L87,行政合同!$L$6:$CC$300,44,0)</f>
        <v>0</v>
      </c>
      <c r="BD87" s="102">
        <f>VLOOKUP(L87,行政合同!$L$6:$CC$300,45,0)</f>
        <v>0</v>
      </c>
      <c r="BE87" s="102">
        <f>VLOOKUP(L87,行政合同!$L$6:$CC$300,46,0)</f>
        <v>0</v>
      </c>
      <c r="BF87" s="102">
        <f>VLOOKUP(L87,行政合同!$L$6:$CC$300,47,0)</f>
        <v>0</v>
      </c>
      <c r="BG87" s="102">
        <f>VLOOKUP(L87,行政合同!$L$6:$CC$300,48,0)</f>
        <v>0</v>
      </c>
      <c r="BH87" s="102">
        <f>VLOOKUP(L87,行政合同!$L$6:$CC$300,49,0)</f>
        <v>0</v>
      </c>
      <c r="BI87" s="102">
        <f>VLOOKUP(L87,行政合同!$L$6:$CC$300,50,0)</f>
        <v>0</v>
      </c>
      <c r="BJ87" s="102">
        <f>VLOOKUP(L87,行政合同!$L$6:$CC$300,51,0)</f>
        <v>0</v>
      </c>
      <c r="BK87" s="102">
        <f>VLOOKUP(L87,行政合同!$L$6:$CC$300,52,0)</f>
        <v>0</v>
      </c>
      <c r="BL87" s="102">
        <f>VLOOKUP(L87,行政合同!$L$6:$CC$300,53,0)</f>
        <v>0</v>
      </c>
      <c r="BM87" s="102">
        <f>VLOOKUP(L87,行政合同!$L$6:$CC$300,54,0)</f>
        <v>0</v>
      </c>
      <c r="BN87" s="102">
        <f>VLOOKUP(L87,行政合同!$L$6:$CC$300,55,0)</f>
        <v>0</v>
      </c>
      <c r="BO87" s="102">
        <f>VLOOKUP(L87,行政合同!$L$6:$CC$300,56,0)</f>
        <v>0</v>
      </c>
      <c r="BP87" s="102">
        <f>VLOOKUP(L87,行政合同!$L$6:$CC$300,57,0)</f>
        <v>0</v>
      </c>
      <c r="BQ87" s="102">
        <f>VLOOKUP(L87,行政合同!$L$6:$CC$300,58,0)</f>
        <v>0</v>
      </c>
      <c r="BR87" s="102">
        <f>VLOOKUP(L87,行政合同!$L$6:$CC$300,59,0)</f>
        <v>0</v>
      </c>
      <c r="BS87" s="102">
        <f>VLOOKUP(L87,行政合同!$L$6:$CC$300,60,0)</f>
        <v>0</v>
      </c>
      <c r="BT87" s="102">
        <f>VLOOKUP(L87,行政合同!$L$6:$CC$300,61,0)</f>
        <v>0</v>
      </c>
      <c r="BU87" s="102">
        <f>VLOOKUP(L87,行政合同!$L$6:$CC$300,62,0)</f>
        <v>0</v>
      </c>
      <c r="BV87" s="102">
        <f>VLOOKUP(L87,行政合同!$L$6:$CC$300,63,0)</f>
        <v>0</v>
      </c>
      <c r="BW87" s="102">
        <f>VLOOKUP(L87,行政合同!$L$6:$CC$300,64,0)</f>
        <v>0</v>
      </c>
      <c r="BX87" s="102">
        <f>VLOOKUP(L87,行政合同!$L$6:$CC$300,65,0)</f>
        <v>0</v>
      </c>
      <c r="BY87" s="102">
        <f>VLOOKUP(L87,行政合同!$L$6:$CC$300,66,0)</f>
        <v>0</v>
      </c>
      <c r="BZ87" s="102">
        <f>VLOOKUP(L87,行政合同!$L$6:$CC$300,67,0)</f>
        <v>0</v>
      </c>
      <c r="CA87" s="102">
        <f>VLOOKUP(L87,行政合同!$L$6:$CC$300,68,0)</f>
        <v>0</v>
      </c>
      <c r="CB87" s="102">
        <f>VLOOKUP(L87,行政合同!$L$6:$CC$300,69,0)</f>
        <v>0</v>
      </c>
      <c r="CC87" s="102">
        <f>VLOOKUP(L87,行政合同!$L$6:$CC$300,70,0)</f>
        <v>0</v>
      </c>
      <c r="CD87" s="123">
        <f t="shared" si="33"/>
        <v>34300</v>
      </c>
      <c r="CE87" s="102">
        <f t="shared" si="34"/>
        <v>32585</v>
      </c>
      <c r="CF87" s="102">
        <f t="shared" si="35"/>
        <v>32585</v>
      </c>
      <c r="CG87" s="102">
        <f t="shared" si="36"/>
        <v>0</v>
      </c>
      <c r="CH87" s="124">
        <f t="shared" si="37"/>
        <v>1715</v>
      </c>
      <c r="CI87" s="125">
        <f t="shared" si="38"/>
        <v>0.95</v>
      </c>
      <c r="CJ87" s="126" t="str">
        <f t="shared" si="39"/>
        <v>数据正确</v>
      </c>
    </row>
    <row r="88" s="60" customFormat="1" customHeight="1" spans="2:88">
      <c r="B88" s="70" t="str">
        <f t="shared" si="29"/>
        <v>-</v>
      </c>
      <c r="C88" s="71" t="str">
        <f t="shared" si="30"/>
        <v>已付清</v>
      </c>
      <c r="D88" s="181">
        <f t="shared" si="31"/>
        <v>5000</v>
      </c>
      <c r="E88" s="181">
        <f>SUMIF(行政合同!$L$6:$L$300,L88,行政合同!$E$6:$E$300)</f>
        <v>0</v>
      </c>
      <c r="F88" s="181">
        <f>SUMIF(行政合同!$L$6:$L$300,L88,行政合同!$F$6:$F$300)</f>
        <v>0</v>
      </c>
      <c r="G88" s="181">
        <f>SUMIF(行政合同!$L$6:$L$300,L88,行政合同!$G$6:$G$300)</f>
        <v>0</v>
      </c>
      <c r="H88" s="181">
        <f>SUMIF(行政合同!$L$6:$L$300,L88,行政合同!$H$6:$H$300)</f>
        <v>0</v>
      </c>
      <c r="I88" s="181">
        <f t="shared" si="32"/>
        <v>0</v>
      </c>
      <c r="J88" s="86" t="s">
        <v>98</v>
      </c>
      <c r="K88" s="87"/>
      <c r="L88" s="88">
        <v>83</v>
      </c>
      <c r="M88" s="89" t="str">
        <f>VLOOKUP(L88,行政合同!$L$6:$CC$300,2,0)</f>
        <v>YRKJXZ-160008</v>
      </c>
      <c r="N88" s="90" t="str">
        <f>VLOOKUP(L88,行政合同!$L$6:$CC$300,3,0)</f>
        <v>行政合同</v>
      </c>
      <c r="O88" s="265" t="str">
        <f>VLOOKUP(L88,行政合同!$L$6:$CC$300,4,0)</f>
        <v>-</v>
      </c>
      <c r="P88" s="266">
        <f>VLOOKUP(L88,行政合同!$L$6:$CC$300,5,0)</f>
        <v>42590</v>
      </c>
      <c r="Q88" s="275">
        <f>VLOOKUP(L88,行政合同!$L$6:$CC$300,6,0)</f>
        <v>5000</v>
      </c>
      <c r="R88" s="89" t="str">
        <f>VLOOKUP(L88,行政合同!$L$6:$CC$300,7,0)</f>
        <v>联想笔记本电脑1台</v>
      </c>
      <c r="S88" s="89" t="str">
        <f>VLOOKUP(L88,行政合同!$L$6:$CC$300,8,0)</f>
        <v>福州威迅电子有限公司</v>
      </c>
      <c r="T88" s="107">
        <f>VLOOKUP(L88,行政合同!$L$6:$CC$300,9,0)</f>
        <v>0</v>
      </c>
      <c r="U88" s="103" t="str">
        <f>VLOOKUP(L88,行政合同!$L$6:$CC$300,10,0)</f>
        <v>电汇</v>
      </c>
      <c r="V88" s="276" t="str">
        <f>VLOOKUP(L88,行政合同!$L$6:$CC$300,11,0)</f>
        <v>收到发票，验收合格支付</v>
      </c>
      <c r="W88" s="102">
        <f>VLOOKUP(L88,行政合同!$L$6:$CC$300,12,0)</f>
        <v>5000</v>
      </c>
      <c r="X88" s="102">
        <f>VLOOKUP(L88,行政合同!$L$6:$CC$300,13,0)</f>
        <v>5000</v>
      </c>
      <c r="Y88" s="102">
        <f>VLOOKUP(L88,行政合同!$L$6:$CC$300,14,0)</f>
        <v>5000</v>
      </c>
      <c r="Z88" s="102">
        <f>VLOOKUP(L88,行政合同!$L$6:$CC$300,15,0)</f>
        <v>0</v>
      </c>
      <c r="AA88" s="102">
        <f>VLOOKUP(L88,行政合同!$L$6:$CC$300,16,0)</f>
        <v>0</v>
      </c>
      <c r="AB88" s="102">
        <f>VLOOKUP(L88,行政合同!$L$6:$CC$300,17,0)</f>
        <v>0</v>
      </c>
      <c r="AC88" s="102">
        <f>VLOOKUP(L88,行政合同!$L$6:$CC$300,18,0)</f>
        <v>0</v>
      </c>
      <c r="AD88" s="102">
        <f>VLOOKUP(L88,行政合同!$L$6:$CC$300,19,0)</f>
        <v>0</v>
      </c>
      <c r="AE88" s="102">
        <f>VLOOKUP(L88,行政合同!$L$6:$CC$300,20,0)</f>
        <v>0</v>
      </c>
      <c r="AF88" s="102">
        <f>VLOOKUP(L88,行政合同!$L$6:$CC$300,21,0)</f>
        <v>0</v>
      </c>
      <c r="AG88" s="102">
        <f>VLOOKUP(L88,行政合同!$L$6:$CC$300,22,0)</f>
        <v>0</v>
      </c>
      <c r="AH88" s="102">
        <f>VLOOKUP(L88,行政合同!$L$6:$CC$300,23,0)</f>
        <v>0</v>
      </c>
      <c r="AI88" s="102">
        <f>VLOOKUP(L88,行政合同!$L$6:$CC$300,24,0)</f>
        <v>0</v>
      </c>
      <c r="AJ88" s="102">
        <f>VLOOKUP(L88,行政合同!$L$6:$CC$300,25,0)</f>
        <v>0</v>
      </c>
      <c r="AK88" s="102">
        <f>VLOOKUP(L88,行政合同!$L$6:$CC$300,26,0)</f>
        <v>0</v>
      </c>
      <c r="AL88" s="102">
        <f>VLOOKUP(L88,行政合同!$L$6:$CC$300,27,0)</f>
        <v>0</v>
      </c>
      <c r="AM88" s="102">
        <f>VLOOKUP(L88,行政合同!$L$6:$CC$300,28,0)</f>
        <v>0</v>
      </c>
      <c r="AN88" s="102">
        <f>VLOOKUP(L88,行政合同!$L$6:$CC$300,29,0)</f>
        <v>0</v>
      </c>
      <c r="AO88" s="102">
        <f>VLOOKUP(L88,行政合同!$L$6:$CC$300,30,0)</f>
        <v>0</v>
      </c>
      <c r="AP88" s="102">
        <f>VLOOKUP(L88,行政合同!$L$6:$CC$300,31,0)</f>
        <v>0</v>
      </c>
      <c r="AQ88" s="102">
        <f>VLOOKUP(L88,行政合同!$L$6:$CC$300,32,0)</f>
        <v>0</v>
      </c>
      <c r="AR88" s="102">
        <f>VLOOKUP(L88,行政合同!$L$6:$CC$300,33,0)</f>
        <v>0</v>
      </c>
      <c r="AS88" s="102">
        <f>VLOOKUP(L88,行政合同!$L$6:$CC$300,34,0)</f>
        <v>0</v>
      </c>
      <c r="AT88" s="102">
        <f>VLOOKUP(L88,行政合同!$L$6:$CC$300,35,0)</f>
        <v>0</v>
      </c>
      <c r="AU88" s="102">
        <f>VLOOKUP(L88,行政合同!$L$6:$CC$300,36,0)</f>
        <v>0</v>
      </c>
      <c r="AV88" s="102">
        <f>VLOOKUP(L88,行政合同!$L$6:$CC$300,37,0)</f>
        <v>0</v>
      </c>
      <c r="AW88" s="102">
        <f>VLOOKUP(L88,行政合同!$L$6:$CC$300,38,0)</f>
        <v>0</v>
      </c>
      <c r="AX88" s="102">
        <f>VLOOKUP(L88,行政合同!$L$6:$CC$300,39,0)</f>
        <v>0</v>
      </c>
      <c r="AY88" s="102">
        <f>VLOOKUP(L88,行政合同!$L$6:$CC$300,40,0)</f>
        <v>0</v>
      </c>
      <c r="AZ88" s="102">
        <f>VLOOKUP(L88,行政合同!$L$6:$CC$300,41,0)</f>
        <v>0</v>
      </c>
      <c r="BA88" s="102">
        <f>VLOOKUP(L88,行政合同!$L$6:$CC$300,42,0)</f>
        <v>0</v>
      </c>
      <c r="BB88" s="102">
        <f>VLOOKUP(L88,行政合同!$L$6:$CC$300,43,0)</f>
        <v>0</v>
      </c>
      <c r="BC88" s="102">
        <f>VLOOKUP(L88,行政合同!$L$6:$CC$300,44,0)</f>
        <v>0</v>
      </c>
      <c r="BD88" s="102">
        <f>VLOOKUP(L88,行政合同!$L$6:$CC$300,45,0)</f>
        <v>0</v>
      </c>
      <c r="BE88" s="102">
        <f>VLOOKUP(L88,行政合同!$L$6:$CC$300,46,0)</f>
        <v>0</v>
      </c>
      <c r="BF88" s="102">
        <f>VLOOKUP(L88,行政合同!$L$6:$CC$300,47,0)</f>
        <v>0</v>
      </c>
      <c r="BG88" s="102">
        <f>VLOOKUP(L88,行政合同!$L$6:$CC$300,48,0)</f>
        <v>0</v>
      </c>
      <c r="BH88" s="102">
        <f>VLOOKUP(L88,行政合同!$L$6:$CC$300,49,0)</f>
        <v>0</v>
      </c>
      <c r="BI88" s="102">
        <f>VLOOKUP(L88,行政合同!$L$6:$CC$300,50,0)</f>
        <v>0</v>
      </c>
      <c r="BJ88" s="102">
        <f>VLOOKUP(L88,行政合同!$L$6:$CC$300,51,0)</f>
        <v>0</v>
      </c>
      <c r="BK88" s="102">
        <f>VLOOKUP(L88,行政合同!$L$6:$CC$300,52,0)</f>
        <v>0</v>
      </c>
      <c r="BL88" s="102">
        <f>VLOOKUP(L88,行政合同!$L$6:$CC$300,53,0)</f>
        <v>0</v>
      </c>
      <c r="BM88" s="102">
        <f>VLOOKUP(L88,行政合同!$L$6:$CC$300,54,0)</f>
        <v>0</v>
      </c>
      <c r="BN88" s="102">
        <f>VLOOKUP(L88,行政合同!$L$6:$CC$300,55,0)</f>
        <v>0</v>
      </c>
      <c r="BO88" s="102">
        <f>VLOOKUP(L88,行政合同!$L$6:$CC$300,56,0)</f>
        <v>0</v>
      </c>
      <c r="BP88" s="102">
        <f>VLOOKUP(L88,行政合同!$L$6:$CC$300,57,0)</f>
        <v>0</v>
      </c>
      <c r="BQ88" s="102">
        <f>VLOOKUP(L88,行政合同!$L$6:$CC$300,58,0)</f>
        <v>0</v>
      </c>
      <c r="BR88" s="102">
        <f>VLOOKUP(L88,行政合同!$L$6:$CC$300,59,0)</f>
        <v>0</v>
      </c>
      <c r="BS88" s="102">
        <f>VLOOKUP(L88,行政合同!$L$6:$CC$300,60,0)</f>
        <v>0</v>
      </c>
      <c r="BT88" s="102">
        <f>VLOOKUP(L88,行政合同!$L$6:$CC$300,61,0)</f>
        <v>0</v>
      </c>
      <c r="BU88" s="102">
        <f>VLOOKUP(L88,行政合同!$L$6:$CC$300,62,0)</f>
        <v>0</v>
      </c>
      <c r="BV88" s="102">
        <f>VLOOKUP(L88,行政合同!$L$6:$CC$300,63,0)</f>
        <v>0</v>
      </c>
      <c r="BW88" s="102">
        <f>VLOOKUP(L88,行政合同!$L$6:$CC$300,64,0)</f>
        <v>0</v>
      </c>
      <c r="BX88" s="102">
        <f>VLOOKUP(L88,行政合同!$L$6:$CC$300,65,0)</f>
        <v>0</v>
      </c>
      <c r="BY88" s="102">
        <f>VLOOKUP(L88,行政合同!$L$6:$CC$300,66,0)</f>
        <v>0</v>
      </c>
      <c r="BZ88" s="102">
        <f>VLOOKUP(L88,行政合同!$L$6:$CC$300,67,0)</f>
        <v>0</v>
      </c>
      <c r="CA88" s="102">
        <f>VLOOKUP(L88,行政合同!$L$6:$CC$300,68,0)</f>
        <v>0</v>
      </c>
      <c r="CB88" s="102">
        <f>VLOOKUP(L88,行政合同!$L$6:$CC$300,69,0)</f>
        <v>0</v>
      </c>
      <c r="CC88" s="102">
        <f>VLOOKUP(L88,行政合同!$L$6:$CC$300,70,0)</f>
        <v>0</v>
      </c>
      <c r="CD88" s="123">
        <f t="shared" si="33"/>
        <v>5000</v>
      </c>
      <c r="CE88" s="102">
        <f t="shared" si="34"/>
        <v>5000</v>
      </c>
      <c r="CF88" s="102">
        <f t="shared" si="35"/>
        <v>5000</v>
      </c>
      <c r="CG88" s="102">
        <f t="shared" si="36"/>
        <v>0</v>
      </c>
      <c r="CH88" s="124">
        <f t="shared" si="37"/>
        <v>0</v>
      </c>
      <c r="CI88" s="125">
        <f t="shared" si="38"/>
        <v>1</v>
      </c>
      <c r="CJ88" s="126" t="str">
        <f t="shared" si="39"/>
        <v>数据正确</v>
      </c>
    </row>
    <row r="89" s="60" customFormat="1" customHeight="1" spans="2:88">
      <c r="B89" s="70" t="str">
        <f t="shared" si="29"/>
        <v>-</v>
      </c>
      <c r="C89" s="71" t="str">
        <f t="shared" si="30"/>
        <v>已付清</v>
      </c>
      <c r="D89" s="181">
        <f t="shared" si="31"/>
        <v>25728</v>
      </c>
      <c r="E89" s="181">
        <f>SUMIF(材料合同!$L$6:$L$305,L89,材料合同!$E$6:$E$305)</f>
        <v>0</v>
      </c>
      <c r="F89" s="181">
        <f>SUMIF(材料合同!$L$6:$L$305,L89,材料合同!$F$6:$F$305)</f>
        <v>0</v>
      </c>
      <c r="G89" s="181">
        <f>SUMIF(材料合同!$L$6:$L$305,L89,材料合同!$G$6:$G$305)</f>
        <v>0</v>
      </c>
      <c r="H89" s="181">
        <f>SUMIF(材料合同!$L$6:$L$305,L89,材料合同!$H$6:$H$305)</f>
        <v>0</v>
      </c>
      <c r="I89" s="181">
        <f t="shared" si="32"/>
        <v>0</v>
      </c>
      <c r="J89" s="86" t="s">
        <v>98</v>
      </c>
      <c r="K89" s="87"/>
      <c r="L89" s="88">
        <v>84</v>
      </c>
      <c r="M89" s="89" t="str">
        <f>VLOOKUP(L89,材料合同!$L$6:$CC$305,2,0)</f>
        <v>YRKJXZ-160010</v>
      </c>
      <c r="N89" s="90" t="str">
        <f>VLOOKUP(L89,材料合同!$L$6:$CC$305,3,0)</f>
        <v>材料合同</v>
      </c>
      <c r="O89" s="265" t="str">
        <f>VLOOKUP(L89,材料合同!$L$6:$CC$305,4,0)</f>
        <v>-</v>
      </c>
      <c r="P89" s="266">
        <f>VLOOKUP(L89,材料合同!$L$6:$CC$305,5,0)</f>
        <v>42598</v>
      </c>
      <c r="Q89" s="275">
        <f>VLOOKUP(L89,材料合同!$L$6:$CC$305,6,0)</f>
        <v>25728</v>
      </c>
      <c r="R89" s="89" t="str">
        <f>VLOOKUP(L89,材料合同!$L$6:$CC$305,7,0)</f>
        <v>聚丙烯管402米*64元/米</v>
      </c>
      <c r="S89" s="89" t="str">
        <f>VLOOKUP(L89,材料合同!$L$6:$CC$305,8,0)</f>
        <v>福州万年通管道材料有限公司</v>
      </c>
      <c r="T89" s="107">
        <f>VLOOKUP(L89,材料合同!$L$6:$CC$305,9,0)</f>
        <v>0</v>
      </c>
      <c r="U89" s="103" t="str">
        <f>VLOOKUP(L89,材料合同!$L$6:$CC$305,10,0)</f>
        <v>电汇</v>
      </c>
      <c r="V89" s="276" t="str">
        <f>VLOOKUP(L89,材料合同!$L$6:$CC$305,11,0)</f>
        <v>合同生效后支付10%预付款</v>
      </c>
      <c r="W89" s="102">
        <f>VLOOKUP(L89,材料合同!$L$6:$CC$305,12,0)</f>
        <v>2572.8</v>
      </c>
      <c r="X89" s="102">
        <f>VLOOKUP(L89,材料合同!$L$6:$CC$305,13,0)</f>
        <v>2572.8</v>
      </c>
      <c r="Y89" s="102">
        <f>VLOOKUP(L89,材料合同!$L$6:$CC$305,14,0)</f>
        <v>2572.8</v>
      </c>
      <c r="Z89" s="102" t="str">
        <f>VLOOKUP(L89,材料合同!$L$6:$CC$305,15,0)</f>
        <v>到货并收到全额发票后支付90%</v>
      </c>
      <c r="AA89" s="102">
        <f>VLOOKUP(L89,材料合同!$L$6:$CC$305,16,0)</f>
        <v>23155.2</v>
      </c>
      <c r="AB89" s="102">
        <f>VLOOKUP(L89,材料合同!$L$6:$CC$305,17,0)</f>
        <v>23155.2</v>
      </c>
      <c r="AC89" s="102">
        <f>VLOOKUP(L89,材料合同!$L$6:$CC$305,18,0)</f>
        <v>23155.2</v>
      </c>
      <c r="AD89" s="102">
        <f>VLOOKUP(L89,材料合同!$L$6:$CC$305,19,0)</f>
        <v>0</v>
      </c>
      <c r="AE89" s="102">
        <f>VLOOKUP(L89,材料合同!$L$6:$CC$305,20,0)</f>
        <v>0</v>
      </c>
      <c r="AF89" s="102">
        <f>VLOOKUP(L89,材料合同!$L$6:$CC$305,21,0)</f>
        <v>0</v>
      </c>
      <c r="AG89" s="102">
        <f>VLOOKUP(L89,材料合同!$L$6:$CC$305,22,0)</f>
        <v>0</v>
      </c>
      <c r="AH89" s="102">
        <f>VLOOKUP(L89,材料合同!$L$6:$CC$305,23,0)</f>
        <v>0</v>
      </c>
      <c r="AI89" s="102">
        <f>VLOOKUP(L89,材料合同!$L$6:$CC$305,24,0)</f>
        <v>0</v>
      </c>
      <c r="AJ89" s="102">
        <f>VLOOKUP(L89,材料合同!$L$6:$CC$305,25,0)</f>
        <v>0</v>
      </c>
      <c r="AK89" s="102">
        <f>VLOOKUP(L89,材料合同!$L$6:$CC$305,26,0)</f>
        <v>0</v>
      </c>
      <c r="AL89" s="102">
        <f>VLOOKUP(L89,材料合同!$L$6:$CC$305,27,0)</f>
        <v>0</v>
      </c>
      <c r="AM89" s="102">
        <f>VLOOKUP(L89,材料合同!$L$6:$CC$305,28,0)</f>
        <v>0</v>
      </c>
      <c r="AN89" s="102">
        <f>VLOOKUP(L89,材料合同!$L$6:$CC$305,29,0)</f>
        <v>0</v>
      </c>
      <c r="AO89" s="102">
        <f>VLOOKUP(L89,材料合同!$L$6:$CC$305,30,0)</f>
        <v>0</v>
      </c>
      <c r="AP89" s="102">
        <f>VLOOKUP(L89,材料合同!$L$6:$CC$305,31,0)</f>
        <v>0</v>
      </c>
      <c r="AQ89" s="102">
        <f>VLOOKUP(L89,材料合同!$L$6:$CC$305,32,0)</f>
        <v>0</v>
      </c>
      <c r="AR89" s="102">
        <f>VLOOKUP(L89,材料合同!$L$6:$CC$305,33,0)</f>
        <v>0</v>
      </c>
      <c r="AS89" s="102">
        <f>VLOOKUP(L89,材料合同!$L$6:$CC$305,34,0)</f>
        <v>0</v>
      </c>
      <c r="AT89" s="102">
        <f>VLOOKUP(L89,材料合同!$L$6:$CC$305,35,0)</f>
        <v>0</v>
      </c>
      <c r="AU89" s="102">
        <f>VLOOKUP(L89,材料合同!$L$6:$CC$305,36,0)</f>
        <v>0</v>
      </c>
      <c r="AV89" s="102">
        <f>VLOOKUP(L89,材料合同!$L$6:$CC$305,37,0)</f>
        <v>0</v>
      </c>
      <c r="AW89" s="102">
        <f>VLOOKUP(L89,材料合同!$L$6:$CC$305,38,0)</f>
        <v>0</v>
      </c>
      <c r="AX89" s="102">
        <f>VLOOKUP(L89,材料合同!$L$6:$CC$305,39,0)</f>
        <v>0</v>
      </c>
      <c r="AY89" s="102">
        <f>VLOOKUP(L89,材料合同!$L$6:$CC$305,40,0)</f>
        <v>0</v>
      </c>
      <c r="AZ89" s="102">
        <f>VLOOKUP(L89,材料合同!$L$6:$CC$305,41,0)</f>
        <v>0</v>
      </c>
      <c r="BA89" s="102">
        <f>VLOOKUP(L89,材料合同!$L$6:$CC$305,42,0)</f>
        <v>0</v>
      </c>
      <c r="BB89" s="102">
        <f>VLOOKUP(L89,材料合同!$L$6:$CC$305,43,0)</f>
        <v>0</v>
      </c>
      <c r="BC89" s="102">
        <f>VLOOKUP(L89,材料合同!$L$6:$CC$305,44,0)</f>
        <v>0</v>
      </c>
      <c r="BD89" s="102">
        <f>VLOOKUP(L89,材料合同!$L$6:$CC$305,45,0)</f>
        <v>0</v>
      </c>
      <c r="BE89" s="102">
        <f>VLOOKUP(L89,材料合同!$L$6:$CC$305,46,0)</f>
        <v>0</v>
      </c>
      <c r="BF89" s="102">
        <f>VLOOKUP(L89,材料合同!$L$6:$CC$305,47,0)</f>
        <v>0</v>
      </c>
      <c r="BG89" s="102">
        <f>VLOOKUP(L89,材料合同!$L$6:$CC$305,48,0)</f>
        <v>0</v>
      </c>
      <c r="BH89" s="102">
        <f>VLOOKUP(L89,材料合同!$L$6:$CC$305,49,0)</f>
        <v>0</v>
      </c>
      <c r="BI89" s="102">
        <f>VLOOKUP(L89,材料合同!$L$6:$CC$305,50,0)</f>
        <v>0</v>
      </c>
      <c r="BJ89" s="102">
        <f>VLOOKUP(L89,材料合同!$L$6:$CC$305,51,0)</f>
        <v>0</v>
      </c>
      <c r="BK89" s="102">
        <f>VLOOKUP(L89,材料合同!$L$6:$CC$305,52,0)</f>
        <v>0</v>
      </c>
      <c r="BL89" s="102">
        <f>VLOOKUP(L89,材料合同!$L$6:$CC$305,53,0)</f>
        <v>0</v>
      </c>
      <c r="BM89" s="102">
        <f>VLOOKUP(L89,材料合同!$L$6:$CC$305,54,0)</f>
        <v>0</v>
      </c>
      <c r="BN89" s="102">
        <f>VLOOKUP(L89,材料合同!$L$6:$CC$305,55,0)</f>
        <v>0</v>
      </c>
      <c r="BO89" s="102">
        <f>VLOOKUP(L89,材料合同!$L$6:$CC$305,56,0)</f>
        <v>0</v>
      </c>
      <c r="BP89" s="102">
        <f>VLOOKUP(L89,材料合同!$L$6:$CC$305,57,0)</f>
        <v>0</v>
      </c>
      <c r="BQ89" s="102">
        <f>VLOOKUP(L89,材料合同!$L$6:$CC$305,58,0)</f>
        <v>0</v>
      </c>
      <c r="BR89" s="102">
        <f>VLOOKUP(L89,材料合同!$L$6:$CC$305,59,0)</f>
        <v>0</v>
      </c>
      <c r="BS89" s="102">
        <f>VLOOKUP(L89,材料合同!$L$6:$CC$305,60,0)</f>
        <v>0</v>
      </c>
      <c r="BT89" s="102">
        <f>VLOOKUP(L89,材料合同!$L$6:$CC$305,61,0)</f>
        <v>0</v>
      </c>
      <c r="BU89" s="102">
        <f>VLOOKUP(L89,材料合同!$L$6:$CC$305,62,0)</f>
        <v>0</v>
      </c>
      <c r="BV89" s="102">
        <f>VLOOKUP(L89,材料合同!$L$6:$CC$305,63,0)</f>
        <v>0</v>
      </c>
      <c r="BW89" s="102">
        <f>VLOOKUP(L89,材料合同!$L$6:$CC$305,64,0)</f>
        <v>0</v>
      </c>
      <c r="BX89" s="102">
        <f>VLOOKUP(L89,材料合同!$L$6:$CC$305,65,0)</f>
        <v>0</v>
      </c>
      <c r="BY89" s="102">
        <f>VLOOKUP(L89,材料合同!$L$6:$CC$305,66,0)</f>
        <v>0</v>
      </c>
      <c r="BZ89" s="102">
        <f>VLOOKUP(L89,材料合同!$L$6:$CC$305,67,0)</f>
        <v>0</v>
      </c>
      <c r="CA89" s="102">
        <f>VLOOKUP(L89,材料合同!$L$6:$CC$305,68,0)</f>
        <v>0</v>
      </c>
      <c r="CB89" s="102">
        <f>VLOOKUP(L89,材料合同!$L$6:$CC$305,69,0)</f>
        <v>0</v>
      </c>
      <c r="CC89" s="102">
        <f>VLOOKUP(L89,材料合同!$L$6:$CC$305,70,0)</f>
        <v>0</v>
      </c>
      <c r="CD89" s="123">
        <f t="shared" si="33"/>
        <v>25728</v>
      </c>
      <c r="CE89" s="102">
        <f t="shared" si="34"/>
        <v>25728</v>
      </c>
      <c r="CF89" s="102">
        <f t="shared" si="35"/>
        <v>25728</v>
      </c>
      <c r="CG89" s="102">
        <f t="shared" si="36"/>
        <v>0</v>
      </c>
      <c r="CH89" s="124">
        <f t="shared" si="37"/>
        <v>0</v>
      </c>
      <c r="CI89" s="125">
        <f t="shared" si="38"/>
        <v>1</v>
      </c>
      <c r="CJ89" s="126" t="str">
        <f t="shared" si="39"/>
        <v>数据正确</v>
      </c>
    </row>
    <row r="90" s="60" customFormat="1" customHeight="1" spans="2:88">
      <c r="B90" s="70" t="str">
        <f t="shared" si="29"/>
        <v>-</v>
      </c>
      <c r="C90" s="71" t="str">
        <f t="shared" si="30"/>
        <v>已付清</v>
      </c>
      <c r="D90" s="181">
        <f t="shared" si="31"/>
        <v>8000</v>
      </c>
      <c r="E90" s="181">
        <f>SUMIF(材料合同!$L$6:$L$305,L90,材料合同!$E$6:$E$305)</f>
        <v>0</v>
      </c>
      <c r="F90" s="181">
        <f>SUMIF(材料合同!$L$6:$L$305,L90,材料合同!$F$6:$F$305)</f>
        <v>0</v>
      </c>
      <c r="G90" s="181">
        <f>SUMIF(材料合同!$L$6:$L$305,L90,材料合同!$G$6:$G$305)</f>
        <v>0</v>
      </c>
      <c r="H90" s="181">
        <f>SUMIF(材料合同!$L$6:$L$305,L90,材料合同!$H$6:$H$305)</f>
        <v>0</v>
      </c>
      <c r="I90" s="181">
        <f t="shared" si="32"/>
        <v>0</v>
      </c>
      <c r="J90" s="86" t="s">
        <v>98</v>
      </c>
      <c r="K90" s="87"/>
      <c r="L90" s="88">
        <v>85</v>
      </c>
      <c r="M90" s="89" t="str">
        <f>VLOOKUP(L90,材料合同!$L$6:$CC$305,2,0)</f>
        <v>YRKJXZ-160015</v>
      </c>
      <c r="N90" s="90" t="str">
        <f>VLOOKUP(L90,材料合同!$L$6:$CC$305,3,0)</f>
        <v>材料合同</v>
      </c>
      <c r="O90" s="265" t="str">
        <f>VLOOKUP(L90,材料合同!$L$6:$CC$305,4,0)</f>
        <v>-</v>
      </c>
      <c r="P90" s="266">
        <f>VLOOKUP(L90,材料合同!$L$6:$CC$305,5,0)</f>
        <v>42703</v>
      </c>
      <c r="Q90" s="275">
        <f>VLOOKUP(L90,材料合同!$L$6:$CC$305,6,0)</f>
        <v>8000</v>
      </c>
      <c r="R90" s="89" t="str">
        <f>VLOOKUP(L90,材料合同!$L$6:$CC$305,7,0)</f>
        <v>奠基石1套</v>
      </c>
      <c r="S90" s="89" t="str">
        <f>VLOOKUP(L90,材料合同!$L$6:$CC$305,8,0)</f>
        <v>惠安凯石石业有限公司</v>
      </c>
      <c r="T90" s="107">
        <f>VLOOKUP(L90,材料合同!$L$6:$CC$305,9,0)</f>
        <v>0</v>
      </c>
      <c r="U90" s="103" t="str">
        <f>VLOOKUP(L90,材料合同!$L$6:$CC$305,10,0)</f>
        <v>电汇</v>
      </c>
      <c r="V90" s="276" t="str">
        <f>VLOOKUP(L90,材料合同!$L$6:$CC$305,11,0)</f>
        <v>25%预付款</v>
      </c>
      <c r="W90" s="102">
        <f>VLOOKUP(L90,材料合同!$L$6:$CC$305,12,0)</f>
        <v>2000</v>
      </c>
      <c r="X90" s="102">
        <f>VLOOKUP(L90,材料合同!$L$6:$CC$305,13,0)</f>
        <v>2000</v>
      </c>
      <c r="Y90" s="102">
        <f>VLOOKUP(L90,材料合同!$L$6:$CC$305,14,0)</f>
        <v>2000</v>
      </c>
      <c r="Z90" s="102" t="str">
        <f>VLOOKUP(L90,材料合同!$L$6:$CC$305,15,0)</f>
        <v>收到货，收到全额发票后付清</v>
      </c>
      <c r="AA90" s="102">
        <f>VLOOKUP(L90,材料合同!$L$6:$CC$305,16,0)</f>
        <v>6000</v>
      </c>
      <c r="AB90" s="102">
        <f>VLOOKUP(L90,材料合同!$L$6:$CC$305,17,0)</f>
        <v>6000</v>
      </c>
      <c r="AC90" s="102">
        <f>VLOOKUP(L90,材料合同!$L$6:$CC$305,18,0)</f>
        <v>6000</v>
      </c>
      <c r="AD90" s="102">
        <f>VLOOKUP(L90,材料合同!$L$6:$CC$305,19,0)</f>
        <v>0</v>
      </c>
      <c r="AE90" s="102">
        <f>VLOOKUP(L90,材料合同!$L$6:$CC$305,20,0)</f>
        <v>0</v>
      </c>
      <c r="AF90" s="102">
        <f>VLOOKUP(L90,材料合同!$L$6:$CC$305,21,0)</f>
        <v>0</v>
      </c>
      <c r="AG90" s="102">
        <f>VLOOKUP(L90,材料合同!$L$6:$CC$305,22,0)</f>
        <v>0</v>
      </c>
      <c r="AH90" s="102">
        <f>VLOOKUP(L90,材料合同!$L$6:$CC$305,23,0)</f>
        <v>0</v>
      </c>
      <c r="AI90" s="102">
        <f>VLOOKUP(L90,材料合同!$L$6:$CC$305,24,0)</f>
        <v>0</v>
      </c>
      <c r="AJ90" s="102">
        <f>VLOOKUP(L90,材料合同!$L$6:$CC$305,25,0)</f>
        <v>0</v>
      </c>
      <c r="AK90" s="102">
        <f>VLOOKUP(L90,材料合同!$L$6:$CC$305,26,0)</f>
        <v>0</v>
      </c>
      <c r="AL90" s="102">
        <f>VLOOKUP(L90,材料合同!$L$6:$CC$305,27,0)</f>
        <v>0</v>
      </c>
      <c r="AM90" s="102">
        <f>VLOOKUP(L90,材料合同!$L$6:$CC$305,28,0)</f>
        <v>0</v>
      </c>
      <c r="AN90" s="102">
        <f>VLOOKUP(L90,材料合同!$L$6:$CC$305,29,0)</f>
        <v>0</v>
      </c>
      <c r="AO90" s="102">
        <f>VLOOKUP(L90,材料合同!$L$6:$CC$305,30,0)</f>
        <v>0</v>
      </c>
      <c r="AP90" s="102">
        <f>VLOOKUP(L90,材料合同!$L$6:$CC$305,31,0)</f>
        <v>0</v>
      </c>
      <c r="AQ90" s="102">
        <f>VLOOKUP(L90,材料合同!$L$6:$CC$305,32,0)</f>
        <v>0</v>
      </c>
      <c r="AR90" s="102">
        <f>VLOOKUP(L90,材料合同!$L$6:$CC$305,33,0)</f>
        <v>0</v>
      </c>
      <c r="AS90" s="102">
        <f>VLOOKUP(L90,材料合同!$L$6:$CC$305,34,0)</f>
        <v>0</v>
      </c>
      <c r="AT90" s="102">
        <f>VLOOKUP(L90,材料合同!$L$6:$CC$305,35,0)</f>
        <v>0</v>
      </c>
      <c r="AU90" s="102">
        <f>VLOOKUP(L90,材料合同!$L$6:$CC$305,36,0)</f>
        <v>0</v>
      </c>
      <c r="AV90" s="102">
        <f>VLOOKUP(L90,材料合同!$L$6:$CC$305,37,0)</f>
        <v>0</v>
      </c>
      <c r="AW90" s="102">
        <f>VLOOKUP(L90,材料合同!$L$6:$CC$305,38,0)</f>
        <v>0</v>
      </c>
      <c r="AX90" s="102">
        <f>VLOOKUP(L90,材料合同!$L$6:$CC$305,39,0)</f>
        <v>0</v>
      </c>
      <c r="AY90" s="102">
        <f>VLOOKUP(L90,材料合同!$L$6:$CC$305,40,0)</f>
        <v>0</v>
      </c>
      <c r="AZ90" s="102">
        <f>VLOOKUP(L90,材料合同!$L$6:$CC$305,41,0)</f>
        <v>0</v>
      </c>
      <c r="BA90" s="102">
        <f>VLOOKUP(L90,材料合同!$L$6:$CC$305,42,0)</f>
        <v>0</v>
      </c>
      <c r="BB90" s="102">
        <f>VLOOKUP(L90,材料合同!$L$6:$CC$305,43,0)</f>
        <v>0</v>
      </c>
      <c r="BC90" s="102">
        <f>VLOOKUP(L90,材料合同!$L$6:$CC$305,44,0)</f>
        <v>0</v>
      </c>
      <c r="BD90" s="102">
        <f>VLOOKUP(L90,材料合同!$L$6:$CC$305,45,0)</f>
        <v>0</v>
      </c>
      <c r="BE90" s="102">
        <f>VLOOKUP(L90,材料合同!$L$6:$CC$305,46,0)</f>
        <v>0</v>
      </c>
      <c r="BF90" s="102">
        <f>VLOOKUP(L90,材料合同!$L$6:$CC$305,47,0)</f>
        <v>0</v>
      </c>
      <c r="BG90" s="102">
        <f>VLOOKUP(L90,材料合同!$L$6:$CC$305,48,0)</f>
        <v>0</v>
      </c>
      <c r="BH90" s="102">
        <f>VLOOKUP(L90,材料合同!$L$6:$CC$305,49,0)</f>
        <v>0</v>
      </c>
      <c r="BI90" s="102">
        <f>VLOOKUP(L90,材料合同!$L$6:$CC$305,50,0)</f>
        <v>0</v>
      </c>
      <c r="BJ90" s="102">
        <f>VLOOKUP(L90,材料合同!$L$6:$CC$305,51,0)</f>
        <v>0</v>
      </c>
      <c r="BK90" s="102">
        <f>VLOOKUP(L90,材料合同!$L$6:$CC$305,52,0)</f>
        <v>0</v>
      </c>
      <c r="BL90" s="102">
        <f>VLOOKUP(L90,材料合同!$L$6:$CC$305,53,0)</f>
        <v>0</v>
      </c>
      <c r="BM90" s="102">
        <f>VLOOKUP(L90,材料合同!$L$6:$CC$305,54,0)</f>
        <v>0</v>
      </c>
      <c r="BN90" s="102">
        <f>VLOOKUP(L90,材料合同!$L$6:$CC$305,55,0)</f>
        <v>0</v>
      </c>
      <c r="BO90" s="102">
        <f>VLOOKUP(L90,材料合同!$L$6:$CC$305,56,0)</f>
        <v>0</v>
      </c>
      <c r="BP90" s="102">
        <f>VLOOKUP(L90,材料合同!$L$6:$CC$305,57,0)</f>
        <v>0</v>
      </c>
      <c r="BQ90" s="102">
        <f>VLOOKUP(L90,材料合同!$L$6:$CC$305,58,0)</f>
        <v>0</v>
      </c>
      <c r="BR90" s="102">
        <f>VLOOKUP(L90,材料合同!$L$6:$CC$305,59,0)</f>
        <v>0</v>
      </c>
      <c r="BS90" s="102">
        <f>VLOOKUP(L90,材料合同!$L$6:$CC$305,60,0)</f>
        <v>0</v>
      </c>
      <c r="BT90" s="102">
        <f>VLOOKUP(L90,材料合同!$L$6:$CC$305,61,0)</f>
        <v>0</v>
      </c>
      <c r="BU90" s="102">
        <f>VLOOKUP(L90,材料合同!$L$6:$CC$305,62,0)</f>
        <v>0</v>
      </c>
      <c r="BV90" s="102">
        <f>VLOOKUP(L90,材料合同!$L$6:$CC$305,63,0)</f>
        <v>0</v>
      </c>
      <c r="BW90" s="102">
        <f>VLOOKUP(L90,材料合同!$L$6:$CC$305,64,0)</f>
        <v>0</v>
      </c>
      <c r="BX90" s="102">
        <f>VLOOKUP(L90,材料合同!$L$6:$CC$305,65,0)</f>
        <v>0</v>
      </c>
      <c r="BY90" s="102">
        <f>VLOOKUP(L90,材料合同!$L$6:$CC$305,66,0)</f>
        <v>0</v>
      </c>
      <c r="BZ90" s="102">
        <f>VLOOKUP(L90,材料合同!$L$6:$CC$305,67,0)</f>
        <v>0</v>
      </c>
      <c r="CA90" s="102">
        <f>VLOOKUP(L90,材料合同!$L$6:$CC$305,68,0)</f>
        <v>0</v>
      </c>
      <c r="CB90" s="102">
        <f>VLOOKUP(L90,材料合同!$L$6:$CC$305,69,0)</f>
        <v>0</v>
      </c>
      <c r="CC90" s="102">
        <f>VLOOKUP(L90,材料合同!$L$6:$CC$305,70,0)</f>
        <v>0</v>
      </c>
      <c r="CD90" s="123">
        <f t="shared" si="33"/>
        <v>8000</v>
      </c>
      <c r="CE90" s="102">
        <f t="shared" si="34"/>
        <v>8000</v>
      </c>
      <c r="CF90" s="102">
        <f t="shared" si="35"/>
        <v>8000</v>
      </c>
      <c r="CG90" s="102">
        <f t="shared" si="36"/>
        <v>0</v>
      </c>
      <c r="CH90" s="124">
        <f t="shared" si="37"/>
        <v>0</v>
      </c>
      <c r="CI90" s="125">
        <f t="shared" si="38"/>
        <v>1</v>
      </c>
      <c r="CJ90" s="126" t="str">
        <f t="shared" si="39"/>
        <v>数据正确</v>
      </c>
    </row>
    <row r="91" s="60" customFormat="1" customHeight="1" spans="2:88">
      <c r="B91" s="70" t="str">
        <f t="shared" si="29"/>
        <v>-</v>
      </c>
      <c r="C91" s="71" t="str">
        <f t="shared" si="30"/>
        <v>-</v>
      </c>
      <c r="D91" s="181">
        <f t="shared" si="31"/>
        <v>400000</v>
      </c>
      <c r="E91" s="181">
        <f>SUMIF(服务合同!$L$6:$L$300,L91,服务合同!$E$6:$E$300)</f>
        <v>0</v>
      </c>
      <c r="F91" s="181">
        <f>SUMIF(服务合同!$L$6:$L$300,L91,服务合同!$F$6:$F$300)</f>
        <v>0</v>
      </c>
      <c r="G91" s="181">
        <f>SUMIF(服务合同!$L$6:$L$300,L91,服务合同!$G$6:$G$300)</f>
        <v>0</v>
      </c>
      <c r="H91" s="181">
        <f>SUMIF(服务合同!$L$6:$L$300,L91,服务合同!$H$6:$H$300)</f>
        <v>0</v>
      </c>
      <c r="I91" s="181">
        <f t="shared" si="32"/>
        <v>0</v>
      </c>
      <c r="J91" s="86" t="s">
        <v>98</v>
      </c>
      <c r="K91" s="87"/>
      <c r="L91" s="88">
        <v>86</v>
      </c>
      <c r="M91" s="89" t="str">
        <f>VLOOKUP(L91,服务合同!$L$6:$CC$300,2,0)</f>
        <v>YRKJGC-150001</v>
      </c>
      <c r="N91" s="90" t="str">
        <f>VLOOKUP(L91,服务合同!$L$6:$CC$300,3,0)</f>
        <v>服务合同</v>
      </c>
      <c r="O91" s="265" t="str">
        <f>VLOOKUP(L91,服务合同!$L$6:$CC$300,4,0)</f>
        <v>-</v>
      </c>
      <c r="P91" s="266">
        <f>VLOOKUP(L91,服务合同!$L$6:$CC$300,5,0)</f>
        <v>42318</v>
      </c>
      <c r="Q91" s="275">
        <f>VLOOKUP(L91,服务合同!$L$6:$CC$300,6,0)</f>
        <v>2400000</v>
      </c>
      <c r="R91" s="89" t="str">
        <f>VLOOKUP(L91,服务合同!$L$6:$CC$300,7,0)</f>
        <v>电力工程设计（配套输变电工程方案设计）</v>
      </c>
      <c r="S91" s="89" t="str">
        <f>VLOOKUP(L91,服务合同!$L$6:$CC$300,8,0)</f>
        <v>莆田荔源电力勘察设计有限公司</v>
      </c>
      <c r="T91" s="107">
        <f>VLOOKUP(L91,服务合同!$L$6:$CC$300,9,0)</f>
        <v>0</v>
      </c>
      <c r="U91" s="103" t="str">
        <f>VLOOKUP(L91,服务合同!$L$6:$CC$300,10,0)</f>
        <v>承兑汇票</v>
      </c>
      <c r="V91" s="276" t="str">
        <f>VLOOKUP(L91,服务合同!$L$6:$CC$300,11,0)</f>
        <v>合同生效，支付20%预付款</v>
      </c>
      <c r="W91" s="102">
        <f>VLOOKUP(L91,服务合同!$L$6:$CC$300,12,0)</f>
        <v>480000</v>
      </c>
      <c r="X91" s="102">
        <f>VLOOKUP(L91,服务合同!$L$6:$CC$300,13,0)</f>
        <v>400000</v>
      </c>
      <c r="Y91" s="102">
        <f>VLOOKUP(L91,服务合同!$L$6:$CC$300,14,0)</f>
        <v>400000</v>
      </c>
      <c r="Z91" s="102" t="str">
        <f>VLOOKUP(L91,服务合同!$L$6:$CC$300,15,0)</f>
        <v>基础设计完成并提交全部文件资料，开具合同50%的6%专票后支付30%</v>
      </c>
      <c r="AA91" s="102">
        <f>VLOOKUP(L91,服务合同!$L$6:$CC$300,16,0)</f>
        <v>720000</v>
      </c>
      <c r="AB91" s="102">
        <f>VLOOKUP(L91,服务合同!$L$6:$CC$300,17,0)</f>
        <v>0</v>
      </c>
      <c r="AC91" s="102">
        <f>VLOOKUP(L91,服务合同!$L$6:$CC$300,18,0)</f>
        <v>0</v>
      </c>
      <c r="AD91" s="102" t="str">
        <f>VLOOKUP(L91,服务合同!$L$6:$CC$300,19,0)</f>
        <v>在全套施工图纸及接入系统等文件通知通过相关部门会审，开具50%专票后支付30%</v>
      </c>
      <c r="AE91" s="102">
        <f>VLOOKUP(L91,服务合同!$L$6:$CC$300,20,0)</f>
        <v>720000</v>
      </c>
      <c r="AF91" s="102">
        <f>VLOOKUP(L91,服务合同!$L$6:$CC$300,21,0)</f>
        <v>0</v>
      </c>
      <c r="AG91" s="102">
        <f>VLOOKUP(L91,服务合同!$L$6:$CC$300,22,0)</f>
        <v>0</v>
      </c>
      <c r="AH91" s="102" t="str">
        <f>VLOOKUP(L91,服务合同!$L$6:$CC$300,23,0)</f>
        <v>工程送电成功并稳定运行一个月后支付20%</v>
      </c>
      <c r="AI91" s="102">
        <f>VLOOKUP(L91,服务合同!$L$6:$CC$300,24,0)</f>
        <v>480000</v>
      </c>
      <c r="AJ91" s="102">
        <f>VLOOKUP(L91,服务合同!$L$6:$CC$300,25,0)</f>
        <v>0</v>
      </c>
      <c r="AK91" s="102">
        <f>VLOOKUP(L91,服务合同!$L$6:$CC$300,26,0)</f>
        <v>0</v>
      </c>
      <c r="AL91" s="102">
        <f>VLOOKUP(L91,服务合同!$L$6:$CC$300,27,0)</f>
        <v>0</v>
      </c>
      <c r="AM91" s="102">
        <f>VLOOKUP(L91,服务合同!$L$6:$CC$300,28,0)</f>
        <v>0</v>
      </c>
      <c r="AN91" s="102">
        <f>VLOOKUP(L91,服务合同!$L$6:$CC$300,29,0)</f>
        <v>0</v>
      </c>
      <c r="AO91" s="102">
        <f>VLOOKUP(L91,服务合同!$L$6:$CC$300,30,0)</f>
        <v>0</v>
      </c>
      <c r="AP91" s="102">
        <f>VLOOKUP(L91,服务合同!$L$6:$CC$300,31,0)</f>
        <v>0</v>
      </c>
      <c r="AQ91" s="102">
        <f>VLOOKUP(L91,服务合同!$L$6:$CC$300,32,0)</f>
        <v>0</v>
      </c>
      <c r="AR91" s="102">
        <f>VLOOKUP(L91,服务合同!$L$6:$CC$300,33,0)</f>
        <v>0</v>
      </c>
      <c r="AS91" s="102">
        <f>VLOOKUP(L91,服务合同!$L$6:$CC$300,34,0)</f>
        <v>0</v>
      </c>
      <c r="AT91" s="102">
        <f>VLOOKUP(L91,服务合同!$L$6:$CC$300,35,0)</f>
        <v>0</v>
      </c>
      <c r="AU91" s="102">
        <f>VLOOKUP(L91,服务合同!$L$6:$CC$300,36,0)</f>
        <v>0</v>
      </c>
      <c r="AV91" s="102">
        <f>VLOOKUP(L91,服务合同!$L$6:$CC$300,37,0)</f>
        <v>0</v>
      </c>
      <c r="AW91" s="102">
        <f>VLOOKUP(L91,服务合同!$L$6:$CC$300,38,0)</f>
        <v>0</v>
      </c>
      <c r="AX91" s="102">
        <f>VLOOKUP(L91,服务合同!$L$6:$CC$300,39,0)</f>
        <v>0</v>
      </c>
      <c r="AY91" s="102">
        <f>VLOOKUP(L91,服务合同!$L$6:$CC$300,40,0)</f>
        <v>0</v>
      </c>
      <c r="AZ91" s="102">
        <f>VLOOKUP(L91,服务合同!$L$6:$CC$300,41,0)</f>
        <v>0</v>
      </c>
      <c r="BA91" s="102">
        <f>VLOOKUP(L91,服务合同!$L$6:$CC$300,42,0)</f>
        <v>0</v>
      </c>
      <c r="BB91" s="102">
        <f>VLOOKUP(L91,服务合同!$L$6:$CC$300,43,0)</f>
        <v>0</v>
      </c>
      <c r="BC91" s="102">
        <f>VLOOKUP(L91,服务合同!$L$6:$CC$300,44,0)</f>
        <v>0</v>
      </c>
      <c r="BD91" s="102">
        <f>VLOOKUP(L91,服务合同!$L$6:$CC$300,45,0)</f>
        <v>0</v>
      </c>
      <c r="BE91" s="102">
        <f>VLOOKUP(L91,服务合同!$L$6:$CC$300,46,0)</f>
        <v>0</v>
      </c>
      <c r="BF91" s="102">
        <f>VLOOKUP(L91,服务合同!$L$6:$CC$300,47,0)</f>
        <v>0</v>
      </c>
      <c r="BG91" s="102">
        <f>VLOOKUP(L91,服务合同!$L$6:$CC$300,48,0)</f>
        <v>0</v>
      </c>
      <c r="BH91" s="102">
        <f>VLOOKUP(L91,服务合同!$L$6:$CC$300,49,0)</f>
        <v>0</v>
      </c>
      <c r="BI91" s="102">
        <f>VLOOKUP(L91,服务合同!$L$6:$CC$300,50,0)</f>
        <v>0</v>
      </c>
      <c r="BJ91" s="102">
        <f>VLOOKUP(L91,服务合同!$L$6:$CC$300,51,0)</f>
        <v>0</v>
      </c>
      <c r="BK91" s="102">
        <f>VLOOKUP(L91,服务合同!$L$6:$CC$300,52,0)</f>
        <v>0</v>
      </c>
      <c r="BL91" s="102">
        <f>VLOOKUP(L91,服务合同!$L$6:$CC$300,53,0)</f>
        <v>0</v>
      </c>
      <c r="BM91" s="102">
        <f>VLOOKUP(L91,服务合同!$L$6:$CC$300,54,0)</f>
        <v>0</v>
      </c>
      <c r="BN91" s="102">
        <f>VLOOKUP(L91,服务合同!$L$6:$CC$300,55,0)</f>
        <v>0</v>
      </c>
      <c r="BO91" s="102">
        <f>VLOOKUP(L91,服务合同!$L$6:$CC$300,56,0)</f>
        <v>0</v>
      </c>
      <c r="BP91" s="102">
        <f>VLOOKUP(L91,服务合同!$L$6:$CC$300,57,0)</f>
        <v>0</v>
      </c>
      <c r="BQ91" s="102">
        <f>VLOOKUP(L91,服务合同!$L$6:$CC$300,58,0)</f>
        <v>0</v>
      </c>
      <c r="BR91" s="102">
        <f>VLOOKUP(L91,服务合同!$L$6:$CC$300,59,0)</f>
        <v>0</v>
      </c>
      <c r="BS91" s="102">
        <f>VLOOKUP(L91,服务合同!$L$6:$CC$300,60,0)</f>
        <v>0</v>
      </c>
      <c r="BT91" s="102">
        <f>VLOOKUP(L91,服务合同!$L$6:$CC$300,61,0)</f>
        <v>0</v>
      </c>
      <c r="BU91" s="102">
        <f>VLOOKUP(L91,服务合同!$L$6:$CC$300,62,0)</f>
        <v>0</v>
      </c>
      <c r="BV91" s="102">
        <f>VLOOKUP(L91,服务合同!$L$6:$CC$300,63,0)</f>
        <v>0</v>
      </c>
      <c r="BW91" s="102">
        <f>VLOOKUP(L91,服务合同!$L$6:$CC$300,64,0)</f>
        <v>0</v>
      </c>
      <c r="BX91" s="102">
        <f>VLOOKUP(L91,服务合同!$L$6:$CC$300,65,0)</f>
        <v>0</v>
      </c>
      <c r="BY91" s="102">
        <f>VLOOKUP(L91,服务合同!$L$6:$CC$300,66,0)</f>
        <v>0</v>
      </c>
      <c r="BZ91" s="102">
        <f>VLOOKUP(L91,服务合同!$L$6:$CC$300,67,0)</f>
        <v>0</v>
      </c>
      <c r="CA91" s="102">
        <f>VLOOKUP(L91,服务合同!$L$6:$CC$300,68,0)</f>
        <v>0</v>
      </c>
      <c r="CB91" s="102">
        <f>VLOOKUP(L91,服务合同!$L$6:$CC$300,69,0)</f>
        <v>0</v>
      </c>
      <c r="CC91" s="102">
        <f>VLOOKUP(L91,服务合同!$L$6:$CC$300,70,0)</f>
        <v>0</v>
      </c>
      <c r="CD91" s="123">
        <f t="shared" si="33"/>
        <v>2400000</v>
      </c>
      <c r="CE91" s="102">
        <f t="shared" si="34"/>
        <v>400000</v>
      </c>
      <c r="CF91" s="102">
        <f t="shared" si="35"/>
        <v>400000</v>
      </c>
      <c r="CG91" s="102">
        <f t="shared" si="36"/>
        <v>0</v>
      </c>
      <c r="CH91" s="124">
        <f t="shared" si="37"/>
        <v>2000000</v>
      </c>
      <c r="CI91" s="125">
        <f t="shared" si="38"/>
        <v>0.166666666666667</v>
      </c>
      <c r="CJ91" s="126" t="str">
        <f t="shared" si="39"/>
        <v>数据正确</v>
      </c>
    </row>
    <row r="92" s="60" customFormat="1" customHeight="1" spans="2:88">
      <c r="B92" s="70" t="str">
        <f t="shared" si="29"/>
        <v>-</v>
      </c>
      <c r="C92" s="71" t="str">
        <f t="shared" si="30"/>
        <v>已付清</v>
      </c>
      <c r="D92" s="181">
        <f t="shared" si="31"/>
        <v>55683141</v>
      </c>
      <c r="E92" s="181">
        <f>SUMIF(工程合同!$L$6:$L$299,L92,工程合同!$E$6:$E$299)</f>
        <v>0</v>
      </c>
      <c r="F92" s="181">
        <f>SUMIF(工程合同!$L$6:$L$299,L92,工程合同!$F$6:$F$299)</f>
        <v>0</v>
      </c>
      <c r="G92" s="181">
        <f>SUMIF(工程合同!$L$6:$L$299,L92,工程合同!$G$6:$G$299)</f>
        <v>0</v>
      </c>
      <c r="H92" s="181">
        <f>SUMIF(工程合同!$L$6:$L$299,L92,工程合同!$H$6:$H$299)</f>
        <v>0</v>
      </c>
      <c r="I92" s="181">
        <f t="shared" si="32"/>
        <v>0</v>
      </c>
      <c r="J92" s="86" t="s">
        <v>98</v>
      </c>
      <c r="K92" s="87"/>
      <c r="L92" s="88">
        <v>87</v>
      </c>
      <c r="M92" s="89" t="str">
        <f>VLOOKUP(L92,工程合同!$L$6:$CC$299,2,0)</f>
        <v>YRKJGC-150001</v>
      </c>
      <c r="N92" s="90" t="str">
        <f>VLOOKUP(L92,工程合同!$L$6:$CC$299,3,0)</f>
        <v>工程合同</v>
      </c>
      <c r="O92" s="265" t="str">
        <f>VLOOKUP(L92,工程合同!$L$6:$CC$299,4,0)</f>
        <v>-</v>
      </c>
      <c r="P92" s="266">
        <f>VLOOKUP(L92,工程合同!$L$6:$CC$299,5,0)</f>
        <v>42073</v>
      </c>
      <c r="Q92" s="275">
        <f>VLOOKUP(L92,工程合同!$L$6:$CC$299,6,0)</f>
        <v>55683141</v>
      </c>
      <c r="R92" s="89" t="str">
        <f>VLOOKUP(L92,工程合同!$L$6:$CC$299,7,0)</f>
        <v>软地基处理工程施工-软土区（155539.5米*358元/米）</v>
      </c>
      <c r="S92" s="89" t="str">
        <f>VLOOKUP(L92,工程合同!$L$6:$CC$299,8,0)</f>
        <v>福建省东辰建设工程集团有限公司</v>
      </c>
      <c r="T92" s="107" t="str">
        <f>VLOOKUP(L92,工程合同!$L$6:$CC$299,9,0)</f>
        <v>软基</v>
      </c>
      <c r="U92" s="103" t="str">
        <f>VLOOKUP(L92,工程合同!$L$6:$CC$299,10,0)</f>
        <v>承兑/转账</v>
      </c>
      <c r="V92" s="276" t="str">
        <f>VLOOKUP(L92,工程合同!$L$6:$CC$299,11,0)</f>
        <v>按每月实际进度结算并支付工程进度款的90%</v>
      </c>
      <c r="W92" s="102">
        <f>VLOOKUP(L92,工程合同!$L$6:$CC$299,12,0)</f>
        <v>50114826.9</v>
      </c>
      <c r="X92" s="102">
        <f>VLOOKUP(L92,工程合同!$L$6:$CC$299,13,0)</f>
        <v>55683141</v>
      </c>
      <c r="Y92" s="102">
        <f>VLOOKUP(L92,工程合同!$L$6:$CC$299,14,0)</f>
        <v>55683141</v>
      </c>
      <c r="Z92" s="102" t="str">
        <f>VLOOKUP(L92,工程合同!$L$6:$CC$299,15,0)</f>
        <v>工程竣工验收合格后支付尾款</v>
      </c>
      <c r="AA92" s="102">
        <f>VLOOKUP(L92,工程合同!$L$6:$CC$299,16,0)</f>
        <v>5568314.1</v>
      </c>
      <c r="AB92" s="102">
        <f>VLOOKUP(L92,工程合同!$L$6:$CC$299,17,0)</f>
        <v>0</v>
      </c>
      <c r="AC92" s="102">
        <f>VLOOKUP(L92,工程合同!$L$6:$CC$299,18,0)</f>
        <v>0</v>
      </c>
      <c r="AD92" s="102">
        <f>VLOOKUP(L92,工程合同!$L$6:$CC$299,19,0)</f>
        <v>0</v>
      </c>
      <c r="AE92" s="102">
        <f>VLOOKUP(L92,工程合同!$L$6:$CC$299,20,0)</f>
        <v>0</v>
      </c>
      <c r="AF92" s="102">
        <f>VLOOKUP(L92,工程合同!$L$6:$CC$299,21,0)</f>
        <v>0</v>
      </c>
      <c r="AG92" s="102">
        <f>VLOOKUP(L92,工程合同!$L$6:$CC$299,22,0)</f>
        <v>0</v>
      </c>
      <c r="AH92" s="102">
        <f>VLOOKUP(L92,工程合同!$L$6:$CC$299,23,0)</f>
        <v>0</v>
      </c>
      <c r="AI92" s="102">
        <f>VLOOKUP(L92,工程合同!$L$6:$CC$299,24,0)</f>
        <v>0</v>
      </c>
      <c r="AJ92" s="102">
        <f>VLOOKUP(L92,工程合同!$L$6:$CC$299,25,0)</f>
        <v>0</v>
      </c>
      <c r="AK92" s="102">
        <f>VLOOKUP(L92,工程合同!$L$6:$CC$299,26,0)</f>
        <v>0</v>
      </c>
      <c r="AL92" s="102">
        <f>VLOOKUP(L92,工程合同!$L$6:$CC$299,27,0)</f>
        <v>0</v>
      </c>
      <c r="AM92" s="102">
        <f>VLOOKUP(L92,工程合同!$L$6:$CC$299,28,0)</f>
        <v>0</v>
      </c>
      <c r="AN92" s="102">
        <f>VLOOKUP(L92,工程合同!$L$6:$CC$299,29,0)</f>
        <v>0</v>
      </c>
      <c r="AO92" s="102">
        <f>VLOOKUP(L92,工程合同!$L$6:$CC$299,30,0)</f>
        <v>0</v>
      </c>
      <c r="AP92" s="102">
        <f>VLOOKUP(L92,工程合同!$L$6:$CC$299,31,0)</f>
        <v>0</v>
      </c>
      <c r="AQ92" s="102">
        <f>VLOOKUP(L92,工程合同!$L$6:$CC$299,32,0)</f>
        <v>0</v>
      </c>
      <c r="AR92" s="102">
        <f>VLOOKUP(L92,工程合同!$L$6:$CC$299,33,0)</f>
        <v>0</v>
      </c>
      <c r="AS92" s="102">
        <f>VLOOKUP(L92,工程合同!$L$6:$CC$299,34,0)</f>
        <v>0</v>
      </c>
      <c r="AT92" s="102">
        <f>VLOOKUP(L92,工程合同!$L$6:$CC$299,35,0)</f>
        <v>0</v>
      </c>
      <c r="AU92" s="102">
        <f>VLOOKUP(L92,工程合同!$L$6:$CC$299,36,0)</f>
        <v>0</v>
      </c>
      <c r="AV92" s="102">
        <f>VLOOKUP(L92,工程合同!$L$6:$CC$299,37,0)</f>
        <v>0</v>
      </c>
      <c r="AW92" s="102">
        <f>VLOOKUP(L92,工程合同!$L$6:$CC$299,38,0)</f>
        <v>0</v>
      </c>
      <c r="AX92" s="102">
        <f>VLOOKUP(L92,工程合同!$L$6:$CC$299,39,0)</f>
        <v>0</v>
      </c>
      <c r="AY92" s="102">
        <f>VLOOKUP(L92,工程合同!$L$6:$CC$299,40,0)</f>
        <v>0</v>
      </c>
      <c r="AZ92" s="102">
        <f>VLOOKUP(L92,工程合同!$L$6:$CC$299,41,0)</f>
        <v>0</v>
      </c>
      <c r="BA92" s="102">
        <f>VLOOKUP(L92,工程合同!$L$6:$CC$299,42,0)</f>
        <v>0</v>
      </c>
      <c r="BB92" s="102">
        <f>VLOOKUP(L92,工程合同!$L$6:$CC$299,43,0)</f>
        <v>0</v>
      </c>
      <c r="BC92" s="102">
        <f>VLOOKUP(L92,工程合同!$L$6:$CC$299,44,0)</f>
        <v>0</v>
      </c>
      <c r="BD92" s="102">
        <f>VLOOKUP(L92,工程合同!$L$6:$CC$299,45,0)</f>
        <v>0</v>
      </c>
      <c r="BE92" s="102">
        <f>VLOOKUP(L92,工程合同!$L$6:$CC$299,46,0)</f>
        <v>0</v>
      </c>
      <c r="BF92" s="102">
        <f>VLOOKUP(L92,工程合同!$L$6:$CC$299,47,0)</f>
        <v>0</v>
      </c>
      <c r="BG92" s="102">
        <f>VLOOKUP(L92,工程合同!$L$6:$CC$299,48,0)</f>
        <v>0</v>
      </c>
      <c r="BH92" s="102">
        <f>VLOOKUP(L92,工程合同!$L$6:$CC$299,49,0)</f>
        <v>0</v>
      </c>
      <c r="BI92" s="102">
        <f>VLOOKUP(L92,工程合同!$L$6:$CC$299,50,0)</f>
        <v>0</v>
      </c>
      <c r="BJ92" s="102">
        <f>VLOOKUP(L92,工程合同!$L$6:$CC$299,51,0)</f>
        <v>0</v>
      </c>
      <c r="BK92" s="102">
        <f>VLOOKUP(L92,工程合同!$L$6:$CC$299,52,0)</f>
        <v>0</v>
      </c>
      <c r="BL92" s="102">
        <f>VLOOKUP(L92,工程合同!$L$6:$CC$299,53,0)</f>
        <v>0</v>
      </c>
      <c r="BM92" s="102">
        <f>VLOOKUP(L92,工程合同!$L$6:$CC$299,54,0)</f>
        <v>0</v>
      </c>
      <c r="BN92" s="102">
        <f>VLOOKUP(L92,工程合同!$L$6:$CC$299,55,0)</f>
        <v>0</v>
      </c>
      <c r="BO92" s="102">
        <f>VLOOKUP(L92,工程合同!$L$6:$CC$299,56,0)</f>
        <v>0</v>
      </c>
      <c r="BP92" s="102">
        <f>VLOOKUP(L92,工程合同!$L$6:$CC$299,57,0)</f>
        <v>0</v>
      </c>
      <c r="BQ92" s="102">
        <f>VLOOKUP(L92,工程合同!$L$6:$CC$299,58,0)</f>
        <v>0</v>
      </c>
      <c r="BR92" s="102">
        <f>VLOOKUP(L92,工程合同!$L$6:$CC$299,59,0)</f>
        <v>0</v>
      </c>
      <c r="BS92" s="102">
        <f>VLOOKUP(L92,工程合同!$L$6:$CC$299,60,0)</f>
        <v>0</v>
      </c>
      <c r="BT92" s="102">
        <f>VLOOKUP(L92,工程合同!$L$6:$CC$299,61,0)</f>
        <v>0</v>
      </c>
      <c r="BU92" s="102">
        <f>VLOOKUP(L92,工程合同!$L$6:$CC$299,62,0)</f>
        <v>0</v>
      </c>
      <c r="BV92" s="102">
        <f>VLOOKUP(L92,工程合同!$L$6:$CC$299,63,0)</f>
        <v>0</v>
      </c>
      <c r="BW92" s="102">
        <f>VLOOKUP(L92,工程合同!$L$6:$CC$299,64,0)</f>
        <v>0</v>
      </c>
      <c r="BX92" s="102">
        <f>VLOOKUP(L92,工程合同!$L$6:$CC$299,65,0)</f>
        <v>0</v>
      </c>
      <c r="BY92" s="102">
        <f>VLOOKUP(L92,工程合同!$L$6:$CC$299,66,0)</f>
        <v>0</v>
      </c>
      <c r="BZ92" s="102">
        <f>VLOOKUP(L92,工程合同!$L$6:$CC$299,67,0)</f>
        <v>0</v>
      </c>
      <c r="CA92" s="102">
        <f>VLOOKUP(L92,工程合同!$L$6:$CC$299,68,0)</f>
        <v>0</v>
      </c>
      <c r="CB92" s="102">
        <f>VLOOKUP(L92,工程合同!$L$6:$CC$299,69,0)</f>
        <v>0</v>
      </c>
      <c r="CC92" s="102">
        <f>VLOOKUP(L92,工程合同!$L$6:$CC$299,70,0)</f>
        <v>0</v>
      </c>
      <c r="CD92" s="123">
        <f t="shared" si="33"/>
        <v>55683141</v>
      </c>
      <c r="CE92" s="102">
        <f t="shared" si="34"/>
        <v>55683141</v>
      </c>
      <c r="CF92" s="102">
        <f t="shared" si="35"/>
        <v>55683141</v>
      </c>
      <c r="CG92" s="102">
        <f t="shared" si="36"/>
        <v>0</v>
      </c>
      <c r="CH92" s="124">
        <f t="shared" si="37"/>
        <v>0</v>
      </c>
      <c r="CI92" s="125">
        <f t="shared" si="38"/>
        <v>1</v>
      </c>
      <c r="CJ92" s="126" t="str">
        <f t="shared" si="39"/>
        <v>数据正确</v>
      </c>
    </row>
    <row r="93" s="60" customFormat="1" customHeight="1" spans="2:88">
      <c r="B93" s="70" t="str">
        <f t="shared" si="29"/>
        <v>-</v>
      </c>
      <c r="C93" s="71" t="str">
        <f t="shared" si="30"/>
        <v>已付清</v>
      </c>
      <c r="D93" s="181">
        <f t="shared" si="31"/>
        <v>65880000</v>
      </c>
      <c r="E93" s="181">
        <f>SUMIF(工程合同!$L$6:$L$299,L93,工程合同!$E$6:$E$299)</f>
        <v>0</v>
      </c>
      <c r="F93" s="181">
        <f>SUMIF(工程合同!$L$6:$L$299,L93,工程合同!$F$6:$F$299)</f>
        <v>0</v>
      </c>
      <c r="G93" s="181">
        <f>SUMIF(工程合同!$L$6:$L$299,L93,工程合同!$G$6:$G$299)</f>
        <v>0</v>
      </c>
      <c r="H93" s="181">
        <f>SUMIF(工程合同!$L$6:$L$299,L93,工程合同!$H$6:$H$299)</f>
        <v>0</v>
      </c>
      <c r="I93" s="181">
        <f t="shared" si="32"/>
        <v>0</v>
      </c>
      <c r="J93" s="86" t="s">
        <v>98</v>
      </c>
      <c r="K93" s="87"/>
      <c r="L93" s="88">
        <v>88</v>
      </c>
      <c r="M93" s="89" t="str">
        <f>VLOOKUP(L93,工程合同!$L$6:$CC$299,2,0)</f>
        <v>YRKJGC-160002</v>
      </c>
      <c r="N93" s="90" t="str">
        <f>VLOOKUP(L93,工程合同!$L$6:$CC$299,3,0)</f>
        <v>工程合同</v>
      </c>
      <c r="O93" s="265" t="str">
        <f>VLOOKUP(L93,工程合同!$L$6:$CC$299,4,0)</f>
        <v>-</v>
      </c>
      <c r="P93" s="266">
        <f>VLOOKUP(L93,工程合同!$L$6:$CC$299,5,0)</f>
        <v>42302</v>
      </c>
      <c r="Q93" s="275">
        <f>VLOOKUP(L93,工程合同!$L$6:$CC$299,6,0)</f>
        <v>65880000</v>
      </c>
      <c r="R93" s="89" t="str">
        <f>VLOOKUP(L93,工程合同!$L$6:$CC$299,7,0)</f>
        <v>厂区道路路基处理工程（488元/M2*135000M2）</v>
      </c>
      <c r="S93" s="89" t="str">
        <f>VLOOKUP(L93,工程合同!$L$6:$CC$299,8,0)</f>
        <v>湖南省湘天建设工程有限公司</v>
      </c>
      <c r="T93" s="107">
        <f>VLOOKUP(L93,工程合同!$L$6:$CC$299,9,0)</f>
        <v>0</v>
      </c>
      <c r="U93" s="103" t="str">
        <f>VLOOKUP(L93,工程合同!$L$6:$CC$299,10,0)</f>
        <v>承兑/转账</v>
      </c>
      <c r="V93" s="276" t="str">
        <f>VLOOKUP(L93,工程合同!$L$6:$CC$299,11,0)</f>
        <v>按每月实际进度结算并支付工程进度款的90%</v>
      </c>
      <c r="W93" s="102">
        <f>VLOOKUP(L93,工程合同!$L$6:$CC$299,12,0)</f>
        <v>59292000</v>
      </c>
      <c r="X93" s="102">
        <f>VLOOKUP(L93,工程合同!$L$6:$CC$299,13,0)</f>
        <v>65880000</v>
      </c>
      <c r="Y93" s="102">
        <f>VLOOKUP(L93,工程合同!$L$6:$CC$299,14,0)</f>
        <v>65880000</v>
      </c>
      <c r="Z93" s="102" t="str">
        <f>VLOOKUP(L93,工程合同!$L$6:$CC$299,15,0)</f>
        <v>工程竣工验收合格后支付尾款</v>
      </c>
      <c r="AA93" s="102">
        <f>VLOOKUP(L93,工程合同!$L$6:$CC$299,16,0)</f>
        <v>6588000</v>
      </c>
      <c r="AB93" s="102">
        <f>VLOOKUP(L93,工程合同!$L$6:$CC$299,17,0)</f>
        <v>0</v>
      </c>
      <c r="AC93" s="102">
        <f>VLOOKUP(L93,工程合同!$L$6:$CC$299,18,0)</f>
        <v>0</v>
      </c>
      <c r="AD93" s="102">
        <f>VLOOKUP(L93,工程合同!$L$6:$CC$299,19,0)</f>
        <v>0</v>
      </c>
      <c r="AE93" s="102">
        <f>VLOOKUP(L93,工程合同!$L$6:$CC$299,20,0)</f>
        <v>0</v>
      </c>
      <c r="AF93" s="102">
        <f>VLOOKUP(L93,工程合同!$L$6:$CC$299,21,0)</f>
        <v>0</v>
      </c>
      <c r="AG93" s="102">
        <f>VLOOKUP(L93,工程合同!$L$6:$CC$299,22,0)</f>
        <v>0</v>
      </c>
      <c r="AH93" s="102">
        <f>VLOOKUP(L93,工程合同!$L$6:$CC$299,23,0)</f>
        <v>0</v>
      </c>
      <c r="AI93" s="102">
        <f>VLOOKUP(L93,工程合同!$L$6:$CC$299,24,0)</f>
        <v>0</v>
      </c>
      <c r="AJ93" s="102">
        <f>VLOOKUP(L93,工程合同!$L$6:$CC$299,25,0)</f>
        <v>0</v>
      </c>
      <c r="AK93" s="102">
        <f>VLOOKUP(L93,工程合同!$L$6:$CC$299,26,0)</f>
        <v>0</v>
      </c>
      <c r="AL93" s="102">
        <f>VLOOKUP(L93,工程合同!$L$6:$CC$299,27,0)</f>
        <v>0</v>
      </c>
      <c r="AM93" s="102">
        <f>VLOOKUP(L93,工程合同!$L$6:$CC$299,28,0)</f>
        <v>0</v>
      </c>
      <c r="AN93" s="102">
        <f>VLOOKUP(L93,工程合同!$L$6:$CC$299,29,0)</f>
        <v>0</v>
      </c>
      <c r="AO93" s="102">
        <f>VLOOKUP(L93,工程合同!$L$6:$CC$299,30,0)</f>
        <v>0</v>
      </c>
      <c r="AP93" s="102">
        <f>VLOOKUP(L93,工程合同!$L$6:$CC$299,31,0)</f>
        <v>0</v>
      </c>
      <c r="AQ93" s="102">
        <f>VLOOKUP(L93,工程合同!$L$6:$CC$299,32,0)</f>
        <v>0</v>
      </c>
      <c r="AR93" s="102">
        <f>VLOOKUP(L93,工程合同!$L$6:$CC$299,33,0)</f>
        <v>0</v>
      </c>
      <c r="AS93" s="102">
        <f>VLOOKUP(L93,工程合同!$L$6:$CC$299,34,0)</f>
        <v>0</v>
      </c>
      <c r="AT93" s="102">
        <f>VLOOKUP(L93,工程合同!$L$6:$CC$299,35,0)</f>
        <v>0</v>
      </c>
      <c r="AU93" s="102">
        <f>VLOOKUP(L93,工程合同!$L$6:$CC$299,36,0)</f>
        <v>0</v>
      </c>
      <c r="AV93" s="102">
        <f>VLOOKUP(L93,工程合同!$L$6:$CC$299,37,0)</f>
        <v>0</v>
      </c>
      <c r="AW93" s="102">
        <f>VLOOKUP(L93,工程合同!$L$6:$CC$299,38,0)</f>
        <v>0</v>
      </c>
      <c r="AX93" s="102">
        <f>VLOOKUP(L93,工程合同!$L$6:$CC$299,39,0)</f>
        <v>0</v>
      </c>
      <c r="AY93" s="102">
        <f>VLOOKUP(L93,工程合同!$L$6:$CC$299,40,0)</f>
        <v>0</v>
      </c>
      <c r="AZ93" s="102">
        <f>VLOOKUP(L93,工程合同!$L$6:$CC$299,41,0)</f>
        <v>0</v>
      </c>
      <c r="BA93" s="102">
        <f>VLOOKUP(L93,工程合同!$L$6:$CC$299,42,0)</f>
        <v>0</v>
      </c>
      <c r="BB93" s="102">
        <f>VLOOKUP(L93,工程合同!$L$6:$CC$299,43,0)</f>
        <v>0</v>
      </c>
      <c r="BC93" s="102">
        <f>VLOOKUP(L93,工程合同!$L$6:$CC$299,44,0)</f>
        <v>0</v>
      </c>
      <c r="BD93" s="102">
        <f>VLOOKUP(L93,工程合同!$L$6:$CC$299,45,0)</f>
        <v>0</v>
      </c>
      <c r="BE93" s="102">
        <f>VLOOKUP(L93,工程合同!$L$6:$CC$299,46,0)</f>
        <v>0</v>
      </c>
      <c r="BF93" s="102">
        <f>VLOOKUP(L93,工程合同!$L$6:$CC$299,47,0)</f>
        <v>0</v>
      </c>
      <c r="BG93" s="102">
        <f>VLOOKUP(L93,工程合同!$L$6:$CC$299,48,0)</f>
        <v>0</v>
      </c>
      <c r="BH93" s="102">
        <f>VLOOKUP(L93,工程合同!$L$6:$CC$299,49,0)</f>
        <v>0</v>
      </c>
      <c r="BI93" s="102">
        <f>VLOOKUP(L93,工程合同!$L$6:$CC$299,50,0)</f>
        <v>0</v>
      </c>
      <c r="BJ93" s="102">
        <f>VLOOKUP(L93,工程合同!$L$6:$CC$299,51,0)</f>
        <v>0</v>
      </c>
      <c r="BK93" s="102">
        <f>VLOOKUP(L93,工程合同!$L$6:$CC$299,52,0)</f>
        <v>0</v>
      </c>
      <c r="BL93" s="102">
        <f>VLOOKUP(L93,工程合同!$L$6:$CC$299,53,0)</f>
        <v>0</v>
      </c>
      <c r="BM93" s="102">
        <f>VLOOKUP(L93,工程合同!$L$6:$CC$299,54,0)</f>
        <v>0</v>
      </c>
      <c r="BN93" s="102">
        <f>VLOOKUP(L93,工程合同!$L$6:$CC$299,55,0)</f>
        <v>0</v>
      </c>
      <c r="BO93" s="102">
        <f>VLOOKUP(L93,工程合同!$L$6:$CC$299,56,0)</f>
        <v>0</v>
      </c>
      <c r="BP93" s="102">
        <f>VLOOKUP(L93,工程合同!$L$6:$CC$299,57,0)</f>
        <v>0</v>
      </c>
      <c r="BQ93" s="102">
        <f>VLOOKUP(L93,工程合同!$L$6:$CC$299,58,0)</f>
        <v>0</v>
      </c>
      <c r="BR93" s="102">
        <f>VLOOKUP(L93,工程合同!$L$6:$CC$299,59,0)</f>
        <v>0</v>
      </c>
      <c r="BS93" s="102">
        <f>VLOOKUP(L93,工程合同!$L$6:$CC$299,60,0)</f>
        <v>0</v>
      </c>
      <c r="BT93" s="102">
        <f>VLOOKUP(L93,工程合同!$L$6:$CC$299,61,0)</f>
        <v>0</v>
      </c>
      <c r="BU93" s="102">
        <f>VLOOKUP(L93,工程合同!$L$6:$CC$299,62,0)</f>
        <v>0</v>
      </c>
      <c r="BV93" s="102">
        <f>VLOOKUP(L93,工程合同!$L$6:$CC$299,63,0)</f>
        <v>0</v>
      </c>
      <c r="BW93" s="102">
        <f>VLOOKUP(L93,工程合同!$L$6:$CC$299,64,0)</f>
        <v>0</v>
      </c>
      <c r="BX93" s="102">
        <f>VLOOKUP(L93,工程合同!$L$6:$CC$299,65,0)</f>
        <v>0</v>
      </c>
      <c r="BY93" s="102">
        <f>VLOOKUP(L93,工程合同!$L$6:$CC$299,66,0)</f>
        <v>0</v>
      </c>
      <c r="BZ93" s="102">
        <f>VLOOKUP(L93,工程合同!$L$6:$CC$299,67,0)</f>
        <v>0</v>
      </c>
      <c r="CA93" s="102">
        <f>VLOOKUP(L93,工程合同!$L$6:$CC$299,68,0)</f>
        <v>0</v>
      </c>
      <c r="CB93" s="102">
        <f>VLOOKUP(L93,工程合同!$L$6:$CC$299,69,0)</f>
        <v>0</v>
      </c>
      <c r="CC93" s="102">
        <f>VLOOKUP(L93,工程合同!$L$6:$CC$299,70,0)</f>
        <v>0</v>
      </c>
      <c r="CD93" s="123">
        <f t="shared" si="33"/>
        <v>65880000</v>
      </c>
      <c r="CE93" s="102">
        <f t="shared" si="34"/>
        <v>65880000</v>
      </c>
      <c r="CF93" s="102">
        <f t="shared" si="35"/>
        <v>65880000</v>
      </c>
      <c r="CG93" s="102">
        <f t="shared" si="36"/>
        <v>0</v>
      </c>
      <c r="CH93" s="124">
        <f t="shared" si="37"/>
        <v>0</v>
      </c>
      <c r="CI93" s="125">
        <f t="shared" si="38"/>
        <v>1</v>
      </c>
      <c r="CJ93" s="126" t="str">
        <f t="shared" si="39"/>
        <v>数据正确</v>
      </c>
    </row>
    <row r="94" s="60" customFormat="1" customHeight="1" spans="2:88">
      <c r="B94" s="70" t="str">
        <f t="shared" si="29"/>
        <v>-</v>
      </c>
      <c r="C94" s="71" t="str">
        <f t="shared" si="30"/>
        <v>-</v>
      </c>
      <c r="D94" s="181">
        <f t="shared" si="31"/>
        <v>10724000</v>
      </c>
      <c r="E94" s="181">
        <f>SUMIF(工程合同!$L$6:$L$299,L94,工程合同!$E$6:$E$299)</f>
        <v>0</v>
      </c>
      <c r="F94" s="181">
        <f>SUMIF(工程合同!$L$6:$L$299,L94,工程合同!$F$6:$F$299)</f>
        <v>0</v>
      </c>
      <c r="G94" s="181">
        <f>SUMIF(工程合同!$L$6:$L$299,L94,工程合同!$G$6:$G$299)</f>
        <v>0</v>
      </c>
      <c r="H94" s="181">
        <f>SUMIF(工程合同!$L$6:$L$299,L94,工程合同!$H$6:$H$299)</f>
        <v>0</v>
      </c>
      <c r="I94" s="181">
        <f t="shared" si="32"/>
        <v>0</v>
      </c>
      <c r="J94" s="86" t="s">
        <v>98</v>
      </c>
      <c r="K94" s="87"/>
      <c r="L94" s="88">
        <v>89</v>
      </c>
      <c r="M94" s="89" t="str">
        <f>VLOOKUP(L94,工程合同!$L$6:$CC$299,2,0)</f>
        <v>YRKJGC-150002</v>
      </c>
      <c r="N94" s="90" t="str">
        <f>VLOOKUP(L94,工程合同!$L$6:$CC$299,3,0)</f>
        <v>工程合同</v>
      </c>
      <c r="O94" s="265" t="str">
        <f>VLOOKUP(L94,工程合同!$L$6:$CC$299,4,0)</f>
        <v>-</v>
      </c>
      <c r="P94" s="266">
        <f>VLOOKUP(L94,工程合同!$L$6:$CC$299,5,0)</f>
        <v>42397</v>
      </c>
      <c r="Q94" s="275">
        <f>VLOOKUP(L94,工程合同!$L$6:$CC$299,6,0)</f>
        <v>10836000</v>
      </c>
      <c r="R94" s="89" t="str">
        <f>VLOOKUP(L94,工程合同!$L$6:$CC$299,7,0)</f>
        <v>软基处理A标段A地块回填工程</v>
      </c>
      <c r="S94" s="89" t="str">
        <f>VLOOKUP(L94,工程合同!$L$6:$CC$299,8,0)</f>
        <v>莆田市兴发工程有限公司</v>
      </c>
      <c r="T94" s="107">
        <f>VLOOKUP(L94,工程合同!$L$6:$CC$299,9,0)</f>
        <v>0</v>
      </c>
      <c r="U94" s="103" t="str">
        <f>VLOOKUP(L94,工程合同!$L$6:$CC$299,10,0)</f>
        <v>承兑/转账</v>
      </c>
      <c r="V94" s="276" t="str">
        <f>VLOOKUP(L94,工程合同!$L$6:$CC$299,11,0)</f>
        <v>按每月实际进度结算并支付工程进度款的80%。乙方10万元投标保证金转履约保证金</v>
      </c>
      <c r="W94" s="102">
        <f>VLOOKUP(L94,工程合同!$L$6:$CC$299,12,0)</f>
        <v>8668800</v>
      </c>
      <c r="X94" s="102">
        <f>VLOOKUP(L94,工程合同!$L$6:$CC$299,13,0)</f>
        <v>8638000</v>
      </c>
      <c r="Y94" s="102">
        <f>VLOOKUP(L94,工程合同!$L$6:$CC$299,14,0)</f>
        <v>8638000</v>
      </c>
      <c r="Z94" s="102" t="str">
        <f>VLOOKUP(L94,工程合同!$L$6:$CC$299,15,0)</f>
        <v>实际工程测量结束后，送审计复核后支付至95%</v>
      </c>
      <c r="AA94" s="102">
        <f>VLOOKUP(L94,工程合同!$L$6:$CC$299,16,0)</f>
        <v>1625400</v>
      </c>
      <c r="AB94" s="102">
        <f>VLOOKUP(L94,工程合同!$L$6:$CC$299,17,0)</f>
        <v>2086000</v>
      </c>
      <c r="AC94" s="102">
        <f>VLOOKUP(L94,工程合同!$L$6:$CC$299,18,0)</f>
        <v>2086000</v>
      </c>
      <c r="AD94" s="102" t="str">
        <f>VLOOKUP(L94,工程合同!$L$6:$CC$299,19,0)</f>
        <v>6个月后在30天内支付剩余的5%</v>
      </c>
      <c r="AE94" s="102">
        <f>VLOOKUP(L94,工程合同!$L$6:$CC$299,20,0)</f>
        <v>541800</v>
      </c>
      <c r="AF94" s="102">
        <f>VLOOKUP(L94,工程合同!$L$6:$CC$299,21,0)</f>
        <v>0</v>
      </c>
      <c r="AG94" s="102">
        <f>VLOOKUP(L94,工程合同!$L$6:$CC$299,22,0)</f>
        <v>0</v>
      </c>
      <c r="AH94" s="102">
        <f>VLOOKUP(L94,工程合同!$L$6:$CC$299,23,0)</f>
        <v>0</v>
      </c>
      <c r="AI94" s="102">
        <f>VLOOKUP(L94,工程合同!$L$6:$CC$299,24,0)</f>
        <v>0</v>
      </c>
      <c r="AJ94" s="102">
        <f>VLOOKUP(L94,工程合同!$L$6:$CC$299,25,0)</f>
        <v>0</v>
      </c>
      <c r="AK94" s="102">
        <f>VLOOKUP(L94,工程合同!$L$6:$CC$299,26,0)</f>
        <v>0</v>
      </c>
      <c r="AL94" s="102">
        <f>VLOOKUP(L94,工程合同!$L$6:$CC$299,27,0)</f>
        <v>0</v>
      </c>
      <c r="AM94" s="102">
        <f>VLOOKUP(L94,工程合同!$L$6:$CC$299,28,0)</f>
        <v>0</v>
      </c>
      <c r="AN94" s="102">
        <f>VLOOKUP(L94,工程合同!$L$6:$CC$299,29,0)</f>
        <v>0</v>
      </c>
      <c r="AO94" s="102">
        <f>VLOOKUP(L94,工程合同!$L$6:$CC$299,30,0)</f>
        <v>0</v>
      </c>
      <c r="AP94" s="102">
        <f>VLOOKUP(L94,工程合同!$L$6:$CC$299,31,0)</f>
        <v>0</v>
      </c>
      <c r="AQ94" s="102">
        <f>VLOOKUP(L94,工程合同!$L$6:$CC$299,32,0)</f>
        <v>0</v>
      </c>
      <c r="AR94" s="102">
        <f>VLOOKUP(L94,工程合同!$L$6:$CC$299,33,0)</f>
        <v>0</v>
      </c>
      <c r="AS94" s="102">
        <f>VLOOKUP(L94,工程合同!$L$6:$CC$299,34,0)</f>
        <v>0</v>
      </c>
      <c r="AT94" s="102">
        <f>VLOOKUP(L94,工程合同!$L$6:$CC$299,35,0)</f>
        <v>0</v>
      </c>
      <c r="AU94" s="102">
        <f>VLOOKUP(L94,工程合同!$L$6:$CC$299,36,0)</f>
        <v>0</v>
      </c>
      <c r="AV94" s="102">
        <f>VLOOKUP(L94,工程合同!$L$6:$CC$299,37,0)</f>
        <v>0</v>
      </c>
      <c r="AW94" s="102">
        <f>VLOOKUP(L94,工程合同!$L$6:$CC$299,38,0)</f>
        <v>0</v>
      </c>
      <c r="AX94" s="102">
        <f>VLOOKUP(L94,工程合同!$L$6:$CC$299,39,0)</f>
        <v>0</v>
      </c>
      <c r="AY94" s="102">
        <f>VLOOKUP(L94,工程合同!$L$6:$CC$299,40,0)</f>
        <v>0</v>
      </c>
      <c r="AZ94" s="102">
        <f>VLOOKUP(L94,工程合同!$L$6:$CC$299,41,0)</f>
        <v>0</v>
      </c>
      <c r="BA94" s="102">
        <f>VLOOKUP(L94,工程合同!$L$6:$CC$299,42,0)</f>
        <v>0</v>
      </c>
      <c r="BB94" s="102">
        <f>VLOOKUP(L94,工程合同!$L$6:$CC$299,43,0)</f>
        <v>0</v>
      </c>
      <c r="BC94" s="102">
        <f>VLOOKUP(L94,工程合同!$L$6:$CC$299,44,0)</f>
        <v>0</v>
      </c>
      <c r="BD94" s="102">
        <f>VLOOKUP(L94,工程合同!$L$6:$CC$299,45,0)</f>
        <v>0</v>
      </c>
      <c r="BE94" s="102">
        <f>VLOOKUP(L94,工程合同!$L$6:$CC$299,46,0)</f>
        <v>0</v>
      </c>
      <c r="BF94" s="102">
        <f>VLOOKUP(L94,工程合同!$L$6:$CC$299,47,0)</f>
        <v>0</v>
      </c>
      <c r="BG94" s="102">
        <f>VLOOKUP(L94,工程合同!$L$6:$CC$299,48,0)</f>
        <v>0</v>
      </c>
      <c r="BH94" s="102">
        <f>VLOOKUP(L94,工程合同!$L$6:$CC$299,49,0)</f>
        <v>0</v>
      </c>
      <c r="BI94" s="102">
        <f>VLOOKUP(L94,工程合同!$L$6:$CC$299,50,0)</f>
        <v>0</v>
      </c>
      <c r="BJ94" s="102">
        <f>VLOOKUP(L94,工程合同!$L$6:$CC$299,51,0)</f>
        <v>0</v>
      </c>
      <c r="BK94" s="102">
        <f>VLOOKUP(L94,工程合同!$L$6:$CC$299,52,0)</f>
        <v>0</v>
      </c>
      <c r="BL94" s="102">
        <f>VLOOKUP(L94,工程合同!$L$6:$CC$299,53,0)</f>
        <v>0</v>
      </c>
      <c r="BM94" s="102">
        <f>VLOOKUP(L94,工程合同!$L$6:$CC$299,54,0)</f>
        <v>0</v>
      </c>
      <c r="BN94" s="102">
        <f>VLOOKUP(L94,工程合同!$L$6:$CC$299,55,0)</f>
        <v>0</v>
      </c>
      <c r="BO94" s="102">
        <f>VLOOKUP(L94,工程合同!$L$6:$CC$299,56,0)</f>
        <v>0</v>
      </c>
      <c r="BP94" s="102">
        <f>VLOOKUP(L94,工程合同!$L$6:$CC$299,57,0)</f>
        <v>0</v>
      </c>
      <c r="BQ94" s="102">
        <f>VLOOKUP(L94,工程合同!$L$6:$CC$299,58,0)</f>
        <v>0</v>
      </c>
      <c r="BR94" s="102">
        <f>VLOOKUP(L94,工程合同!$L$6:$CC$299,59,0)</f>
        <v>0</v>
      </c>
      <c r="BS94" s="102">
        <f>VLOOKUP(L94,工程合同!$L$6:$CC$299,60,0)</f>
        <v>0</v>
      </c>
      <c r="BT94" s="102">
        <f>VLOOKUP(L94,工程合同!$L$6:$CC$299,61,0)</f>
        <v>0</v>
      </c>
      <c r="BU94" s="102">
        <f>VLOOKUP(L94,工程合同!$L$6:$CC$299,62,0)</f>
        <v>0</v>
      </c>
      <c r="BV94" s="102">
        <f>VLOOKUP(L94,工程合同!$L$6:$CC$299,63,0)</f>
        <v>0</v>
      </c>
      <c r="BW94" s="102">
        <f>VLOOKUP(L94,工程合同!$L$6:$CC$299,64,0)</f>
        <v>0</v>
      </c>
      <c r="BX94" s="102">
        <f>VLOOKUP(L94,工程合同!$L$6:$CC$299,65,0)</f>
        <v>0</v>
      </c>
      <c r="BY94" s="102">
        <f>VLOOKUP(L94,工程合同!$L$6:$CC$299,66,0)</f>
        <v>0</v>
      </c>
      <c r="BZ94" s="102">
        <f>VLOOKUP(L94,工程合同!$L$6:$CC$299,67,0)</f>
        <v>0</v>
      </c>
      <c r="CA94" s="102">
        <f>VLOOKUP(L94,工程合同!$L$6:$CC$299,68,0)</f>
        <v>0</v>
      </c>
      <c r="CB94" s="102">
        <f>VLOOKUP(L94,工程合同!$L$6:$CC$299,69,0)</f>
        <v>0</v>
      </c>
      <c r="CC94" s="102">
        <f>VLOOKUP(L94,工程合同!$L$6:$CC$299,70,0)</f>
        <v>0</v>
      </c>
      <c r="CD94" s="123">
        <f t="shared" si="33"/>
        <v>10836000</v>
      </c>
      <c r="CE94" s="102">
        <f t="shared" si="34"/>
        <v>10724000</v>
      </c>
      <c r="CF94" s="102">
        <f t="shared" si="35"/>
        <v>10724000</v>
      </c>
      <c r="CG94" s="102">
        <f t="shared" si="36"/>
        <v>0</v>
      </c>
      <c r="CH94" s="124">
        <f t="shared" si="37"/>
        <v>112000</v>
      </c>
      <c r="CI94" s="125">
        <f t="shared" si="38"/>
        <v>0.989664082687339</v>
      </c>
      <c r="CJ94" s="126" t="str">
        <f t="shared" si="39"/>
        <v>数据正确</v>
      </c>
    </row>
    <row r="95" s="60" customFormat="1" customHeight="1" spans="2:88">
      <c r="B95" s="70" t="str">
        <f t="shared" si="29"/>
        <v>-</v>
      </c>
      <c r="C95" s="71" t="str">
        <f t="shared" si="30"/>
        <v>-</v>
      </c>
      <c r="D95" s="181">
        <f t="shared" si="31"/>
        <v>258381.95</v>
      </c>
      <c r="E95" s="181">
        <f>SUMIF(材料合同!$L$6:$L$305,L95,材料合同!$E$6:$E$305)</f>
        <v>0</v>
      </c>
      <c r="F95" s="181">
        <f>SUMIF(材料合同!$L$6:$L$305,L95,材料合同!$F$6:$F$305)</f>
        <v>0</v>
      </c>
      <c r="G95" s="181">
        <f>SUMIF(材料合同!$L$6:$L$305,L95,材料合同!$G$6:$G$305)</f>
        <v>0</v>
      </c>
      <c r="H95" s="181">
        <f>SUMIF(材料合同!$L$6:$L$305,L95,材料合同!$H$6:$H$305)</f>
        <v>0</v>
      </c>
      <c r="I95" s="181">
        <f t="shared" si="32"/>
        <v>0</v>
      </c>
      <c r="J95" s="86" t="s">
        <v>98</v>
      </c>
      <c r="K95" s="87"/>
      <c r="L95" s="88">
        <v>90</v>
      </c>
      <c r="M95" s="89" t="str">
        <f>VLOOKUP(L95,材料合同!$L$6:$CC$305,2,0)</f>
        <v>YRKJGC-150003</v>
      </c>
      <c r="N95" s="90" t="str">
        <f>VLOOKUP(L95,材料合同!$L$6:$CC$305,3,0)</f>
        <v>材料合同</v>
      </c>
      <c r="O95" s="265" t="str">
        <f>VLOOKUP(L95,材料合同!$L$6:$CC$305,4,0)</f>
        <v>-</v>
      </c>
      <c r="P95" s="266">
        <f>VLOOKUP(L95,材料合同!$L$6:$CC$305,5,0)</f>
        <v>42369</v>
      </c>
      <c r="Q95" s="275">
        <f>VLOOKUP(L95,材料合同!$L$6:$CC$305,6,0)</f>
        <v>367979</v>
      </c>
      <c r="R95" s="89" t="str">
        <f>VLOOKUP(L95,材料合同!$L$6:$CC$305,7,0)</f>
        <v>水泥空心砖（2.05元/块），水泥标砖（0.28元/块）</v>
      </c>
      <c r="S95" s="89" t="str">
        <f>VLOOKUP(L95,材料合同!$L$6:$CC$305,8,0)</f>
        <v>莆田市秀屿区东庄荔锦水泥制砖场</v>
      </c>
      <c r="T95" s="107">
        <f>VLOOKUP(L95,材料合同!$L$6:$CC$305,9,0)</f>
        <v>0</v>
      </c>
      <c r="U95" s="103" t="str">
        <f>VLOOKUP(L95,材料合同!$L$6:$CC$305,10,0)</f>
        <v>承兑</v>
      </c>
      <c r="V95" s="276" t="str">
        <f>VLOOKUP(L95,材料合同!$L$6:$CC$305,11,0)</f>
        <v>每月5日之前支付上个月货款进行结算，提供3%的增值税发票</v>
      </c>
      <c r="W95" s="102">
        <f>VLOOKUP(L95,材料合同!$L$6:$CC$305,12,0)</f>
        <v>367979</v>
      </c>
      <c r="X95" s="102">
        <f>VLOOKUP(L95,材料合同!$L$6:$CC$305,13,0)</f>
        <v>258381.95</v>
      </c>
      <c r="Y95" s="102">
        <f>VLOOKUP(L95,材料合同!$L$6:$CC$305,14,0)</f>
        <v>258381.95</v>
      </c>
      <c r="Z95" s="102">
        <f>VLOOKUP(L95,材料合同!$L$6:$CC$305,15,0)</f>
        <v>0</v>
      </c>
      <c r="AA95" s="102">
        <f>VLOOKUP(L95,材料合同!$L$6:$CC$305,16,0)</f>
        <v>0</v>
      </c>
      <c r="AB95" s="102">
        <f>VLOOKUP(L95,材料合同!$L$6:$CC$305,17,0)</f>
        <v>0</v>
      </c>
      <c r="AC95" s="102">
        <f>VLOOKUP(L95,材料合同!$L$6:$CC$305,18,0)</f>
        <v>0</v>
      </c>
      <c r="AD95" s="102">
        <f>VLOOKUP(L95,材料合同!$L$6:$CC$305,19,0)</f>
        <v>0</v>
      </c>
      <c r="AE95" s="102">
        <f>VLOOKUP(L95,材料合同!$L$6:$CC$305,20,0)</f>
        <v>0</v>
      </c>
      <c r="AF95" s="102">
        <f>VLOOKUP(L95,材料合同!$L$6:$CC$305,21,0)</f>
        <v>0</v>
      </c>
      <c r="AG95" s="102">
        <f>VLOOKUP(L95,材料合同!$L$6:$CC$305,22,0)</f>
        <v>0</v>
      </c>
      <c r="AH95" s="102">
        <f>VLOOKUP(L95,材料合同!$L$6:$CC$305,23,0)</f>
        <v>0</v>
      </c>
      <c r="AI95" s="102">
        <f>VLOOKUP(L95,材料合同!$L$6:$CC$305,24,0)</f>
        <v>0</v>
      </c>
      <c r="AJ95" s="102">
        <f>VLOOKUP(L95,材料合同!$L$6:$CC$305,25,0)</f>
        <v>0</v>
      </c>
      <c r="AK95" s="102">
        <f>VLOOKUP(L95,材料合同!$L$6:$CC$305,26,0)</f>
        <v>0</v>
      </c>
      <c r="AL95" s="102">
        <f>VLOOKUP(L95,材料合同!$L$6:$CC$305,27,0)</f>
        <v>0</v>
      </c>
      <c r="AM95" s="102">
        <f>VLOOKUP(L95,材料合同!$L$6:$CC$305,28,0)</f>
        <v>0</v>
      </c>
      <c r="AN95" s="102">
        <f>VLOOKUP(L95,材料合同!$L$6:$CC$305,29,0)</f>
        <v>0</v>
      </c>
      <c r="AO95" s="102">
        <f>VLOOKUP(L95,材料合同!$L$6:$CC$305,30,0)</f>
        <v>0</v>
      </c>
      <c r="AP95" s="102">
        <f>VLOOKUP(L95,材料合同!$L$6:$CC$305,31,0)</f>
        <v>0</v>
      </c>
      <c r="AQ95" s="102">
        <f>VLOOKUP(L95,材料合同!$L$6:$CC$305,32,0)</f>
        <v>0</v>
      </c>
      <c r="AR95" s="102">
        <f>VLOOKUP(L95,材料合同!$L$6:$CC$305,33,0)</f>
        <v>0</v>
      </c>
      <c r="AS95" s="102">
        <f>VLOOKUP(L95,材料合同!$L$6:$CC$305,34,0)</f>
        <v>0</v>
      </c>
      <c r="AT95" s="102">
        <f>VLOOKUP(L95,材料合同!$L$6:$CC$305,35,0)</f>
        <v>0</v>
      </c>
      <c r="AU95" s="102">
        <f>VLOOKUP(L95,材料合同!$L$6:$CC$305,36,0)</f>
        <v>0</v>
      </c>
      <c r="AV95" s="102">
        <f>VLOOKUP(L95,材料合同!$L$6:$CC$305,37,0)</f>
        <v>0</v>
      </c>
      <c r="AW95" s="102">
        <f>VLOOKUP(L95,材料合同!$L$6:$CC$305,38,0)</f>
        <v>0</v>
      </c>
      <c r="AX95" s="102">
        <f>VLOOKUP(L95,材料合同!$L$6:$CC$305,39,0)</f>
        <v>0</v>
      </c>
      <c r="AY95" s="102">
        <f>VLOOKUP(L95,材料合同!$L$6:$CC$305,40,0)</f>
        <v>0</v>
      </c>
      <c r="AZ95" s="102">
        <f>VLOOKUP(L95,材料合同!$L$6:$CC$305,41,0)</f>
        <v>0</v>
      </c>
      <c r="BA95" s="102">
        <f>VLOOKUP(L95,材料合同!$L$6:$CC$305,42,0)</f>
        <v>0</v>
      </c>
      <c r="BB95" s="102">
        <f>VLOOKUP(L95,材料合同!$L$6:$CC$305,43,0)</f>
        <v>0</v>
      </c>
      <c r="BC95" s="102">
        <f>VLOOKUP(L95,材料合同!$L$6:$CC$305,44,0)</f>
        <v>0</v>
      </c>
      <c r="BD95" s="102">
        <f>VLOOKUP(L95,材料合同!$L$6:$CC$305,45,0)</f>
        <v>0</v>
      </c>
      <c r="BE95" s="102">
        <f>VLOOKUP(L95,材料合同!$L$6:$CC$305,46,0)</f>
        <v>0</v>
      </c>
      <c r="BF95" s="102">
        <f>VLOOKUP(L95,材料合同!$L$6:$CC$305,47,0)</f>
        <v>0</v>
      </c>
      <c r="BG95" s="102">
        <f>VLOOKUP(L95,材料合同!$L$6:$CC$305,48,0)</f>
        <v>0</v>
      </c>
      <c r="BH95" s="102">
        <f>VLOOKUP(L95,材料合同!$L$6:$CC$305,49,0)</f>
        <v>0</v>
      </c>
      <c r="BI95" s="102">
        <f>VLOOKUP(L95,材料合同!$L$6:$CC$305,50,0)</f>
        <v>0</v>
      </c>
      <c r="BJ95" s="102">
        <f>VLOOKUP(L95,材料合同!$L$6:$CC$305,51,0)</f>
        <v>0</v>
      </c>
      <c r="BK95" s="102">
        <f>VLOOKUP(L95,材料合同!$L$6:$CC$305,52,0)</f>
        <v>0</v>
      </c>
      <c r="BL95" s="102">
        <f>VLOOKUP(L95,材料合同!$L$6:$CC$305,53,0)</f>
        <v>0</v>
      </c>
      <c r="BM95" s="102">
        <f>VLOOKUP(L95,材料合同!$L$6:$CC$305,54,0)</f>
        <v>0</v>
      </c>
      <c r="BN95" s="102">
        <f>VLOOKUP(L95,材料合同!$L$6:$CC$305,55,0)</f>
        <v>0</v>
      </c>
      <c r="BO95" s="102">
        <f>VLOOKUP(L95,材料合同!$L$6:$CC$305,56,0)</f>
        <v>0</v>
      </c>
      <c r="BP95" s="102">
        <f>VLOOKUP(L95,材料合同!$L$6:$CC$305,57,0)</f>
        <v>0</v>
      </c>
      <c r="BQ95" s="102">
        <f>VLOOKUP(L95,材料合同!$L$6:$CC$305,58,0)</f>
        <v>0</v>
      </c>
      <c r="BR95" s="102">
        <f>VLOOKUP(L95,材料合同!$L$6:$CC$305,59,0)</f>
        <v>0</v>
      </c>
      <c r="BS95" s="102">
        <f>VLOOKUP(L95,材料合同!$L$6:$CC$305,60,0)</f>
        <v>0</v>
      </c>
      <c r="BT95" s="102">
        <f>VLOOKUP(L95,材料合同!$L$6:$CC$305,61,0)</f>
        <v>0</v>
      </c>
      <c r="BU95" s="102">
        <f>VLOOKUP(L95,材料合同!$L$6:$CC$305,62,0)</f>
        <v>0</v>
      </c>
      <c r="BV95" s="102">
        <f>VLOOKUP(L95,材料合同!$L$6:$CC$305,63,0)</f>
        <v>0</v>
      </c>
      <c r="BW95" s="102">
        <f>VLOOKUP(L95,材料合同!$L$6:$CC$305,64,0)</f>
        <v>0</v>
      </c>
      <c r="BX95" s="102">
        <f>VLOOKUP(L95,材料合同!$L$6:$CC$305,65,0)</f>
        <v>0</v>
      </c>
      <c r="BY95" s="102">
        <f>VLOOKUP(L95,材料合同!$L$6:$CC$305,66,0)</f>
        <v>0</v>
      </c>
      <c r="BZ95" s="102">
        <f>VLOOKUP(L95,材料合同!$L$6:$CC$305,67,0)</f>
        <v>0</v>
      </c>
      <c r="CA95" s="102">
        <f>VLOOKUP(L95,材料合同!$L$6:$CC$305,68,0)</f>
        <v>0</v>
      </c>
      <c r="CB95" s="102">
        <f>VLOOKUP(L95,材料合同!$L$6:$CC$305,69,0)</f>
        <v>0</v>
      </c>
      <c r="CC95" s="102">
        <f>VLOOKUP(L95,材料合同!$L$6:$CC$305,70,0)</f>
        <v>0</v>
      </c>
      <c r="CD95" s="123">
        <f t="shared" si="33"/>
        <v>367979</v>
      </c>
      <c r="CE95" s="102">
        <f t="shared" si="34"/>
        <v>258381.95</v>
      </c>
      <c r="CF95" s="102">
        <f t="shared" si="35"/>
        <v>258381.95</v>
      </c>
      <c r="CG95" s="102">
        <f t="shared" si="36"/>
        <v>0</v>
      </c>
      <c r="CH95" s="124">
        <f t="shared" si="37"/>
        <v>109597.05</v>
      </c>
      <c r="CI95" s="125">
        <f t="shared" si="38"/>
        <v>0.702164933325</v>
      </c>
      <c r="CJ95" s="126" t="str">
        <f t="shared" si="39"/>
        <v>数据正确</v>
      </c>
    </row>
    <row r="96" s="60" customFormat="1" customHeight="1" spans="2:88">
      <c r="B96" s="70" t="str">
        <f t="shared" si="29"/>
        <v>-</v>
      </c>
      <c r="C96" s="71" t="str">
        <f t="shared" si="30"/>
        <v>-</v>
      </c>
      <c r="D96" s="181">
        <f t="shared" si="31"/>
        <v>81000</v>
      </c>
      <c r="E96" s="181">
        <f>SUMIF(服务合同!$L$6:$L$300,L96,服务合同!$E$6:$E$300)</f>
        <v>0</v>
      </c>
      <c r="F96" s="181">
        <f>SUMIF(服务合同!$L$6:$L$300,L96,服务合同!$F$6:$F$300)</f>
        <v>0</v>
      </c>
      <c r="G96" s="181">
        <f>SUMIF(服务合同!$L$6:$L$300,L96,服务合同!$G$6:$G$300)</f>
        <v>0</v>
      </c>
      <c r="H96" s="181">
        <f>SUMIF(服务合同!$L$6:$L$300,L96,服务合同!$H$6:$H$300)</f>
        <v>0</v>
      </c>
      <c r="I96" s="181">
        <f t="shared" si="32"/>
        <v>0</v>
      </c>
      <c r="J96" s="86" t="s">
        <v>98</v>
      </c>
      <c r="K96" s="87"/>
      <c r="L96" s="88">
        <v>91</v>
      </c>
      <c r="M96" s="89" t="str">
        <f>VLOOKUP(L96,服务合同!$L$6:$CC$300,2,0)</f>
        <v>YRKJGC-150003</v>
      </c>
      <c r="N96" s="90" t="str">
        <f>VLOOKUP(L96,服务合同!$L$6:$CC$300,3,0)</f>
        <v>服务合同</v>
      </c>
      <c r="O96" s="265" t="str">
        <f>VLOOKUP(L96,服务合同!$L$6:$CC$300,4,0)</f>
        <v>-</v>
      </c>
      <c r="P96" s="266">
        <f>VLOOKUP(L96,服务合同!$L$6:$CC$300,5,0)</f>
        <v>42073</v>
      </c>
      <c r="Q96" s="275">
        <f>VLOOKUP(L96,服务合同!$L$6:$CC$300,6,0)</f>
        <v>54425</v>
      </c>
      <c r="R96" s="89" t="str">
        <f>VLOOKUP(L96,服务合同!$L$6:$CC$300,7,0)</f>
        <v>厂区测绘工程（地形、自然地面标高、标准坐标点等数据测量）</v>
      </c>
      <c r="S96" s="89" t="str">
        <f>VLOOKUP(L96,服务合同!$L$6:$CC$300,8,0)</f>
        <v>福建地智信息技术有限公司</v>
      </c>
      <c r="T96" s="107">
        <f>VLOOKUP(L96,服务合同!$L$6:$CC$300,9,0)</f>
        <v>0</v>
      </c>
      <c r="U96" s="103" t="str">
        <f>VLOOKUP(L96,服务合同!$L$6:$CC$300,10,0)</f>
        <v>无标明</v>
      </c>
      <c r="V96" s="276" t="str">
        <f>VLOOKUP(L96,服务合同!$L$6:$CC$300,11,0)</f>
        <v>按月按进度每月25日向甲方报当月的实际完成工程量，支付工程款的80%</v>
      </c>
      <c r="W96" s="102">
        <f>VLOOKUP(L96,服务合同!$L$6:$CC$300,12,0)</f>
        <v>43540</v>
      </c>
      <c r="X96" s="102">
        <f>VLOOKUP(L96,服务合同!$L$6:$CC$300,13,0)</f>
        <v>32000</v>
      </c>
      <c r="Y96" s="102">
        <f>VLOOKUP(L96,服务合同!$L$6:$CC$300,14,0)</f>
        <v>32000</v>
      </c>
      <c r="Z96" s="102" t="str">
        <f>VLOOKUP(L96,服务合同!$L$6:$CC$300,15,0)</f>
        <v>经甲方验收通过且所有资料与甲方交接完毕后支付至90%</v>
      </c>
      <c r="AA96" s="102">
        <f>VLOOKUP(L96,服务合同!$L$6:$CC$300,16,0)</f>
        <v>5442.5</v>
      </c>
      <c r="AB96" s="102">
        <f>VLOOKUP(L96,服务合同!$L$6:$CC$300,17,0)</f>
        <v>49000</v>
      </c>
      <c r="AC96" s="102">
        <f>VLOOKUP(L96,服务合同!$L$6:$CC$300,18,0)</f>
        <v>49000</v>
      </c>
      <c r="AD96" s="102" t="str">
        <f>VLOOKUP(L96,服务合同!$L$6:$CC$300,19,0)</f>
        <v>乙方提交结算书和竣工图纸，经甲方审核后办理交接手续后10个工作日内，付清</v>
      </c>
      <c r="AE96" s="102">
        <f>VLOOKUP(L96,服务合同!$L$6:$CC$300,20,0)</f>
        <v>5442.5</v>
      </c>
      <c r="AF96" s="102">
        <f>VLOOKUP(L96,服务合同!$L$6:$CC$300,21,0)</f>
        <v>0</v>
      </c>
      <c r="AG96" s="102">
        <f>VLOOKUP(L96,服务合同!$L$6:$CC$300,22,0)</f>
        <v>0</v>
      </c>
      <c r="AH96" s="102">
        <f>VLOOKUP(L96,服务合同!$L$6:$CC$300,23,0)</f>
        <v>0</v>
      </c>
      <c r="AI96" s="102">
        <f>VLOOKUP(L96,服务合同!$L$6:$CC$300,24,0)</f>
        <v>0</v>
      </c>
      <c r="AJ96" s="102">
        <f>VLOOKUP(L96,服务合同!$L$6:$CC$300,25,0)</f>
        <v>0</v>
      </c>
      <c r="AK96" s="102">
        <f>VLOOKUP(L96,服务合同!$L$6:$CC$300,26,0)</f>
        <v>0</v>
      </c>
      <c r="AL96" s="102">
        <f>VLOOKUP(L96,服务合同!$L$6:$CC$300,27,0)</f>
        <v>0</v>
      </c>
      <c r="AM96" s="102">
        <f>VLOOKUP(L96,服务合同!$L$6:$CC$300,28,0)</f>
        <v>0</v>
      </c>
      <c r="AN96" s="102">
        <f>VLOOKUP(L96,服务合同!$L$6:$CC$300,29,0)</f>
        <v>0</v>
      </c>
      <c r="AO96" s="102">
        <f>VLOOKUP(L96,服务合同!$L$6:$CC$300,30,0)</f>
        <v>0</v>
      </c>
      <c r="AP96" s="102">
        <f>VLOOKUP(L96,服务合同!$L$6:$CC$300,31,0)</f>
        <v>0</v>
      </c>
      <c r="AQ96" s="102">
        <f>VLOOKUP(L96,服务合同!$L$6:$CC$300,32,0)</f>
        <v>0</v>
      </c>
      <c r="AR96" s="102">
        <f>VLOOKUP(L96,服务合同!$L$6:$CC$300,33,0)</f>
        <v>0</v>
      </c>
      <c r="AS96" s="102">
        <f>VLOOKUP(L96,服务合同!$L$6:$CC$300,34,0)</f>
        <v>0</v>
      </c>
      <c r="AT96" s="102">
        <f>VLOOKUP(L96,服务合同!$L$6:$CC$300,35,0)</f>
        <v>0</v>
      </c>
      <c r="AU96" s="102">
        <f>VLOOKUP(L96,服务合同!$L$6:$CC$300,36,0)</f>
        <v>0</v>
      </c>
      <c r="AV96" s="102">
        <f>VLOOKUP(L96,服务合同!$L$6:$CC$300,37,0)</f>
        <v>0</v>
      </c>
      <c r="AW96" s="102">
        <f>VLOOKUP(L96,服务合同!$L$6:$CC$300,38,0)</f>
        <v>0</v>
      </c>
      <c r="AX96" s="102">
        <f>VLOOKUP(L96,服务合同!$L$6:$CC$300,39,0)</f>
        <v>0</v>
      </c>
      <c r="AY96" s="102">
        <f>VLOOKUP(L96,服务合同!$L$6:$CC$300,40,0)</f>
        <v>0</v>
      </c>
      <c r="AZ96" s="102">
        <f>VLOOKUP(L96,服务合同!$L$6:$CC$300,41,0)</f>
        <v>0</v>
      </c>
      <c r="BA96" s="102">
        <f>VLOOKUP(L96,服务合同!$L$6:$CC$300,42,0)</f>
        <v>0</v>
      </c>
      <c r="BB96" s="102">
        <f>VLOOKUP(L96,服务合同!$L$6:$CC$300,43,0)</f>
        <v>0</v>
      </c>
      <c r="BC96" s="102">
        <f>VLOOKUP(L96,服务合同!$L$6:$CC$300,44,0)</f>
        <v>0</v>
      </c>
      <c r="BD96" s="102">
        <f>VLOOKUP(L96,服务合同!$L$6:$CC$300,45,0)</f>
        <v>0</v>
      </c>
      <c r="BE96" s="102">
        <f>VLOOKUP(L96,服务合同!$L$6:$CC$300,46,0)</f>
        <v>0</v>
      </c>
      <c r="BF96" s="102">
        <f>VLOOKUP(L96,服务合同!$L$6:$CC$300,47,0)</f>
        <v>0</v>
      </c>
      <c r="BG96" s="102">
        <f>VLOOKUP(L96,服务合同!$L$6:$CC$300,48,0)</f>
        <v>0</v>
      </c>
      <c r="BH96" s="102">
        <f>VLOOKUP(L96,服务合同!$L$6:$CC$300,49,0)</f>
        <v>0</v>
      </c>
      <c r="BI96" s="102">
        <f>VLOOKUP(L96,服务合同!$L$6:$CC$300,50,0)</f>
        <v>0</v>
      </c>
      <c r="BJ96" s="102">
        <f>VLOOKUP(L96,服务合同!$L$6:$CC$300,51,0)</f>
        <v>0</v>
      </c>
      <c r="BK96" s="102">
        <f>VLOOKUP(L96,服务合同!$L$6:$CC$300,52,0)</f>
        <v>0</v>
      </c>
      <c r="BL96" s="102">
        <f>VLOOKUP(L96,服务合同!$L$6:$CC$300,53,0)</f>
        <v>0</v>
      </c>
      <c r="BM96" s="102">
        <f>VLOOKUP(L96,服务合同!$L$6:$CC$300,54,0)</f>
        <v>0</v>
      </c>
      <c r="BN96" s="102">
        <f>VLOOKUP(L96,服务合同!$L$6:$CC$300,55,0)</f>
        <v>0</v>
      </c>
      <c r="BO96" s="102">
        <f>VLOOKUP(L96,服务合同!$L$6:$CC$300,56,0)</f>
        <v>0</v>
      </c>
      <c r="BP96" s="102">
        <f>VLOOKUP(L96,服务合同!$L$6:$CC$300,57,0)</f>
        <v>0</v>
      </c>
      <c r="BQ96" s="102">
        <f>VLOOKUP(L96,服务合同!$L$6:$CC$300,58,0)</f>
        <v>0</v>
      </c>
      <c r="BR96" s="102">
        <f>VLOOKUP(L96,服务合同!$L$6:$CC$300,59,0)</f>
        <v>0</v>
      </c>
      <c r="BS96" s="102">
        <f>VLOOKUP(L96,服务合同!$L$6:$CC$300,60,0)</f>
        <v>0</v>
      </c>
      <c r="BT96" s="102">
        <f>VLOOKUP(L96,服务合同!$L$6:$CC$300,61,0)</f>
        <v>0</v>
      </c>
      <c r="BU96" s="102">
        <f>VLOOKUP(L96,服务合同!$L$6:$CC$300,62,0)</f>
        <v>0</v>
      </c>
      <c r="BV96" s="102">
        <f>VLOOKUP(L96,服务合同!$L$6:$CC$300,63,0)</f>
        <v>0</v>
      </c>
      <c r="BW96" s="102">
        <f>VLOOKUP(L96,服务合同!$L$6:$CC$300,64,0)</f>
        <v>0</v>
      </c>
      <c r="BX96" s="102">
        <f>VLOOKUP(L96,服务合同!$L$6:$CC$300,65,0)</f>
        <v>0</v>
      </c>
      <c r="BY96" s="102">
        <f>VLOOKUP(L96,服务合同!$L$6:$CC$300,66,0)</f>
        <v>0</v>
      </c>
      <c r="BZ96" s="102">
        <f>VLOOKUP(L96,服务合同!$L$6:$CC$300,67,0)</f>
        <v>0</v>
      </c>
      <c r="CA96" s="102">
        <f>VLOOKUP(L96,服务合同!$L$6:$CC$300,68,0)</f>
        <v>0</v>
      </c>
      <c r="CB96" s="102">
        <f>VLOOKUP(L96,服务合同!$L$6:$CC$300,69,0)</f>
        <v>0</v>
      </c>
      <c r="CC96" s="102">
        <f>VLOOKUP(L96,服务合同!$L$6:$CC$300,70,0)</f>
        <v>0</v>
      </c>
      <c r="CD96" s="123">
        <f t="shared" si="33"/>
        <v>54425</v>
      </c>
      <c r="CE96" s="102">
        <f t="shared" si="34"/>
        <v>81000</v>
      </c>
      <c r="CF96" s="102">
        <f t="shared" si="35"/>
        <v>81000</v>
      </c>
      <c r="CG96" s="102">
        <f t="shared" si="36"/>
        <v>0</v>
      </c>
      <c r="CH96" s="124">
        <f t="shared" si="37"/>
        <v>-26575</v>
      </c>
      <c r="CI96" s="125">
        <f t="shared" si="38"/>
        <v>1.48828663298117</v>
      </c>
      <c r="CJ96" s="126" t="str">
        <f t="shared" si="39"/>
        <v>数据正确</v>
      </c>
    </row>
    <row r="97" s="60" customFormat="1" customHeight="1" spans="2:88">
      <c r="B97" s="70" t="str">
        <f t="shared" si="29"/>
        <v>-</v>
      </c>
      <c r="C97" s="71" t="str">
        <f t="shared" si="30"/>
        <v>已付清</v>
      </c>
      <c r="D97" s="181">
        <f t="shared" si="31"/>
        <v>154000</v>
      </c>
      <c r="E97" s="181">
        <f>SUMIF(服务合同!$L$6:$L$300,L97,服务合同!$E$6:$E$300)</f>
        <v>0</v>
      </c>
      <c r="F97" s="181">
        <f>SUMIF(服务合同!$L$6:$L$300,L97,服务合同!$F$6:$F$300)</f>
        <v>0</v>
      </c>
      <c r="G97" s="181">
        <f>SUMIF(服务合同!$L$6:$L$300,L97,服务合同!$G$6:$G$300)</f>
        <v>0</v>
      </c>
      <c r="H97" s="181">
        <f>SUMIF(服务合同!$L$6:$L$300,L97,服务合同!$H$6:$H$300)</f>
        <v>0</v>
      </c>
      <c r="I97" s="181">
        <f t="shared" si="32"/>
        <v>0</v>
      </c>
      <c r="J97" s="86" t="s">
        <v>98</v>
      </c>
      <c r="K97" s="87"/>
      <c r="L97" s="88">
        <v>92</v>
      </c>
      <c r="M97" s="89" t="str">
        <f>VLOOKUP(L97,服务合同!$L$6:$CC$300,2,0)</f>
        <v>YRKJGC-150004</v>
      </c>
      <c r="N97" s="90" t="str">
        <f>VLOOKUP(L97,服务合同!$L$6:$CC$300,3,0)</f>
        <v>服务合同</v>
      </c>
      <c r="O97" s="265" t="str">
        <f>VLOOKUP(L97,服务合同!$L$6:$CC$300,4,0)</f>
        <v>-</v>
      </c>
      <c r="P97" s="266">
        <f>VLOOKUP(L97,服务合同!$L$6:$CC$300,5,0)</f>
        <v>42076</v>
      </c>
      <c r="Q97" s="275">
        <f>VLOOKUP(L97,服务合同!$L$6:$CC$300,6,0)</f>
        <v>154000</v>
      </c>
      <c r="R97" s="89" t="str">
        <f>VLOOKUP(L97,服务合同!$L$6:$CC$300,7,0)</f>
        <v>CPL建设工程监理及补充协议（金额不定）</v>
      </c>
      <c r="S97" s="89" t="str">
        <f>VLOOKUP(L97,服务合同!$L$6:$CC$300,8,0)</f>
        <v>四川亿博工程项目管理有限公司</v>
      </c>
      <c r="T97" s="107">
        <f>VLOOKUP(L97,服务合同!$L$6:$CC$300,9,0)</f>
        <v>0</v>
      </c>
      <c r="U97" s="103" t="str">
        <f>VLOOKUP(L97,服务合同!$L$6:$CC$300,10,0)</f>
        <v>电汇</v>
      </c>
      <c r="V97" s="276" t="str">
        <f>VLOOKUP(L97,服务合同!$L$6:$CC$300,11,0)</f>
        <v>监理人在合同约定每次付款前7日向委托人申请支付申请书</v>
      </c>
      <c r="W97" s="102">
        <f>VLOOKUP(L97,服务合同!$L$6:$CC$300,12,0)</f>
        <v>154000</v>
      </c>
      <c r="X97" s="102">
        <f>VLOOKUP(L97,服务合同!$L$6:$CC$300,13,0)</f>
        <v>154000</v>
      </c>
      <c r="Y97" s="102">
        <f>VLOOKUP(L97,服务合同!$L$6:$CC$300,14,0)</f>
        <v>154000</v>
      </c>
      <c r="Z97" s="102">
        <f>VLOOKUP(L97,服务合同!$L$6:$CC$300,15,0)</f>
        <v>0</v>
      </c>
      <c r="AA97" s="102">
        <f>VLOOKUP(L97,服务合同!$L$6:$CC$300,16,0)</f>
        <v>0</v>
      </c>
      <c r="AB97" s="102">
        <f>VLOOKUP(L97,服务合同!$L$6:$CC$300,17,0)</f>
        <v>0</v>
      </c>
      <c r="AC97" s="102">
        <f>VLOOKUP(L97,服务合同!$L$6:$CC$300,18,0)</f>
        <v>0</v>
      </c>
      <c r="AD97" s="102">
        <f>VLOOKUP(L97,服务合同!$L$6:$CC$300,19,0)</f>
        <v>0</v>
      </c>
      <c r="AE97" s="102">
        <f>VLOOKUP(L97,服务合同!$L$6:$CC$300,20,0)</f>
        <v>0</v>
      </c>
      <c r="AF97" s="102">
        <f>VLOOKUP(L97,服务合同!$L$6:$CC$300,21,0)</f>
        <v>0</v>
      </c>
      <c r="AG97" s="102">
        <f>VLOOKUP(L97,服务合同!$L$6:$CC$300,22,0)</f>
        <v>0</v>
      </c>
      <c r="AH97" s="102">
        <f>VLOOKUP(L97,服务合同!$L$6:$CC$300,23,0)</f>
        <v>0</v>
      </c>
      <c r="AI97" s="102">
        <f>VLOOKUP(L97,服务合同!$L$6:$CC$300,24,0)</f>
        <v>0</v>
      </c>
      <c r="AJ97" s="102">
        <f>VLOOKUP(L97,服务合同!$L$6:$CC$300,25,0)</f>
        <v>0</v>
      </c>
      <c r="AK97" s="102">
        <f>VLOOKUP(L97,服务合同!$L$6:$CC$300,26,0)</f>
        <v>0</v>
      </c>
      <c r="AL97" s="102">
        <f>VLOOKUP(L97,服务合同!$L$6:$CC$300,27,0)</f>
        <v>0</v>
      </c>
      <c r="AM97" s="102">
        <f>VLOOKUP(L97,服务合同!$L$6:$CC$300,28,0)</f>
        <v>0</v>
      </c>
      <c r="AN97" s="102">
        <f>VLOOKUP(L97,服务合同!$L$6:$CC$300,29,0)</f>
        <v>0</v>
      </c>
      <c r="AO97" s="102">
        <f>VLOOKUP(L97,服务合同!$L$6:$CC$300,30,0)</f>
        <v>0</v>
      </c>
      <c r="AP97" s="102">
        <f>VLOOKUP(L97,服务合同!$L$6:$CC$300,31,0)</f>
        <v>0</v>
      </c>
      <c r="AQ97" s="102">
        <f>VLOOKUP(L97,服务合同!$L$6:$CC$300,32,0)</f>
        <v>0</v>
      </c>
      <c r="AR97" s="102">
        <f>VLOOKUP(L97,服务合同!$L$6:$CC$300,33,0)</f>
        <v>0</v>
      </c>
      <c r="AS97" s="102">
        <f>VLOOKUP(L97,服务合同!$L$6:$CC$300,34,0)</f>
        <v>0</v>
      </c>
      <c r="AT97" s="102">
        <f>VLOOKUP(L97,服务合同!$L$6:$CC$300,35,0)</f>
        <v>0</v>
      </c>
      <c r="AU97" s="102">
        <f>VLOOKUP(L97,服务合同!$L$6:$CC$300,36,0)</f>
        <v>0</v>
      </c>
      <c r="AV97" s="102">
        <f>VLOOKUP(L97,服务合同!$L$6:$CC$300,37,0)</f>
        <v>0</v>
      </c>
      <c r="AW97" s="102">
        <f>VLOOKUP(L97,服务合同!$L$6:$CC$300,38,0)</f>
        <v>0</v>
      </c>
      <c r="AX97" s="102">
        <f>VLOOKUP(L97,服务合同!$L$6:$CC$300,39,0)</f>
        <v>0</v>
      </c>
      <c r="AY97" s="102">
        <f>VLOOKUP(L97,服务合同!$L$6:$CC$300,40,0)</f>
        <v>0</v>
      </c>
      <c r="AZ97" s="102">
        <f>VLOOKUP(L97,服务合同!$L$6:$CC$300,41,0)</f>
        <v>0</v>
      </c>
      <c r="BA97" s="102">
        <f>VLOOKUP(L97,服务合同!$L$6:$CC$300,42,0)</f>
        <v>0</v>
      </c>
      <c r="BB97" s="102">
        <f>VLOOKUP(L97,服务合同!$L$6:$CC$300,43,0)</f>
        <v>0</v>
      </c>
      <c r="BC97" s="102">
        <f>VLOOKUP(L97,服务合同!$L$6:$CC$300,44,0)</f>
        <v>0</v>
      </c>
      <c r="BD97" s="102">
        <f>VLOOKUP(L97,服务合同!$L$6:$CC$300,45,0)</f>
        <v>0</v>
      </c>
      <c r="BE97" s="102">
        <f>VLOOKUP(L97,服务合同!$L$6:$CC$300,46,0)</f>
        <v>0</v>
      </c>
      <c r="BF97" s="102">
        <f>VLOOKUP(L97,服务合同!$L$6:$CC$300,47,0)</f>
        <v>0</v>
      </c>
      <c r="BG97" s="102">
        <f>VLOOKUP(L97,服务合同!$L$6:$CC$300,48,0)</f>
        <v>0</v>
      </c>
      <c r="BH97" s="102">
        <f>VLOOKUP(L97,服务合同!$L$6:$CC$300,49,0)</f>
        <v>0</v>
      </c>
      <c r="BI97" s="102">
        <f>VLOOKUP(L97,服务合同!$L$6:$CC$300,50,0)</f>
        <v>0</v>
      </c>
      <c r="BJ97" s="102">
        <f>VLOOKUP(L97,服务合同!$L$6:$CC$300,51,0)</f>
        <v>0</v>
      </c>
      <c r="BK97" s="102">
        <f>VLOOKUP(L97,服务合同!$L$6:$CC$300,52,0)</f>
        <v>0</v>
      </c>
      <c r="BL97" s="102">
        <f>VLOOKUP(L97,服务合同!$L$6:$CC$300,53,0)</f>
        <v>0</v>
      </c>
      <c r="BM97" s="102">
        <f>VLOOKUP(L97,服务合同!$L$6:$CC$300,54,0)</f>
        <v>0</v>
      </c>
      <c r="BN97" s="102">
        <f>VLOOKUP(L97,服务合同!$L$6:$CC$300,55,0)</f>
        <v>0</v>
      </c>
      <c r="BO97" s="102">
        <f>VLOOKUP(L97,服务合同!$L$6:$CC$300,56,0)</f>
        <v>0</v>
      </c>
      <c r="BP97" s="102">
        <f>VLOOKUP(L97,服务合同!$L$6:$CC$300,57,0)</f>
        <v>0</v>
      </c>
      <c r="BQ97" s="102">
        <f>VLOOKUP(L97,服务合同!$L$6:$CC$300,58,0)</f>
        <v>0</v>
      </c>
      <c r="BR97" s="102">
        <f>VLOOKUP(L97,服务合同!$L$6:$CC$300,59,0)</f>
        <v>0</v>
      </c>
      <c r="BS97" s="102">
        <f>VLOOKUP(L97,服务合同!$L$6:$CC$300,60,0)</f>
        <v>0</v>
      </c>
      <c r="BT97" s="102">
        <f>VLOOKUP(L97,服务合同!$L$6:$CC$300,61,0)</f>
        <v>0</v>
      </c>
      <c r="BU97" s="102">
        <f>VLOOKUP(L97,服务合同!$L$6:$CC$300,62,0)</f>
        <v>0</v>
      </c>
      <c r="BV97" s="102">
        <f>VLOOKUP(L97,服务合同!$L$6:$CC$300,63,0)</f>
        <v>0</v>
      </c>
      <c r="BW97" s="102">
        <f>VLOOKUP(L97,服务合同!$L$6:$CC$300,64,0)</f>
        <v>0</v>
      </c>
      <c r="BX97" s="102">
        <f>VLOOKUP(L97,服务合同!$L$6:$CC$300,65,0)</f>
        <v>0</v>
      </c>
      <c r="BY97" s="102">
        <f>VLOOKUP(L97,服务合同!$L$6:$CC$300,66,0)</f>
        <v>0</v>
      </c>
      <c r="BZ97" s="102">
        <f>VLOOKUP(L97,服务合同!$L$6:$CC$300,67,0)</f>
        <v>0</v>
      </c>
      <c r="CA97" s="102">
        <f>VLOOKUP(L97,服务合同!$L$6:$CC$300,68,0)</f>
        <v>0</v>
      </c>
      <c r="CB97" s="102">
        <f>VLOOKUP(L97,服务合同!$L$6:$CC$300,69,0)</f>
        <v>0</v>
      </c>
      <c r="CC97" s="102">
        <f>VLOOKUP(L97,服务合同!$L$6:$CC$300,70,0)</f>
        <v>0</v>
      </c>
      <c r="CD97" s="123">
        <f t="shared" si="33"/>
        <v>154000</v>
      </c>
      <c r="CE97" s="102">
        <f t="shared" si="34"/>
        <v>154000</v>
      </c>
      <c r="CF97" s="102">
        <f t="shared" si="35"/>
        <v>154000</v>
      </c>
      <c r="CG97" s="102">
        <f t="shared" si="36"/>
        <v>0</v>
      </c>
      <c r="CH97" s="124">
        <f t="shared" si="37"/>
        <v>0</v>
      </c>
      <c r="CI97" s="125">
        <f t="shared" si="38"/>
        <v>1</v>
      </c>
      <c r="CJ97" s="126" t="str">
        <f t="shared" si="39"/>
        <v>数据正确</v>
      </c>
    </row>
    <row r="98" s="60" customFormat="1" customHeight="1" spans="2:88">
      <c r="B98" s="70" t="str">
        <f t="shared" si="29"/>
        <v>-</v>
      </c>
      <c r="C98" s="71" t="str">
        <f t="shared" si="30"/>
        <v>已付清</v>
      </c>
      <c r="D98" s="181">
        <f t="shared" si="31"/>
        <v>140676349.8</v>
      </c>
      <c r="E98" s="181">
        <f>SUMIF(工程合同!$L$6:$L$299,L98,工程合同!$E$6:$E$299)</f>
        <v>0</v>
      </c>
      <c r="F98" s="181">
        <f>SUMIF(工程合同!$L$6:$L$299,L98,工程合同!$F$6:$F$299)</f>
        <v>0</v>
      </c>
      <c r="G98" s="181">
        <f>SUMIF(工程合同!$L$6:$L$299,L98,工程合同!$G$6:$G$299)</f>
        <v>0</v>
      </c>
      <c r="H98" s="181">
        <f>SUMIF(工程合同!$L$6:$L$299,L98,工程合同!$H$6:$H$299)</f>
        <v>0</v>
      </c>
      <c r="I98" s="181">
        <f t="shared" si="32"/>
        <v>0</v>
      </c>
      <c r="J98" s="86" t="s">
        <v>98</v>
      </c>
      <c r="K98" s="87"/>
      <c r="L98" s="88">
        <v>93</v>
      </c>
      <c r="M98" s="89" t="str">
        <f>VLOOKUP(L98,工程合同!$L$6:$CC$299,2,0)</f>
        <v>YRKJGC-150007</v>
      </c>
      <c r="N98" s="90" t="str">
        <f>VLOOKUP(L98,工程合同!$L$6:$CC$299,3,0)</f>
        <v>工程合同</v>
      </c>
      <c r="O98" s="265" t="str">
        <f>VLOOKUP(L98,工程合同!$L$6:$CC$299,4,0)</f>
        <v> -</v>
      </c>
      <c r="P98" s="266">
        <f>VLOOKUP(L98,工程合同!$L$6:$CC$299,5,0)</f>
        <v>42109</v>
      </c>
      <c r="Q98" s="275">
        <f>VLOOKUP(L98,工程合同!$L$6:$CC$299,6,0)</f>
        <v>140676349.8</v>
      </c>
      <c r="R98" s="89" t="str">
        <f>VLOOKUP(L98,工程合同!$L$6:$CC$299,7,0)</f>
        <v>软地基处理工程施工（软土311941平米*358元/M2，硬土113287平米*256元/M2）</v>
      </c>
      <c r="S98" s="89" t="str">
        <f>VLOOKUP(L98,工程合同!$L$6:$CC$299,8,0)</f>
        <v>江苏地质基桩工程公司</v>
      </c>
      <c r="T98" s="107" t="str">
        <f>VLOOKUP(L98,工程合同!$L$6:$CC$299,9,0)</f>
        <v>软基</v>
      </c>
      <c r="U98" s="103" t="str">
        <f>VLOOKUP(L98,工程合同!$L$6:$CC$299,10,0)</f>
        <v>承兑/转账</v>
      </c>
      <c r="V98" s="276" t="str">
        <f>VLOOKUP(L98,工程合同!$L$6:$CC$299,11,0)</f>
        <v>按月结算，次月支付</v>
      </c>
      <c r="W98" s="102">
        <f>VLOOKUP(L98,工程合同!$L$6:$CC$299,12,0)</f>
        <v>140676349.8</v>
      </c>
      <c r="X98" s="102">
        <f>VLOOKUP(L98,工程合同!$L$6:$CC$299,13,0)</f>
        <v>140676349.8</v>
      </c>
      <c r="Y98" s="102">
        <f>VLOOKUP(L98,工程合同!$L$6:$CC$299,14,0)</f>
        <v>140676349.8</v>
      </c>
      <c r="Z98" s="102">
        <f>VLOOKUP(L98,工程合同!$L$6:$CC$299,15,0)</f>
        <v>0</v>
      </c>
      <c r="AA98" s="102">
        <f>VLOOKUP(L98,工程合同!$L$6:$CC$299,16,0)</f>
        <v>0</v>
      </c>
      <c r="AB98" s="102">
        <f>VLOOKUP(L98,工程合同!$L$6:$CC$299,17,0)</f>
        <v>0</v>
      </c>
      <c r="AC98" s="102">
        <f>VLOOKUP(L98,工程合同!$L$6:$CC$299,18,0)</f>
        <v>0</v>
      </c>
      <c r="AD98" s="102">
        <f>VLOOKUP(L98,工程合同!$L$6:$CC$299,19,0)</f>
        <v>0</v>
      </c>
      <c r="AE98" s="102">
        <f>VLOOKUP(L98,工程合同!$L$6:$CC$299,20,0)</f>
        <v>0</v>
      </c>
      <c r="AF98" s="102">
        <f>VLOOKUP(L98,工程合同!$L$6:$CC$299,21,0)</f>
        <v>0</v>
      </c>
      <c r="AG98" s="102">
        <f>VLOOKUP(L98,工程合同!$L$6:$CC$299,22,0)</f>
        <v>0</v>
      </c>
      <c r="AH98" s="102">
        <f>VLOOKUP(L98,工程合同!$L$6:$CC$299,23,0)</f>
        <v>0</v>
      </c>
      <c r="AI98" s="102">
        <f>VLOOKUP(L98,工程合同!$L$6:$CC$299,24,0)</f>
        <v>0</v>
      </c>
      <c r="AJ98" s="102">
        <f>VLOOKUP(L98,工程合同!$L$6:$CC$299,25,0)</f>
        <v>0</v>
      </c>
      <c r="AK98" s="102">
        <f>VLOOKUP(L98,工程合同!$L$6:$CC$299,26,0)</f>
        <v>0</v>
      </c>
      <c r="AL98" s="102">
        <f>VLOOKUP(L98,工程合同!$L$6:$CC$299,27,0)</f>
        <v>0</v>
      </c>
      <c r="AM98" s="102">
        <f>VLOOKUP(L98,工程合同!$L$6:$CC$299,28,0)</f>
        <v>0</v>
      </c>
      <c r="AN98" s="102">
        <f>VLOOKUP(L98,工程合同!$L$6:$CC$299,29,0)</f>
        <v>0</v>
      </c>
      <c r="AO98" s="102">
        <f>VLOOKUP(L98,工程合同!$L$6:$CC$299,30,0)</f>
        <v>0</v>
      </c>
      <c r="AP98" s="102">
        <f>VLOOKUP(L98,工程合同!$L$6:$CC$299,31,0)</f>
        <v>0</v>
      </c>
      <c r="AQ98" s="102">
        <f>VLOOKUP(L98,工程合同!$L$6:$CC$299,32,0)</f>
        <v>0</v>
      </c>
      <c r="AR98" s="102">
        <f>VLOOKUP(L98,工程合同!$L$6:$CC$299,33,0)</f>
        <v>0</v>
      </c>
      <c r="AS98" s="102">
        <f>VLOOKUP(L98,工程合同!$L$6:$CC$299,34,0)</f>
        <v>0</v>
      </c>
      <c r="AT98" s="102">
        <f>VLOOKUP(L98,工程合同!$L$6:$CC$299,35,0)</f>
        <v>0</v>
      </c>
      <c r="AU98" s="102">
        <f>VLOOKUP(L98,工程合同!$L$6:$CC$299,36,0)</f>
        <v>0</v>
      </c>
      <c r="AV98" s="102">
        <f>VLOOKUP(L98,工程合同!$L$6:$CC$299,37,0)</f>
        <v>0</v>
      </c>
      <c r="AW98" s="102">
        <f>VLOOKUP(L98,工程合同!$L$6:$CC$299,38,0)</f>
        <v>0</v>
      </c>
      <c r="AX98" s="102">
        <f>VLOOKUP(L98,工程合同!$L$6:$CC$299,39,0)</f>
        <v>0</v>
      </c>
      <c r="AY98" s="102">
        <f>VLOOKUP(L98,工程合同!$L$6:$CC$299,40,0)</f>
        <v>0</v>
      </c>
      <c r="AZ98" s="102">
        <f>VLOOKUP(L98,工程合同!$L$6:$CC$299,41,0)</f>
        <v>0</v>
      </c>
      <c r="BA98" s="102">
        <f>VLOOKUP(L98,工程合同!$L$6:$CC$299,42,0)</f>
        <v>0</v>
      </c>
      <c r="BB98" s="102">
        <f>VLOOKUP(L98,工程合同!$L$6:$CC$299,43,0)</f>
        <v>0</v>
      </c>
      <c r="BC98" s="102">
        <f>VLOOKUP(L98,工程合同!$L$6:$CC$299,44,0)</f>
        <v>0</v>
      </c>
      <c r="BD98" s="102">
        <f>VLOOKUP(L98,工程合同!$L$6:$CC$299,45,0)</f>
        <v>0</v>
      </c>
      <c r="BE98" s="102">
        <f>VLOOKUP(L98,工程合同!$L$6:$CC$299,46,0)</f>
        <v>0</v>
      </c>
      <c r="BF98" s="102">
        <f>VLOOKUP(L98,工程合同!$L$6:$CC$299,47,0)</f>
        <v>0</v>
      </c>
      <c r="BG98" s="102">
        <f>VLOOKUP(L98,工程合同!$L$6:$CC$299,48,0)</f>
        <v>0</v>
      </c>
      <c r="BH98" s="102">
        <f>VLOOKUP(L98,工程合同!$L$6:$CC$299,49,0)</f>
        <v>0</v>
      </c>
      <c r="BI98" s="102">
        <f>VLOOKUP(L98,工程合同!$L$6:$CC$299,50,0)</f>
        <v>0</v>
      </c>
      <c r="BJ98" s="102">
        <f>VLOOKUP(L98,工程合同!$L$6:$CC$299,51,0)</f>
        <v>0</v>
      </c>
      <c r="BK98" s="102">
        <f>VLOOKUP(L98,工程合同!$L$6:$CC$299,52,0)</f>
        <v>0</v>
      </c>
      <c r="BL98" s="102">
        <f>VLOOKUP(L98,工程合同!$L$6:$CC$299,53,0)</f>
        <v>0</v>
      </c>
      <c r="BM98" s="102">
        <f>VLOOKUP(L98,工程合同!$L$6:$CC$299,54,0)</f>
        <v>0</v>
      </c>
      <c r="BN98" s="102">
        <f>VLOOKUP(L98,工程合同!$L$6:$CC$299,55,0)</f>
        <v>0</v>
      </c>
      <c r="BO98" s="102">
        <f>VLOOKUP(L98,工程合同!$L$6:$CC$299,56,0)</f>
        <v>0</v>
      </c>
      <c r="BP98" s="102">
        <f>VLOOKUP(L98,工程合同!$L$6:$CC$299,57,0)</f>
        <v>0</v>
      </c>
      <c r="BQ98" s="102">
        <f>VLOOKUP(L98,工程合同!$L$6:$CC$299,58,0)</f>
        <v>0</v>
      </c>
      <c r="BR98" s="102">
        <f>VLOOKUP(L98,工程合同!$L$6:$CC$299,59,0)</f>
        <v>0</v>
      </c>
      <c r="BS98" s="102">
        <f>VLOOKUP(L98,工程合同!$L$6:$CC$299,60,0)</f>
        <v>0</v>
      </c>
      <c r="BT98" s="102">
        <f>VLOOKUP(L98,工程合同!$L$6:$CC$299,61,0)</f>
        <v>0</v>
      </c>
      <c r="BU98" s="102">
        <f>VLOOKUP(L98,工程合同!$L$6:$CC$299,62,0)</f>
        <v>0</v>
      </c>
      <c r="BV98" s="102">
        <f>VLOOKUP(L98,工程合同!$L$6:$CC$299,63,0)</f>
        <v>0</v>
      </c>
      <c r="BW98" s="102">
        <f>VLOOKUP(L98,工程合同!$L$6:$CC$299,64,0)</f>
        <v>0</v>
      </c>
      <c r="BX98" s="102">
        <f>VLOOKUP(L98,工程合同!$L$6:$CC$299,65,0)</f>
        <v>0</v>
      </c>
      <c r="BY98" s="102">
        <f>VLOOKUP(L98,工程合同!$L$6:$CC$299,66,0)</f>
        <v>0</v>
      </c>
      <c r="BZ98" s="102">
        <f>VLOOKUP(L98,工程合同!$L$6:$CC$299,67,0)</f>
        <v>0</v>
      </c>
      <c r="CA98" s="102">
        <f>VLOOKUP(L98,工程合同!$L$6:$CC$299,68,0)</f>
        <v>0</v>
      </c>
      <c r="CB98" s="102">
        <f>VLOOKUP(L98,工程合同!$L$6:$CC$299,69,0)</f>
        <v>0</v>
      </c>
      <c r="CC98" s="102">
        <f>VLOOKUP(L98,工程合同!$L$6:$CC$299,70,0)</f>
        <v>0</v>
      </c>
      <c r="CD98" s="123">
        <f t="shared" si="33"/>
        <v>140676349.8</v>
      </c>
      <c r="CE98" s="102">
        <f t="shared" si="34"/>
        <v>140676349.8</v>
      </c>
      <c r="CF98" s="102">
        <f t="shared" si="35"/>
        <v>140676349.8</v>
      </c>
      <c r="CG98" s="102">
        <f t="shared" si="36"/>
        <v>0</v>
      </c>
      <c r="CH98" s="124">
        <f t="shared" si="37"/>
        <v>0</v>
      </c>
      <c r="CI98" s="125">
        <f t="shared" si="38"/>
        <v>1</v>
      </c>
      <c r="CJ98" s="126" t="str">
        <f t="shared" si="39"/>
        <v>数据正确</v>
      </c>
    </row>
    <row r="99" s="60" customFormat="1" customHeight="1" spans="2:88">
      <c r="B99" s="70" t="str">
        <f t="shared" si="29"/>
        <v>-</v>
      </c>
      <c r="C99" s="71" t="str">
        <f t="shared" si="30"/>
        <v>-</v>
      </c>
      <c r="D99" s="181">
        <f t="shared" si="31"/>
        <v>2255464</v>
      </c>
      <c r="E99" s="181">
        <f>SUMIF(服务合同!$L$6:$L$300,L99,服务合同!$E$6:$E$300)</f>
        <v>0</v>
      </c>
      <c r="F99" s="181">
        <f>SUMIF(服务合同!$L$6:$L$300,L99,服务合同!$F$6:$F$300)</f>
        <v>0</v>
      </c>
      <c r="G99" s="181">
        <f>SUMIF(服务合同!$L$6:$L$300,L99,服务合同!$G$6:$G$300)</f>
        <v>0</v>
      </c>
      <c r="H99" s="181">
        <f>SUMIF(服务合同!$L$6:$L$300,L99,服务合同!$H$6:$H$300)</f>
        <v>0</v>
      </c>
      <c r="I99" s="181">
        <f t="shared" si="32"/>
        <v>0</v>
      </c>
      <c r="J99" s="86" t="s">
        <v>98</v>
      </c>
      <c r="K99" s="87"/>
      <c r="L99" s="88">
        <v>94</v>
      </c>
      <c r="M99" s="89" t="str">
        <f>VLOOKUP(L99,服务合同!$L$6:$CC$300,2,0)</f>
        <v>YRKJGC-150009</v>
      </c>
      <c r="N99" s="90" t="str">
        <f>VLOOKUP(L99,服务合同!$L$6:$CC$300,3,0)</f>
        <v>服务合同</v>
      </c>
      <c r="O99" s="265" t="str">
        <f>VLOOKUP(L99,服务合同!$L$6:$CC$300,4,0)</f>
        <v>-</v>
      </c>
      <c r="P99" s="266">
        <f>VLOOKUP(L99,服务合同!$L$6:$CC$300,5,0)</f>
        <v>42247</v>
      </c>
      <c r="Q99" s="275">
        <f>VLOOKUP(L99,服务合同!$L$6:$CC$300,6,0)</f>
        <v>3960822.98</v>
      </c>
      <c r="R99" s="89" t="str">
        <f>VLOOKUP(L99,服务合同!$L$6:$CC$300,7,0)</f>
        <v>建设工程勘察（岩土详细勘察） 合计</v>
      </c>
      <c r="S99" s="89" t="str">
        <f>VLOOKUP(L99,服务合同!$L$6:$CC$300,8,0)</f>
        <v>福建省建筑工程质量检测中心有限公司/福建省建研工程顾问有限公司/江苏省岩土工程勘察设计研究院</v>
      </c>
      <c r="T99" s="107">
        <f>VLOOKUP(L99,服务合同!$L$6:$CC$300,9,0)</f>
        <v>0</v>
      </c>
      <c r="U99" s="103" t="str">
        <f>VLOOKUP(L99,服务合同!$L$6:$CC$300,10,0)</f>
        <v>承兑汇票</v>
      </c>
      <c r="V99" s="276" t="str">
        <f>VLOOKUP(L99,服务合同!$L$6:$CC$300,11,0)</f>
        <v>-</v>
      </c>
      <c r="W99" s="102">
        <f>VLOOKUP(L99,服务合同!$L$6:$CC$300,12,0)</f>
        <v>3226199.388</v>
      </c>
      <c r="X99" s="102">
        <f>VLOOKUP(L99,服务合同!$L$6:$CC$300,13,0)</f>
        <v>1895464</v>
      </c>
      <c r="Y99" s="102">
        <f>VLOOKUP(L99,服务合同!$L$6:$CC$300,14,0)</f>
        <v>1895464</v>
      </c>
      <c r="Z99" s="102">
        <f>VLOOKUP(L99,服务合同!$L$6:$CC$300,15,0)</f>
        <v>0</v>
      </c>
      <c r="AA99" s="102">
        <f>VLOOKUP(L99,服务合同!$L$6:$CC$300,16,0)</f>
        <v>367311.796</v>
      </c>
      <c r="AB99" s="102">
        <f>VLOOKUP(L99,服务合同!$L$6:$CC$300,17,0)</f>
        <v>360000</v>
      </c>
      <c r="AC99" s="102">
        <f>VLOOKUP(L99,服务合同!$L$6:$CC$300,18,0)</f>
        <v>360000</v>
      </c>
      <c r="AD99" s="102">
        <f>VLOOKUP(L99,服务合同!$L$6:$CC$300,19,0)</f>
        <v>0</v>
      </c>
      <c r="AE99" s="102">
        <f>VLOOKUP(L99,服务合同!$L$6:$CC$300,20,0)</f>
        <v>275483.847</v>
      </c>
      <c r="AF99" s="102">
        <f>VLOOKUP(L99,服务合同!$L$6:$CC$300,21,0)</f>
        <v>0</v>
      </c>
      <c r="AG99" s="102">
        <f>VLOOKUP(L99,服务合同!$L$6:$CC$300,22,0)</f>
        <v>0</v>
      </c>
      <c r="AH99" s="102">
        <f>VLOOKUP(L99,服务合同!$L$6:$CC$300,23,0)</f>
        <v>0</v>
      </c>
      <c r="AI99" s="102">
        <f>VLOOKUP(L99,服务合同!$L$6:$CC$300,24,0)</f>
        <v>91827.949</v>
      </c>
      <c r="AJ99" s="102">
        <f>VLOOKUP(L99,服务合同!$L$6:$CC$300,25,0)</f>
        <v>0</v>
      </c>
      <c r="AK99" s="102">
        <f>VLOOKUP(L99,服务合同!$L$6:$CC$300,26,0)</f>
        <v>0</v>
      </c>
      <c r="AL99" s="102">
        <f>VLOOKUP(L99,服务合同!$L$6:$CC$300,27,0)</f>
        <v>0</v>
      </c>
      <c r="AM99" s="102">
        <f>VLOOKUP(L99,服务合同!$L$6:$CC$300,28,0)</f>
        <v>0</v>
      </c>
      <c r="AN99" s="102">
        <f>VLOOKUP(L99,服务合同!$L$6:$CC$300,29,0)</f>
        <v>0</v>
      </c>
      <c r="AO99" s="102">
        <f>VLOOKUP(L99,服务合同!$L$6:$CC$300,30,0)</f>
        <v>0</v>
      </c>
      <c r="AP99" s="102">
        <f>VLOOKUP(L99,服务合同!$L$6:$CC$300,31,0)</f>
        <v>0</v>
      </c>
      <c r="AQ99" s="102">
        <f>VLOOKUP(L99,服务合同!$L$6:$CC$300,32,0)</f>
        <v>0</v>
      </c>
      <c r="AR99" s="102">
        <f>VLOOKUP(L99,服务合同!$L$6:$CC$300,33,0)</f>
        <v>0</v>
      </c>
      <c r="AS99" s="102">
        <f>VLOOKUP(L99,服务合同!$L$6:$CC$300,34,0)</f>
        <v>0</v>
      </c>
      <c r="AT99" s="102">
        <f>VLOOKUP(L99,服务合同!$L$6:$CC$300,35,0)</f>
        <v>0</v>
      </c>
      <c r="AU99" s="102">
        <f>VLOOKUP(L99,服务合同!$L$6:$CC$300,36,0)</f>
        <v>0</v>
      </c>
      <c r="AV99" s="102">
        <f>VLOOKUP(L99,服务合同!$L$6:$CC$300,37,0)</f>
        <v>0</v>
      </c>
      <c r="AW99" s="102">
        <f>VLOOKUP(L99,服务合同!$L$6:$CC$300,38,0)</f>
        <v>0</v>
      </c>
      <c r="AX99" s="102">
        <f>VLOOKUP(L99,服务合同!$L$6:$CC$300,39,0)</f>
        <v>0</v>
      </c>
      <c r="AY99" s="102">
        <f>VLOOKUP(L99,服务合同!$L$6:$CC$300,40,0)</f>
        <v>0</v>
      </c>
      <c r="AZ99" s="102">
        <f>VLOOKUP(L99,服务合同!$L$6:$CC$300,41,0)</f>
        <v>0</v>
      </c>
      <c r="BA99" s="102">
        <f>VLOOKUP(L99,服务合同!$L$6:$CC$300,42,0)</f>
        <v>0</v>
      </c>
      <c r="BB99" s="102">
        <f>VLOOKUP(L99,服务合同!$L$6:$CC$300,43,0)</f>
        <v>0</v>
      </c>
      <c r="BC99" s="102">
        <f>VLOOKUP(L99,服务合同!$L$6:$CC$300,44,0)</f>
        <v>0</v>
      </c>
      <c r="BD99" s="102">
        <f>VLOOKUP(L99,服务合同!$L$6:$CC$300,45,0)</f>
        <v>0</v>
      </c>
      <c r="BE99" s="102">
        <f>VLOOKUP(L99,服务合同!$L$6:$CC$300,46,0)</f>
        <v>0</v>
      </c>
      <c r="BF99" s="102">
        <f>VLOOKUP(L99,服务合同!$L$6:$CC$300,47,0)</f>
        <v>0</v>
      </c>
      <c r="BG99" s="102">
        <f>VLOOKUP(L99,服务合同!$L$6:$CC$300,48,0)</f>
        <v>0</v>
      </c>
      <c r="BH99" s="102">
        <f>VLOOKUP(L99,服务合同!$L$6:$CC$300,49,0)</f>
        <v>0</v>
      </c>
      <c r="BI99" s="102">
        <f>VLOOKUP(L99,服务合同!$L$6:$CC$300,50,0)</f>
        <v>0</v>
      </c>
      <c r="BJ99" s="102">
        <f>VLOOKUP(L99,服务合同!$L$6:$CC$300,51,0)</f>
        <v>0</v>
      </c>
      <c r="BK99" s="102">
        <f>VLOOKUP(L99,服务合同!$L$6:$CC$300,52,0)</f>
        <v>0</v>
      </c>
      <c r="BL99" s="102">
        <f>VLOOKUP(L99,服务合同!$L$6:$CC$300,53,0)</f>
        <v>0</v>
      </c>
      <c r="BM99" s="102">
        <f>VLOOKUP(L99,服务合同!$L$6:$CC$300,54,0)</f>
        <v>0</v>
      </c>
      <c r="BN99" s="102">
        <f>VLOOKUP(L99,服务合同!$L$6:$CC$300,55,0)</f>
        <v>0</v>
      </c>
      <c r="BO99" s="102">
        <f>VLOOKUP(L99,服务合同!$L$6:$CC$300,56,0)</f>
        <v>0</v>
      </c>
      <c r="BP99" s="102">
        <f>VLOOKUP(L99,服务合同!$L$6:$CC$300,57,0)</f>
        <v>0</v>
      </c>
      <c r="BQ99" s="102">
        <f>VLOOKUP(L99,服务合同!$L$6:$CC$300,58,0)</f>
        <v>0</v>
      </c>
      <c r="BR99" s="102">
        <f>VLOOKUP(L99,服务合同!$L$6:$CC$300,59,0)</f>
        <v>0</v>
      </c>
      <c r="BS99" s="102">
        <f>VLOOKUP(L99,服务合同!$L$6:$CC$300,60,0)</f>
        <v>0</v>
      </c>
      <c r="BT99" s="102">
        <f>VLOOKUP(L99,服务合同!$L$6:$CC$300,61,0)</f>
        <v>0</v>
      </c>
      <c r="BU99" s="102">
        <f>VLOOKUP(L99,服务合同!$L$6:$CC$300,62,0)</f>
        <v>0</v>
      </c>
      <c r="BV99" s="102">
        <f>VLOOKUP(L99,服务合同!$L$6:$CC$300,63,0)</f>
        <v>0</v>
      </c>
      <c r="BW99" s="102">
        <f>VLOOKUP(L99,服务合同!$L$6:$CC$300,64,0)</f>
        <v>0</v>
      </c>
      <c r="BX99" s="102">
        <f>VLOOKUP(L99,服务合同!$L$6:$CC$300,65,0)</f>
        <v>0</v>
      </c>
      <c r="BY99" s="102">
        <f>VLOOKUP(L99,服务合同!$L$6:$CC$300,66,0)</f>
        <v>0</v>
      </c>
      <c r="BZ99" s="102">
        <f>VLOOKUP(L99,服务合同!$L$6:$CC$300,67,0)</f>
        <v>0</v>
      </c>
      <c r="CA99" s="102">
        <f>VLOOKUP(L99,服务合同!$L$6:$CC$300,68,0)</f>
        <v>0</v>
      </c>
      <c r="CB99" s="102">
        <f>VLOOKUP(L99,服务合同!$L$6:$CC$300,69,0)</f>
        <v>0</v>
      </c>
      <c r="CC99" s="102">
        <f>VLOOKUP(L99,服务合同!$L$6:$CC$300,70,0)</f>
        <v>0</v>
      </c>
      <c r="CD99" s="123">
        <f t="shared" si="33"/>
        <v>3960822.98</v>
      </c>
      <c r="CE99" s="102">
        <f t="shared" si="34"/>
        <v>2255464</v>
      </c>
      <c r="CF99" s="102">
        <f t="shared" si="35"/>
        <v>2255464</v>
      </c>
      <c r="CG99" s="102">
        <f t="shared" si="36"/>
        <v>0</v>
      </c>
      <c r="CH99" s="124">
        <f t="shared" si="37"/>
        <v>1705358.98</v>
      </c>
      <c r="CI99" s="125">
        <f t="shared" si="38"/>
        <v>0.569443272620076</v>
      </c>
      <c r="CJ99" s="126" t="str">
        <f t="shared" si="39"/>
        <v>数据正确</v>
      </c>
    </row>
    <row r="100" s="60" customFormat="1" customHeight="1" spans="2:88">
      <c r="B100" s="70" t="str">
        <f t="shared" si="29"/>
        <v>-</v>
      </c>
      <c r="C100" s="71" t="str">
        <f t="shared" si="30"/>
        <v>-</v>
      </c>
      <c r="D100" s="181">
        <f t="shared" si="31"/>
        <v>0</v>
      </c>
      <c r="E100" s="181">
        <f>SUMIF(行政合同!$L$6:$L$300,L100,行政合同!$E$6:$E$300)</f>
        <v>0</v>
      </c>
      <c r="F100" s="181">
        <f>SUMIF(行政合同!$L$6:$L$300,L100,行政合同!$F$6:$F$300)</f>
        <v>0</v>
      </c>
      <c r="G100" s="181">
        <f>SUMIF(行政合同!$L$6:$L$300,L100,行政合同!$G$6:$G$300)</f>
        <v>0</v>
      </c>
      <c r="H100" s="181">
        <f>SUMIF(行政合同!$L$6:$L$300,L100,行政合同!$H$6:$H$300)</f>
        <v>0</v>
      </c>
      <c r="I100" s="181">
        <f t="shared" si="32"/>
        <v>0</v>
      </c>
      <c r="J100" s="86" t="s">
        <v>98</v>
      </c>
      <c r="K100" s="87"/>
      <c r="L100" s="88">
        <v>95</v>
      </c>
      <c r="M100" s="89" t="str">
        <f>VLOOKUP(L100,行政合同!$L$6:$CC$300,2,0)</f>
        <v>YRKJGC-150009</v>
      </c>
      <c r="N100" s="90" t="str">
        <f>VLOOKUP(L100,行政合同!$L$6:$CC$300,3,0)</f>
        <v>行政合同</v>
      </c>
      <c r="O100" s="265" t="str">
        <f>VLOOKUP(L100,行政合同!$L$6:$CC$300,4,0)</f>
        <v>-</v>
      </c>
      <c r="P100" s="266">
        <f>VLOOKUP(L100,行政合同!$L$6:$CC$300,5,0)</f>
        <v>42191</v>
      </c>
      <c r="Q100" s="275">
        <f>VLOOKUP(L100,行政合同!$L$6:$CC$300,6,0)</f>
        <v>64025</v>
      </c>
      <c r="R100" s="89" t="str">
        <f>VLOOKUP(L100,行政合同!$L$6:$CC$300,7,0)</f>
        <v>沙盘模型1套（展厅参观）</v>
      </c>
      <c r="S100" s="89" t="str">
        <f>VLOOKUP(L100,行政合同!$L$6:$CC$300,8,0)</f>
        <v>浏阳市南方科技展览模型有限公司</v>
      </c>
      <c r="T100" s="107">
        <f>VLOOKUP(L100,行政合同!$L$6:$CC$300,9,0)</f>
        <v>0</v>
      </c>
      <c r="U100" s="103" t="str">
        <f>VLOOKUP(L100,行政合同!$L$6:$CC$300,10,0)</f>
        <v>承兑汇票</v>
      </c>
      <c r="V100" s="276" t="str">
        <f>VLOOKUP(L100,行政合同!$L$6:$CC$300,11,0)</f>
        <v>预付款10%</v>
      </c>
      <c r="W100" s="102">
        <f>VLOOKUP(L100,行政合同!$L$6:$CC$300,12,0)</f>
        <v>6402.5</v>
      </c>
      <c r="X100" s="102">
        <f>VLOOKUP(L100,行政合同!$L$6:$CC$300,13,0)</f>
        <v>0</v>
      </c>
      <c r="Y100" s="102">
        <f>VLOOKUP(L100,行政合同!$L$6:$CC$300,14,0)</f>
        <v>0</v>
      </c>
      <c r="Z100" s="102" t="str">
        <f>VLOOKUP(L100,行政合同!$L$6:$CC$300,15,0)</f>
        <v>验收合格支付85%</v>
      </c>
      <c r="AA100" s="102">
        <f>VLOOKUP(L100,行政合同!$L$6:$CC$300,16,0)</f>
        <v>54421.25</v>
      </c>
      <c r="AB100" s="102">
        <f>VLOOKUP(L100,行政合同!$L$6:$CC$300,17,0)</f>
        <v>0</v>
      </c>
      <c r="AC100" s="102">
        <f>VLOOKUP(L100,行政合同!$L$6:$CC$300,18,0)</f>
        <v>0</v>
      </c>
      <c r="AD100" s="102" t="str">
        <f>VLOOKUP(L100,行政合同!$L$6:$CC$300,19,0)</f>
        <v>5%质保金</v>
      </c>
      <c r="AE100" s="102">
        <f>VLOOKUP(L100,行政合同!$L$6:$CC$300,20,0)</f>
        <v>3201.25</v>
      </c>
      <c r="AF100" s="102">
        <f>VLOOKUP(L100,行政合同!$L$6:$CC$300,21,0)</f>
        <v>0</v>
      </c>
      <c r="AG100" s="102">
        <f>VLOOKUP(L100,行政合同!$L$6:$CC$300,22,0)</f>
        <v>0</v>
      </c>
      <c r="AH100" s="102">
        <f>VLOOKUP(L100,行政合同!$L$6:$CC$300,23,0)</f>
        <v>0</v>
      </c>
      <c r="AI100" s="102">
        <f>VLOOKUP(L100,行政合同!$L$6:$CC$300,24,0)</f>
        <v>0</v>
      </c>
      <c r="AJ100" s="102">
        <f>VLOOKUP(L100,行政合同!$L$6:$CC$300,25,0)</f>
        <v>0</v>
      </c>
      <c r="AK100" s="102">
        <f>VLOOKUP(L100,行政合同!$L$6:$CC$300,26,0)</f>
        <v>0</v>
      </c>
      <c r="AL100" s="102">
        <f>VLOOKUP(L100,行政合同!$L$6:$CC$300,27,0)</f>
        <v>0</v>
      </c>
      <c r="AM100" s="102">
        <f>VLOOKUP(L100,行政合同!$L$6:$CC$300,28,0)</f>
        <v>0</v>
      </c>
      <c r="AN100" s="102">
        <f>VLOOKUP(L100,行政合同!$L$6:$CC$300,29,0)</f>
        <v>0</v>
      </c>
      <c r="AO100" s="102">
        <f>VLOOKUP(L100,行政合同!$L$6:$CC$300,30,0)</f>
        <v>0</v>
      </c>
      <c r="AP100" s="102">
        <f>VLOOKUP(L100,行政合同!$L$6:$CC$300,31,0)</f>
        <v>0</v>
      </c>
      <c r="AQ100" s="102">
        <f>VLOOKUP(L100,行政合同!$L$6:$CC$300,32,0)</f>
        <v>0</v>
      </c>
      <c r="AR100" s="102">
        <f>VLOOKUP(L100,行政合同!$L$6:$CC$300,33,0)</f>
        <v>0</v>
      </c>
      <c r="AS100" s="102">
        <f>VLOOKUP(L100,行政合同!$L$6:$CC$300,34,0)</f>
        <v>0</v>
      </c>
      <c r="AT100" s="102">
        <f>VLOOKUP(L100,行政合同!$L$6:$CC$300,35,0)</f>
        <v>0</v>
      </c>
      <c r="AU100" s="102">
        <f>VLOOKUP(L100,行政合同!$L$6:$CC$300,36,0)</f>
        <v>0</v>
      </c>
      <c r="AV100" s="102">
        <f>VLOOKUP(L100,行政合同!$L$6:$CC$300,37,0)</f>
        <v>0</v>
      </c>
      <c r="AW100" s="102">
        <f>VLOOKUP(L100,行政合同!$L$6:$CC$300,38,0)</f>
        <v>0</v>
      </c>
      <c r="AX100" s="102">
        <f>VLOOKUP(L100,行政合同!$L$6:$CC$300,39,0)</f>
        <v>0</v>
      </c>
      <c r="AY100" s="102">
        <f>VLOOKUP(L100,行政合同!$L$6:$CC$300,40,0)</f>
        <v>0</v>
      </c>
      <c r="AZ100" s="102">
        <f>VLOOKUP(L100,行政合同!$L$6:$CC$300,41,0)</f>
        <v>0</v>
      </c>
      <c r="BA100" s="102">
        <f>VLOOKUP(L100,行政合同!$L$6:$CC$300,42,0)</f>
        <v>0</v>
      </c>
      <c r="BB100" s="102">
        <f>VLOOKUP(L100,行政合同!$L$6:$CC$300,43,0)</f>
        <v>0</v>
      </c>
      <c r="BC100" s="102">
        <f>VLOOKUP(L100,行政合同!$L$6:$CC$300,44,0)</f>
        <v>0</v>
      </c>
      <c r="BD100" s="102">
        <f>VLOOKUP(L100,行政合同!$L$6:$CC$300,45,0)</f>
        <v>0</v>
      </c>
      <c r="BE100" s="102">
        <f>VLOOKUP(L100,行政合同!$L$6:$CC$300,46,0)</f>
        <v>0</v>
      </c>
      <c r="BF100" s="102">
        <f>VLOOKUP(L100,行政合同!$L$6:$CC$300,47,0)</f>
        <v>0</v>
      </c>
      <c r="BG100" s="102">
        <f>VLOOKUP(L100,行政合同!$L$6:$CC$300,48,0)</f>
        <v>0</v>
      </c>
      <c r="BH100" s="102">
        <f>VLOOKUP(L100,行政合同!$L$6:$CC$300,49,0)</f>
        <v>0</v>
      </c>
      <c r="BI100" s="102">
        <f>VLOOKUP(L100,行政合同!$L$6:$CC$300,50,0)</f>
        <v>0</v>
      </c>
      <c r="BJ100" s="102">
        <f>VLOOKUP(L100,行政合同!$L$6:$CC$300,51,0)</f>
        <v>0</v>
      </c>
      <c r="BK100" s="102">
        <f>VLOOKUP(L100,行政合同!$L$6:$CC$300,52,0)</f>
        <v>0</v>
      </c>
      <c r="BL100" s="102">
        <f>VLOOKUP(L100,行政合同!$L$6:$CC$300,53,0)</f>
        <v>0</v>
      </c>
      <c r="BM100" s="102">
        <f>VLOOKUP(L100,行政合同!$L$6:$CC$300,54,0)</f>
        <v>0</v>
      </c>
      <c r="BN100" s="102">
        <f>VLOOKUP(L100,行政合同!$L$6:$CC$300,55,0)</f>
        <v>0</v>
      </c>
      <c r="BO100" s="102">
        <f>VLOOKUP(L100,行政合同!$L$6:$CC$300,56,0)</f>
        <v>0</v>
      </c>
      <c r="BP100" s="102">
        <f>VLOOKUP(L100,行政合同!$L$6:$CC$300,57,0)</f>
        <v>0</v>
      </c>
      <c r="BQ100" s="102">
        <f>VLOOKUP(L100,行政合同!$L$6:$CC$300,58,0)</f>
        <v>0</v>
      </c>
      <c r="BR100" s="102">
        <f>VLOOKUP(L100,行政合同!$L$6:$CC$300,59,0)</f>
        <v>0</v>
      </c>
      <c r="BS100" s="102">
        <f>VLOOKUP(L100,行政合同!$L$6:$CC$300,60,0)</f>
        <v>0</v>
      </c>
      <c r="BT100" s="102">
        <f>VLOOKUP(L100,行政合同!$L$6:$CC$300,61,0)</f>
        <v>0</v>
      </c>
      <c r="BU100" s="102">
        <f>VLOOKUP(L100,行政合同!$L$6:$CC$300,62,0)</f>
        <v>0</v>
      </c>
      <c r="BV100" s="102">
        <f>VLOOKUP(L100,行政合同!$L$6:$CC$300,63,0)</f>
        <v>0</v>
      </c>
      <c r="BW100" s="102">
        <f>VLOOKUP(L100,行政合同!$L$6:$CC$300,64,0)</f>
        <v>0</v>
      </c>
      <c r="BX100" s="102">
        <f>VLOOKUP(L100,行政合同!$L$6:$CC$300,65,0)</f>
        <v>0</v>
      </c>
      <c r="BY100" s="102">
        <f>VLOOKUP(L100,行政合同!$L$6:$CC$300,66,0)</f>
        <v>0</v>
      </c>
      <c r="BZ100" s="102">
        <f>VLOOKUP(L100,行政合同!$L$6:$CC$300,67,0)</f>
        <v>0</v>
      </c>
      <c r="CA100" s="102">
        <f>VLOOKUP(L100,行政合同!$L$6:$CC$300,68,0)</f>
        <v>0</v>
      </c>
      <c r="CB100" s="102">
        <f>VLOOKUP(L100,行政合同!$L$6:$CC$300,69,0)</f>
        <v>0</v>
      </c>
      <c r="CC100" s="102">
        <f>VLOOKUP(L100,行政合同!$L$6:$CC$300,70,0)</f>
        <v>0</v>
      </c>
      <c r="CD100" s="123">
        <f t="shared" si="33"/>
        <v>64025</v>
      </c>
      <c r="CE100" s="102">
        <f t="shared" si="34"/>
        <v>0</v>
      </c>
      <c r="CF100" s="102">
        <f t="shared" si="35"/>
        <v>0</v>
      </c>
      <c r="CG100" s="102">
        <f t="shared" si="36"/>
        <v>0</v>
      </c>
      <c r="CH100" s="124">
        <f t="shared" si="37"/>
        <v>64025</v>
      </c>
      <c r="CI100" s="125">
        <f t="shared" si="38"/>
        <v>0</v>
      </c>
      <c r="CJ100" s="126" t="str">
        <f t="shared" si="39"/>
        <v>数据正确</v>
      </c>
    </row>
    <row r="101" s="60" customFormat="1" customHeight="1" spans="2:88">
      <c r="B101" s="70" t="str">
        <f t="shared" si="29"/>
        <v>-</v>
      </c>
      <c r="C101" s="71" t="str">
        <f t="shared" si="30"/>
        <v>已付清</v>
      </c>
      <c r="D101" s="181">
        <f t="shared" si="31"/>
        <v>64977000</v>
      </c>
      <c r="E101" s="181">
        <f>SUMIF(工程合同!$L$6:$L$299,L101,工程合同!$E$6:$E$299)</f>
        <v>0</v>
      </c>
      <c r="F101" s="181">
        <f>SUMIF(工程合同!$L$6:$L$299,L101,工程合同!$F$6:$F$299)</f>
        <v>0</v>
      </c>
      <c r="G101" s="181">
        <f>SUMIF(工程合同!$L$6:$L$299,L101,工程合同!$G$6:$G$299)</f>
        <v>0</v>
      </c>
      <c r="H101" s="181">
        <f>SUMIF(工程合同!$L$6:$L$299,L101,工程合同!$H$6:$H$299)</f>
        <v>0</v>
      </c>
      <c r="I101" s="181">
        <f t="shared" si="32"/>
        <v>0</v>
      </c>
      <c r="J101" s="86" t="s">
        <v>98</v>
      </c>
      <c r="K101" s="87"/>
      <c r="L101" s="88">
        <v>96</v>
      </c>
      <c r="M101" s="89" t="str">
        <f>VLOOKUP(L101,工程合同!$L$6:$CC$299,2,0)</f>
        <v>YRKJGC-150012</v>
      </c>
      <c r="N101" s="90" t="str">
        <f>VLOOKUP(L101,工程合同!$L$6:$CC$299,3,0)</f>
        <v>工程合同</v>
      </c>
      <c r="O101" s="265" t="str">
        <f>VLOOKUP(L101,工程合同!$L$6:$CC$299,4,0)</f>
        <v>-</v>
      </c>
      <c r="P101" s="266">
        <f>VLOOKUP(L101,工程合同!$L$6:$CC$299,5,0)</f>
        <v>42136</v>
      </c>
      <c r="Q101" s="275">
        <f>VLOOKUP(L101,工程合同!$L$6:$CC$299,6,0)</f>
        <v>64977000</v>
      </c>
      <c r="R101" s="89" t="str">
        <f>VLOOKUP(L101,工程合同!$L$6:$CC$299,7,0)</f>
        <v>软地基处理工程施工-软土区（181500平米*358元/米2）</v>
      </c>
      <c r="S101" s="89" t="str">
        <f>VLOOKUP(L101,工程合同!$L$6:$CC$299,8,0)</f>
        <v>福建勘察基础工程公司</v>
      </c>
      <c r="T101" s="107" t="str">
        <f>VLOOKUP(L101,工程合同!$L$6:$CC$299,9,0)</f>
        <v>软基</v>
      </c>
      <c r="U101" s="103" t="str">
        <f>VLOOKUP(L101,工程合同!$L$6:$CC$299,10,0)</f>
        <v>承兑/转账</v>
      </c>
      <c r="V101" s="276" t="str">
        <f>VLOOKUP(L101,工程合同!$L$6:$CC$299,11,0)</f>
        <v>按每月实际进度结算并支付工程进度款的90%</v>
      </c>
      <c r="W101" s="102">
        <f>VLOOKUP(L101,工程合同!$L$6:$CC$299,12,0)</f>
        <v>58479300</v>
      </c>
      <c r="X101" s="102">
        <f>VLOOKUP(L101,工程合同!$L$6:$CC$299,13,0)</f>
        <v>64977000</v>
      </c>
      <c r="Y101" s="102">
        <f>VLOOKUP(L101,工程合同!$L$6:$CC$299,14,0)</f>
        <v>64977000</v>
      </c>
      <c r="Z101" s="102" t="str">
        <f>VLOOKUP(L101,工程合同!$L$6:$CC$299,15,0)</f>
        <v>工程竣工验收合格后支付尾款</v>
      </c>
      <c r="AA101" s="102">
        <f>VLOOKUP(L101,工程合同!$L$6:$CC$299,16,0)</f>
        <v>6497700</v>
      </c>
      <c r="AB101" s="102">
        <f>VLOOKUP(L101,工程合同!$L$6:$CC$299,17,0)</f>
        <v>0</v>
      </c>
      <c r="AC101" s="102">
        <f>VLOOKUP(L101,工程合同!$L$6:$CC$299,18,0)</f>
        <v>0</v>
      </c>
      <c r="AD101" s="102">
        <f>VLOOKUP(L101,工程合同!$L$6:$CC$299,19,0)</f>
        <v>0</v>
      </c>
      <c r="AE101" s="102">
        <f>VLOOKUP(L101,工程合同!$L$6:$CC$299,20,0)</f>
        <v>0</v>
      </c>
      <c r="AF101" s="102">
        <f>VLOOKUP(L101,工程合同!$L$6:$CC$299,21,0)</f>
        <v>0</v>
      </c>
      <c r="AG101" s="102">
        <f>VLOOKUP(L101,工程合同!$L$6:$CC$299,22,0)</f>
        <v>0</v>
      </c>
      <c r="AH101" s="102">
        <f>VLOOKUP(L101,工程合同!$L$6:$CC$299,23,0)</f>
        <v>0</v>
      </c>
      <c r="AI101" s="102">
        <f>VLOOKUP(L101,工程合同!$L$6:$CC$299,24,0)</f>
        <v>0</v>
      </c>
      <c r="AJ101" s="102">
        <f>VLOOKUP(L101,工程合同!$L$6:$CC$299,25,0)</f>
        <v>0</v>
      </c>
      <c r="AK101" s="102">
        <f>VLOOKUP(L101,工程合同!$L$6:$CC$299,26,0)</f>
        <v>0</v>
      </c>
      <c r="AL101" s="102">
        <f>VLOOKUP(L101,工程合同!$L$6:$CC$299,27,0)</f>
        <v>0</v>
      </c>
      <c r="AM101" s="102">
        <f>VLOOKUP(L101,工程合同!$L$6:$CC$299,28,0)</f>
        <v>0</v>
      </c>
      <c r="AN101" s="102">
        <f>VLOOKUP(L101,工程合同!$L$6:$CC$299,29,0)</f>
        <v>0</v>
      </c>
      <c r="AO101" s="102">
        <f>VLOOKUP(L101,工程合同!$L$6:$CC$299,30,0)</f>
        <v>0</v>
      </c>
      <c r="AP101" s="102">
        <f>VLOOKUP(L101,工程合同!$L$6:$CC$299,31,0)</f>
        <v>0</v>
      </c>
      <c r="AQ101" s="102">
        <f>VLOOKUP(L101,工程合同!$L$6:$CC$299,32,0)</f>
        <v>0</v>
      </c>
      <c r="AR101" s="102">
        <f>VLOOKUP(L101,工程合同!$L$6:$CC$299,33,0)</f>
        <v>0</v>
      </c>
      <c r="AS101" s="102">
        <f>VLOOKUP(L101,工程合同!$L$6:$CC$299,34,0)</f>
        <v>0</v>
      </c>
      <c r="AT101" s="102">
        <f>VLOOKUP(L101,工程合同!$L$6:$CC$299,35,0)</f>
        <v>0</v>
      </c>
      <c r="AU101" s="102">
        <f>VLOOKUP(L101,工程合同!$L$6:$CC$299,36,0)</f>
        <v>0</v>
      </c>
      <c r="AV101" s="102">
        <f>VLOOKUP(L101,工程合同!$L$6:$CC$299,37,0)</f>
        <v>0</v>
      </c>
      <c r="AW101" s="102">
        <f>VLOOKUP(L101,工程合同!$L$6:$CC$299,38,0)</f>
        <v>0</v>
      </c>
      <c r="AX101" s="102">
        <f>VLOOKUP(L101,工程合同!$L$6:$CC$299,39,0)</f>
        <v>0</v>
      </c>
      <c r="AY101" s="102">
        <f>VLOOKUP(L101,工程合同!$L$6:$CC$299,40,0)</f>
        <v>0</v>
      </c>
      <c r="AZ101" s="102">
        <f>VLOOKUP(L101,工程合同!$L$6:$CC$299,41,0)</f>
        <v>0</v>
      </c>
      <c r="BA101" s="102">
        <f>VLOOKUP(L101,工程合同!$L$6:$CC$299,42,0)</f>
        <v>0</v>
      </c>
      <c r="BB101" s="102">
        <f>VLOOKUP(L101,工程合同!$L$6:$CC$299,43,0)</f>
        <v>0</v>
      </c>
      <c r="BC101" s="102">
        <f>VLOOKUP(L101,工程合同!$L$6:$CC$299,44,0)</f>
        <v>0</v>
      </c>
      <c r="BD101" s="102">
        <f>VLOOKUP(L101,工程合同!$L$6:$CC$299,45,0)</f>
        <v>0</v>
      </c>
      <c r="BE101" s="102">
        <f>VLOOKUP(L101,工程合同!$L$6:$CC$299,46,0)</f>
        <v>0</v>
      </c>
      <c r="BF101" s="102">
        <f>VLOOKUP(L101,工程合同!$L$6:$CC$299,47,0)</f>
        <v>0</v>
      </c>
      <c r="BG101" s="102">
        <f>VLOOKUP(L101,工程合同!$L$6:$CC$299,48,0)</f>
        <v>0</v>
      </c>
      <c r="BH101" s="102">
        <f>VLOOKUP(L101,工程合同!$L$6:$CC$299,49,0)</f>
        <v>0</v>
      </c>
      <c r="BI101" s="102">
        <f>VLOOKUP(L101,工程合同!$L$6:$CC$299,50,0)</f>
        <v>0</v>
      </c>
      <c r="BJ101" s="102">
        <f>VLOOKUP(L101,工程合同!$L$6:$CC$299,51,0)</f>
        <v>0</v>
      </c>
      <c r="BK101" s="102">
        <f>VLOOKUP(L101,工程合同!$L$6:$CC$299,52,0)</f>
        <v>0</v>
      </c>
      <c r="BL101" s="102">
        <f>VLOOKUP(L101,工程合同!$L$6:$CC$299,53,0)</f>
        <v>0</v>
      </c>
      <c r="BM101" s="102">
        <f>VLOOKUP(L101,工程合同!$L$6:$CC$299,54,0)</f>
        <v>0</v>
      </c>
      <c r="BN101" s="102">
        <f>VLOOKUP(L101,工程合同!$L$6:$CC$299,55,0)</f>
        <v>0</v>
      </c>
      <c r="BO101" s="102">
        <f>VLOOKUP(L101,工程合同!$L$6:$CC$299,56,0)</f>
        <v>0</v>
      </c>
      <c r="BP101" s="102">
        <f>VLOOKUP(L101,工程合同!$L$6:$CC$299,57,0)</f>
        <v>0</v>
      </c>
      <c r="BQ101" s="102">
        <f>VLOOKUP(L101,工程合同!$L$6:$CC$299,58,0)</f>
        <v>0</v>
      </c>
      <c r="BR101" s="102">
        <f>VLOOKUP(L101,工程合同!$L$6:$CC$299,59,0)</f>
        <v>0</v>
      </c>
      <c r="BS101" s="102">
        <f>VLOOKUP(L101,工程合同!$L$6:$CC$299,60,0)</f>
        <v>0</v>
      </c>
      <c r="BT101" s="102">
        <f>VLOOKUP(L101,工程合同!$L$6:$CC$299,61,0)</f>
        <v>0</v>
      </c>
      <c r="BU101" s="102">
        <f>VLOOKUP(L101,工程合同!$L$6:$CC$299,62,0)</f>
        <v>0</v>
      </c>
      <c r="BV101" s="102">
        <f>VLOOKUP(L101,工程合同!$L$6:$CC$299,63,0)</f>
        <v>0</v>
      </c>
      <c r="BW101" s="102">
        <f>VLOOKUP(L101,工程合同!$L$6:$CC$299,64,0)</f>
        <v>0</v>
      </c>
      <c r="BX101" s="102">
        <f>VLOOKUP(L101,工程合同!$L$6:$CC$299,65,0)</f>
        <v>0</v>
      </c>
      <c r="BY101" s="102">
        <f>VLOOKUP(L101,工程合同!$L$6:$CC$299,66,0)</f>
        <v>0</v>
      </c>
      <c r="BZ101" s="102">
        <f>VLOOKUP(L101,工程合同!$L$6:$CC$299,67,0)</f>
        <v>0</v>
      </c>
      <c r="CA101" s="102">
        <f>VLOOKUP(L101,工程合同!$L$6:$CC$299,68,0)</f>
        <v>0</v>
      </c>
      <c r="CB101" s="102">
        <f>VLOOKUP(L101,工程合同!$L$6:$CC$299,69,0)</f>
        <v>0</v>
      </c>
      <c r="CC101" s="102">
        <f>VLOOKUP(L101,工程合同!$L$6:$CC$299,70,0)</f>
        <v>0</v>
      </c>
      <c r="CD101" s="123">
        <f t="shared" si="33"/>
        <v>64977000</v>
      </c>
      <c r="CE101" s="102">
        <f t="shared" si="34"/>
        <v>64977000</v>
      </c>
      <c r="CF101" s="102">
        <f t="shared" si="35"/>
        <v>64977000</v>
      </c>
      <c r="CG101" s="102">
        <f t="shared" si="36"/>
        <v>0</v>
      </c>
      <c r="CH101" s="124">
        <f t="shared" si="37"/>
        <v>0</v>
      </c>
      <c r="CI101" s="125">
        <f t="shared" si="38"/>
        <v>1</v>
      </c>
      <c r="CJ101" s="126" t="str">
        <f t="shared" si="39"/>
        <v>数据正确</v>
      </c>
    </row>
    <row r="102" s="60" customFormat="1" customHeight="1" spans="2:88">
      <c r="B102" s="70" t="str">
        <f t="shared" si="29"/>
        <v>-</v>
      </c>
      <c r="C102" s="71" t="str">
        <f t="shared" si="30"/>
        <v>已付清</v>
      </c>
      <c r="D102" s="181">
        <f t="shared" si="31"/>
        <v>10000</v>
      </c>
      <c r="E102" s="181">
        <f>SUMIF(服务合同!$L$6:$L$300,L102,服务合同!$E$6:$E$300)</f>
        <v>0</v>
      </c>
      <c r="F102" s="181">
        <f>SUMIF(服务合同!$L$6:$L$300,L102,服务合同!$F$6:$F$300)</f>
        <v>0</v>
      </c>
      <c r="G102" s="181">
        <f>SUMIF(服务合同!$L$6:$L$300,L102,服务合同!$G$6:$G$300)</f>
        <v>0</v>
      </c>
      <c r="H102" s="181">
        <f>SUMIF(服务合同!$L$6:$L$300,L102,服务合同!$H$6:$H$300)</f>
        <v>0</v>
      </c>
      <c r="I102" s="181">
        <f t="shared" si="32"/>
        <v>0</v>
      </c>
      <c r="J102" s="86" t="s">
        <v>98</v>
      </c>
      <c r="K102" s="87"/>
      <c r="L102" s="88">
        <v>97</v>
      </c>
      <c r="M102" s="89" t="str">
        <f>VLOOKUP(L102,服务合同!$L$6:$CC$300,2,0)</f>
        <v>YRKJGC-160003</v>
      </c>
      <c r="N102" s="90" t="str">
        <f>VLOOKUP(L102,服务合同!$L$6:$CC$300,3,0)</f>
        <v>服务合同</v>
      </c>
      <c r="O102" s="265" t="str">
        <f>VLOOKUP(L102,服务合同!$L$6:$CC$300,4,0)</f>
        <v>-</v>
      </c>
      <c r="P102" s="266">
        <f>VLOOKUP(L102,服务合同!$L$6:$CC$300,5,0)</f>
        <v>42479</v>
      </c>
      <c r="Q102" s="275">
        <f>VLOOKUP(L102,服务合同!$L$6:$CC$300,6,0)</f>
        <v>10000</v>
      </c>
      <c r="R102" s="89" t="str">
        <f>VLOOKUP(L102,服务合同!$L$6:$CC$300,7,0)</f>
        <v>LNG输送技术咨询</v>
      </c>
      <c r="S102" s="89" t="str">
        <f>VLOOKUP(L102,服务合同!$L$6:$CC$300,8,0)</f>
        <v>福建省石油化学工业设计院</v>
      </c>
      <c r="T102" s="107">
        <f>VLOOKUP(L102,服务合同!$L$6:$CC$300,9,0)</f>
        <v>0</v>
      </c>
      <c r="U102" s="103">
        <f>VLOOKUP(L102,服务合同!$L$6:$CC$300,10,0)</f>
        <v>0</v>
      </c>
      <c r="V102" s="276" t="str">
        <f>VLOOKUP(L102,服务合同!$L$6:$CC$300,11,0)</f>
        <v>乙方提供初步方案报告前，全额转账，乙方收到款后一周开具专票</v>
      </c>
      <c r="W102" s="102">
        <f>VLOOKUP(L102,服务合同!$L$6:$CC$300,12,0)</f>
        <v>10000</v>
      </c>
      <c r="X102" s="102">
        <f>VLOOKUP(L102,服务合同!$L$6:$CC$300,13,0)</f>
        <v>10000</v>
      </c>
      <c r="Y102" s="102">
        <f>VLOOKUP(L102,服务合同!$L$6:$CC$300,14,0)</f>
        <v>10000</v>
      </c>
      <c r="Z102" s="102">
        <f>VLOOKUP(L102,服务合同!$L$6:$CC$300,15,0)</f>
        <v>0</v>
      </c>
      <c r="AA102" s="102">
        <f>VLOOKUP(L102,服务合同!$L$6:$CC$300,16,0)</f>
        <v>0</v>
      </c>
      <c r="AB102" s="102">
        <f>VLOOKUP(L102,服务合同!$L$6:$CC$300,17,0)</f>
        <v>0</v>
      </c>
      <c r="AC102" s="102">
        <f>VLOOKUP(L102,服务合同!$L$6:$CC$300,18,0)</f>
        <v>0</v>
      </c>
      <c r="AD102" s="102">
        <f>VLOOKUP(L102,服务合同!$L$6:$CC$300,19,0)</f>
        <v>0</v>
      </c>
      <c r="AE102" s="102">
        <f>VLOOKUP(L102,服务合同!$L$6:$CC$300,20,0)</f>
        <v>0</v>
      </c>
      <c r="AF102" s="102">
        <f>VLOOKUP(L102,服务合同!$L$6:$CC$300,21,0)</f>
        <v>0</v>
      </c>
      <c r="AG102" s="102">
        <f>VLOOKUP(L102,服务合同!$L$6:$CC$300,22,0)</f>
        <v>0</v>
      </c>
      <c r="AH102" s="102">
        <f>VLOOKUP(L102,服务合同!$L$6:$CC$300,23,0)</f>
        <v>0</v>
      </c>
      <c r="AI102" s="102">
        <f>VLOOKUP(L102,服务合同!$L$6:$CC$300,24,0)</f>
        <v>0</v>
      </c>
      <c r="AJ102" s="102">
        <f>VLOOKUP(L102,服务合同!$L$6:$CC$300,25,0)</f>
        <v>0</v>
      </c>
      <c r="AK102" s="102">
        <f>VLOOKUP(L102,服务合同!$L$6:$CC$300,26,0)</f>
        <v>0</v>
      </c>
      <c r="AL102" s="102">
        <f>VLOOKUP(L102,服务合同!$L$6:$CC$300,27,0)</f>
        <v>0</v>
      </c>
      <c r="AM102" s="102">
        <f>VLOOKUP(L102,服务合同!$L$6:$CC$300,28,0)</f>
        <v>0</v>
      </c>
      <c r="AN102" s="102">
        <f>VLOOKUP(L102,服务合同!$L$6:$CC$300,29,0)</f>
        <v>0</v>
      </c>
      <c r="AO102" s="102">
        <f>VLOOKUP(L102,服务合同!$L$6:$CC$300,30,0)</f>
        <v>0</v>
      </c>
      <c r="AP102" s="102">
        <f>VLOOKUP(L102,服务合同!$L$6:$CC$300,31,0)</f>
        <v>0</v>
      </c>
      <c r="AQ102" s="102">
        <f>VLOOKUP(L102,服务合同!$L$6:$CC$300,32,0)</f>
        <v>0</v>
      </c>
      <c r="AR102" s="102">
        <f>VLOOKUP(L102,服务合同!$L$6:$CC$300,33,0)</f>
        <v>0</v>
      </c>
      <c r="AS102" s="102">
        <f>VLOOKUP(L102,服务合同!$L$6:$CC$300,34,0)</f>
        <v>0</v>
      </c>
      <c r="AT102" s="102">
        <f>VLOOKUP(L102,服务合同!$L$6:$CC$300,35,0)</f>
        <v>0</v>
      </c>
      <c r="AU102" s="102">
        <f>VLOOKUP(L102,服务合同!$L$6:$CC$300,36,0)</f>
        <v>0</v>
      </c>
      <c r="AV102" s="102">
        <f>VLOOKUP(L102,服务合同!$L$6:$CC$300,37,0)</f>
        <v>0</v>
      </c>
      <c r="AW102" s="102">
        <f>VLOOKUP(L102,服务合同!$L$6:$CC$300,38,0)</f>
        <v>0</v>
      </c>
      <c r="AX102" s="102">
        <f>VLOOKUP(L102,服务合同!$L$6:$CC$300,39,0)</f>
        <v>0</v>
      </c>
      <c r="AY102" s="102">
        <f>VLOOKUP(L102,服务合同!$L$6:$CC$300,40,0)</f>
        <v>0</v>
      </c>
      <c r="AZ102" s="102">
        <f>VLOOKUP(L102,服务合同!$L$6:$CC$300,41,0)</f>
        <v>0</v>
      </c>
      <c r="BA102" s="102">
        <f>VLOOKUP(L102,服务合同!$L$6:$CC$300,42,0)</f>
        <v>0</v>
      </c>
      <c r="BB102" s="102">
        <f>VLOOKUP(L102,服务合同!$L$6:$CC$300,43,0)</f>
        <v>0</v>
      </c>
      <c r="BC102" s="102">
        <f>VLOOKUP(L102,服务合同!$L$6:$CC$300,44,0)</f>
        <v>0</v>
      </c>
      <c r="BD102" s="102">
        <f>VLOOKUP(L102,服务合同!$L$6:$CC$300,45,0)</f>
        <v>0</v>
      </c>
      <c r="BE102" s="102">
        <f>VLOOKUP(L102,服务合同!$L$6:$CC$300,46,0)</f>
        <v>0</v>
      </c>
      <c r="BF102" s="102">
        <f>VLOOKUP(L102,服务合同!$L$6:$CC$300,47,0)</f>
        <v>0</v>
      </c>
      <c r="BG102" s="102">
        <f>VLOOKUP(L102,服务合同!$L$6:$CC$300,48,0)</f>
        <v>0</v>
      </c>
      <c r="BH102" s="102">
        <f>VLOOKUP(L102,服务合同!$L$6:$CC$300,49,0)</f>
        <v>0</v>
      </c>
      <c r="BI102" s="102">
        <f>VLOOKUP(L102,服务合同!$L$6:$CC$300,50,0)</f>
        <v>0</v>
      </c>
      <c r="BJ102" s="102">
        <f>VLOOKUP(L102,服务合同!$L$6:$CC$300,51,0)</f>
        <v>0</v>
      </c>
      <c r="BK102" s="102">
        <f>VLOOKUP(L102,服务合同!$L$6:$CC$300,52,0)</f>
        <v>0</v>
      </c>
      <c r="BL102" s="102">
        <f>VLOOKUP(L102,服务合同!$L$6:$CC$300,53,0)</f>
        <v>0</v>
      </c>
      <c r="BM102" s="102">
        <f>VLOOKUP(L102,服务合同!$L$6:$CC$300,54,0)</f>
        <v>0</v>
      </c>
      <c r="BN102" s="102">
        <f>VLOOKUP(L102,服务合同!$L$6:$CC$300,55,0)</f>
        <v>0</v>
      </c>
      <c r="BO102" s="102">
        <f>VLOOKUP(L102,服务合同!$L$6:$CC$300,56,0)</f>
        <v>0</v>
      </c>
      <c r="BP102" s="102">
        <f>VLOOKUP(L102,服务合同!$L$6:$CC$300,57,0)</f>
        <v>0</v>
      </c>
      <c r="BQ102" s="102">
        <f>VLOOKUP(L102,服务合同!$L$6:$CC$300,58,0)</f>
        <v>0</v>
      </c>
      <c r="BR102" s="102">
        <f>VLOOKUP(L102,服务合同!$L$6:$CC$300,59,0)</f>
        <v>0</v>
      </c>
      <c r="BS102" s="102">
        <f>VLOOKUP(L102,服务合同!$L$6:$CC$300,60,0)</f>
        <v>0</v>
      </c>
      <c r="BT102" s="102">
        <f>VLOOKUP(L102,服务合同!$L$6:$CC$300,61,0)</f>
        <v>0</v>
      </c>
      <c r="BU102" s="102">
        <f>VLOOKUP(L102,服务合同!$L$6:$CC$300,62,0)</f>
        <v>0</v>
      </c>
      <c r="BV102" s="102">
        <f>VLOOKUP(L102,服务合同!$L$6:$CC$300,63,0)</f>
        <v>0</v>
      </c>
      <c r="BW102" s="102">
        <f>VLOOKUP(L102,服务合同!$L$6:$CC$300,64,0)</f>
        <v>0</v>
      </c>
      <c r="BX102" s="102">
        <f>VLOOKUP(L102,服务合同!$L$6:$CC$300,65,0)</f>
        <v>0</v>
      </c>
      <c r="BY102" s="102">
        <f>VLOOKUP(L102,服务合同!$L$6:$CC$300,66,0)</f>
        <v>0</v>
      </c>
      <c r="BZ102" s="102">
        <f>VLOOKUP(L102,服务合同!$L$6:$CC$300,67,0)</f>
        <v>0</v>
      </c>
      <c r="CA102" s="102">
        <f>VLOOKUP(L102,服务合同!$L$6:$CC$300,68,0)</f>
        <v>0</v>
      </c>
      <c r="CB102" s="102">
        <f>VLOOKUP(L102,服务合同!$L$6:$CC$300,69,0)</f>
        <v>0</v>
      </c>
      <c r="CC102" s="102">
        <f>VLOOKUP(L102,服务合同!$L$6:$CC$300,70,0)</f>
        <v>0</v>
      </c>
      <c r="CD102" s="123">
        <f t="shared" si="33"/>
        <v>10000</v>
      </c>
      <c r="CE102" s="102">
        <f t="shared" si="34"/>
        <v>10000</v>
      </c>
      <c r="CF102" s="102">
        <f t="shared" si="35"/>
        <v>10000</v>
      </c>
      <c r="CG102" s="102">
        <f t="shared" si="36"/>
        <v>0</v>
      </c>
      <c r="CH102" s="124">
        <f t="shared" si="37"/>
        <v>0</v>
      </c>
      <c r="CI102" s="125">
        <f t="shared" si="38"/>
        <v>1</v>
      </c>
      <c r="CJ102" s="126" t="str">
        <f t="shared" si="39"/>
        <v>数据正确</v>
      </c>
    </row>
    <row r="103" s="60" customFormat="1" customHeight="1" spans="2:88">
      <c r="B103" s="70" t="str">
        <f t="shared" si="29"/>
        <v>-</v>
      </c>
      <c r="C103" s="71" t="str">
        <f t="shared" si="30"/>
        <v>已付清</v>
      </c>
      <c r="D103" s="181">
        <f t="shared" si="31"/>
        <v>1623855</v>
      </c>
      <c r="E103" s="181">
        <f>SUMIF(材料合同!$L$6:$L$305,L103,材料合同!$E$6:$E$305)</f>
        <v>0</v>
      </c>
      <c r="F103" s="181">
        <f>SUMIF(材料合同!$L$6:$L$305,L103,材料合同!$F$6:$F$305)</f>
        <v>0</v>
      </c>
      <c r="G103" s="181">
        <f>SUMIF(材料合同!$L$6:$L$305,L103,材料合同!$G$6:$G$305)</f>
        <v>0</v>
      </c>
      <c r="H103" s="181">
        <f>SUMIF(材料合同!$L$6:$L$305,L103,材料合同!$H$6:$H$305)</f>
        <v>0</v>
      </c>
      <c r="I103" s="181">
        <f t="shared" si="32"/>
        <v>0</v>
      </c>
      <c r="J103" s="86" t="s">
        <v>98</v>
      </c>
      <c r="K103" s="87"/>
      <c r="L103" s="88">
        <v>98</v>
      </c>
      <c r="M103" s="89" t="str">
        <f>VLOOKUP(L103,材料合同!$L$6:$CC$305,2,0)</f>
        <v>YRKJGC-160004</v>
      </c>
      <c r="N103" s="90" t="str">
        <f>VLOOKUP(L103,材料合同!$L$6:$CC$305,3,0)</f>
        <v>材料合同</v>
      </c>
      <c r="O103" s="265" t="str">
        <f>VLOOKUP(L103,材料合同!$L$6:$CC$305,4,0)</f>
        <v>-</v>
      </c>
      <c r="P103" s="266">
        <f>VLOOKUP(L103,材料合同!$L$6:$CC$305,5,0)</f>
        <v>42619</v>
      </c>
      <c r="Q103" s="275">
        <f>VLOOKUP(L103,材料合同!$L$6:$CC$305,6,0)</f>
        <v>1623855</v>
      </c>
      <c r="R103" s="89" t="str">
        <f>VLOOKUP(L103,材料合同!$L$6:$CC$305,7,0)</f>
        <v>方桩（10380米*200元/米）</v>
      </c>
      <c r="S103" s="89" t="str">
        <f>VLOOKUP(L103,材料合同!$L$6:$CC$305,8,0)</f>
        <v>福建建华建材有限公司</v>
      </c>
      <c r="T103" s="107">
        <f>VLOOKUP(L103,材料合同!$L$6:$CC$305,9,0)</f>
        <v>0</v>
      </c>
      <c r="U103" s="103" t="str">
        <f>VLOOKUP(L103,材料合同!$L$6:$CC$305,10,0)</f>
        <v>承兑汇票</v>
      </c>
      <c r="V103" s="276" t="str">
        <f>VLOOKUP(L103,材料合同!$L$6:$CC$305,11,0)</f>
        <v>收到乙方17%专票后，安排货款</v>
      </c>
      <c r="W103" s="102">
        <f>VLOOKUP(L103,材料合同!$L$6:$CC$305,12,0)</f>
        <v>1623855</v>
      </c>
      <c r="X103" s="102">
        <f>VLOOKUP(L103,材料合同!$L$6:$CC$305,13,0)</f>
        <v>1623855</v>
      </c>
      <c r="Y103" s="102">
        <f>VLOOKUP(L103,材料合同!$L$6:$CC$305,14,0)</f>
        <v>1623855</v>
      </c>
      <c r="Z103" s="102">
        <f>VLOOKUP(L103,材料合同!$L$6:$CC$305,15,0)</f>
        <v>0</v>
      </c>
      <c r="AA103" s="102">
        <f>VLOOKUP(L103,材料合同!$L$6:$CC$305,16,0)</f>
        <v>0</v>
      </c>
      <c r="AB103" s="102">
        <f>VLOOKUP(L103,材料合同!$L$6:$CC$305,17,0)</f>
        <v>0</v>
      </c>
      <c r="AC103" s="102">
        <f>VLOOKUP(L103,材料合同!$L$6:$CC$305,18,0)</f>
        <v>0</v>
      </c>
      <c r="AD103" s="102">
        <f>VLOOKUP(L103,材料合同!$L$6:$CC$305,19,0)</f>
        <v>0</v>
      </c>
      <c r="AE103" s="102">
        <f>VLOOKUP(L103,材料合同!$L$6:$CC$305,20,0)</f>
        <v>0</v>
      </c>
      <c r="AF103" s="102">
        <f>VLOOKUP(L103,材料合同!$L$6:$CC$305,21,0)</f>
        <v>0</v>
      </c>
      <c r="AG103" s="102">
        <f>VLOOKUP(L103,材料合同!$L$6:$CC$305,22,0)</f>
        <v>0</v>
      </c>
      <c r="AH103" s="102">
        <f>VLOOKUP(L103,材料合同!$L$6:$CC$305,23,0)</f>
        <v>0</v>
      </c>
      <c r="AI103" s="102">
        <f>VLOOKUP(L103,材料合同!$L$6:$CC$305,24,0)</f>
        <v>0</v>
      </c>
      <c r="AJ103" s="102">
        <f>VLOOKUP(L103,材料合同!$L$6:$CC$305,25,0)</f>
        <v>0</v>
      </c>
      <c r="AK103" s="102">
        <f>VLOOKUP(L103,材料合同!$L$6:$CC$305,26,0)</f>
        <v>0</v>
      </c>
      <c r="AL103" s="102">
        <f>VLOOKUP(L103,材料合同!$L$6:$CC$305,27,0)</f>
        <v>0</v>
      </c>
      <c r="AM103" s="102">
        <f>VLOOKUP(L103,材料合同!$L$6:$CC$305,28,0)</f>
        <v>0</v>
      </c>
      <c r="AN103" s="102">
        <f>VLOOKUP(L103,材料合同!$L$6:$CC$305,29,0)</f>
        <v>0</v>
      </c>
      <c r="AO103" s="102">
        <f>VLOOKUP(L103,材料合同!$L$6:$CC$305,30,0)</f>
        <v>0</v>
      </c>
      <c r="AP103" s="102">
        <f>VLOOKUP(L103,材料合同!$L$6:$CC$305,31,0)</f>
        <v>0</v>
      </c>
      <c r="AQ103" s="102">
        <f>VLOOKUP(L103,材料合同!$L$6:$CC$305,32,0)</f>
        <v>0</v>
      </c>
      <c r="AR103" s="102">
        <f>VLOOKUP(L103,材料合同!$L$6:$CC$305,33,0)</f>
        <v>0</v>
      </c>
      <c r="AS103" s="102">
        <f>VLOOKUP(L103,材料合同!$L$6:$CC$305,34,0)</f>
        <v>0</v>
      </c>
      <c r="AT103" s="102">
        <f>VLOOKUP(L103,材料合同!$L$6:$CC$305,35,0)</f>
        <v>0</v>
      </c>
      <c r="AU103" s="102">
        <f>VLOOKUP(L103,材料合同!$L$6:$CC$305,36,0)</f>
        <v>0</v>
      </c>
      <c r="AV103" s="102">
        <f>VLOOKUP(L103,材料合同!$L$6:$CC$305,37,0)</f>
        <v>0</v>
      </c>
      <c r="AW103" s="102">
        <f>VLOOKUP(L103,材料合同!$L$6:$CC$305,38,0)</f>
        <v>0</v>
      </c>
      <c r="AX103" s="102">
        <f>VLOOKUP(L103,材料合同!$L$6:$CC$305,39,0)</f>
        <v>0</v>
      </c>
      <c r="AY103" s="102">
        <f>VLOOKUP(L103,材料合同!$L$6:$CC$305,40,0)</f>
        <v>0</v>
      </c>
      <c r="AZ103" s="102">
        <f>VLOOKUP(L103,材料合同!$L$6:$CC$305,41,0)</f>
        <v>0</v>
      </c>
      <c r="BA103" s="102">
        <f>VLOOKUP(L103,材料合同!$L$6:$CC$305,42,0)</f>
        <v>0</v>
      </c>
      <c r="BB103" s="102">
        <f>VLOOKUP(L103,材料合同!$L$6:$CC$305,43,0)</f>
        <v>0</v>
      </c>
      <c r="BC103" s="102">
        <f>VLOOKUP(L103,材料合同!$L$6:$CC$305,44,0)</f>
        <v>0</v>
      </c>
      <c r="BD103" s="102">
        <f>VLOOKUP(L103,材料合同!$L$6:$CC$305,45,0)</f>
        <v>0</v>
      </c>
      <c r="BE103" s="102">
        <f>VLOOKUP(L103,材料合同!$L$6:$CC$305,46,0)</f>
        <v>0</v>
      </c>
      <c r="BF103" s="102">
        <f>VLOOKUP(L103,材料合同!$L$6:$CC$305,47,0)</f>
        <v>0</v>
      </c>
      <c r="BG103" s="102">
        <f>VLOOKUP(L103,材料合同!$L$6:$CC$305,48,0)</f>
        <v>0</v>
      </c>
      <c r="BH103" s="102">
        <f>VLOOKUP(L103,材料合同!$L$6:$CC$305,49,0)</f>
        <v>0</v>
      </c>
      <c r="BI103" s="102">
        <f>VLOOKUP(L103,材料合同!$L$6:$CC$305,50,0)</f>
        <v>0</v>
      </c>
      <c r="BJ103" s="102">
        <f>VLOOKUP(L103,材料合同!$L$6:$CC$305,51,0)</f>
        <v>0</v>
      </c>
      <c r="BK103" s="102">
        <f>VLOOKUP(L103,材料合同!$L$6:$CC$305,52,0)</f>
        <v>0</v>
      </c>
      <c r="BL103" s="102">
        <f>VLOOKUP(L103,材料合同!$L$6:$CC$305,53,0)</f>
        <v>0</v>
      </c>
      <c r="BM103" s="102">
        <f>VLOOKUP(L103,材料合同!$L$6:$CC$305,54,0)</f>
        <v>0</v>
      </c>
      <c r="BN103" s="102">
        <f>VLOOKUP(L103,材料合同!$L$6:$CC$305,55,0)</f>
        <v>0</v>
      </c>
      <c r="BO103" s="102">
        <f>VLOOKUP(L103,材料合同!$L$6:$CC$305,56,0)</f>
        <v>0</v>
      </c>
      <c r="BP103" s="102">
        <f>VLOOKUP(L103,材料合同!$L$6:$CC$305,57,0)</f>
        <v>0</v>
      </c>
      <c r="BQ103" s="102">
        <f>VLOOKUP(L103,材料合同!$L$6:$CC$305,58,0)</f>
        <v>0</v>
      </c>
      <c r="BR103" s="102">
        <f>VLOOKUP(L103,材料合同!$L$6:$CC$305,59,0)</f>
        <v>0</v>
      </c>
      <c r="BS103" s="102">
        <f>VLOOKUP(L103,材料合同!$L$6:$CC$305,60,0)</f>
        <v>0</v>
      </c>
      <c r="BT103" s="102">
        <f>VLOOKUP(L103,材料合同!$L$6:$CC$305,61,0)</f>
        <v>0</v>
      </c>
      <c r="BU103" s="102">
        <f>VLOOKUP(L103,材料合同!$L$6:$CC$305,62,0)</f>
        <v>0</v>
      </c>
      <c r="BV103" s="102">
        <f>VLOOKUP(L103,材料合同!$L$6:$CC$305,63,0)</f>
        <v>0</v>
      </c>
      <c r="BW103" s="102">
        <f>VLOOKUP(L103,材料合同!$L$6:$CC$305,64,0)</f>
        <v>0</v>
      </c>
      <c r="BX103" s="102">
        <f>VLOOKUP(L103,材料合同!$L$6:$CC$305,65,0)</f>
        <v>0</v>
      </c>
      <c r="BY103" s="102">
        <f>VLOOKUP(L103,材料合同!$L$6:$CC$305,66,0)</f>
        <v>0</v>
      </c>
      <c r="BZ103" s="102">
        <f>VLOOKUP(L103,材料合同!$L$6:$CC$305,67,0)</f>
        <v>0</v>
      </c>
      <c r="CA103" s="102">
        <f>VLOOKUP(L103,材料合同!$L$6:$CC$305,68,0)</f>
        <v>0</v>
      </c>
      <c r="CB103" s="102">
        <f>VLOOKUP(L103,材料合同!$L$6:$CC$305,69,0)</f>
        <v>0</v>
      </c>
      <c r="CC103" s="102">
        <f>VLOOKUP(L103,材料合同!$L$6:$CC$305,70,0)</f>
        <v>0</v>
      </c>
      <c r="CD103" s="123">
        <f t="shared" si="33"/>
        <v>1623855</v>
      </c>
      <c r="CE103" s="102">
        <f t="shared" si="34"/>
        <v>1623855</v>
      </c>
      <c r="CF103" s="102">
        <f t="shared" si="35"/>
        <v>1623855</v>
      </c>
      <c r="CG103" s="102">
        <f t="shared" si="36"/>
        <v>0</v>
      </c>
      <c r="CH103" s="124">
        <f t="shared" si="37"/>
        <v>0</v>
      </c>
      <c r="CI103" s="125">
        <f t="shared" si="38"/>
        <v>1</v>
      </c>
      <c r="CJ103" s="126" t="str">
        <f t="shared" si="39"/>
        <v>数据正确</v>
      </c>
    </row>
    <row r="104" s="60" customFormat="1" customHeight="1" spans="2:88">
      <c r="B104" s="70" t="str">
        <f t="shared" si="29"/>
        <v>-</v>
      </c>
      <c r="C104" s="71" t="str">
        <f t="shared" si="30"/>
        <v>已付清</v>
      </c>
      <c r="D104" s="181">
        <f t="shared" si="31"/>
        <v>41148</v>
      </c>
      <c r="E104" s="181">
        <f>SUMIF(材料合同!$L$6:$L$305,L104,材料合同!$E$6:$E$305)</f>
        <v>0</v>
      </c>
      <c r="F104" s="181">
        <f>SUMIF(材料合同!$L$6:$L$305,L104,材料合同!$F$6:$F$305)</f>
        <v>0</v>
      </c>
      <c r="G104" s="181">
        <f>SUMIF(材料合同!$L$6:$L$305,L104,材料合同!$G$6:$G$305)</f>
        <v>0</v>
      </c>
      <c r="H104" s="181">
        <f>SUMIF(材料合同!$L$6:$L$305,L104,材料合同!$H$6:$H$305)</f>
        <v>0</v>
      </c>
      <c r="I104" s="181">
        <f t="shared" si="32"/>
        <v>0</v>
      </c>
      <c r="J104" s="86" t="s">
        <v>98</v>
      </c>
      <c r="K104" s="87"/>
      <c r="L104" s="88">
        <v>99</v>
      </c>
      <c r="M104" s="89" t="str">
        <f>VLOOKUP(L104,材料合同!$L$6:$CC$305,2,0)</f>
        <v>YRKJGC-160005</v>
      </c>
      <c r="N104" s="90" t="str">
        <f>VLOOKUP(L104,材料合同!$L$6:$CC$305,3,0)</f>
        <v>材料合同</v>
      </c>
      <c r="O104" s="265" t="str">
        <f>VLOOKUP(L104,材料合同!$L$6:$CC$305,4,0)</f>
        <v>-</v>
      </c>
      <c r="P104" s="266">
        <f>VLOOKUP(L104,材料合同!$L$6:$CC$305,5,0)</f>
        <v>42626</v>
      </c>
      <c r="Q104" s="275">
        <f>VLOOKUP(L104,材料合同!$L$6:$CC$305,6,0)</f>
        <v>41148</v>
      </c>
      <c r="R104" s="89" t="str">
        <f>VLOOKUP(L104,材料合同!$L$6:$CC$305,7,0)</f>
        <v>管桩（420米*127元/米）</v>
      </c>
      <c r="S104" s="89" t="str">
        <f>VLOOKUP(L104,材料合同!$L$6:$CC$305,8,0)</f>
        <v>福建峻兴管桩有限公司</v>
      </c>
      <c r="T104" s="107">
        <f>VLOOKUP(L104,材料合同!$L$6:$CC$305,9,0)</f>
        <v>0</v>
      </c>
      <c r="U104" s="103" t="str">
        <f>VLOOKUP(L104,材料合同!$L$6:$CC$305,10,0)</f>
        <v>承兑汇票</v>
      </c>
      <c r="V104" s="276" t="str">
        <f>VLOOKUP(L104,材料合同!$L$6:$CC$305,11,0)</f>
        <v>收到管桩及全额发票后支付</v>
      </c>
      <c r="W104" s="102">
        <f>VLOOKUP(L104,材料合同!$L$6:$CC$305,12,0)</f>
        <v>41148</v>
      </c>
      <c r="X104" s="102">
        <f>VLOOKUP(L104,材料合同!$L$6:$CC$305,13,0)</f>
        <v>41148</v>
      </c>
      <c r="Y104" s="102">
        <f>VLOOKUP(L104,材料合同!$L$6:$CC$305,14,0)</f>
        <v>41148</v>
      </c>
      <c r="Z104" s="102">
        <f>VLOOKUP(L104,材料合同!$L$6:$CC$305,15,0)</f>
        <v>0</v>
      </c>
      <c r="AA104" s="102">
        <f>VLOOKUP(L104,材料合同!$L$6:$CC$305,16,0)</f>
        <v>0</v>
      </c>
      <c r="AB104" s="102">
        <f>VLOOKUP(L104,材料合同!$L$6:$CC$305,17,0)</f>
        <v>0</v>
      </c>
      <c r="AC104" s="102">
        <f>VLOOKUP(L104,材料合同!$L$6:$CC$305,18,0)</f>
        <v>0</v>
      </c>
      <c r="AD104" s="102">
        <f>VLOOKUP(L104,材料合同!$L$6:$CC$305,19,0)</f>
        <v>0</v>
      </c>
      <c r="AE104" s="102">
        <f>VLOOKUP(L104,材料合同!$L$6:$CC$305,20,0)</f>
        <v>0</v>
      </c>
      <c r="AF104" s="102">
        <f>VLOOKUP(L104,材料合同!$L$6:$CC$305,21,0)</f>
        <v>0</v>
      </c>
      <c r="AG104" s="102">
        <f>VLOOKUP(L104,材料合同!$L$6:$CC$305,22,0)</f>
        <v>0</v>
      </c>
      <c r="AH104" s="102">
        <f>VLOOKUP(L104,材料合同!$L$6:$CC$305,23,0)</f>
        <v>0</v>
      </c>
      <c r="AI104" s="102">
        <f>VLOOKUP(L104,材料合同!$L$6:$CC$305,24,0)</f>
        <v>0</v>
      </c>
      <c r="AJ104" s="102">
        <f>VLOOKUP(L104,材料合同!$L$6:$CC$305,25,0)</f>
        <v>0</v>
      </c>
      <c r="AK104" s="102">
        <f>VLOOKUP(L104,材料合同!$L$6:$CC$305,26,0)</f>
        <v>0</v>
      </c>
      <c r="AL104" s="102">
        <f>VLOOKUP(L104,材料合同!$L$6:$CC$305,27,0)</f>
        <v>0</v>
      </c>
      <c r="AM104" s="102">
        <f>VLOOKUP(L104,材料合同!$L$6:$CC$305,28,0)</f>
        <v>0</v>
      </c>
      <c r="AN104" s="102">
        <f>VLOOKUP(L104,材料合同!$L$6:$CC$305,29,0)</f>
        <v>0</v>
      </c>
      <c r="AO104" s="102">
        <f>VLOOKUP(L104,材料合同!$L$6:$CC$305,30,0)</f>
        <v>0</v>
      </c>
      <c r="AP104" s="102">
        <f>VLOOKUP(L104,材料合同!$L$6:$CC$305,31,0)</f>
        <v>0</v>
      </c>
      <c r="AQ104" s="102">
        <f>VLOOKUP(L104,材料合同!$L$6:$CC$305,32,0)</f>
        <v>0</v>
      </c>
      <c r="AR104" s="102">
        <f>VLOOKUP(L104,材料合同!$L$6:$CC$305,33,0)</f>
        <v>0</v>
      </c>
      <c r="AS104" s="102">
        <f>VLOOKUP(L104,材料合同!$L$6:$CC$305,34,0)</f>
        <v>0</v>
      </c>
      <c r="AT104" s="102">
        <f>VLOOKUP(L104,材料合同!$L$6:$CC$305,35,0)</f>
        <v>0</v>
      </c>
      <c r="AU104" s="102">
        <f>VLOOKUP(L104,材料合同!$L$6:$CC$305,36,0)</f>
        <v>0</v>
      </c>
      <c r="AV104" s="102">
        <f>VLOOKUP(L104,材料合同!$L$6:$CC$305,37,0)</f>
        <v>0</v>
      </c>
      <c r="AW104" s="102">
        <f>VLOOKUP(L104,材料合同!$L$6:$CC$305,38,0)</f>
        <v>0</v>
      </c>
      <c r="AX104" s="102">
        <f>VLOOKUP(L104,材料合同!$L$6:$CC$305,39,0)</f>
        <v>0</v>
      </c>
      <c r="AY104" s="102">
        <f>VLOOKUP(L104,材料合同!$L$6:$CC$305,40,0)</f>
        <v>0</v>
      </c>
      <c r="AZ104" s="102">
        <f>VLOOKUP(L104,材料合同!$L$6:$CC$305,41,0)</f>
        <v>0</v>
      </c>
      <c r="BA104" s="102">
        <f>VLOOKUP(L104,材料合同!$L$6:$CC$305,42,0)</f>
        <v>0</v>
      </c>
      <c r="BB104" s="102">
        <f>VLOOKUP(L104,材料合同!$L$6:$CC$305,43,0)</f>
        <v>0</v>
      </c>
      <c r="BC104" s="102">
        <f>VLOOKUP(L104,材料合同!$L$6:$CC$305,44,0)</f>
        <v>0</v>
      </c>
      <c r="BD104" s="102">
        <f>VLOOKUP(L104,材料合同!$L$6:$CC$305,45,0)</f>
        <v>0</v>
      </c>
      <c r="BE104" s="102">
        <f>VLOOKUP(L104,材料合同!$L$6:$CC$305,46,0)</f>
        <v>0</v>
      </c>
      <c r="BF104" s="102">
        <f>VLOOKUP(L104,材料合同!$L$6:$CC$305,47,0)</f>
        <v>0</v>
      </c>
      <c r="BG104" s="102">
        <f>VLOOKUP(L104,材料合同!$L$6:$CC$305,48,0)</f>
        <v>0</v>
      </c>
      <c r="BH104" s="102">
        <f>VLOOKUP(L104,材料合同!$L$6:$CC$305,49,0)</f>
        <v>0</v>
      </c>
      <c r="BI104" s="102">
        <f>VLOOKUP(L104,材料合同!$L$6:$CC$305,50,0)</f>
        <v>0</v>
      </c>
      <c r="BJ104" s="102">
        <f>VLOOKUP(L104,材料合同!$L$6:$CC$305,51,0)</f>
        <v>0</v>
      </c>
      <c r="BK104" s="102">
        <f>VLOOKUP(L104,材料合同!$L$6:$CC$305,52,0)</f>
        <v>0</v>
      </c>
      <c r="BL104" s="102">
        <f>VLOOKUP(L104,材料合同!$L$6:$CC$305,53,0)</f>
        <v>0</v>
      </c>
      <c r="BM104" s="102">
        <f>VLOOKUP(L104,材料合同!$L$6:$CC$305,54,0)</f>
        <v>0</v>
      </c>
      <c r="BN104" s="102">
        <f>VLOOKUP(L104,材料合同!$L$6:$CC$305,55,0)</f>
        <v>0</v>
      </c>
      <c r="BO104" s="102">
        <f>VLOOKUP(L104,材料合同!$L$6:$CC$305,56,0)</f>
        <v>0</v>
      </c>
      <c r="BP104" s="102">
        <f>VLOOKUP(L104,材料合同!$L$6:$CC$305,57,0)</f>
        <v>0</v>
      </c>
      <c r="BQ104" s="102">
        <f>VLOOKUP(L104,材料合同!$L$6:$CC$305,58,0)</f>
        <v>0</v>
      </c>
      <c r="BR104" s="102">
        <f>VLOOKUP(L104,材料合同!$L$6:$CC$305,59,0)</f>
        <v>0</v>
      </c>
      <c r="BS104" s="102">
        <f>VLOOKUP(L104,材料合同!$L$6:$CC$305,60,0)</f>
        <v>0</v>
      </c>
      <c r="BT104" s="102">
        <f>VLOOKUP(L104,材料合同!$L$6:$CC$305,61,0)</f>
        <v>0</v>
      </c>
      <c r="BU104" s="102">
        <f>VLOOKUP(L104,材料合同!$L$6:$CC$305,62,0)</f>
        <v>0</v>
      </c>
      <c r="BV104" s="102">
        <f>VLOOKUP(L104,材料合同!$L$6:$CC$305,63,0)</f>
        <v>0</v>
      </c>
      <c r="BW104" s="102">
        <f>VLOOKUP(L104,材料合同!$L$6:$CC$305,64,0)</f>
        <v>0</v>
      </c>
      <c r="BX104" s="102">
        <f>VLOOKUP(L104,材料合同!$L$6:$CC$305,65,0)</f>
        <v>0</v>
      </c>
      <c r="BY104" s="102">
        <f>VLOOKUP(L104,材料合同!$L$6:$CC$305,66,0)</f>
        <v>0</v>
      </c>
      <c r="BZ104" s="102">
        <f>VLOOKUP(L104,材料合同!$L$6:$CC$305,67,0)</f>
        <v>0</v>
      </c>
      <c r="CA104" s="102">
        <f>VLOOKUP(L104,材料合同!$L$6:$CC$305,68,0)</f>
        <v>0</v>
      </c>
      <c r="CB104" s="102">
        <f>VLOOKUP(L104,材料合同!$L$6:$CC$305,69,0)</f>
        <v>0</v>
      </c>
      <c r="CC104" s="102">
        <f>VLOOKUP(L104,材料合同!$L$6:$CC$305,70,0)</f>
        <v>0</v>
      </c>
      <c r="CD104" s="123">
        <f t="shared" si="33"/>
        <v>41148</v>
      </c>
      <c r="CE104" s="102">
        <f t="shared" si="34"/>
        <v>41148</v>
      </c>
      <c r="CF104" s="102">
        <f t="shared" si="35"/>
        <v>41148</v>
      </c>
      <c r="CG104" s="102">
        <f t="shared" si="36"/>
        <v>0</v>
      </c>
      <c r="CH104" s="124">
        <f t="shared" si="37"/>
        <v>0</v>
      </c>
      <c r="CI104" s="125">
        <f t="shared" si="38"/>
        <v>1</v>
      </c>
      <c r="CJ104" s="126" t="str">
        <f t="shared" si="39"/>
        <v>数据正确</v>
      </c>
    </row>
    <row r="105" s="60" customFormat="1" customHeight="1" spans="2:88">
      <c r="B105" s="70" t="str">
        <f t="shared" si="29"/>
        <v>-</v>
      </c>
      <c r="C105" s="71" t="str">
        <f t="shared" si="30"/>
        <v>已付清</v>
      </c>
      <c r="D105" s="181">
        <f t="shared" si="31"/>
        <v>1821600</v>
      </c>
      <c r="E105" s="181">
        <f>SUMIF(材料合同!$L$6:$L$305,L105,材料合同!$E$6:$E$305)</f>
        <v>0</v>
      </c>
      <c r="F105" s="181">
        <f>SUMIF(材料合同!$L$6:$L$305,L105,材料合同!$F$6:$F$305)</f>
        <v>0</v>
      </c>
      <c r="G105" s="181">
        <f>SUMIF(材料合同!$L$6:$L$305,L105,材料合同!$G$6:$G$305)</f>
        <v>0</v>
      </c>
      <c r="H105" s="181">
        <f>SUMIF(材料合同!$L$6:$L$305,L105,材料合同!$H$6:$H$305)</f>
        <v>0</v>
      </c>
      <c r="I105" s="181">
        <f t="shared" si="32"/>
        <v>0</v>
      </c>
      <c r="J105" s="86" t="s">
        <v>98</v>
      </c>
      <c r="K105" s="87"/>
      <c r="L105" s="88">
        <v>100</v>
      </c>
      <c r="M105" s="89" t="str">
        <f>VLOOKUP(L105,材料合同!$L$6:$CC$305,2,0)</f>
        <v>YRKJGC-160008</v>
      </c>
      <c r="N105" s="90" t="str">
        <f>VLOOKUP(L105,材料合同!$L$6:$CC$305,3,0)</f>
        <v>材料合同</v>
      </c>
      <c r="O105" s="265" t="str">
        <f>VLOOKUP(L105,材料合同!$L$6:$CC$305,4,0)</f>
        <v>-</v>
      </c>
      <c r="P105" s="266">
        <f>VLOOKUP(L105,材料合同!$L$6:$CC$305,5,0)</f>
        <v>42680</v>
      </c>
      <c r="Q105" s="275">
        <f>VLOOKUP(L105,材料合同!$L$6:$CC$305,6,0)</f>
        <v>1821600</v>
      </c>
      <c r="R105" s="89" t="str">
        <f>VLOOKUP(L105,材料合同!$L$6:$CC$305,7,0)</f>
        <v>管桩（13200米*138元/米）</v>
      </c>
      <c r="S105" s="89" t="str">
        <f>VLOOKUP(L105,材料合同!$L$6:$CC$305,8,0)</f>
        <v>福建建华建材有限公司</v>
      </c>
      <c r="T105" s="107">
        <f>VLOOKUP(L105,材料合同!$L$6:$CC$305,9,0)</f>
        <v>0</v>
      </c>
      <c r="U105" s="103" t="str">
        <f>VLOOKUP(L105,材料合同!$L$6:$CC$305,10,0)</f>
        <v>承兑汇票</v>
      </c>
      <c r="V105" s="276" t="str">
        <f>VLOOKUP(L105,材料合同!$L$6:$CC$305,11,0)</f>
        <v>货到付款，每次供货3000米，验收合格，卖方提供等额的收据给甲方后5日支付，卖方收到货款后5个工作日内提供17%的专票给甲方</v>
      </c>
      <c r="W105" s="102">
        <f>VLOOKUP(L105,材料合同!$L$6:$CC$305,12,0)</f>
        <v>1821600</v>
      </c>
      <c r="X105" s="102">
        <f>VLOOKUP(L105,材料合同!$L$6:$CC$305,13,0)</f>
        <v>1821600</v>
      </c>
      <c r="Y105" s="102">
        <f>VLOOKUP(L105,材料合同!$L$6:$CC$305,14,0)</f>
        <v>1821600</v>
      </c>
      <c r="Z105" s="102">
        <f>VLOOKUP(L105,材料合同!$L$6:$CC$305,15,0)</f>
        <v>0</v>
      </c>
      <c r="AA105" s="102">
        <f>VLOOKUP(L105,材料合同!$L$6:$CC$305,16,0)</f>
        <v>0</v>
      </c>
      <c r="AB105" s="102">
        <f>VLOOKUP(L105,材料合同!$L$6:$CC$305,17,0)</f>
        <v>0</v>
      </c>
      <c r="AC105" s="102">
        <f>VLOOKUP(L105,材料合同!$L$6:$CC$305,18,0)</f>
        <v>0</v>
      </c>
      <c r="AD105" s="102">
        <f>VLOOKUP(L105,材料合同!$L$6:$CC$305,19,0)</f>
        <v>0</v>
      </c>
      <c r="AE105" s="102">
        <f>VLOOKUP(L105,材料合同!$L$6:$CC$305,20,0)</f>
        <v>0</v>
      </c>
      <c r="AF105" s="102">
        <f>VLOOKUP(L105,材料合同!$L$6:$CC$305,21,0)</f>
        <v>0</v>
      </c>
      <c r="AG105" s="102">
        <f>VLOOKUP(L105,材料合同!$L$6:$CC$305,22,0)</f>
        <v>0</v>
      </c>
      <c r="AH105" s="102">
        <f>VLOOKUP(L105,材料合同!$L$6:$CC$305,23,0)</f>
        <v>0</v>
      </c>
      <c r="AI105" s="102">
        <f>VLOOKUP(L105,材料合同!$L$6:$CC$305,24,0)</f>
        <v>0</v>
      </c>
      <c r="AJ105" s="102">
        <f>VLOOKUP(L105,材料合同!$L$6:$CC$305,25,0)</f>
        <v>0</v>
      </c>
      <c r="AK105" s="102">
        <f>VLOOKUP(L105,材料合同!$L$6:$CC$305,26,0)</f>
        <v>0</v>
      </c>
      <c r="AL105" s="102">
        <f>VLOOKUP(L105,材料合同!$L$6:$CC$305,27,0)</f>
        <v>0</v>
      </c>
      <c r="AM105" s="102">
        <f>VLOOKUP(L105,材料合同!$L$6:$CC$305,28,0)</f>
        <v>0</v>
      </c>
      <c r="AN105" s="102">
        <f>VLOOKUP(L105,材料合同!$L$6:$CC$305,29,0)</f>
        <v>0</v>
      </c>
      <c r="AO105" s="102">
        <f>VLOOKUP(L105,材料合同!$L$6:$CC$305,30,0)</f>
        <v>0</v>
      </c>
      <c r="AP105" s="102">
        <f>VLOOKUP(L105,材料合同!$L$6:$CC$305,31,0)</f>
        <v>0</v>
      </c>
      <c r="AQ105" s="102">
        <f>VLOOKUP(L105,材料合同!$L$6:$CC$305,32,0)</f>
        <v>0</v>
      </c>
      <c r="AR105" s="102">
        <f>VLOOKUP(L105,材料合同!$L$6:$CC$305,33,0)</f>
        <v>0</v>
      </c>
      <c r="AS105" s="102">
        <f>VLOOKUP(L105,材料合同!$L$6:$CC$305,34,0)</f>
        <v>0</v>
      </c>
      <c r="AT105" s="102">
        <f>VLOOKUP(L105,材料合同!$L$6:$CC$305,35,0)</f>
        <v>0</v>
      </c>
      <c r="AU105" s="102">
        <f>VLOOKUP(L105,材料合同!$L$6:$CC$305,36,0)</f>
        <v>0</v>
      </c>
      <c r="AV105" s="102">
        <f>VLOOKUP(L105,材料合同!$L$6:$CC$305,37,0)</f>
        <v>0</v>
      </c>
      <c r="AW105" s="102">
        <f>VLOOKUP(L105,材料合同!$L$6:$CC$305,38,0)</f>
        <v>0</v>
      </c>
      <c r="AX105" s="102">
        <f>VLOOKUP(L105,材料合同!$L$6:$CC$305,39,0)</f>
        <v>0</v>
      </c>
      <c r="AY105" s="102">
        <f>VLOOKUP(L105,材料合同!$L$6:$CC$305,40,0)</f>
        <v>0</v>
      </c>
      <c r="AZ105" s="102">
        <f>VLOOKUP(L105,材料合同!$L$6:$CC$305,41,0)</f>
        <v>0</v>
      </c>
      <c r="BA105" s="102">
        <f>VLOOKUP(L105,材料合同!$L$6:$CC$305,42,0)</f>
        <v>0</v>
      </c>
      <c r="BB105" s="102">
        <f>VLOOKUP(L105,材料合同!$L$6:$CC$305,43,0)</f>
        <v>0</v>
      </c>
      <c r="BC105" s="102">
        <f>VLOOKUP(L105,材料合同!$L$6:$CC$305,44,0)</f>
        <v>0</v>
      </c>
      <c r="BD105" s="102">
        <f>VLOOKUP(L105,材料合同!$L$6:$CC$305,45,0)</f>
        <v>0</v>
      </c>
      <c r="BE105" s="102">
        <f>VLOOKUP(L105,材料合同!$L$6:$CC$305,46,0)</f>
        <v>0</v>
      </c>
      <c r="BF105" s="102">
        <f>VLOOKUP(L105,材料合同!$L$6:$CC$305,47,0)</f>
        <v>0</v>
      </c>
      <c r="BG105" s="102">
        <f>VLOOKUP(L105,材料合同!$L$6:$CC$305,48,0)</f>
        <v>0</v>
      </c>
      <c r="BH105" s="102">
        <f>VLOOKUP(L105,材料合同!$L$6:$CC$305,49,0)</f>
        <v>0</v>
      </c>
      <c r="BI105" s="102">
        <f>VLOOKUP(L105,材料合同!$L$6:$CC$305,50,0)</f>
        <v>0</v>
      </c>
      <c r="BJ105" s="102">
        <f>VLOOKUP(L105,材料合同!$L$6:$CC$305,51,0)</f>
        <v>0</v>
      </c>
      <c r="BK105" s="102">
        <f>VLOOKUP(L105,材料合同!$L$6:$CC$305,52,0)</f>
        <v>0</v>
      </c>
      <c r="BL105" s="102">
        <f>VLOOKUP(L105,材料合同!$L$6:$CC$305,53,0)</f>
        <v>0</v>
      </c>
      <c r="BM105" s="102">
        <f>VLOOKUP(L105,材料合同!$L$6:$CC$305,54,0)</f>
        <v>0</v>
      </c>
      <c r="BN105" s="102">
        <f>VLOOKUP(L105,材料合同!$L$6:$CC$305,55,0)</f>
        <v>0</v>
      </c>
      <c r="BO105" s="102">
        <f>VLOOKUP(L105,材料合同!$L$6:$CC$305,56,0)</f>
        <v>0</v>
      </c>
      <c r="BP105" s="102">
        <f>VLOOKUP(L105,材料合同!$L$6:$CC$305,57,0)</f>
        <v>0</v>
      </c>
      <c r="BQ105" s="102">
        <f>VLOOKUP(L105,材料合同!$L$6:$CC$305,58,0)</f>
        <v>0</v>
      </c>
      <c r="BR105" s="102">
        <f>VLOOKUP(L105,材料合同!$L$6:$CC$305,59,0)</f>
        <v>0</v>
      </c>
      <c r="BS105" s="102">
        <f>VLOOKUP(L105,材料合同!$L$6:$CC$305,60,0)</f>
        <v>0</v>
      </c>
      <c r="BT105" s="102">
        <f>VLOOKUP(L105,材料合同!$L$6:$CC$305,61,0)</f>
        <v>0</v>
      </c>
      <c r="BU105" s="102">
        <f>VLOOKUP(L105,材料合同!$L$6:$CC$305,62,0)</f>
        <v>0</v>
      </c>
      <c r="BV105" s="102">
        <f>VLOOKUP(L105,材料合同!$L$6:$CC$305,63,0)</f>
        <v>0</v>
      </c>
      <c r="BW105" s="102">
        <f>VLOOKUP(L105,材料合同!$L$6:$CC$305,64,0)</f>
        <v>0</v>
      </c>
      <c r="BX105" s="102">
        <f>VLOOKUP(L105,材料合同!$L$6:$CC$305,65,0)</f>
        <v>0</v>
      </c>
      <c r="BY105" s="102">
        <f>VLOOKUP(L105,材料合同!$L$6:$CC$305,66,0)</f>
        <v>0</v>
      </c>
      <c r="BZ105" s="102">
        <f>VLOOKUP(L105,材料合同!$L$6:$CC$305,67,0)</f>
        <v>0</v>
      </c>
      <c r="CA105" s="102">
        <f>VLOOKUP(L105,材料合同!$L$6:$CC$305,68,0)</f>
        <v>0</v>
      </c>
      <c r="CB105" s="102">
        <f>VLOOKUP(L105,材料合同!$L$6:$CC$305,69,0)</f>
        <v>0</v>
      </c>
      <c r="CC105" s="102">
        <f>VLOOKUP(L105,材料合同!$L$6:$CC$305,70,0)</f>
        <v>0</v>
      </c>
      <c r="CD105" s="123">
        <f t="shared" si="33"/>
        <v>1821600</v>
      </c>
      <c r="CE105" s="102">
        <f t="shared" si="34"/>
        <v>1821600</v>
      </c>
      <c r="CF105" s="102">
        <f t="shared" si="35"/>
        <v>1821600</v>
      </c>
      <c r="CG105" s="102">
        <f t="shared" si="36"/>
        <v>0</v>
      </c>
      <c r="CH105" s="124">
        <f t="shared" si="37"/>
        <v>0</v>
      </c>
      <c r="CI105" s="125">
        <f t="shared" si="38"/>
        <v>1</v>
      </c>
      <c r="CJ105" s="126" t="str">
        <f t="shared" si="39"/>
        <v>数据正确</v>
      </c>
    </row>
    <row r="106" s="60" customFormat="1" customHeight="1" spans="2:88">
      <c r="B106" s="70" t="str">
        <f t="shared" si="29"/>
        <v>-</v>
      </c>
      <c r="C106" s="71" t="str">
        <f t="shared" si="30"/>
        <v>-</v>
      </c>
      <c r="D106" s="181">
        <f t="shared" si="31"/>
        <v>149369.16</v>
      </c>
      <c r="E106" s="181">
        <f>SUMIF(材料合同!$L$6:$L$305,L106,材料合同!$E$6:$E$305)</f>
        <v>0</v>
      </c>
      <c r="F106" s="181">
        <f>SUMIF(材料合同!$L$6:$L$305,L106,材料合同!$F$6:$F$305)</f>
        <v>0</v>
      </c>
      <c r="G106" s="181">
        <f>SUMIF(材料合同!$L$6:$L$305,L106,材料合同!$G$6:$G$305)</f>
        <v>0</v>
      </c>
      <c r="H106" s="181">
        <f>SUMIF(材料合同!$L$6:$L$305,L106,材料合同!$H$6:$H$305)</f>
        <v>0</v>
      </c>
      <c r="I106" s="181">
        <f t="shared" si="32"/>
        <v>0</v>
      </c>
      <c r="J106" s="86" t="s">
        <v>98</v>
      </c>
      <c r="K106" s="87"/>
      <c r="L106" s="88">
        <v>101</v>
      </c>
      <c r="M106" s="89" t="str">
        <f>VLOOKUP(L106,材料合同!$L$6:$CC$305,2,0)</f>
        <v>YRKJGC-160010</v>
      </c>
      <c r="N106" s="90" t="str">
        <f>VLOOKUP(L106,材料合同!$L$6:$CC$305,3,0)</f>
        <v>材料合同</v>
      </c>
      <c r="O106" s="265" t="str">
        <f>VLOOKUP(L106,材料合同!$L$6:$CC$305,4,0)</f>
        <v>-</v>
      </c>
      <c r="P106" s="266">
        <f>VLOOKUP(L106,材料合同!$L$6:$CC$305,5,0)</f>
        <v>42706</v>
      </c>
      <c r="Q106" s="275">
        <f>VLOOKUP(L106,材料合同!$L$6:$CC$305,6,0)</f>
        <v>165168</v>
      </c>
      <c r="R106" s="89" t="str">
        <f>VLOOKUP(L106,材料合同!$L$6:$CC$305,7,0)</f>
        <v>联锁块（133200块*1.24元/块）</v>
      </c>
      <c r="S106" s="89" t="str">
        <f>VLOOKUP(L106,材料合同!$L$6:$CC$305,8,0)</f>
        <v>莆田市秀屿区东庄荔锦水泥制砖场</v>
      </c>
      <c r="T106" s="107">
        <f>VLOOKUP(L106,材料合同!$L$6:$CC$305,9,0)</f>
        <v>0</v>
      </c>
      <c r="U106" s="103" t="str">
        <f>VLOOKUP(L106,材料合同!$L$6:$CC$305,10,0)</f>
        <v>电汇</v>
      </c>
      <c r="V106" s="276" t="str">
        <f>VLOOKUP(L106,材料合同!$L$6:$CC$305,11,0)</f>
        <v>货到交货地点验收合格后，收到全额发票支付</v>
      </c>
      <c r="W106" s="102">
        <f>VLOOKUP(L106,材料合同!$L$6:$CC$305,12,0)</f>
        <v>165168</v>
      </c>
      <c r="X106" s="102">
        <f>VLOOKUP(L106,材料合同!$L$6:$CC$305,13,0)</f>
        <v>149369.16</v>
      </c>
      <c r="Y106" s="102">
        <f>VLOOKUP(L106,材料合同!$L$6:$CC$305,14,0)</f>
        <v>149369.16</v>
      </c>
      <c r="Z106" s="102">
        <f>VLOOKUP(L106,材料合同!$L$6:$CC$305,15,0)</f>
        <v>0</v>
      </c>
      <c r="AA106" s="102">
        <f>VLOOKUP(L106,材料合同!$L$6:$CC$305,16,0)</f>
        <v>0</v>
      </c>
      <c r="AB106" s="102">
        <f>VLOOKUP(L106,材料合同!$L$6:$CC$305,17,0)</f>
        <v>0</v>
      </c>
      <c r="AC106" s="102">
        <f>VLOOKUP(L106,材料合同!$L$6:$CC$305,18,0)</f>
        <v>0</v>
      </c>
      <c r="AD106" s="102">
        <f>VLOOKUP(L106,材料合同!$L$6:$CC$305,19,0)</f>
        <v>0</v>
      </c>
      <c r="AE106" s="102">
        <f>VLOOKUP(L106,材料合同!$L$6:$CC$305,20,0)</f>
        <v>0</v>
      </c>
      <c r="AF106" s="102">
        <f>VLOOKUP(L106,材料合同!$L$6:$CC$305,21,0)</f>
        <v>0</v>
      </c>
      <c r="AG106" s="102">
        <f>VLOOKUP(L106,材料合同!$L$6:$CC$305,22,0)</f>
        <v>0</v>
      </c>
      <c r="AH106" s="102">
        <f>VLOOKUP(L106,材料合同!$L$6:$CC$305,23,0)</f>
        <v>0</v>
      </c>
      <c r="AI106" s="102">
        <f>VLOOKUP(L106,材料合同!$L$6:$CC$305,24,0)</f>
        <v>0</v>
      </c>
      <c r="AJ106" s="102">
        <f>VLOOKUP(L106,材料合同!$L$6:$CC$305,25,0)</f>
        <v>0</v>
      </c>
      <c r="AK106" s="102">
        <f>VLOOKUP(L106,材料合同!$L$6:$CC$305,26,0)</f>
        <v>0</v>
      </c>
      <c r="AL106" s="102">
        <f>VLOOKUP(L106,材料合同!$L$6:$CC$305,27,0)</f>
        <v>0</v>
      </c>
      <c r="AM106" s="102">
        <f>VLOOKUP(L106,材料合同!$L$6:$CC$305,28,0)</f>
        <v>0</v>
      </c>
      <c r="AN106" s="102">
        <f>VLOOKUP(L106,材料合同!$L$6:$CC$305,29,0)</f>
        <v>0</v>
      </c>
      <c r="AO106" s="102">
        <f>VLOOKUP(L106,材料合同!$L$6:$CC$305,30,0)</f>
        <v>0</v>
      </c>
      <c r="AP106" s="102">
        <f>VLOOKUP(L106,材料合同!$L$6:$CC$305,31,0)</f>
        <v>0</v>
      </c>
      <c r="AQ106" s="102">
        <f>VLOOKUP(L106,材料合同!$L$6:$CC$305,32,0)</f>
        <v>0</v>
      </c>
      <c r="AR106" s="102">
        <f>VLOOKUP(L106,材料合同!$L$6:$CC$305,33,0)</f>
        <v>0</v>
      </c>
      <c r="AS106" s="102">
        <f>VLOOKUP(L106,材料合同!$L$6:$CC$305,34,0)</f>
        <v>0</v>
      </c>
      <c r="AT106" s="102">
        <f>VLOOKUP(L106,材料合同!$L$6:$CC$305,35,0)</f>
        <v>0</v>
      </c>
      <c r="AU106" s="102">
        <f>VLOOKUP(L106,材料合同!$L$6:$CC$305,36,0)</f>
        <v>0</v>
      </c>
      <c r="AV106" s="102">
        <f>VLOOKUP(L106,材料合同!$L$6:$CC$305,37,0)</f>
        <v>0</v>
      </c>
      <c r="AW106" s="102">
        <f>VLOOKUP(L106,材料合同!$L$6:$CC$305,38,0)</f>
        <v>0</v>
      </c>
      <c r="AX106" s="102">
        <f>VLOOKUP(L106,材料合同!$L$6:$CC$305,39,0)</f>
        <v>0</v>
      </c>
      <c r="AY106" s="102">
        <f>VLOOKUP(L106,材料合同!$L$6:$CC$305,40,0)</f>
        <v>0</v>
      </c>
      <c r="AZ106" s="102">
        <f>VLOOKUP(L106,材料合同!$L$6:$CC$305,41,0)</f>
        <v>0</v>
      </c>
      <c r="BA106" s="102">
        <f>VLOOKUP(L106,材料合同!$L$6:$CC$305,42,0)</f>
        <v>0</v>
      </c>
      <c r="BB106" s="102">
        <f>VLOOKUP(L106,材料合同!$L$6:$CC$305,43,0)</f>
        <v>0</v>
      </c>
      <c r="BC106" s="102">
        <f>VLOOKUP(L106,材料合同!$L$6:$CC$305,44,0)</f>
        <v>0</v>
      </c>
      <c r="BD106" s="102">
        <f>VLOOKUP(L106,材料合同!$L$6:$CC$305,45,0)</f>
        <v>0</v>
      </c>
      <c r="BE106" s="102">
        <f>VLOOKUP(L106,材料合同!$L$6:$CC$305,46,0)</f>
        <v>0</v>
      </c>
      <c r="BF106" s="102">
        <f>VLOOKUP(L106,材料合同!$L$6:$CC$305,47,0)</f>
        <v>0</v>
      </c>
      <c r="BG106" s="102">
        <f>VLOOKUP(L106,材料合同!$L$6:$CC$305,48,0)</f>
        <v>0</v>
      </c>
      <c r="BH106" s="102">
        <f>VLOOKUP(L106,材料合同!$L$6:$CC$305,49,0)</f>
        <v>0</v>
      </c>
      <c r="BI106" s="102">
        <f>VLOOKUP(L106,材料合同!$L$6:$CC$305,50,0)</f>
        <v>0</v>
      </c>
      <c r="BJ106" s="102">
        <f>VLOOKUP(L106,材料合同!$L$6:$CC$305,51,0)</f>
        <v>0</v>
      </c>
      <c r="BK106" s="102">
        <f>VLOOKUP(L106,材料合同!$L$6:$CC$305,52,0)</f>
        <v>0</v>
      </c>
      <c r="BL106" s="102">
        <f>VLOOKUP(L106,材料合同!$L$6:$CC$305,53,0)</f>
        <v>0</v>
      </c>
      <c r="BM106" s="102">
        <f>VLOOKUP(L106,材料合同!$L$6:$CC$305,54,0)</f>
        <v>0</v>
      </c>
      <c r="BN106" s="102">
        <f>VLOOKUP(L106,材料合同!$L$6:$CC$305,55,0)</f>
        <v>0</v>
      </c>
      <c r="BO106" s="102">
        <f>VLOOKUP(L106,材料合同!$L$6:$CC$305,56,0)</f>
        <v>0</v>
      </c>
      <c r="BP106" s="102">
        <f>VLOOKUP(L106,材料合同!$L$6:$CC$305,57,0)</f>
        <v>0</v>
      </c>
      <c r="BQ106" s="102">
        <f>VLOOKUP(L106,材料合同!$L$6:$CC$305,58,0)</f>
        <v>0</v>
      </c>
      <c r="BR106" s="102">
        <f>VLOOKUP(L106,材料合同!$L$6:$CC$305,59,0)</f>
        <v>0</v>
      </c>
      <c r="BS106" s="102">
        <f>VLOOKUP(L106,材料合同!$L$6:$CC$305,60,0)</f>
        <v>0</v>
      </c>
      <c r="BT106" s="102">
        <f>VLOOKUP(L106,材料合同!$L$6:$CC$305,61,0)</f>
        <v>0</v>
      </c>
      <c r="BU106" s="102">
        <f>VLOOKUP(L106,材料合同!$L$6:$CC$305,62,0)</f>
        <v>0</v>
      </c>
      <c r="BV106" s="102">
        <f>VLOOKUP(L106,材料合同!$L$6:$CC$305,63,0)</f>
        <v>0</v>
      </c>
      <c r="BW106" s="102">
        <f>VLOOKUP(L106,材料合同!$L$6:$CC$305,64,0)</f>
        <v>0</v>
      </c>
      <c r="BX106" s="102">
        <f>VLOOKUP(L106,材料合同!$L$6:$CC$305,65,0)</f>
        <v>0</v>
      </c>
      <c r="BY106" s="102">
        <f>VLOOKUP(L106,材料合同!$L$6:$CC$305,66,0)</f>
        <v>0</v>
      </c>
      <c r="BZ106" s="102">
        <f>VLOOKUP(L106,材料合同!$L$6:$CC$305,67,0)</f>
        <v>0</v>
      </c>
      <c r="CA106" s="102">
        <f>VLOOKUP(L106,材料合同!$L$6:$CC$305,68,0)</f>
        <v>0</v>
      </c>
      <c r="CB106" s="102">
        <f>VLOOKUP(L106,材料合同!$L$6:$CC$305,69,0)</f>
        <v>0</v>
      </c>
      <c r="CC106" s="102">
        <f>VLOOKUP(L106,材料合同!$L$6:$CC$305,70,0)</f>
        <v>0</v>
      </c>
      <c r="CD106" s="123">
        <f t="shared" si="33"/>
        <v>165168</v>
      </c>
      <c r="CE106" s="102">
        <f t="shared" si="34"/>
        <v>149369.16</v>
      </c>
      <c r="CF106" s="102">
        <f t="shared" si="35"/>
        <v>149369.16</v>
      </c>
      <c r="CG106" s="102">
        <f t="shared" si="36"/>
        <v>0</v>
      </c>
      <c r="CH106" s="124">
        <f t="shared" si="37"/>
        <v>15798.84</v>
      </c>
      <c r="CI106" s="125">
        <f t="shared" si="38"/>
        <v>0.904346846846847</v>
      </c>
      <c r="CJ106" s="126" t="str">
        <f t="shared" si="39"/>
        <v>数据正确</v>
      </c>
    </row>
    <row r="107" s="60" customFormat="1" customHeight="1" spans="2:88">
      <c r="B107" s="70" t="str">
        <f t="shared" si="29"/>
        <v>-</v>
      </c>
      <c r="C107" s="71" t="str">
        <f t="shared" si="30"/>
        <v>已付清</v>
      </c>
      <c r="D107" s="181">
        <f t="shared" si="31"/>
        <v>50295910.32</v>
      </c>
      <c r="E107" s="181">
        <f>SUMIF(工程合同!$L$6:$L$299,L107,工程合同!$E$6:$E$299)</f>
        <v>0</v>
      </c>
      <c r="F107" s="181">
        <f>SUMIF(工程合同!$L$6:$L$299,L107,工程合同!$F$6:$F$299)</f>
        <v>0</v>
      </c>
      <c r="G107" s="181">
        <f>SUMIF(工程合同!$L$6:$L$299,L107,工程合同!$G$6:$G$299)</f>
        <v>0</v>
      </c>
      <c r="H107" s="181">
        <f>SUMIF(工程合同!$L$6:$L$299,L107,工程合同!$H$6:$H$299)</f>
        <v>0</v>
      </c>
      <c r="I107" s="181">
        <f t="shared" si="32"/>
        <v>0</v>
      </c>
      <c r="J107" s="86" t="s">
        <v>98</v>
      </c>
      <c r="K107" s="87"/>
      <c r="L107" s="88">
        <v>102</v>
      </c>
      <c r="M107" s="89" t="str">
        <f>VLOOKUP(L107,工程合同!$L$6:$CC$299,2,0)</f>
        <v>YRKJGC-150002</v>
      </c>
      <c r="N107" s="90" t="str">
        <f>VLOOKUP(L107,工程合同!$L$6:$CC$299,3,0)</f>
        <v>工程合同</v>
      </c>
      <c r="O107" s="265" t="str">
        <f>VLOOKUP(L107,工程合同!$L$6:$CC$299,4,0)</f>
        <v>-</v>
      </c>
      <c r="P107" s="266">
        <f>VLOOKUP(L107,工程合同!$L$6:$CC$299,5,0)</f>
        <v>42073</v>
      </c>
      <c r="Q107" s="275">
        <f>VLOOKUP(L107,工程合同!$L$6:$CC$299,6,0)</f>
        <v>50295910.32</v>
      </c>
      <c r="R107" s="89" t="str">
        <f>VLOOKUP(L107,工程合同!$L$6:$CC$299,7,0)</f>
        <v>软地基处理工程施工-硬土区（196578.4米*256元/米）</v>
      </c>
      <c r="S107" s="89" t="str">
        <f>VLOOKUP(L107,工程合同!$L$6:$CC$299,8,0)</f>
        <v>福建勘察基础工程公司</v>
      </c>
      <c r="T107" s="107" t="str">
        <f>VLOOKUP(L107,工程合同!$L$6:$CC$299,9,0)</f>
        <v>软基</v>
      </c>
      <c r="U107" s="103" t="str">
        <f>VLOOKUP(L107,工程合同!$L$6:$CC$299,10,0)</f>
        <v>承兑/转账</v>
      </c>
      <c r="V107" s="276" t="str">
        <f>VLOOKUP(L107,工程合同!$L$6:$CC$299,11,0)</f>
        <v>按每月实际进度结算并支付工程进度款的90%</v>
      </c>
      <c r="W107" s="102">
        <f>VLOOKUP(L107,工程合同!$L$6:$CC$299,12,0)</f>
        <v>45266319.288</v>
      </c>
      <c r="X107" s="102">
        <f>VLOOKUP(L107,工程合同!$L$6:$CC$299,13,0)</f>
        <v>50295910.32</v>
      </c>
      <c r="Y107" s="102">
        <f>VLOOKUP(L107,工程合同!$L$6:$CC$299,14,0)</f>
        <v>50295910.32</v>
      </c>
      <c r="Z107" s="102" t="str">
        <f>VLOOKUP(L107,工程合同!$L$6:$CC$299,15,0)</f>
        <v>工程竣工验收合格后支付尾款</v>
      </c>
      <c r="AA107" s="102">
        <f>VLOOKUP(L107,工程合同!$L$6:$CC$299,16,0)</f>
        <v>5029591.032</v>
      </c>
      <c r="AB107" s="102">
        <f>VLOOKUP(L107,工程合同!$L$6:$CC$299,17,0)</f>
        <v>0</v>
      </c>
      <c r="AC107" s="102">
        <f>VLOOKUP(L107,工程合同!$L$6:$CC$299,18,0)</f>
        <v>0</v>
      </c>
      <c r="AD107" s="102">
        <f>VLOOKUP(L107,工程合同!$L$6:$CC$299,19,0)</f>
        <v>0</v>
      </c>
      <c r="AE107" s="102">
        <f>VLOOKUP(L107,工程合同!$L$6:$CC$299,20,0)</f>
        <v>0</v>
      </c>
      <c r="AF107" s="102">
        <f>VLOOKUP(L107,工程合同!$L$6:$CC$299,21,0)</f>
        <v>0</v>
      </c>
      <c r="AG107" s="102">
        <f>VLOOKUP(L107,工程合同!$L$6:$CC$299,22,0)</f>
        <v>0</v>
      </c>
      <c r="AH107" s="102">
        <f>VLOOKUP(L107,工程合同!$L$6:$CC$299,23,0)</f>
        <v>0</v>
      </c>
      <c r="AI107" s="102">
        <f>VLOOKUP(L107,工程合同!$L$6:$CC$299,24,0)</f>
        <v>0</v>
      </c>
      <c r="AJ107" s="102">
        <f>VLOOKUP(L107,工程合同!$L$6:$CC$299,25,0)</f>
        <v>0</v>
      </c>
      <c r="AK107" s="102">
        <f>VLOOKUP(L107,工程合同!$L$6:$CC$299,26,0)</f>
        <v>0</v>
      </c>
      <c r="AL107" s="102">
        <f>VLOOKUP(L107,工程合同!$L$6:$CC$299,27,0)</f>
        <v>0</v>
      </c>
      <c r="AM107" s="102">
        <f>VLOOKUP(L107,工程合同!$L$6:$CC$299,28,0)</f>
        <v>0</v>
      </c>
      <c r="AN107" s="102">
        <f>VLOOKUP(L107,工程合同!$L$6:$CC$299,29,0)</f>
        <v>0</v>
      </c>
      <c r="AO107" s="102">
        <f>VLOOKUP(L107,工程合同!$L$6:$CC$299,30,0)</f>
        <v>0</v>
      </c>
      <c r="AP107" s="102">
        <f>VLOOKUP(L107,工程合同!$L$6:$CC$299,31,0)</f>
        <v>0</v>
      </c>
      <c r="AQ107" s="102">
        <f>VLOOKUP(L107,工程合同!$L$6:$CC$299,32,0)</f>
        <v>0</v>
      </c>
      <c r="AR107" s="102">
        <f>VLOOKUP(L107,工程合同!$L$6:$CC$299,33,0)</f>
        <v>0</v>
      </c>
      <c r="AS107" s="102">
        <f>VLOOKUP(L107,工程合同!$L$6:$CC$299,34,0)</f>
        <v>0</v>
      </c>
      <c r="AT107" s="102">
        <f>VLOOKUP(L107,工程合同!$L$6:$CC$299,35,0)</f>
        <v>0</v>
      </c>
      <c r="AU107" s="102">
        <f>VLOOKUP(L107,工程合同!$L$6:$CC$299,36,0)</f>
        <v>0</v>
      </c>
      <c r="AV107" s="102">
        <f>VLOOKUP(L107,工程合同!$L$6:$CC$299,37,0)</f>
        <v>0</v>
      </c>
      <c r="AW107" s="102">
        <f>VLOOKUP(L107,工程合同!$L$6:$CC$299,38,0)</f>
        <v>0</v>
      </c>
      <c r="AX107" s="102">
        <f>VLOOKUP(L107,工程合同!$L$6:$CC$299,39,0)</f>
        <v>0</v>
      </c>
      <c r="AY107" s="102">
        <f>VLOOKUP(L107,工程合同!$L$6:$CC$299,40,0)</f>
        <v>0</v>
      </c>
      <c r="AZ107" s="102">
        <f>VLOOKUP(L107,工程合同!$L$6:$CC$299,41,0)</f>
        <v>0</v>
      </c>
      <c r="BA107" s="102">
        <f>VLOOKUP(L107,工程合同!$L$6:$CC$299,42,0)</f>
        <v>0</v>
      </c>
      <c r="BB107" s="102">
        <f>VLOOKUP(L107,工程合同!$L$6:$CC$299,43,0)</f>
        <v>0</v>
      </c>
      <c r="BC107" s="102">
        <f>VLOOKUP(L107,工程合同!$L$6:$CC$299,44,0)</f>
        <v>0</v>
      </c>
      <c r="BD107" s="102">
        <f>VLOOKUP(L107,工程合同!$L$6:$CC$299,45,0)</f>
        <v>0</v>
      </c>
      <c r="BE107" s="102">
        <f>VLOOKUP(L107,工程合同!$L$6:$CC$299,46,0)</f>
        <v>0</v>
      </c>
      <c r="BF107" s="102">
        <f>VLOOKUP(L107,工程合同!$L$6:$CC$299,47,0)</f>
        <v>0</v>
      </c>
      <c r="BG107" s="102">
        <f>VLOOKUP(L107,工程合同!$L$6:$CC$299,48,0)</f>
        <v>0</v>
      </c>
      <c r="BH107" s="102">
        <f>VLOOKUP(L107,工程合同!$L$6:$CC$299,49,0)</f>
        <v>0</v>
      </c>
      <c r="BI107" s="102">
        <f>VLOOKUP(L107,工程合同!$L$6:$CC$299,50,0)</f>
        <v>0</v>
      </c>
      <c r="BJ107" s="102">
        <f>VLOOKUP(L107,工程合同!$L$6:$CC$299,51,0)</f>
        <v>0</v>
      </c>
      <c r="BK107" s="102">
        <f>VLOOKUP(L107,工程合同!$L$6:$CC$299,52,0)</f>
        <v>0</v>
      </c>
      <c r="BL107" s="102">
        <f>VLOOKUP(L107,工程合同!$L$6:$CC$299,53,0)</f>
        <v>0</v>
      </c>
      <c r="BM107" s="102">
        <f>VLOOKUP(L107,工程合同!$L$6:$CC$299,54,0)</f>
        <v>0</v>
      </c>
      <c r="BN107" s="102">
        <f>VLOOKUP(L107,工程合同!$L$6:$CC$299,55,0)</f>
        <v>0</v>
      </c>
      <c r="BO107" s="102">
        <f>VLOOKUP(L107,工程合同!$L$6:$CC$299,56,0)</f>
        <v>0</v>
      </c>
      <c r="BP107" s="102">
        <f>VLOOKUP(L107,工程合同!$L$6:$CC$299,57,0)</f>
        <v>0</v>
      </c>
      <c r="BQ107" s="102">
        <f>VLOOKUP(L107,工程合同!$L$6:$CC$299,58,0)</f>
        <v>0</v>
      </c>
      <c r="BR107" s="102">
        <f>VLOOKUP(L107,工程合同!$L$6:$CC$299,59,0)</f>
        <v>0</v>
      </c>
      <c r="BS107" s="102">
        <f>VLOOKUP(L107,工程合同!$L$6:$CC$299,60,0)</f>
        <v>0</v>
      </c>
      <c r="BT107" s="102">
        <f>VLOOKUP(L107,工程合同!$L$6:$CC$299,61,0)</f>
        <v>0</v>
      </c>
      <c r="BU107" s="102">
        <f>VLOOKUP(L107,工程合同!$L$6:$CC$299,62,0)</f>
        <v>0</v>
      </c>
      <c r="BV107" s="102">
        <f>VLOOKUP(L107,工程合同!$L$6:$CC$299,63,0)</f>
        <v>0</v>
      </c>
      <c r="BW107" s="102">
        <f>VLOOKUP(L107,工程合同!$L$6:$CC$299,64,0)</f>
        <v>0</v>
      </c>
      <c r="BX107" s="102">
        <f>VLOOKUP(L107,工程合同!$L$6:$CC$299,65,0)</f>
        <v>0</v>
      </c>
      <c r="BY107" s="102">
        <f>VLOOKUP(L107,工程合同!$L$6:$CC$299,66,0)</f>
        <v>0</v>
      </c>
      <c r="BZ107" s="102">
        <f>VLOOKUP(L107,工程合同!$L$6:$CC$299,67,0)</f>
        <v>0</v>
      </c>
      <c r="CA107" s="102">
        <f>VLOOKUP(L107,工程合同!$L$6:$CC$299,68,0)</f>
        <v>0</v>
      </c>
      <c r="CB107" s="102">
        <f>VLOOKUP(L107,工程合同!$L$6:$CC$299,69,0)</f>
        <v>0</v>
      </c>
      <c r="CC107" s="102">
        <f>VLOOKUP(L107,工程合同!$L$6:$CC$299,70,0)</f>
        <v>0</v>
      </c>
      <c r="CD107" s="123">
        <f t="shared" si="33"/>
        <v>50295910.32</v>
      </c>
      <c r="CE107" s="102">
        <f t="shared" si="34"/>
        <v>50295910.32</v>
      </c>
      <c r="CF107" s="102">
        <f t="shared" si="35"/>
        <v>50295910.32</v>
      </c>
      <c r="CG107" s="102">
        <f t="shared" si="36"/>
        <v>0</v>
      </c>
      <c r="CH107" s="124">
        <f t="shared" si="37"/>
        <v>0</v>
      </c>
      <c r="CI107" s="125">
        <f t="shared" si="38"/>
        <v>1</v>
      </c>
      <c r="CJ107" s="126" t="str">
        <f t="shared" si="39"/>
        <v>数据正确</v>
      </c>
    </row>
    <row r="108" s="60" customFormat="1" customHeight="1" spans="2:88">
      <c r="B108" s="70" t="str">
        <f t="shared" si="29"/>
        <v>-</v>
      </c>
      <c r="C108" s="71" t="str">
        <f t="shared" si="30"/>
        <v>已付清</v>
      </c>
      <c r="D108" s="181">
        <f t="shared" si="31"/>
        <v>527700</v>
      </c>
      <c r="E108" s="181">
        <f>SUMIF(材料合同!$L$6:$L$305,L108,材料合同!$E$6:$E$305)</f>
        <v>0</v>
      </c>
      <c r="F108" s="181">
        <f>SUMIF(材料合同!$L$6:$L$305,L108,材料合同!$F$6:$F$305)</f>
        <v>0</v>
      </c>
      <c r="G108" s="181">
        <f>SUMIF(材料合同!$L$6:$L$305,L108,材料合同!$G$6:$G$305)</f>
        <v>0</v>
      </c>
      <c r="H108" s="181">
        <f>SUMIF(材料合同!$L$6:$L$305,L108,材料合同!$H$6:$H$305)</f>
        <v>0</v>
      </c>
      <c r="I108" s="181">
        <f t="shared" si="32"/>
        <v>0</v>
      </c>
      <c r="J108" s="86" t="s">
        <v>98</v>
      </c>
      <c r="K108" s="87"/>
      <c r="L108" s="88">
        <v>103</v>
      </c>
      <c r="M108" s="89" t="str">
        <f>VLOOKUP(L108,材料合同!$L$6:$CC$305,2,0)</f>
        <v>YRKJZB-150001</v>
      </c>
      <c r="N108" s="90" t="str">
        <f>VLOOKUP(L108,材料合同!$L$6:$CC$305,3,0)</f>
        <v>材料合同</v>
      </c>
      <c r="O108" s="265" t="str">
        <f>VLOOKUP(L108,材料合同!$L$6:$CC$305,4,0)</f>
        <v>-</v>
      </c>
      <c r="P108" s="266">
        <f>VLOOKUP(L108,材料合同!$L$6:$CC$305,5,0)</f>
        <v>42299</v>
      </c>
      <c r="Q108" s="275">
        <f>VLOOKUP(L108,材料合同!$L$6:$CC$305,6,0)</f>
        <v>527700</v>
      </c>
      <c r="R108" s="89" t="str">
        <f>VLOOKUP(L108,材料合同!$L$6:$CC$305,7,0)</f>
        <v>管桩（4000米*125元/米）</v>
      </c>
      <c r="S108" s="89" t="str">
        <f>VLOOKUP(L108,材料合同!$L$6:$CC$305,8,0)</f>
        <v>福建翔达管桩有限公司</v>
      </c>
      <c r="T108" s="107">
        <f>VLOOKUP(L108,材料合同!$L$6:$CC$305,9,0)</f>
        <v>0</v>
      </c>
      <c r="U108" s="103" t="str">
        <f>VLOOKUP(L108,材料合同!$L$6:$CC$305,10,0)</f>
        <v>承兑汇票</v>
      </c>
      <c r="V108" s="276" t="str">
        <f>VLOOKUP(L108,材料合同!$L$6:$CC$305,11,0)</f>
        <v>货到付款，每次供货1000米，验收合格，卖方提供等额的收据给甲方后5日支付，卖方收到货款后3个工作日内提供17%的专票给甲方</v>
      </c>
      <c r="W108" s="102">
        <f>VLOOKUP(L108,材料合同!$L$6:$CC$305,12,0)</f>
        <v>527700</v>
      </c>
      <c r="X108" s="102">
        <f>VLOOKUP(L108,材料合同!$L$6:$CC$305,13,0)</f>
        <v>527700</v>
      </c>
      <c r="Y108" s="102">
        <f>VLOOKUP(L108,材料合同!$L$6:$CC$305,14,0)</f>
        <v>527700</v>
      </c>
      <c r="Z108" s="102">
        <f>VLOOKUP(L108,材料合同!$L$6:$CC$305,15,0)</f>
        <v>0</v>
      </c>
      <c r="AA108" s="102">
        <f>VLOOKUP(L108,材料合同!$L$6:$CC$305,16,0)</f>
        <v>0</v>
      </c>
      <c r="AB108" s="102">
        <f>VLOOKUP(L108,材料合同!$L$6:$CC$305,17,0)</f>
        <v>0</v>
      </c>
      <c r="AC108" s="102">
        <f>VLOOKUP(L108,材料合同!$L$6:$CC$305,18,0)</f>
        <v>0</v>
      </c>
      <c r="AD108" s="102">
        <f>VLOOKUP(L108,材料合同!$L$6:$CC$305,19,0)</f>
        <v>0</v>
      </c>
      <c r="AE108" s="102">
        <f>VLOOKUP(L108,材料合同!$L$6:$CC$305,20,0)</f>
        <v>0</v>
      </c>
      <c r="AF108" s="102">
        <f>VLOOKUP(L108,材料合同!$L$6:$CC$305,21,0)</f>
        <v>0</v>
      </c>
      <c r="AG108" s="102">
        <f>VLOOKUP(L108,材料合同!$L$6:$CC$305,22,0)</f>
        <v>0</v>
      </c>
      <c r="AH108" s="102">
        <f>VLOOKUP(L108,材料合同!$L$6:$CC$305,23,0)</f>
        <v>0</v>
      </c>
      <c r="AI108" s="102">
        <f>VLOOKUP(L108,材料合同!$L$6:$CC$305,24,0)</f>
        <v>0</v>
      </c>
      <c r="AJ108" s="102">
        <f>VLOOKUP(L108,材料合同!$L$6:$CC$305,25,0)</f>
        <v>0</v>
      </c>
      <c r="AK108" s="102">
        <f>VLOOKUP(L108,材料合同!$L$6:$CC$305,26,0)</f>
        <v>0</v>
      </c>
      <c r="AL108" s="102">
        <f>VLOOKUP(L108,材料合同!$L$6:$CC$305,27,0)</f>
        <v>0</v>
      </c>
      <c r="AM108" s="102">
        <f>VLOOKUP(L108,材料合同!$L$6:$CC$305,28,0)</f>
        <v>0</v>
      </c>
      <c r="AN108" s="102">
        <f>VLOOKUP(L108,材料合同!$L$6:$CC$305,29,0)</f>
        <v>0</v>
      </c>
      <c r="AO108" s="102">
        <f>VLOOKUP(L108,材料合同!$L$6:$CC$305,30,0)</f>
        <v>0</v>
      </c>
      <c r="AP108" s="102">
        <f>VLOOKUP(L108,材料合同!$L$6:$CC$305,31,0)</f>
        <v>0</v>
      </c>
      <c r="AQ108" s="102">
        <f>VLOOKUP(L108,材料合同!$L$6:$CC$305,32,0)</f>
        <v>0</v>
      </c>
      <c r="AR108" s="102">
        <f>VLOOKUP(L108,材料合同!$L$6:$CC$305,33,0)</f>
        <v>0</v>
      </c>
      <c r="AS108" s="102">
        <f>VLOOKUP(L108,材料合同!$L$6:$CC$305,34,0)</f>
        <v>0</v>
      </c>
      <c r="AT108" s="102">
        <f>VLOOKUP(L108,材料合同!$L$6:$CC$305,35,0)</f>
        <v>0</v>
      </c>
      <c r="AU108" s="102">
        <f>VLOOKUP(L108,材料合同!$L$6:$CC$305,36,0)</f>
        <v>0</v>
      </c>
      <c r="AV108" s="102">
        <f>VLOOKUP(L108,材料合同!$L$6:$CC$305,37,0)</f>
        <v>0</v>
      </c>
      <c r="AW108" s="102">
        <f>VLOOKUP(L108,材料合同!$L$6:$CC$305,38,0)</f>
        <v>0</v>
      </c>
      <c r="AX108" s="102">
        <f>VLOOKUP(L108,材料合同!$L$6:$CC$305,39,0)</f>
        <v>0</v>
      </c>
      <c r="AY108" s="102">
        <f>VLOOKUP(L108,材料合同!$L$6:$CC$305,40,0)</f>
        <v>0</v>
      </c>
      <c r="AZ108" s="102">
        <f>VLOOKUP(L108,材料合同!$L$6:$CC$305,41,0)</f>
        <v>0</v>
      </c>
      <c r="BA108" s="102">
        <f>VLOOKUP(L108,材料合同!$L$6:$CC$305,42,0)</f>
        <v>0</v>
      </c>
      <c r="BB108" s="102">
        <f>VLOOKUP(L108,材料合同!$L$6:$CC$305,43,0)</f>
        <v>0</v>
      </c>
      <c r="BC108" s="102">
        <f>VLOOKUP(L108,材料合同!$L$6:$CC$305,44,0)</f>
        <v>0</v>
      </c>
      <c r="BD108" s="102">
        <f>VLOOKUP(L108,材料合同!$L$6:$CC$305,45,0)</f>
        <v>0</v>
      </c>
      <c r="BE108" s="102">
        <f>VLOOKUP(L108,材料合同!$L$6:$CC$305,46,0)</f>
        <v>0</v>
      </c>
      <c r="BF108" s="102">
        <f>VLOOKUP(L108,材料合同!$L$6:$CC$305,47,0)</f>
        <v>0</v>
      </c>
      <c r="BG108" s="102">
        <f>VLOOKUP(L108,材料合同!$L$6:$CC$305,48,0)</f>
        <v>0</v>
      </c>
      <c r="BH108" s="102">
        <f>VLOOKUP(L108,材料合同!$L$6:$CC$305,49,0)</f>
        <v>0</v>
      </c>
      <c r="BI108" s="102">
        <f>VLOOKUP(L108,材料合同!$L$6:$CC$305,50,0)</f>
        <v>0</v>
      </c>
      <c r="BJ108" s="102">
        <f>VLOOKUP(L108,材料合同!$L$6:$CC$305,51,0)</f>
        <v>0</v>
      </c>
      <c r="BK108" s="102">
        <f>VLOOKUP(L108,材料合同!$L$6:$CC$305,52,0)</f>
        <v>0</v>
      </c>
      <c r="BL108" s="102">
        <f>VLOOKUP(L108,材料合同!$L$6:$CC$305,53,0)</f>
        <v>0</v>
      </c>
      <c r="BM108" s="102">
        <f>VLOOKUP(L108,材料合同!$L$6:$CC$305,54,0)</f>
        <v>0</v>
      </c>
      <c r="BN108" s="102">
        <f>VLOOKUP(L108,材料合同!$L$6:$CC$305,55,0)</f>
        <v>0</v>
      </c>
      <c r="BO108" s="102">
        <f>VLOOKUP(L108,材料合同!$L$6:$CC$305,56,0)</f>
        <v>0</v>
      </c>
      <c r="BP108" s="102">
        <f>VLOOKUP(L108,材料合同!$L$6:$CC$305,57,0)</f>
        <v>0</v>
      </c>
      <c r="BQ108" s="102">
        <f>VLOOKUP(L108,材料合同!$L$6:$CC$305,58,0)</f>
        <v>0</v>
      </c>
      <c r="BR108" s="102">
        <f>VLOOKUP(L108,材料合同!$L$6:$CC$305,59,0)</f>
        <v>0</v>
      </c>
      <c r="BS108" s="102">
        <f>VLOOKUP(L108,材料合同!$L$6:$CC$305,60,0)</f>
        <v>0</v>
      </c>
      <c r="BT108" s="102">
        <f>VLOOKUP(L108,材料合同!$L$6:$CC$305,61,0)</f>
        <v>0</v>
      </c>
      <c r="BU108" s="102">
        <f>VLOOKUP(L108,材料合同!$L$6:$CC$305,62,0)</f>
        <v>0</v>
      </c>
      <c r="BV108" s="102">
        <f>VLOOKUP(L108,材料合同!$L$6:$CC$305,63,0)</f>
        <v>0</v>
      </c>
      <c r="BW108" s="102">
        <f>VLOOKUP(L108,材料合同!$L$6:$CC$305,64,0)</f>
        <v>0</v>
      </c>
      <c r="BX108" s="102">
        <f>VLOOKUP(L108,材料合同!$L$6:$CC$305,65,0)</f>
        <v>0</v>
      </c>
      <c r="BY108" s="102">
        <f>VLOOKUP(L108,材料合同!$L$6:$CC$305,66,0)</f>
        <v>0</v>
      </c>
      <c r="BZ108" s="102">
        <f>VLOOKUP(L108,材料合同!$L$6:$CC$305,67,0)</f>
        <v>0</v>
      </c>
      <c r="CA108" s="102">
        <f>VLOOKUP(L108,材料合同!$L$6:$CC$305,68,0)</f>
        <v>0</v>
      </c>
      <c r="CB108" s="102">
        <f>VLOOKUP(L108,材料合同!$L$6:$CC$305,69,0)</f>
        <v>0</v>
      </c>
      <c r="CC108" s="102">
        <f>VLOOKUP(L108,材料合同!$L$6:$CC$305,70,0)</f>
        <v>0</v>
      </c>
      <c r="CD108" s="123">
        <f t="shared" si="33"/>
        <v>527700</v>
      </c>
      <c r="CE108" s="102">
        <f t="shared" si="34"/>
        <v>527700</v>
      </c>
      <c r="CF108" s="102">
        <f t="shared" si="35"/>
        <v>527700</v>
      </c>
      <c r="CG108" s="102">
        <f t="shared" si="36"/>
        <v>0</v>
      </c>
      <c r="CH108" s="124">
        <f t="shared" si="37"/>
        <v>0</v>
      </c>
      <c r="CI108" s="125">
        <f t="shared" si="38"/>
        <v>1</v>
      </c>
      <c r="CJ108" s="126" t="str">
        <f t="shared" si="39"/>
        <v>数据正确</v>
      </c>
    </row>
    <row r="109" s="60" customFormat="1" customHeight="1" spans="2:88">
      <c r="B109" s="70" t="str">
        <f t="shared" si="29"/>
        <v>申请中</v>
      </c>
      <c r="C109" s="71" t="str">
        <f t="shared" si="30"/>
        <v>-</v>
      </c>
      <c r="D109" s="181">
        <f t="shared" si="31"/>
        <v>10815588</v>
      </c>
      <c r="E109" s="181">
        <f>SUMIF(工程合同!$L$6:$L$299,L109,工程合同!$E$6:$E$299)</f>
        <v>0</v>
      </c>
      <c r="F109" s="181">
        <f>SUMIF(工程合同!$L$6:$L$299,L109,工程合同!$F$6:$F$299)</f>
        <v>6412</v>
      </c>
      <c r="G109" s="181">
        <f>SUMIF(工程合同!$L$6:$L$299,L109,工程合同!$G$6:$G$299)</f>
        <v>78300</v>
      </c>
      <c r="H109" s="181">
        <f>SUMIF(工程合同!$L$6:$L$299,L109,工程合同!$H$6:$H$299)</f>
        <v>700</v>
      </c>
      <c r="I109" s="181">
        <f t="shared" si="32"/>
        <v>3774000</v>
      </c>
      <c r="J109" s="86" t="s">
        <v>98</v>
      </c>
      <c r="K109" s="87"/>
      <c r="L109" s="88">
        <v>104</v>
      </c>
      <c r="M109" s="89" t="str">
        <f>VLOOKUP(L109,工程合同!$L$6:$CC$299,2,0)</f>
        <v>YRKJGC-150012</v>
      </c>
      <c r="N109" s="90" t="str">
        <f>VLOOKUP(L109,工程合同!$L$6:$CC$299,3,0)</f>
        <v>工程合同</v>
      </c>
      <c r="O109" s="265" t="str">
        <f>VLOOKUP(L109,工程合同!$L$6:$CC$299,4,0)</f>
        <v>-</v>
      </c>
      <c r="P109" s="266">
        <f>VLOOKUP(L109,工程合同!$L$6:$CC$299,5,0)</f>
        <v>42302</v>
      </c>
      <c r="Q109" s="275">
        <f>VLOOKUP(L109,工程合同!$L$6:$CC$299,6,0)</f>
        <v>37329838</v>
      </c>
      <c r="R109" s="89" t="str">
        <f>VLOOKUP(L109,工程合同!$L$6:$CC$299,7,0)</f>
        <v>厂区道路及水沟、围墙等工程</v>
      </c>
      <c r="S109" s="89" t="str">
        <f>VLOOKUP(L109,工程合同!$L$6:$CC$299,8,0)</f>
        <v>中国化学工程第十三建设有限公司</v>
      </c>
      <c r="T109" s="107">
        <f>VLOOKUP(L109,工程合同!$L$6:$CC$299,9,0)</f>
        <v>0</v>
      </c>
      <c r="U109" s="103" t="str">
        <f>VLOOKUP(L109,工程合同!$L$6:$CC$299,10,0)</f>
        <v>6个月承兑汇票</v>
      </c>
      <c r="V109" s="276" t="str">
        <f>VLOOKUP(L109,工程合同!$L$6:$CC$299,11,0)</f>
        <v>工程：按实际工程量支付80%。履约保证金40万，工程量1/3退还；道路：路基施工验收合格支付40%，路面施工验收合格，支付40%，竣工支付15%，5%质保金</v>
      </c>
      <c r="W109" s="102">
        <f>VLOOKUP(L109,工程合同!$L$6:$CC$299,12,0)</f>
        <v>29863870.4</v>
      </c>
      <c r="X109" s="102">
        <f>VLOOKUP(L109,工程合同!$L$6:$CC$299,13,0)</f>
        <v>14675000</v>
      </c>
      <c r="Y109" s="102">
        <f>VLOOKUP(L109,工程合同!$L$6:$CC$299,14,0)</f>
        <v>10815588</v>
      </c>
      <c r="Z109" s="102" t="str">
        <f>VLOOKUP(L109,工程合同!$L$6:$CC$299,15,0)</f>
        <v>竣工结算支付15%</v>
      </c>
      <c r="AA109" s="102">
        <f>VLOOKUP(L109,工程合同!$L$6:$CC$299,16,0)</f>
        <v>5599475.7</v>
      </c>
      <c r="AB109" s="102">
        <f>VLOOKUP(L109,工程合同!$L$6:$CC$299,17,0)</f>
        <v>0</v>
      </c>
      <c r="AC109" s="102">
        <f>VLOOKUP(L109,工程合同!$L$6:$CC$299,18,0)</f>
        <v>0</v>
      </c>
      <c r="AD109" s="102" t="str">
        <f>VLOOKUP(L109,工程合同!$L$6:$CC$299,19,0)</f>
        <v>5%质保金1年</v>
      </c>
      <c r="AE109" s="102">
        <f>VLOOKUP(L109,工程合同!$L$6:$CC$299,20,0)</f>
        <v>1866491.9</v>
      </c>
      <c r="AF109" s="102">
        <f>VLOOKUP(L109,工程合同!$L$6:$CC$299,21,0)</f>
        <v>0</v>
      </c>
      <c r="AG109" s="102">
        <f>VLOOKUP(L109,工程合同!$L$6:$CC$299,22,0)</f>
        <v>0</v>
      </c>
      <c r="AH109" s="102">
        <f>VLOOKUP(L109,工程合同!$L$6:$CC$299,23,0)</f>
        <v>0</v>
      </c>
      <c r="AI109" s="102">
        <f>VLOOKUP(L109,工程合同!$L$6:$CC$299,24,0)</f>
        <v>0</v>
      </c>
      <c r="AJ109" s="102">
        <f>VLOOKUP(L109,工程合同!$L$6:$CC$299,25,0)</f>
        <v>0</v>
      </c>
      <c r="AK109" s="102">
        <f>VLOOKUP(L109,工程合同!$L$6:$CC$299,26,0)</f>
        <v>0</v>
      </c>
      <c r="AL109" s="102">
        <f>VLOOKUP(L109,工程合同!$L$6:$CC$299,27,0)</f>
        <v>0</v>
      </c>
      <c r="AM109" s="102">
        <f>VLOOKUP(L109,工程合同!$L$6:$CC$299,28,0)</f>
        <v>0</v>
      </c>
      <c r="AN109" s="102">
        <f>VLOOKUP(L109,工程合同!$L$6:$CC$299,29,0)</f>
        <v>0</v>
      </c>
      <c r="AO109" s="102">
        <f>VLOOKUP(L109,工程合同!$L$6:$CC$299,30,0)</f>
        <v>0</v>
      </c>
      <c r="AP109" s="102">
        <f>VLOOKUP(L109,工程合同!$L$6:$CC$299,31,0)</f>
        <v>0</v>
      </c>
      <c r="AQ109" s="102">
        <f>VLOOKUP(L109,工程合同!$L$6:$CC$299,32,0)</f>
        <v>0</v>
      </c>
      <c r="AR109" s="102">
        <f>VLOOKUP(L109,工程合同!$L$6:$CC$299,33,0)</f>
        <v>0</v>
      </c>
      <c r="AS109" s="102">
        <f>VLOOKUP(L109,工程合同!$L$6:$CC$299,34,0)</f>
        <v>0</v>
      </c>
      <c r="AT109" s="102">
        <f>VLOOKUP(L109,工程合同!$L$6:$CC$299,35,0)</f>
        <v>0</v>
      </c>
      <c r="AU109" s="102">
        <f>VLOOKUP(L109,工程合同!$L$6:$CC$299,36,0)</f>
        <v>0</v>
      </c>
      <c r="AV109" s="102">
        <f>VLOOKUP(L109,工程合同!$L$6:$CC$299,37,0)</f>
        <v>0</v>
      </c>
      <c r="AW109" s="102">
        <f>VLOOKUP(L109,工程合同!$L$6:$CC$299,38,0)</f>
        <v>0</v>
      </c>
      <c r="AX109" s="102">
        <f>VLOOKUP(L109,工程合同!$L$6:$CC$299,39,0)</f>
        <v>0</v>
      </c>
      <c r="AY109" s="102">
        <f>VLOOKUP(L109,工程合同!$L$6:$CC$299,40,0)</f>
        <v>0</v>
      </c>
      <c r="AZ109" s="102">
        <f>VLOOKUP(L109,工程合同!$L$6:$CC$299,41,0)</f>
        <v>0</v>
      </c>
      <c r="BA109" s="102">
        <f>VLOOKUP(L109,工程合同!$L$6:$CC$299,42,0)</f>
        <v>0</v>
      </c>
      <c r="BB109" s="102">
        <f>VLOOKUP(L109,工程合同!$L$6:$CC$299,43,0)</f>
        <v>0</v>
      </c>
      <c r="BC109" s="102">
        <f>VLOOKUP(L109,工程合同!$L$6:$CC$299,44,0)</f>
        <v>0</v>
      </c>
      <c r="BD109" s="102">
        <f>VLOOKUP(L109,工程合同!$L$6:$CC$299,45,0)</f>
        <v>0</v>
      </c>
      <c r="BE109" s="102">
        <f>VLOOKUP(L109,工程合同!$L$6:$CC$299,46,0)</f>
        <v>0</v>
      </c>
      <c r="BF109" s="102">
        <f>VLOOKUP(L109,工程合同!$L$6:$CC$299,47,0)</f>
        <v>0</v>
      </c>
      <c r="BG109" s="102">
        <f>VLOOKUP(L109,工程合同!$L$6:$CC$299,48,0)</f>
        <v>0</v>
      </c>
      <c r="BH109" s="102">
        <f>VLOOKUP(L109,工程合同!$L$6:$CC$299,49,0)</f>
        <v>0</v>
      </c>
      <c r="BI109" s="102">
        <f>VLOOKUP(L109,工程合同!$L$6:$CC$299,50,0)</f>
        <v>0</v>
      </c>
      <c r="BJ109" s="102">
        <f>VLOOKUP(L109,工程合同!$L$6:$CC$299,51,0)</f>
        <v>0</v>
      </c>
      <c r="BK109" s="102">
        <f>VLOOKUP(L109,工程合同!$L$6:$CC$299,52,0)</f>
        <v>0</v>
      </c>
      <c r="BL109" s="102">
        <f>VLOOKUP(L109,工程合同!$L$6:$CC$299,53,0)</f>
        <v>0</v>
      </c>
      <c r="BM109" s="102">
        <f>VLOOKUP(L109,工程合同!$L$6:$CC$299,54,0)</f>
        <v>0</v>
      </c>
      <c r="BN109" s="102">
        <f>VLOOKUP(L109,工程合同!$L$6:$CC$299,55,0)</f>
        <v>0</v>
      </c>
      <c r="BO109" s="102">
        <f>VLOOKUP(L109,工程合同!$L$6:$CC$299,56,0)</f>
        <v>0</v>
      </c>
      <c r="BP109" s="102">
        <f>VLOOKUP(L109,工程合同!$L$6:$CC$299,57,0)</f>
        <v>0</v>
      </c>
      <c r="BQ109" s="102">
        <f>VLOOKUP(L109,工程合同!$L$6:$CC$299,58,0)</f>
        <v>0</v>
      </c>
      <c r="BR109" s="102">
        <f>VLOOKUP(L109,工程合同!$L$6:$CC$299,59,0)</f>
        <v>0</v>
      </c>
      <c r="BS109" s="102">
        <f>VLOOKUP(L109,工程合同!$L$6:$CC$299,60,0)</f>
        <v>0</v>
      </c>
      <c r="BT109" s="102">
        <f>VLOOKUP(L109,工程合同!$L$6:$CC$299,61,0)</f>
        <v>0</v>
      </c>
      <c r="BU109" s="102">
        <f>VLOOKUP(L109,工程合同!$L$6:$CC$299,62,0)</f>
        <v>0</v>
      </c>
      <c r="BV109" s="102">
        <f>VLOOKUP(L109,工程合同!$L$6:$CC$299,63,0)</f>
        <v>0</v>
      </c>
      <c r="BW109" s="102">
        <f>VLOOKUP(L109,工程合同!$L$6:$CC$299,64,0)</f>
        <v>0</v>
      </c>
      <c r="BX109" s="102">
        <f>VLOOKUP(L109,工程合同!$L$6:$CC$299,65,0)</f>
        <v>0</v>
      </c>
      <c r="BY109" s="102">
        <f>VLOOKUP(L109,工程合同!$L$6:$CC$299,66,0)</f>
        <v>0</v>
      </c>
      <c r="BZ109" s="102">
        <f>VLOOKUP(L109,工程合同!$L$6:$CC$299,67,0)</f>
        <v>0</v>
      </c>
      <c r="CA109" s="102">
        <f>VLOOKUP(L109,工程合同!$L$6:$CC$299,68,0)</f>
        <v>0</v>
      </c>
      <c r="CB109" s="102">
        <f>VLOOKUP(L109,工程合同!$L$6:$CC$299,69,0)</f>
        <v>0</v>
      </c>
      <c r="CC109" s="102">
        <f>VLOOKUP(L109,工程合同!$L$6:$CC$299,70,0)</f>
        <v>0</v>
      </c>
      <c r="CD109" s="123">
        <f t="shared" si="33"/>
        <v>37329838</v>
      </c>
      <c r="CE109" s="102">
        <f t="shared" si="34"/>
        <v>14675000</v>
      </c>
      <c r="CF109" s="102">
        <f t="shared" si="35"/>
        <v>10815588</v>
      </c>
      <c r="CG109" s="102">
        <f t="shared" si="36"/>
        <v>85412</v>
      </c>
      <c r="CH109" s="124">
        <f t="shared" si="37"/>
        <v>26428838</v>
      </c>
      <c r="CI109" s="125">
        <f t="shared" si="38"/>
        <v>0.292018411652362</v>
      </c>
      <c r="CJ109" s="126" t="str">
        <f t="shared" si="39"/>
        <v>数据正确</v>
      </c>
    </row>
    <row r="110" s="60" customFormat="1" customHeight="1" spans="2:88">
      <c r="B110" s="70" t="str">
        <f t="shared" si="29"/>
        <v>-</v>
      </c>
      <c r="C110" s="71" t="str">
        <f t="shared" si="30"/>
        <v>-</v>
      </c>
      <c r="D110" s="181">
        <f t="shared" si="31"/>
        <v>47144</v>
      </c>
      <c r="E110" s="181">
        <f>SUMIF(材料合同!$L$6:$L$305,L110,材料合同!$E$6:$E$305)</f>
        <v>0</v>
      </c>
      <c r="F110" s="181">
        <f>SUMIF(材料合同!$L$6:$L$305,L110,材料合同!$F$6:$F$305)</f>
        <v>0</v>
      </c>
      <c r="G110" s="181">
        <f>SUMIF(材料合同!$L$6:$L$305,L110,材料合同!$G$6:$G$305)</f>
        <v>0</v>
      </c>
      <c r="H110" s="181">
        <f>SUMIF(材料合同!$L$6:$L$305,L110,材料合同!$H$6:$H$305)</f>
        <v>0</v>
      </c>
      <c r="I110" s="181">
        <f t="shared" si="32"/>
        <v>0</v>
      </c>
      <c r="J110" s="86" t="s">
        <v>98</v>
      </c>
      <c r="K110" s="87"/>
      <c r="L110" s="88">
        <v>105</v>
      </c>
      <c r="M110" s="89" t="str">
        <f>VLOOKUP(L110,材料合同!$L$6:$CC$305,2,0)</f>
        <v>YRKJGC-160001</v>
      </c>
      <c r="N110" s="90" t="str">
        <f>VLOOKUP(L110,材料合同!$L$6:$CC$305,3,0)</f>
        <v>材料合同</v>
      </c>
      <c r="O110" s="265" t="str">
        <f>VLOOKUP(L110,材料合同!$L$6:$CC$305,4,0)</f>
        <v>-</v>
      </c>
      <c r="P110" s="266">
        <f>VLOOKUP(L110,材料合同!$L$6:$CC$305,5,0)</f>
        <v>42445</v>
      </c>
      <c r="Q110" s="275">
        <f>VLOOKUP(L110,材料合同!$L$6:$CC$305,6,0)</f>
        <v>65240</v>
      </c>
      <c r="R110" s="89" t="str">
        <f>VLOOKUP(L110,材料合同!$L$6:$CC$305,7,0)</f>
        <v>水泥管带钢筋（466根*140元/根）</v>
      </c>
      <c r="S110" s="89" t="str">
        <f>VLOOKUP(L110,材料合同!$L$6:$CC$305,8,0)</f>
        <v>莆田市永腾新型建材有限公司</v>
      </c>
      <c r="T110" s="107">
        <f>VLOOKUP(L110,材料合同!$L$6:$CC$305,9,0)</f>
        <v>0</v>
      </c>
      <c r="U110" s="103" t="str">
        <f>VLOOKUP(L110,材料合同!$L$6:$CC$305,10,0)</f>
        <v>电汇</v>
      </c>
      <c r="V110" s="276" t="str">
        <f>VLOOKUP(L110,材料合同!$L$6:$CC$305,11,0)</f>
        <v>预付款60%</v>
      </c>
      <c r="W110" s="102">
        <f>VLOOKUP(L110,材料合同!$L$6:$CC$305,12,0)</f>
        <v>39144</v>
      </c>
      <c r="X110" s="102">
        <f>VLOOKUP(L110,材料合同!$L$6:$CC$305,13,0)</f>
        <v>39144</v>
      </c>
      <c r="Y110" s="102">
        <f>VLOOKUP(L110,材料合同!$L$6:$CC$305,14,0)</f>
        <v>39144</v>
      </c>
      <c r="Z110" s="102" t="str">
        <f>VLOOKUP(L110,材料合同!$L$6:$CC$305,15,0)</f>
        <v>货到一个月内付清，全额普票</v>
      </c>
      <c r="AA110" s="102">
        <f>VLOOKUP(L110,材料合同!$L$6:$CC$305,16,0)</f>
        <v>26096</v>
      </c>
      <c r="AB110" s="102">
        <f>VLOOKUP(L110,材料合同!$L$6:$CC$305,17,0)</f>
        <v>8000</v>
      </c>
      <c r="AC110" s="102">
        <f>VLOOKUP(L110,材料合同!$L$6:$CC$305,18,0)</f>
        <v>8000</v>
      </c>
      <c r="AD110" s="102">
        <f>VLOOKUP(L110,材料合同!$L$6:$CC$305,19,0)</f>
        <v>0</v>
      </c>
      <c r="AE110" s="102">
        <f>VLOOKUP(L110,材料合同!$L$6:$CC$305,20,0)</f>
        <v>0</v>
      </c>
      <c r="AF110" s="102">
        <f>VLOOKUP(L110,材料合同!$L$6:$CC$305,21,0)</f>
        <v>0</v>
      </c>
      <c r="AG110" s="102">
        <f>VLOOKUP(L110,材料合同!$L$6:$CC$305,22,0)</f>
        <v>0</v>
      </c>
      <c r="AH110" s="102">
        <f>VLOOKUP(L110,材料合同!$L$6:$CC$305,23,0)</f>
        <v>0</v>
      </c>
      <c r="AI110" s="102">
        <f>VLOOKUP(L110,材料合同!$L$6:$CC$305,24,0)</f>
        <v>0</v>
      </c>
      <c r="AJ110" s="102">
        <f>VLOOKUP(L110,材料合同!$L$6:$CC$305,25,0)</f>
        <v>0</v>
      </c>
      <c r="AK110" s="102">
        <f>VLOOKUP(L110,材料合同!$L$6:$CC$305,26,0)</f>
        <v>0</v>
      </c>
      <c r="AL110" s="102">
        <f>VLOOKUP(L110,材料合同!$L$6:$CC$305,27,0)</f>
        <v>0</v>
      </c>
      <c r="AM110" s="102">
        <f>VLOOKUP(L110,材料合同!$L$6:$CC$305,28,0)</f>
        <v>0</v>
      </c>
      <c r="AN110" s="102">
        <f>VLOOKUP(L110,材料合同!$L$6:$CC$305,29,0)</f>
        <v>0</v>
      </c>
      <c r="AO110" s="102">
        <f>VLOOKUP(L110,材料合同!$L$6:$CC$305,30,0)</f>
        <v>0</v>
      </c>
      <c r="AP110" s="102">
        <f>VLOOKUP(L110,材料合同!$L$6:$CC$305,31,0)</f>
        <v>0</v>
      </c>
      <c r="AQ110" s="102">
        <f>VLOOKUP(L110,材料合同!$L$6:$CC$305,32,0)</f>
        <v>0</v>
      </c>
      <c r="AR110" s="102">
        <f>VLOOKUP(L110,材料合同!$L$6:$CC$305,33,0)</f>
        <v>0</v>
      </c>
      <c r="AS110" s="102">
        <f>VLOOKUP(L110,材料合同!$L$6:$CC$305,34,0)</f>
        <v>0</v>
      </c>
      <c r="AT110" s="102">
        <f>VLOOKUP(L110,材料合同!$L$6:$CC$305,35,0)</f>
        <v>0</v>
      </c>
      <c r="AU110" s="102">
        <f>VLOOKUP(L110,材料合同!$L$6:$CC$305,36,0)</f>
        <v>0</v>
      </c>
      <c r="AV110" s="102">
        <f>VLOOKUP(L110,材料合同!$L$6:$CC$305,37,0)</f>
        <v>0</v>
      </c>
      <c r="AW110" s="102">
        <f>VLOOKUP(L110,材料合同!$L$6:$CC$305,38,0)</f>
        <v>0</v>
      </c>
      <c r="AX110" s="102">
        <f>VLOOKUP(L110,材料合同!$L$6:$CC$305,39,0)</f>
        <v>0</v>
      </c>
      <c r="AY110" s="102">
        <f>VLOOKUP(L110,材料合同!$L$6:$CC$305,40,0)</f>
        <v>0</v>
      </c>
      <c r="AZ110" s="102">
        <f>VLOOKUP(L110,材料合同!$L$6:$CC$305,41,0)</f>
        <v>0</v>
      </c>
      <c r="BA110" s="102">
        <f>VLOOKUP(L110,材料合同!$L$6:$CC$305,42,0)</f>
        <v>0</v>
      </c>
      <c r="BB110" s="102">
        <f>VLOOKUP(L110,材料合同!$L$6:$CC$305,43,0)</f>
        <v>0</v>
      </c>
      <c r="BC110" s="102">
        <f>VLOOKUP(L110,材料合同!$L$6:$CC$305,44,0)</f>
        <v>0</v>
      </c>
      <c r="BD110" s="102">
        <f>VLOOKUP(L110,材料合同!$L$6:$CC$305,45,0)</f>
        <v>0</v>
      </c>
      <c r="BE110" s="102">
        <f>VLOOKUP(L110,材料合同!$L$6:$CC$305,46,0)</f>
        <v>0</v>
      </c>
      <c r="BF110" s="102">
        <f>VLOOKUP(L110,材料合同!$L$6:$CC$305,47,0)</f>
        <v>0</v>
      </c>
      <c r="BG110" s="102">
        <f>VLOOKUP(L110,材料合同!$L$6:$CC$305,48,0)</f>
        <v>0</v>
      </c>
      <c r="BH110" s="102">
        <f>VLOOKUP(L110,材料合同!$L$6:$CC$305,49,0)</f>
        <v>0</v>
      </c>
      <c r="BI110" s="102">
        <f>VLOOKUP(L110,材料合同!$L$6:$CC$305,50,0)</f>
        <v>0</v>
      </c>
      <c r="BJ110" s="102">
        <f>VLOOKUP(L110,材料合同!$L$6:$CC$305,51,0)</f>
        <v>0</v>
      </c>
      <c r="BK110" s="102">
        <f>VLOOKUP(L110,材料合同!$L$6:$CC$305,52,0)</f>
        <v>0</v>
      </c>
      <c r="BL110" s="102">
        <f>VLOOKUP(L110,材料合同!$L$6:$CC$305,53,0)</f>
        <v>0</v>
      </c>
      <c r="BM110" s="102">
        <f>VLOOKUP(L110,材料合同!$L$6:$CC$305,54,0)</f>
        <v>0</v>
      </c>
      <c r="BN110" s="102">
        <f>VLOOKUP(L110,材料合同!$L$6:$CC$305,55,0)</f>
        <v>0</v>
      </c>
      <c r="BO110" s="102">
        <f>VLOOKUP(L110,材料合同!$L$6:$CC$305,56,0)</f>
        <v>0</v>
      </c>
      <c r="BP110" s="102">
        <f>VLOOKUP(L110,材料合同!$L$6:$CC$305,57,0)</f>
        <v>0</v>
      </c>
      <c r="BQ110" s="102">
        <f>VLOOKUP(L110,材料合同!$L$6:$CC$305,58,0)</f>
        <v>0</v>
      </c>
      <c r="BR110" s="102">
        <f>VLOOKUP(L110,材料合同!$L$6:$CC$305,59,0)</f>
        <v>0</v>
      </c>
      <c r="BS110" s="102">
        <f>VLOOKUP(L110,材料合同!$L$6:$CC$305,60,0)</f>
        <v>0</v>
      </c>
      <c r="BT110" s="102">
        <f>VLOOKUP(L110,材料合同!$L$6:$CC$305,61,0)</f>
        <v>0</v>
      </c>
      <c r="BU110" s="102">
        <f>VLOOKUP(L110,材料合同!$L$6:$CC$305,62,0)</f>
        <v>0</v>
      </c>
      <c r="BV110" s="102">
        <f>VLOOKUP(L110,材料合同!$L$6:$CC$305,63,0)</f>
        <v>0</v>
      </c>
      <c r="BW110" s="102">
        <f>VLOOKUP(L110,材料合同!$L$6:$CC$305,64,0)</f>
        <v>0</v>
      </c>
      <c r="BX110" s="102">
        <f>VLOOKUP(L110,材料合同!$L$6:$CC$305,65,0)</f>
        <v>0</v>
      </c>
      <c r="BY110" s="102">
        <f>VLOOKUP(L110,材料合同!$L$6:$CC$305,66,0)</f>
        <v>0</v>
      </c>
      <c r="BZ110" s="102">
        <f>VLOOKUP(L110,材料合同!$L$6:$CC$305,67,0)</f>
        <v>0</v>
      </c>
      <c r="CA110" s="102">
        <f>VLOOKUP(L110,材料合同!$L$6:$CC$305,68,0)</f>
        <v>0</v>
      </c>
      <c r="CB110" s="102">
        <f>VLOOKUP(L110,材料合同!$L$6:$CC$305,69,0)</f>
        <v>0</v>
      </c>
      <c r="CC110" s="102">
        <f>VLOOKUP(L110,材料合同!$L$6:$CC$305,70,0)</f>
        <v>0</v>
      </c>
      <c r="CD110" s="123">
        <f t="shared" si="33"/>
        <v>65240</v>
      </c>
      <c r="CE110" s="102">
        <f t="shared" si="34"/>
        <v>47144</v>
      </c>
      <c r="CF110" s="102">
        <f t="shared" si="35"/>
        <v>47144</v>
      </c>
      <c r="CG110" s="102">
        <f t="shared" si="36"/>
        <v>0</v>
      </c>
      <c r="CH110" s="124">
        <f t="shared" si="37"/>
        <v>18096</v>
      </c>
      <c r="CI110" s="125">
        <f t="shared" si="38"/>
        <v>0.722624156958921</v>
      </c>
      <c r="CJ110" s="126" t="str">
        <f t="shared" si="39"/>
        <v>数据正确</v>
      </c>
    </row>
    <row r="111" s="60" customFormat="1" customHeight="1" spans="2:88">
      <c r="B111" s="70" t="str">
        <f t="shared" si="29"/>
        <v>-</v>
      </c>
      <c r="C111" s="71" t="str">
        <f t="shared" si="30"/>
        <v>-</v>
      </c>
      <c r="D111" s="181">
        <f t="shared" si="31"/>
        <v>0</v>
      </c>
      <c r="E111" s="181">
        <f>SUMIF(服务合同!$L$6:$L$300,L111,服务合同!$E$6:$E$300)</f>
        <v>0</v>
      </c>
      <c r="F111" s="181">
        <f>SUMIF(服务合同!$L$6:$L$300,L111,服务合同!$F$6:$F$300)</f>
        <v>0</v>
      </c>
      <c r="G111" s="181">
        <f>SUMIF(服务合同!$L$6:$L$300,L111,服务合同!$G$6:$G$300)</f>
        <v>0</v>
      </c>
      <c r="H111" s="181">
        <f>SUMIF(服务合同!$L$6:$L$300,L111,服务合同!$H$6:$H$300)</f>
        <v>0</v>
      </c>
      <c r="I111" s="181">
        <f t="shared" si="32"/>
        <v>0</v>
      </c>
      <c r="J111" s="86" t="s">
        <v>98</v>
      </c>
      <c r="K111" s="87"/>
      <c r="L111" s="88">
        <v>106</v>
      </c>
      <c r="M111" s="89" t="str">
        <f>VLOOKUP(L111,服务合同!$L$6:$CC$300,2,0)</f>
        <v>QS-16-048</v>
      </c>
      <c r="N111" s="90" t="str">
        <f>VLOOKUP(L111,服务合同!$L$6:$CC$300,3,0)</f>
        <v>服务合同</v>
      </c>
      <c r="O111" s="265" t="str">
        <f>VLOOKUP(L111,服务合同!$L$6:$CC$300,4,0)</f>
        <v>-</v>
      </c>
      <c r="P111" s="266">
        <f>VLOOKUP(L111,服务合同!$L$6:$CC$300,5,0)</f>
        <v>42490</v>
      </c>
      <c r="Q111" s="275">
        <f>VLOOKUP(L111,服务合同!$L$6:$CC$300,6,0)</f>
        <v>22127</v>
      </c>
      <c r="R111" s="89" t="str">
        <f>VLOOKUP(L111,服务合同!$L$6:$CC$300,7,0)</f>
        <v>建筑工程施工图文件审查</v>
      </c>
      <c r="S111" s="89" t="str">
        <f>VLOOKUP(L111,服务合同!$L$6:$CC$300,8,0)</f>
        <v>泉州市建设工程施工图审查中心有限公司</v>
      </c>
      <c r="T111" s="107">
        <f>VLOOKUP(L111,服务合同!$L$6:$CC$300,9,0)</f>
        <v>0</v>
      </c>
      <c r="U111" s="103" t="str">
        <f>VLOOKUP(L111,服务合同!$L$6:$CC$300,10,0)</f>
        <v>电汇</v>
      </c>
      <c r="V111" s="276" t="str">
        <f>VLOOKUP(L111,服务合同!$L$6:$CC$300,11,0)</f>
        <v>乙方完成施工图意见或报告前，全额付清</v>
      </c>
      <c r="W111" s="102">
        <f>VLOOKUP(L111,服务合同!$L$6:$CC$300,12,0)</f>
        <v>22127</v>
      </c>
      <c r="X111" s="102">
        <f>VLOOKUP(L111,服务合同!$L$6:$CC$300,13,0)</f>
        <v>0</v>
      </c>
      <c r="Y111" s="102">
        <f>VLOOKUP(L111,服务合同!$L$6:$CC$300,14,0)</f>
        <v>0</v>
      </c>
      <c r="Z111" s="102">
        <f>VLOOKUP(L111,服务合同!$L$6:$CC$300,15,0)</f>
        <v>0</v>
      </c>
      <c r="AA111" s="102">
        <f>VLOOKUP(L111,服务合同!$L$6:$CC$300,16,0)</f>
        <v>0</v>
      </c>
      <c r="AB111" s="102">
        <f>VLOOKUP(L111,服务合同!$L$6:$CC$300,17,0)</f>
        <v>0</v>
      </c>
      <c r="AC111" s="102">
        <f>VLOOKUP(L111,服务合同!$L$6:$CC$300,18,0)</f>
        <v>0</v>
      </c>
      <c r="AD111" s="102">
        <f>VLOOKUP(L111,服务合同!$L$6:$CC$300,19,0)</f>
        <v>0</v>
      </c>
      <c r="AE111" s="102">
        <f>VLOOKUP(L111,服务合同!$L$6:$CC$300,20,0)</f>
        <v>0</v>
      </c>
      <c r="AF111" s="102">
        <f>VLOOKUP(L111,服务合同!$L$6:$CC$300,21,0)</f>
        <v>0</v>
      </c>
      <c r="AG111" s="102">
        <f>VLOOKUP(L111,服务合同!$L$6:$CC$300,22,0)</f>
        <v>0</v>
      </c>
      <c r="AH111" s="102">
        <f>VLOOKUP(L111,服务合同!$L$6:$CC$300,23,0)</f>
        <v>0</v>
      </c>
      <c r="AI111" s="102">
        <f>VLOOKUP(L111,服务合同!$L$6:$CC$300,24,0)</f>
        <v>0</v>
      </c>
      <c r="AJ111" s="102">
        <f>VLOOKUP(L111,服务合同!$L$6:$CC$300,25,0)</f>
        <v>0</v>
      </c>
      <c r="AK111" s="102">
        <f>VLOOKUP(L111,服务合同!$L$6:$CC$300,26,0)</f>
        <v>0</v>
      </c>
      <c r="AL111" s="102">
        <f>VLOOKUP(L111,服务合同!$L$6:$CC$300,27,0)</f>
        <v>0</v>
      </c>
      <c r="AM111" s="102">
        <f>VLOOKUP(L111,服务合同!$L$6:$CC$300,28,0)</f>
        <v>0</v>
      </c>
      <c r="AN111" s="102">
        <f>VLOOKUP(L111,服务合同!$L$6:$CC$300,29,0)</f>
        <v>0</v>
      </c>
      <c r="AO111" s="102">
        <f>VLOOKUP(L111,服务合同!$L$6:$CC$300,30,0)</f>
        <v>0</v>
      </c>
      <c r="AP111" s="102">
        <f>VLOOKUP(L111,服务合同!$L$6:$CC$300,31,0)</f>
        <v>0</v>
      </c>
      <c r="AQ111" s="102">
        <f>VLOOKUP(L111,服务合同!$L$6:$CC$300,32,0)</f>
        <v>0</v>
      </c>
      <c r="AR111" s="102">
        <f>VLOOKUP(L111,服务合同!$L$6:$CC$300,33,0)</f>
        <v>0</v>
      </c>
      <c r="AS111" s="102">
        <f>VLOOKUP(L111,服务合同!$L$6:$CC$300,34,0)</f>
        <v>0</v>
      </c>
      <c r="AT111" s="102">
        <f>VLOOKUP(L111,服务合同!$L$6:$CC$300,35,0)</f>
        <v>0</v>
      </c>
      <c r="AU111" s="102">
        <f>VLOOKUP(L111,服务合同!$L$6:$CC$300,36,0)</f>
        <v>0</v>
      </c>
      <c r="AV111" s="102">
        <f>VLOOKUP(L111,服务合同!$L$6:$CC$300,37,0)</f>
        <v>0</v>
      </c>
      <c r="AW111" s="102">
        <f>VLOOKUP(L111,服务合同!$L$6:$CC$300,38,0)</f>
        <v>0</v>
      </c>
      <c r="AX111" s="102">
        <f>VLOOKUP(L111,服务合同!$L$6:$CC$300,39,0)</f>
        <v>0</v>
      </c>
      <c r="AY111" s="102">
        <f>VLOOKUP(L111,服务合同!$L$6:$CC$300,40,0)</f>
        <v>0</v>
      </c>
      <c r="AZ111" s="102">
        <f>VLOOKUP(L111,服务合同!$L$6:$CC$300,41,0)</f>
        <v>0</v>
      </c>
      <c r="BA111" s="102">
        <f>VLOOKUP(L111,服务合同!$L$6:$CC$300,42,0)</f>
        <v>0</v>
      </c>
      <c r="BB111" s="102">
        <f>VLOOKUP(L111,服务合同!$L$6:$CC$300,43,0)</f>
        <v>0</v>
      </c>
      <c r="BC111" s="102">
        <f>VLOOKUP(L111,服务合同!$L$6:$CC$300,44,0)</f>
        <v>0</v>
      </c>
      <c r="BD111" s="102">
        <f>VLOOKUP(L111,服务合同!$L$6:$CC$300,45,0)</f>
        <v>0</v>
      </c>
      <c r="BE111" s="102">
        <f>VLOOKUP(L111,服务合同!$L$6:$CC$300,46,0)</f>
        <v>0</v>
      </c>
      <c r="BF111" s="102">
        <f>VLOOKUP(L111,服务合同!$L$6:$CC$300,47,0)</f>
        <v>0</v>
      </c>
      <c r="BG111" s="102">
        <f>VLOOKUP(L111,服务合同!$L$6:$CC$300,48,0)</f>
        <v>0</v>
      </c>
      <c r="BH111" s="102">
        <f>VLOOKUP(L111,服务合同!$L$6:$CC$300,49,0)</f>
        <v>0</v>
      </c>
      <c r="BI111" s="102">
        <f>VLOOKUP(L111,服务合同!$L$6:$CC$300,50,0)</f>
        <v>0</v>
      </c>
      <c r="BJ111" s="102">
        <f>VLOOKUP(L111,服务合同!$L$6:$CC$300,51,0)</f>
        <v>0</v>
      </c>
      <c r="BK111" s="102">
        <f>VLOOKUP(L111,服务合同!$L$6:$CC$300,52,0)</f>
        <v>0</v>
      </c>
      <c r="BL111" s="102">
        <f>VLOOKUP(L111,服务合同!$L$6:$CC$300,53,0)</f>
        <v>0</v>
      </c>
      <c r="BM111" s="102">
        <f>VLOOKUP(L111,服务合同!$L$6:$CC$300,54,0)</f>
        <v>0</v>
      </c>
      <c r="BN111" s="102">
        <f>VLOOKUP(L111,服务合同!$L$6:$CC$300,55,0)</f>
        <v>0</v>
      </c>
      <c r="BO111" s="102">
        <f>VLOOKUP(L111,服务合同!$L$6:$CC$300,56,0)</f>
        <v>0</v>
      </c>
      <c r="BP111" s="102">
        <f>VLOOKUP(L111,服务合同!$L$6:$CC$300,57,0)</f>
        <v>0</v>
      </c>
      <c r="BQ111" s="102">
        <f>VLOOKUP(L111,服务合同!$L$6:$CC$300,58,0)</f>
        <v>0</v>
      </c>
      <c r="BR111" s="102">
        <f>VLOOKUP(L111,服务合同!$L$6:$CC$300,59,0)</f>
        <v>0</v>
      </c>
      <c r="BS111" s="102">
        <f>VLOOKUP(L111,服务合同!$L$6:$CC$300,60,0)</f>
        <v>0</v>
      </c>
      <c r="BT111" s="102">
        <f>VLOOKUP(L111,服务合同!$L$6:$CC$300,61,0)</f>
        <v>0</v>
      </c>
      <c r="BU111" s="102">
        <f>VLOOKUP(L111,服务合同!$L$6:$CC$300,62,0)</f>
        <v>0</v>
      </c>
      <c r="BV111" s="102">
        <f>VLOOKUP(L111,服务合同!$L$6:$CC$300,63,0)</f>
        <v>0</v>
      </c>
      <c r="BW111" s="102">
        <f>VLOOKUP(L111,服务合同!$L$6:$CC$300,64,0)</f>
        <v>0</v>
      </c>
      <c r="BX111" s="102">
        <f>VLOOKUP(L111,服务合同!$L$6:$CC$300,65,0)</f>
        <v>0</v>
      </c>
      <c r="BY111" s="102">
        <f>VLOOKUP(L111,服务合同!$L$6:$CC$300,66,0)</f>
        <v>0</v>
      </c>
      <c r="BZ111" s="102">
        <f>VLOOKUP(L111,服务合同!$L$6:$CC$300,67,0)</f>
        <v>0</v>
      </c>
      <c r="CA111" s="102">
        <f>VLOOKUP(L111,服务合同!$L$6:$CC$300,68,0)</f>
        <v>0</v>
      </c>
      <c r="CB111" s="102">
        <f>VLOOKUP(L111,服务合同!$L$6:$CC$300,69,0)</f>
        <v>0</v>
      </c>
      <c r="CC111" s="102">
        <f>VLOOKUP(L111,服务合同!$L$6:$CC$300,70,0)</f>
        <v>0</v>
      </c>
      <c r="CD111" s="123">
        <f t="shared" si="33"/>
        <v>22127</v>
      </c>
      <c r="CE111" s="102">
        <f t="shared" si="34"/>
        <v>0</v>
      </c>
      <c r="CF111" s="102">
        <f t="shared" si="35"/>
        <v>0</v>
      </c>
      <c r="CG111" s="102">
        <f t="shared" si="36"/>
        <v>0</v>
      </c>
      <c r="CH111" s="124">
        <f t="shared" si="37"/>
        <v>22127</v>
      </c>
      <c r="CI111" s="125">
        <f t="shared" si="38"/>
        <v>0</v>
      </c>
      <c r="CJ111" s="126" t="str">
        <f t="shared" si="39"/>
        <v>数据正确</v>
      </c>
    </row>
    <row r="112" s="60" customFormat="1" customHeight="1" spans="2:88">
      <c r="B112" s="70" t="str">
        <f t="shared" si="29"/>
        <v>-</v>
      </c>
      <c r="C112" s="71" t="str">
        <f t="shared" si="30"/>
        <v>-</v>
      </c>
      <c r="D112" s="181">
        <f t="shared" si="31"/>
        <v>0</v>
      </c>
      <c r="E112" s="181">
        <f>SUMIF(服务合同!$L$6:$L$300,L112,服务合同!$E$6:$E$300)</f>
        <v>0</v>
      </c>
      <c r="F112" s="181">
        <f>SUMIF(服务合同!$L$6:$L$300,L112,服务合同!$F$6:$F$300)</f>
        <v>0</v>
      </c>
      <c r="G112" s="181">
        <f>SUMIF(服务合同!$L$6:$L$300,L112,服务合同!$G$6:$G$300)</f>
        <v>0</v>
      </c>
      <c r="H112" s="181">
        <f>SUMIF(服务合同!$L$6:$L$300,L112,服务合同!$H$6:$H$300)</f>
        <v>0</v>
      </c>
      <c r="I112" s="181">
        <f t="shared" si="32"/>
        <v>0</v>
      </c>
      <c r="J112" s="86" t="s">
        <v>98</v>
      </c>
      <c r="K112" s="87"/>
      <c r="L112" s="88">
        <v>107</v>
      </c>
      <c r="M112" s="89" t="str">
        <f>VLOOKUP(L112,服务合同!$L$6:$CC$300,2,0)</f>
        <v>QS-16-071</v>
      </c>
      <c r="N112" s="90" t="str">
        <f>VLOOKUP(L112,服务合同!$L$6:$CC$300,3,0)</f>
        <v>服务合同</v>
      </c>
      <c r="O112" s="265" t="str">
        <f>VLOOKUP(L112,服务合同!$L$6:$CC$300,4,0)</f>
        <v>-</v>
      </c>
      <c r="P112" s="266">
        <f>VLOOKUP(L112,服务合同!$L$6:$CC$300,5,0)</f>
        <v>42551</v>
      </c>
      <c r="Q112" s="275">
        <f>VLOOKUP(L112,服务合同!$L$6:$CC$300,6,0)</f>
        <v>8115</v>
      </c>
      <c r="R112" s="89" t="str">
        <f>VLOOKUP(L112,服务合同!$L$6:$CC$300,7,0)</f>
        <v>建筑工程施工图文件审查</v>
      </c>
      <c r="S112" s="89" t="str">
        <f>VLOOKUP(L112,服务合同!$L$6:$CC$300,8,0)</f>
        <v>泉州市建设工程施工图审查中心有限公司</v>
      </c>
      <c r="T112" s="107">
        <f>VLOOKUP(L112,服务合同!$L$6:$CC$300,9,0)</f>
        <v>0</v>
      </c>
      <c r="U112" s="103" t="str">
        <f>VLOOKUP(L112,服务合同!$L$6:$CC$300,10,0)</f>
        <v>电汇</v>
      </c>
      <c r="V112" s="276" t="str">
        <f>VLOOKUP(L112,服务合同!$L$6:$CC$300,11,0)</f>
        <v>乙方完成施工图意见或报告前，全额付清</v>
      </c>
      <c r="W112" s="102">
        <f>VLOOKUP(L112,服务合同!$L$6:$CC$300,12,0)</f>
        <v>8115</v>
      </c>
      <c r="X112" s="102">
        <f>VLOOKUP(L112,服务合同!$L$6:$CC$300,13,0)</f>
        <v>0</v>
      </c>
      <c r="Y112" s="102">
        <f>VLOOKUP(L112,服务合同!$L$6:$CC$300,14,0)</f>
        <v>0</v>
      </c>
      <c r="Z112" s="102">
        <f>VLOOKUP(L112,服务合同!$L$6:$CC$300,15,0)</f>
        <v>0</v>
      </c>
      <c r="AA112" s="102">
        <f>VLOOKUP(L112,服务合同!$L$6:$CC$300,16,0)</f>
        <v>0</v>
      </c>
      <c r="AB112" s="102">
        <f>VLOOKUP(L112,服务合同!$L$6:$CC$300,17,0)</f>
        <v>0</v>
      </c>
      <c r="AC112" s="102">
        <f>VLOOKUP(L112,服务合同!$L$6:$CC$300,18,0)</f>
        <v>0</v>
      </c>
      <c r="AD112" s="102">
        <f>VLOOKUP(L112,服务合同!$L$6:$CC$300,19,0)</f>
        <v>0</v>
      </c>
      <c r="AE112" s="102">
        <f>VLOOKUP(L112,服务合同!$L$6:$CC$300,20,0)</f>
        <v>0</v>
      </c>
      <c r="AF112" s="102">
        <f>VLOOKUP(L112,服务合同!$L$6:$CC$300,21,0)</f>
        <v>0</v>
      </c>
      <c r="AG112" s="102">
        <f>VLOOKUP(L112,服务合同!$L$6:$CC$300,22,0)</f>
        <v>0</v>
      </c>
      <c r="AH112" s="102">
        <f>VLOOKUP(L112,服务合同!$L$6:$CC$300,23,0)</f>
        <v>0</v>
      </c>
      <c r="AI112" s="102">
        <f>VLOOKUP(L112,服务合同!$L$6:$CC$300,24,0)</f>
        <v>0</v>
      </c>
      <c r="AJ112" s="102">
        <f>VLOOKUP(L112,服务合同!$L$6:$CC$300,25,0)</f>
        <v>0</v>
      </c>
      <c r="AK112" s="102">
        <f>VLOOKUP(L112,服务合同!$L$6:$CC$300,26,0)</f>
        <v>0</v>
      </c>
      <c r="AL112" s="102">
        <f>VLOOKUP(L112,服务合同!$L$6:$CC$300,27,0)</f>
        <v>0</v>
      </c>
      <c r="AM112" s="102">
        <f>VLOOKUP(L112,服务合同!$L$6:$CC$300,28,0)</f>
        <v>0</v>
      </c>
      <c r="AN112" s="102">
        <f>VLOOKUP(L112,服务合同!$L$6:$CC$300,29,0)</f>
        <v>0</v>
      </c>
      <c r="AO112" s="102">
        <f>VLOOKUP(L112,服务合同!$L$6:$CC$300,30,0)</f>
        <v>0</v>
      </c>
      <c r="AP112" s="102">
        <f>VLOOKUP(L112,服务合同!$L$6:$CC$300,31,0)</f>
        <v>0</v>
      </c>
      <c r="AQ112" s="102">
        <f>VLOOKUP(L112,服务合同!$L$6:$CC$300,32,0)</f>
        <v>0</v>
      </c>
      <c r="AR112" s="102">
        <f>VLOOKUP(L112,服务合同!$L$6:$CC$300,33,0)</f>
        <v>0</v>
      </c>
      <c r="AS112" s="102">
        <f>VLOOKUP(L112,服务合同!$L$6:$CC$300,34,0)</f>
        <v>0</v>
      </c>
      <c r="AT112" s="102">
        <f>VLOOKUP(L112,服务合同!$L$6:$CC$300,35,0)</f>
        <v>0</v>
      </c>
      <c r="AU112" s="102">
        <f>VLOOKUP(L112,服务合同!$L$6:$CC$300,36,0)</f>
        <v>0</v>
      </c>
      <c r="AV112" s="102">
        <f>VLOOKUP(L112,服务合同!$L$6:$CC$300,37,0)</f>
        <v>0</v>
      </c>
      <c r="AW112" s="102">
        <f>VLOOKUP(L112,服务合同!$L$6:$CC$300,38,0)</f>
        <v>0</v>
      </c>
      <c r="AX112" s="102">
        <f>VLOOKUP(L112,服务合同!$L$6:$CC$300,39,0)</f>
        <v>0</v>
      </c>
      <c r="AY112" s="102">
        <f>VLOOKUP(L112,服务合同!$L$6:$CC$300,40,0)</f>
        <v>0</v>
      </c>
      <c r="AZ112" s="102">
        <f>VLOOKUP(L112,服务合同!$L$6:$CC$300,41,0)</f>
        <v>0</v>
      </c>
      <c r="BA112" s="102">
        <f>VLOOKUP(L112,服务合同!$L$6:$CC$300,42,0)</f>
        <v>0</v>
      </c>
      <c r="BB112" s="102">
        <f>VLOOKUP(L112,服务合同!$L$6:$CC$300,43,0)</f>
        <v>0</v>
      </c>
      <c r="BC112" s="102">
        <f>VLOOKUP(L112,服务合同!$L$6:$CC$300,44,0)</f>
        <v>0</v>
      </c>
      <c r="BD112" s="102">
        <f>VLOOKUP(L112,服务合同!$L$6:$CC$300,45,0)</f>
        <v>0</v>
      </c>
      <c r="BE112" s="102">
        <f>VLOOKUP(L112,服务合同!$L$6:$CC$300,46,0)</f>
        <v>0</v>
      </c>
      <c r="BF112" s="102">
        <f>VLOOKUP(L112,服务合同!$L$6:$CC$300,47,0)</f>
        <v>0</v>
      </c>
      <c r="BG112" s="102">
        <f>VLOOKUP(L112,服务合同!$L$6:$CC$300,48,0)</f>
        <v>0</v>
      </c>
      <c r="BH112" s="102">
        <f>VLOOKUP(L112,服务合同!$L$6:$CC$300,49,0)</f>
        <v>0</v>
      </c>
      <c r="BI112" s="102">
        <f>VLOOKUP(L112,服务合同!$L$6:$CC$300,50,0)</f>
        <v>0</v>
      </c>
      <c r="BJ112" s="102">
        <f>VLOOKUP(L112,服务合同!$L$6:$CC$300,51,0)</f>
        <v>0</v>
      </c>
      <c r="BK112" s="102">
        <f>VLOOKUP(L112,服务合同!$L$6:$CC$300,52,0)</f>
        <v>0</v>
      </c>
      <c r="BL112" s="102">
        <f>VLOOKUP(L112,服务合同!$L$6:$CC$300,53,0)</f>
        <v>0</v>
      </c>
      <c r="BM112" s="102">
        <f>VLOOKUP(L112,服务合同!$L$6:$CC$300,54,0)</f>
        <v>0</v>
      </c>
      <c r="BN112" s="102">
        <f>VLOOKUP(L112,服务合同!$L$6:$CC$300,55,0)</f>
        <v>0</v>
      </c>
      <c r="BO112" s="102">
        <f>VLOOKUP(L112,服务合同!$L$6:$CC$300,56,0)</f>
        <v>0</v>
      </c>
      <c r="BP112" s="102">
        <f>VLOOKUP(L112,服务合同!$L$6:$CC$300,57,0)</f>
        <v>0</v>
      </c>
      <c r="BQ112" s="102">
        <f>VLOOKUP(L112,服务合同!$L$6:$CC$300,58,0)</f>
        <v>0</v>
      </c>
      <c r="BR112" s="102">
        <f>VLOOKUP(L112,服务合同!$L$6:$CC$300,59,0)</f>
        <v>0</v>
      </c>
      <c r="BS112" s="102">
        <f>VLOOKUP(L112,服务合同!$L$6:$CC$300,60,0)</f>
        <v>0</v>
      </c>
      <c r="BT112" s="102">
        <f>VLOOKUP(L112,服务合同!$L$6:$CC$300,61,0)</f>
        <v>0</v>
      </c>
      <c r="BU112" s="102">
        <f>VLOOKUP(L112,服务合同!$L$6:$CC$300,62,0)</f>
        <v>0</v>
      </c>
      <c r="BV112" s="102">
        <f>VLOOKUP(L112,服务合同!$L$6:$CC$300,63,0)</f>
        <v>0</v>
      </c>
      <c r="BW112" s="102">
        <f>VLOOKUP(L112,服务合同!$L$6:$CC$300,64,0)</f>
        <v>0</v>
      </c>
      <c r="BX112" s="102">
        <f>VLOOKUP(L112,服务合同!$L$6:$CC$300,65,0)</f>
        <v>0</v>
      </c>
      <c r="BY112" s="102">
        <f>VLOOKUP(L112,服务合同!$L$6:$CC$300,66,0)</f>
        <v>0</v>
      </c>
      <c r="BZ112" s="102">
        <f>VLOOKUP(L112,服务合同!$L$6:$CC$300,67,0)</f>
        <v>0</v>
      </c>
      <c r="CA112" s="102">
        <f>VLOOKUP(L112,服务合同!$L$6:$CC$300,68,0)</f>
        <v>0</v>
      </c>
      <c r="CB112" s="102">
        <f>VLOOKUP(L112,服务合同!$L$6:$CC$300,69,0)</f>
        <v>0</v>
      </c>
      <c r="CC112" s="102">
        <f>VLOOKUP(L112,服务合同!$L$6:$CC$300,70,0)</f>
        <v>0</v>
      </c>
      <c r="CD112" s="123">
        <f t="shared" si="33"/>
        <v>8115</v>
      </c>
      <c r="CE112" s="102">
        <f t="shared" si="34"/>
        <v>0</v>
      </c>
      <c r="CF112" s="102">
        <f t="shared" si="35"/>
        <v>0</v>
      </c>
      <c r="CG112" s="102">
        <f t="shared" si="36"/>
        <v>0</v>
      </c>
      <c r="CH112" s="124">
        <f t="shared" si="37"/>
        <v>8115</v>
      </c>
      <c r="CI112" s="125">
        <f t="shared" si="38"/>
        <v>0</v>
      </c>
      <c r="CJ112" s="126" t="str">
        <f t="shared" si="39"/>
        <v>数据正确</v>
      </c>
    </row>
    <row r="113" s="60" customFormat="1" customHeight="1" spans="2:88">
      <c r="B113" s="70" t="str">
        <f t="shared" si="29"/>
        <v>-</v>
      </c>
      <c r="C113" s="71" t="str">
        <f t="shared" si="30"/>
        <v>-</v>
      </c>
      <c r="D113" s="181">
        <f t="shared" si="31"/>
        <v>24694</v>
      </c>
      <c r="E113" s="181">
        <f>SUMIF(服务合同!$L$6:$L$300,L113,服务合同!$E$6:$E$300)</f>
        <v>0</v>
      </c>
      <c r="F113" s="181">
        <f>SUMIF(服务合同!$L$6:$L$300,L113,服务合同!$F$6:$F$300)</f>
        <v>0</v>
      </c>
      <c r="G113" s="181">
        <f>SUMIF(服务合同!$L$6:$L$300,L113,服务合同!$G$6:$G$300)</f>
        <v>0</v>
      </c>
      <c r="H113" s="181">
        <f>SUMIF(服务合同!$L$6:$L$300,L113,服务合同!$H$6:$H$300)</f>
        <v>0</v>
      </c>
      <c r="I113" s="181">
        <f t="shared" si="32"/>
        <v>0</v>
      </c>
      <c r="J113" s="86" t="s">
        <v>98</v>
      </c>
      <c r="K113" s="87"/>
      <c r="L113" s="88">
        <v>108</v>
      </c>
      <c r="M113" s="89" t="str">
        <f>VLOOKUP(L113,服务合同!$L$6:$CC$300,2,0)</f>
        <v>QS-16-152</v>
      </c>
      <c r="N113" s="90" t="str">
        <f>VLOOKUP(L113,服务合同!$L$6:$CC$300,3,0)</f>
        <v>服务合同</v>
      </c>
      <c r="O113" s="265" t="str">
        <f>VLOOKUP(L113,服务合同!$L$6:$CC$300,4,0)</f>
        <v>-</v>
      </c>
      <c r="P113" s="266">
        <f>VLOOKUP(L113,服务合同!$L$6:$CC$300,5,0)</f>
        <v>42704</v>
      </c>
      <c r="Q113" s="275">
        <f>VLOOKUP(L113,服务合同!$L$6:$CC$300,6,0)</f>
        <v>28461</v>
      </c>
      <c r="R113" s="89" t="str">
        <f>VLOOKUP(L113,服务合同!$L$6:$CC$300,7,0)</f>
        <v>建筑工程施工图文件审查</v>
      </c>
      <c r="S113" s="89" t="str">
        <f>VLOOKUP(L113,服务合同!$L$6:$CC$300,8,0)</f>
        <v>泉州市建设工程施工图审查中心有限公司</v>
      </c>
      <c r="T113" s="107">
        <f>VLOOKUP(L113,服务合同!$L$6:$CC$300,9,0)</f>
        <v>0</v>
      </c>
      <c r="U113" s="103" t="str">
        <f>VLOOKUP(L113,服务合同!$L$6:$CC$300,10,0)</f>
        <v>电汇</v>
      </c>
      <c r="V113" s="276" t="str">
        <f>VLOOKUP(L113,服务合同!$L$6:$CC$300,11,0)</f>
        <v>乙方完成施工图意见或报告前，全额付清</v>
      </c>
      <c r="W113" s="102">
        <f>VLOOKUP(L113,服务合同!$L$6:$CC$300,12,0)</f>
        <v>28461</v>
      </c>
      <c r="X113" s="102">
        <f>VLOOKUP(L113,服务合同!$L$6:$CC$300,13,0)</f>
        <v>24694</v>
      </c>
      <c r="Y113" s="102">
        <f>VLOOKUP(L113,服务合同!$L$6:$CC$300,14,0)</f>
        <v>24694</v>
      </c>
      <c r="Z113" s="102">
        <f>VLOOKUP(L113,服务合同!$L$6:$CC$300,15,0)</f>
        <v>0</v>
      </c>
      <c r="AA113" s="102">
        <f>VLOOKUP(L113,服务合同!$L$6:$CC$300,16,0)</f>
        <v>0</v>
      </c>
      <c r="AB113" s="102">
        <f>VLOOKUP(L113,服务合同!$L$6:$CC$300,17,0)</f>
        <v>0</v>
      </c>
      <c r="AC113" s="102">
        <f>VLOOKUP(L113,服务合同!$L$6:$CC$300,18,0)</f>
        <v>0</v>
      </c>
      <c r="AD113" s="102">
        <f>VLOOKUP(L113,服务合同!$L$6:$CC$300,19,0)</f>
        <v>0</v>
      </c>
      <c r="AE113" s="102">
        <f>VLOOKUP(L113,服务合同!$L$6:$CC$300,20,0)</f>
        <v>0</v>
      </c>
      <c r="AF113" s="102">
        <f>VLOOKUP(L113,服务合同!$L$6:$CC$300,21,0)</f>
        <v>0</v>
      </c>
      <c r="AG113" s="102">
        <f>VLOOKUP(L113,服务合同!$L$6:$CC$300,22,0)</f>
        <v>0</v>
      </c>
      <c r="AH113" s="102">
        <f>VLOOKUP(L113,服务合同!$L$6:$CC$300,23,0)</f>
        <v>0</v>
      </c>
      <c r="AI113" s="102">
        <f>VLOOKUP(L113,服务合同!$L$6:$CC$300,24,0)</f>
        <v>0</v>
      </c>
      <c r="AJ113" s="102">
        <f>VLOOKUP(L113,服务合同!$L$6:$CC$300,25,0)</f>
        <v>0</v>
      </c>
      <c r="AK113" s="102">
        <f>VLOOKUP(L113,服务合同!$L$6:$CC$300,26,0)</f>
        <v>0</v>
      </c>
      <c r="AL113" s="102">
        <f>VLOOKUP(L113,服务合同!$L$6:$CC$300,27,0)</f>
        <v>0</v>
      </c>
      <c r="AM113" s="102">
        <f>VLOOKUP(L113,服务合同!$L$6:$CC$300,28,0)</f>
        <v>0</v>
      </c>
      <c r="AN113" s="102">
        <f>VLOOKUP(L113,服务合同!$L$6:$CC$300,29,0)</f>
        <v>0</v>
      </c>
      <c r="AO113" s="102">
        <f>VLOOKUP(L113,服务合同!$L$6:$CC$300,30,0)</f>
        <v>0</v>
      </c>
      <c r="AP113" s="102">
        <f>VLOOKUP(L113,服务合同!$L$6:$CC$300,31,0)</f>
        <v>0</v>
      </c>
      <c r="AQ113" s="102">
        <f>VLOOKUP(L113,服务合同!$L$6:$CC$300,32,0)</f>
        <v>0</v>
      </c>
      <c r="AR113" s="102">
        <f>VLOOKUP(L113,服务合同!$L$6:$CC$300,33,0)</f>
        <v>0</v>
      </c>
      <c r="AS113" s="102">
        <f>VLOOKUP(L113,服务合同!$L$6:$CC$300,34,0)</f>
        <v>0</v>
      </c>
      <c r="AT113" s="102">
        <f>VLOOKUP(L113,服务合同!$L$6:$CC$300,35,0)</f>
        <v>0</v>
      </c>
      <c r="AU113" s="102">
        <f>VLOOKUP(L113,服务合同!$L$6:$CC$300,36,0)</f>
        <v>0</v>
      </c>
      <c r="AV113" s="102">
        <f>VLOOKUP(L113,服务合同!$L$6:$CC$300,37,0)</f>
        <v>0</v>
      </c>
      <c r="AW113" s="102">
        <f>VLOOKUP(L113,服务合同!$L$6:$CC$300,38,0)</f>
        <v>0</v>
      </c>
      <c r="AX113" s="102">
        <f>VLOOKUP(L113,服务合同!$L$6:$CC$300,39,0)</f>
        <v>0</v>
      </c>
      <c r="AY113" s="102">
        <f>VLOOKUP(L113,服务合同!$L$6:$CC$300,40,0)</f>
        <v>0</v>
      </c>
      <c r="AZ113" s="102">
        <f>VLOOKUP(L113,服务合同!$L$6:$CC$300,41,0)</f>
        <v>0</v>
      </c>
      <c r="BA113" s="102">
        <f>VLOOKUP(L113,服务合同!$L$6:$CC$300,42,0)</f>
        <v>0</v>
      </c>
      <c r="BB113" s="102">
        <f>VLOOKUP(L113,服务合同!$L$6:$CC$300,43,0)</f>
        <v>0</v>
      </c>
      <c r="BC113" s="102">
        <f>VLOOKUP(L113,服务合同!$L$6:$CC$300,44,0)</f>
        <v>0</v>
      </c>
      <c r="BD113" s="102">
        <f>VLOOKUP(L113,服务合同!$L$6:$CC$300,45,0)</f>
        <v>0</v>
      </c>
      <c r="BE113" s="102">
        <f>VLOOKUP(L113,服务合同!$L$6:$CC$300,46,0)</f>
        <v>0</v>
      </c>
      <c r="BF113" s="102">
        <f>VLOOKUP(L113,服务合同!$L$6:$CC$300,47,0)</f>
        <v>0</v>
      </c>
      <c r="BG113" s="102">
        <f>VLOOKUP(L113,服务合同!$L$6:$CC$300,48,0)</f>
        <v>0</v>
      </c>
      <c r="BH113" s="102">
        <f>VLOOKUP(L113,服务合同!$L$6:$CC$300,49,0)</f>
        <v>0</v>
      </c>
      <c r="BI113" s="102">
        <f>VLOOKUP(L113,服务合同!$L$6:$CC$300,50,0)</f>
        <v>0</v>
      </c>
      <c r="BJ113" s="102">
        <f>VLOOKUP(L113,服务合同!$L$6:$CC$300,51,0)</f>
        <v>0</v>
      </c>
      <c r="BK113" s="102">
        <f>VLOOKUP(L113,服务合同!$L$6:$CC$300,52,0)</f>
        <v>0</v>
      </c>
      <c r="BL113" s="102">
        <f>VLOOKUP(L113,服务合同!$L$6:$CC$300,53,0)</f>
        <v>0</v>
      </c>
      <c r="BM113" s="102">
        <f>VLOOKUP(L113,服务合同!$L$6:$CC$300,54,0)</f>
        <v>0</v>
      </c>
      <c r="BN113" s="102">
        <f>VLOOKUP(L113,服务合同!$L$6:$CC$300,55,0)</f>
        <v>0</v>
      </c>
      <c r="BO113" s="102">
        <f>VLOOKUP(L113,服务合同!$L$6:$CC$300,56,0)</f>
        <v>0</v>
      </c>
      <c r="BP113" s="102">
        <f>VLOOKUP(L113,服务合同!$L$6:$CC$300,57,0)</f>
        <v>0</v>
      </c>
      <c r="BQ113" s="102">
        <f>VLOOKUP(L113,服务合同!$L$6:$CC$300,58,0)</f>
        <v>0</v>
      </c>
      <c r="BR113" s="102">
        <f>VLOOKUP(L113,服务合同!$L$6:$CC$300,59,0)</f>
        <v>0</v>
      </c>
      <c r="BS113" s="102">
        <f>VLOOKUP(L113,服务合同!$L$6:$CC$300,60,0)</f>
        <v>0</v>
      </c>
      <c r="BT113" s="102">
        <f>VLOOKUP(L113,服务合同!$L$6:$CC$300,61,0)</f>
        <v>0</v>
      </c>
      <c r="BU113" s="102">
        <f>VLOOKUP(L113,服务合同!$L$6:$CC$300,62,0)</f>
        <v>0</v>
      </c>
      <c r="BV113" s="102">
        <f>VLOOKUP(L113,服务合同!$L$6:$CC$300,63,0)</f>
        <v>0</v>
      </c>
      <c r="BW113" s="102">
        <f>VLOOKUP(L113,服务合同!$L$6:$CC$300,64,0)</f>
        <v>0</v>
      </c>
      <c r="BX113" s="102">
        <f>VLOOKUP(L113,服务合同!$L$6:$CC$300,65,0)</f>
        <v>0</v>
      </c>
      <c r="BY113" s="102">
        <f>VLOOKUP(L113,服务合同!$L$6:$CC$300,66,0)</f>
        <v>0</v>
      </c>
      <c r="BZ113" s="102">
        <f>VLOOKUP(L113,服务合同!$L$6:$CC$300,67,0)</f>
        <v>0</v>
      </c>
      <c r="CA113" s="102">
        <f>VLOOKUP(L113,服务合同!$L$6:$CC$300,68,0)</f>
        <v>0</v>
      </c>
      <c r="CB113" s="102">
        <f>VLOOKUP(L113,服务合同!$L$6:$CC$300,69,0)</f>
        <v>0</v>
      </c>
      <c r="CC113" s="102">
        <f>VLOOKUP(L113,服务合同!$L$6:$CC$300,70,0)</f>
        <v>0</v>
      </c>
      <c r="CD113" s="123">
        <f t="shared" si="33"/>
        <v>28461</v>
      </c>
      <c r="CE113" s="102">
        <f t="shared" si="34"/>
        <v>24694</v>
      </c>
      <c r="CF113" s="102">
        <f t="shared" si="35"/>
        <v>24694</v>
      </c>
      <c r="CG113" s="102">
        <f t="shared" si="36"/>
        <v>0</v>
      </c>
      <c r="CH113" s="124">
        <f t="shared" si="37"/>
        <v>3767</v>
      </c>
      <c r="CI113" s="125">
        <f t="shared" si="38"/>
        <v>0.867643441902955</v>
      </c>
      <c r="CJ113" s="126" t="str">
        <f t="shared" si="39"/>
        <v>数据正确</v>
      </c>
    </row>
    <row r="114" s="60" customFormat="1" customHeight="1" spans="2:88">
      <c r="B114" s="70" t="str">
        <f t="shared" si="29"/>
        <v>-</v>
      </c>
      <c r="C114" s="71" t="str">
        <f t="shared" si="30"/>
        <v>-</v>
      </c>
      <c r="D114" s="181">
        <f t="shared" si="31"/>
        <v>108735</v>
      </c>
      <c r="E114" s="181">
        <f>SUMIF(设备合同!$L$6:$L$302,L114,设备合同!$E$6:$E$302)</f>
        <v>0</v>
      </c>
      <c r="F114" s="181">
        <f>SUMIF(设备合同!$L$6:$L$302,L114,设备合同!$F$6:$F$302)</f>
        <v>0</v>
      </c>
      <c r="G114" s="181">
        <f>SUMIF(设备合同!$L$6:$L$302,L114,设备合同!$G$6:$G$302)</f>
        <v>0</v>
      </c>
      <c r="H114" s="181">
        <f>SUMIF(设备合同!$L$6:$L$302,L114,设备合同!$H$6:$H$302)</f>
        <v>0</v>
      </c>
      <c r="I114" s="181">
        <f t="shared" si="32"/>
        <v>0</v>
      </c>
      <c r="J114" s="86" t="s">
        <v>98</v>
      </c>
      <c r="K114" s="87"/>
      <c r="L114" s="88">
        <v>109</v>
      </c>
      <c r="M114" s="89" t="str">
        <f>VLOOKUP(L114,设备合同!$L$6:$CC$302,2,0)</f>
        <v>YRSHEQ-150004</v>
      </c>
      <c r="N114" s="90" t="str">
        <f>VLOOKUP(L114,设备合同!$L$6:$CC$302,3,0)</f>
        <v>设备合同</v>
      </c>
      <c r="O114" s="265" t="str">
        <f>VLOOKUP(L114,设备合同!$L$6:$CC$302,4,0)</f>
        <v>-</v>
      </c>
      <c r="P114" s="266">
        <f>VLOOKUP(L114,设备合同!$L$6:$CC$302,5,0)</f>
        <v>42091</v>
      </c>
      <c r="Q114" s="275">
        <f>VLOOKUP(L114,设备合同!$L$6:$CC$302,6,0)</f>
        <v>144980</v>
      </c>
      <c r="R114" s="89" t="str">
        <f>VLOOKUP(L114,设备合同!$L$6:$CC$302,7,0)</f>
        <v>低压配电柜11台</v>
      </c>
      <c r="S114" s="89" t="str">
        <f>VLOOKUP(L114,设备合同!$L$6:$CC$302,8,0)</f>
        <v>福州福大自动化科技有限公司</v>
      </c>
      <c r="T114" s="107">
        <f>VLOOKUP(L114,设备合同!$L$6:$CC$302,9,0)</f>
        <v>0</v>
      </c>
      <c r="U114" s="103" t="str">
        <f>VLOOKUP(L114,设备合同!$L$6:$CC$302,10,0)</f>
        <v>承兑汇票</v>
      </c>
      <c r="V114" s="276" t="str">
        <f>VLOOKUP(L114,设备合同!$L$6:$CC$302,11,0)</f>
        <v>货到交货地点验收合格支付95%</v>
      </c>
      <c r="W114" s="102">
        <f>VLOOKUP(L114,设备合同!$L$6:$CC$302,12,0)</f>
        <v>137731</v>
      </c>
      <c r="X114" s="102">
        <f>VLOOKUP(L114,设备合同!$L$6:$CC$302,13,0)</f>
        <v>108735</v>
      </c>
      <c r="Y114" s="102">
        <f>VLOOKUP(L114,设备合同!$L$6:$CC$302,14,0)</f>
        <v>108735</v>
      </c>
      <c r="Z114" s="102" t="str">
        <f>VLOOKUP(L114,设备合同!$L$6:$CC$302,15,0)</f>
        <v>5%质保金</v>
      </c>
      <c r="AA114" s="102">
        <f>VLOOKUP(L114,设备合同!$L$6:$CC$302,16,0)</f>
        <v>7249</v>
      </c>
      <c r="AB114" s="102">
        <f>VLOOKUP(L114,设备合同!$L$6:$CC$302,17,0)</f>
        <v>0</v>
      </c>
      <c r="AC114" s="102">
        <f>VLOOKUP(L114,设备合同!$L$6:$CC$302,18,0)</f>
        <v>0</v>
      </c>
      <c r="AD114" s="102">
        <f>VLOOKUP(L114,设备合同!$L$6:$CC$302,19,0)</f>
        <v>0</v>
      </c>
      <c r="AE114" s="102">
        <f>VLOOKUP(L114,设备合同!$L$6:$CC$302,20,0)</f>
        <v>0</v>
      </c>
      <c r="AF114" s="102">
        <f>VLOOKUP(L114,设备合同!$L$6:$CC$302,21,0)</f>
        <v>0</v>
      </c>
      <c r="AG114" s="102">
        <f>VLOOKUP(L114,设备合同!$L$6:$CC$302,22,0)</f>
        <v>0</v>
      </c>
      <c r="AH114" s="102">
        <f>VLOOKUP(L114,设备合同!$L$6:$CC$302,23,0)</f>
        <v>0</v>
      </c>
      <c r="AI114" s="102">
        <f>VLOOKUP(L114,设备合同!$L$6:$CC$302,24,0)</f>
        <v>0</v>
      </c>
      <c r="AJ114" s="102">
        <f>VLOOKUP(L114,设备合同!$L$6:$CC$302,25,0)</f>
        <v>0</v>
      </c>
      <c r="AK114" s="102">
        <f>VLOOKUP(L114,设备合同!$L$6:$CC$302,26,0)</f>
        <v>0</v>
      </c>
      <c r="AL114" s="102">
        <f>VLOOKUP(L114,设备合同!$L$6:$CC$302,27,0)</f>
        <v>0</v>
      </c>
      <c r="AM114" s="102">
        <f>VLOOKUP(L114,设备合同!$L$6:$CC$302,28,0)</f>
        <v>0</v>
      </c>
      <c r="AN114" s="102">
        <f>VLOOKUP(L114,设备合同!$L$6:$CC$302,29,0)</f>
        <v>0</v>
      </c>
      <c r="AO114" s="102">
        <f>VLOOKUP(L114,设备合同!$L$6:$CC$302,30,0)</f>
        <v>0</v>
      </c>
      <c r="AP114" s="102">
        <f>VLOOKUP(L114,设备合同!$L$6:$CC$302,31,0)</f>
        <v>0</v>
      </c>
      <c r="AQ114" s="102">
        <f>VLOOKUP(L114,设备合同!$L$6:$CC$302,32,0)</f>
        <v>0</v>
      </c>
      <c r="AR114" s="102">
        <f>VLOOKUP(L114,设备合同!$L$6:$CC$302,33,0)</f>
        <v>0</v>
      </c>
      <c r="AS114" s="102">
        <f>VLOOKUP(L114,设备合同!$L$6:$CC$302,34,0)</f>
        <v>0</v>
      </c>
      <c r="AT114" s="102">
        <f>VLOOKUP(L114,设备合同!$L$6:$CC$302,35,0)</f>
        <v>0</v>
      </c>
      <c r="AU114" s="102">
        <f>VLOOKUP(L114,设备合同!$L$6:$CC$302,36,0)</f>
        <v>0</v>
      </c>
      <c r="AV114" s="102">
        <f>VLOOKUP(L114,设备合同!$L$6:$CC$302,37,0)</f>
        <v>0</v>
      </c>
      <c r="AW114" s="102">
        <f>VLOOKUP(L114,设备合同!$L$6:$CC$302,38,0)</f>
        <v>0</v>
      </c>
      <c r="AX114" s="102">
        <f>VLOOKUP(L114,设备合同!$L$6:$CC$302,39,0)</f>
        <v>0</v>
      </c>
      <c r="AY114" s="102">
        <f>VLOOKUP(L114,设备合同!$L$6:$CC$302,40,0)</f>
        <v>0</v>
      </c>
      <c r="AZ114" s="102">
        <f>VLOOKUP(L114,设备合同!$L$6:$CC$302,41,0)</f>
        <v>0</v>
      </c>
      <c r="BA114" s="102">
        <f>VLOOKUP(L114,设备合同!$L$6:$CC$302,42,0)</f>
        <v>0</v>
      </c>
      <c r="BB114" s="102">
        <f>VLOOKUP(L114,设备合同!$L$6:$CC$302,43,0)</f>
        <v>0</v>
      </c>
      <c r="BC114" s="102">
        <f>VLOOKUP(L114,设备合同!$L$6:$CC$302,44,0)</f>
        <v>0</v>
      </c>
      <c r="BD114" s="102">
        <f>VLOOKUP(L114,设备合同!$L$6:$CC$302,45,0)</f>
        <v>0</v>
      </c>
      <c r="BE114" s="102">
        <f>VLOOKUP(L114,设备合同!$L$6:$CC$302,46,0)</f>
        <v>0</v>
      </c>
      <c r="BF114" s="102">
        <f>VLOOKUP(L114,设备合同!$L$6:$CC$302,47,0)</f>
        <v>0</v>
      </c>
      <c r="BG114" s="102">
        <f>VLOOKUP(L114,设备合同!$L$6:$CC$302,48,0)</f>
        <v>0</v>
      </c>
      <c r="BH114" s="102">
        <f>VLOOKUP(L114,设备合同!$L$6:$CC$302,49,0)</f>
        <v>0</v>
      </c>
      <c r="BI114" s="102">
        <f>VLOOKUP(L114,设备合同!$L$6:$CC$302,50,0)</f>
        <v>0</v>
      </c>
      <c r="BJ114" s="102">
        <f>VLOOKUP(L114,设备合同!$L$6:$CC$302,51,0)</f>
        <v>0</v>
      </c>
      <c r="BK114" s="102">
        <f>VLOOKUP(L114,设备合同!$L$6:$CC$302,52,0)</f>
        <v>0</v>
      </c>
      <c r="BL114" s="102">
        <f>VLOOKUP(L114,设备合同!$L$6:$CC$302,53,0)</f>
        <v>0</v>
      </c>
      <c r="BM114" s="102">
        <f>VLOOKUP(L114,设备合同!$L$6:$CC$302,54,0)</f>
        <v>0</v>
      </c>
      <c r="BN114" s="102">
        <f>VLOOKUP(L114,设备合同!$L$6:$CC$302,55,0)</f>
        <v>0</v>
      </c>
      <c r="BO114" s="102">
        <f>VLOOKUP(L114,设备合同!$L$6:$CC$302,56,0)</f>
        <v>0</v>
      </c>
      <c r="BP114" s="102">
        <f>VLOOKUP(L114,设备合同!$L$6:$CC$302,57,0)</f>
        <v>0</v>
      </c>
      <c r="BQ114" s="102">
        <f>VLOOKUP(L114,设备合同!$L$6:$CC$302,58,0)</f>
        <v>0</v>
      </c>
      <c r="BR114" s="102">
        <f>VLOOKUP(L114,设备合同!$L$6:$CC$302,59,0)</f>
        <v>0</v>
      </c>
      <c r="BS114" s="102">
        <f>VLOOKUP(L114,设备合同!$L$6:$CC$302,60,0)</f>
        <v>0</v>
      </c>
      <c r="BT114" s="102">
        <f>VLOOKUP(L114,设备合同!$L$6:$CC$302,61,0)</f>
        <v>0</v>
      </c>
      <c r="BU114" s="102">
        <f>VLOOKUP(L114,设备合同!$L$6:$CC$302,62,0)</f>
        <v>0</v>
      </c>
      <c r="BV114" s="102">
        <f>VLOOKUP(L114,设备合同!$L$6:$CC$302,63,0)</f>
        <v>0</v>
      </c>
      <c r="BW114" s="102">
        <f>VLOOKUP(L114,设备合同!$L$6:$CC$302,64,0)</f>
        <v>0</v>
      </c>
      <c r="BX114" s="102">
        <f>VLOOKUP(L114,设备合同!$L$6:$CC$302,65,0)</f>
        <v>0</v>
      </c>
      <c r="BY114" s="102">
        <f>VLOOKUP(L114,设备合同!$L$6:$CC$302,66,0)</f>
        <v>0</v>
      </c>
      <c r="BZ114" s="102">
        <f>VLOOKUP(L114,设备合同!$L$6:$CC$302,67,0)</f>
        <v>0</v>
      </c>
      <c r="CA114" s="102">
        <f>VLOOKUP(L114,设备合同!$L$6:$CC$302,68,0)</f>
        <v>0</v>
      </c>
      <c r="CB114" s="102">
        <f>VLOOKUP(L114,设备合同!$L$6:$CC$302,69,0)</f>
        <v>0</v>
      </c>
      <c r="CC114" s="102">
        <f>VLOOKUP(L114,设备合同!$L$6:$CC$302,70,0)</f>
        <v>0</v>
      </c>
      <c r="CD114" s="123">
        <f t="shared" si="33"/>
        <v>144980</v>
      </c>
      <c r="CE114" s="102">
        <f t="shared" si="34"/>
        <v>108735</v>
      </c>
      <c r="CF114" s="102">
        <f t="shared" si="35"/>
        <v>108735</v>
      </c>
      <c r="CG114" s="102">
        <f t="shared" si="36"/>
        <v>0</v>
      </c>
      <c r="CH114" s="124">
        <f t="shared" si="37"/>
        <v>36245</v>
      </c>
      <c r="CI114" s="125">
        <f t="shared" si="38"/>
        <v>0.75</v>
      </c>
      <c r="CJ114" s="126" t="str">
        <f t="shared" si="39"/>
        <v>数据正确</v>
      </c>
    </row>
    <row r="115" s="60" customFormat="1" customHeight="1" spans="2:88">
      <c r="B115" s="70" t="str">
        <f t="shared" si="29"/>
        <v>-</v>
      </c>
      <c r="C115" s="71" t="str">
        <f t="shared" si="30"/>
        <v>-</v>
      </c>
      <c r="D115" s="181">
        <f t="shared" si="31"/>
        <v>388835</v>
      </c>
      <c r="E115" s="181">
        <f>SUMIF(设备合同!$L$6:$L$302,L115,设备合同!$E$6:$E$302)</f>
        <v>0</v>
      </c>
      <c r="F115" s="181">
        <f>SUMIF(设备合同!$L$6:$L$302,L115,设备合同!$F$6:$F$302)</f>
        <v>0</v>
      </c>
      <c r="G115" s="181">
        <f>SUMIF(设备合同!$L$6:$L$302,L115,设备合同!$G$6:$G$302)</f>
        <v>0</v>
      </c>
      <c r="H115" s="181">
        <f>SUMIF(设备合同!$L$6:$L$302,L115,设备合同!$H$6:$H$302)</f>
        <v>0</v>
      </c>
      <c r="I115" s="181">
        <f t="shared" si="32"/>
        <v>0</v>
      </c>
      <c r="J115" s="86" t="s">
        <v>98</v>
      </c>
      <c r="K115" s="87"/>
      <c r="L115" s="88">
        <v>110</v>
      </c>
      <c r="M115" s="89" t="str">
        <f>VLOOKUP(L115,设备合同!$L$6:$CC$302,2,0)</f>
        <v>物-X150302430号</v>
      </c>
      <c r="N115" s="90" t="str">
        <f>VLOOKUP(L115,设备合同!$L$6:$CC$302,3,0)</f>
        <v>设备合同</v>
      </c>
      <c r="O115" s="265" t="str">
        <f>VLOOKUP(L115,设备合同!$L$6:$CC$302,4,0)</f>
        <v>-</v>
      </c>
      <c r="P115" s="266">
        <f>VLOOKUP(L115,设备合同!$L$6:$CC$302,5,0)</f>
        <v>42240</v>
      </c>
      <c r="Q115" s="275">
        <f>VLOOKUP(L115,设备合同!$L$6:$CC$302,6,0)</f>
        <v>409300</v>
      </c>
      <c r="R115" s="89" t="str">
        <f>VLOOKUP(L115,设备合同!$L$6:$CC$302,7,0)</f>
        <v>油变10台、分界式断路器1台</v>
      </c>
      <c r="S115" s="89" t="str">
        <f>VLOOKUP(L115,设备合同!$L$6:$CC$302,8,0)</f>
        <v>莆田亿力电力物资有限公司</v>
      </c>
      <c r="T115" s="107">
        <f>VLOOKUP(L115,设备合同!$L$6:$CC$302,9,0)</f>
        <v>0</v>
      </c>
      <c r="U115" s="103" t="str">
        <f>VLOOKUP(L115,设备合同!$L$6:$CC$302,10,0)</f>
        <v>承兑汇票</v>
      </c>
      <c r="V115" s="276" t="str">
        <f>VLOOKUP(L115,设备合同!$L$6:$CC$302,11,0)</f>
        <v>货到交货地点验收合格支付95%</v>
      </c>
      <c r="W115" s="102">
        <f>VLOOKUP(L115,设备合同!$L$6:$CC$302,12,0)</f>
        <v>388835</v>
      </c>
      <c r="X115" s="102">
        <f>VLOOKUP(L115,设备合同!$L$6:$CC$302,13,0)</f>
        <v>388835</v>
      </c>
      <c r="Y115" s="102">
        <f>VLOOKUP(L115,设备合同!$L$6:$CC$302,14,0)</f>
        <v>388835</v>
      </c>
      <c r="Z115" s="102" t="str">
        <f>VLOOKUP(L115,设备合同!$L$6:$CC$302,15,0)</f>
        <v>5%质保金1年</v>
      </c>
      <c r="AA115" s="102">
        <f>VLOOKUP(L115,设备合同!$L$6:$CC$302,16,0)</f>
        <v>20465</v>
      </c>
      <c r="AB115" s="102">
        <f>VLOOKUP(L115,设备合同!$L$6:$CC$302,17,0)</f>
        <v>0</v>
      </c>
      <c r="AC115" s="102">
        <f>VLOOKUP(L115,设备合同!$L$6:$CC$302,18,0)</f>
        <v>0</v>
      </c>
      <c r="AD115" s="102">
        <f>VLOOKUP(L115,设备合同!$L$6:$CC$302,19,0)</f>
        <v>0</v>
      </c>
      <c r="AE115" s="102">
        <f>VLOOKUP(L115,设备合同!$L$6:$CC$302,20,0)</f>
        <v>0</v>
      </c>
      <c r="AF115" s="102">
        <f>VLOOKUP(L115,设备合同!$L$6:$CC$302,21,0)</f>
        <v>0</v>
      </c>
      <c r="AG115" s="102">
        <f>VLOOKUP(L115,设备合同!$L$6:$CC$302,22,0)</f>
        <v>0</v>
      </c>
      <c r="AH115" s="102">
        <f>VLOOKUP(L115,设备合同!$L$6:$CC$302,23,0)</f>
        <v>0</v>
      </c>
      <c r="AI115" s="102">
        <f>VLOOKUP(L115,设备合同!$L$6:$CC$302,24,0)</f>
        <v>0</v>
      </c>
      <c r="AJ115" s="102">
        <f>VLOOKUP(L115,设备合同!$L$6:$CC$302,25,0)</f>
        <v>0</v>
      </c>
      <c r="AK115" s="102">
        <f>VLOOKUP(L115,设备合同!$L$6:$CC$302,26,0)</f>
        <v>0</v>
      </c>
      <c r="AL115" s="102">
        <f>VLOOKUP(L115,设备合同!$L$6:$CC$302,27,0)</f>
        <v>0</v>
      </c>
      <c r="AM115" s="102">
        <f>VLOOKUP(L115,设备合同!$L$6:$CC$302,28,0)</f>
        <v>0</v>
      </c>
      <c r="AN115" s="102">
        <f>VLOOKUP(L115,设备合同!$L$6:$CC$302,29,0)</f>
        <v>0</v>
      </c>
      <c r="AO115" s="102">
        <f>VLOOKUP(L115,设备合同!$L$6:$CC$302,30,0)</f>
        <v>0</v>
      </c>
      <c r="AP115" s="102">
        <f>VLOOKUP(L115,设备合同!$L$6:$CC$302,31,0)</f>
        <v>0</v>
      </c>
      <c r="AQ115" s="102">
        <f>VLOOKUP(L115,设备合同!$L$6:$CC$302,32,0)</f>
        <v>0</v>
      </c>
      <c r="AR115" s="102">
        <f>VLOOKUP(L115,设备合同!$L$6:$CC$302,33,0)</f>
        <v>0</v>
      </c>
      <c r="AS115" s="102">
        <f>VLOOKUP(L115,设备合同!$L$6:$CC$302,34,0)</f>
        <v>0</v>
      </c>
      <c r="AT115" s="102">
        <f>VLOOKUP(L115,设备合同!$L$6:$CC$302,35,0)</f>
        <v>0</v>
      </c>
      <c r="AU115" s="102">
        <f>VLOOKUP(L115,设备合同!$L$6:$CC$302,36,0)</f>
        <v>0</v>
      </c>
      <c r="AV115" s="102">
        <f>VLOOKUP(L115,设备合同!$L$6:$CC$302,37,0)</f>
        <v>0</v>
      </c>
      <c r="AW115" s="102">
        <f>VLOOKUP(L115,设备合同!$L$6:$CC$302,38,0)</f>
        <v>0</v>
      </c>
      <c r="AX115" s="102">
        <f>VLOOKUP(L115,设备合同!$L$6:$CC$302,39,0)</f>
        <v>0</v>
      </c>
      <c r="AY115" s="102">
        <f>VLOOKUP(L115,设备合同!$L$6:$CC$302,40,0)</f>
        <v>0</v>
      </c>
      <c r="AZ115" s="102">
        <f>VLOOKUP(L115,设备合同!$L$6:$CC$302,41,0)</f>
        <v>0</v>
      </c>
      <c r="BA115" s="102">
        <f>VLOOKUP(L115,设备合同!$L$6:$CC$302,42,0)</f>
        <v>0</v>
      </c>
      <c r="BB115" s="102">
        <f>VLOOKUP(L115,设备合同!$L$6:$CC$302,43,0)</f>
        <v>0</v>
      </c>
      <c r="BC115" s="102">
        <f>VLOOKUP(L115,设备合同!$L$6:$CC$302,44,0)</f>
        <v>0</v>
      </c>
      <c r="BD115" s="102">
        <f>VLOOKUP(L115,设备合同!$L$6:$CC$302,45,0)</f>
        <v>0</v>
      </c>
      <c r="BE115" s="102">
        <f>VLOOKUP(L115,设备合同!$L$6:$CC$302,46,0)</f>
        <v>0</v>
      </c>
      <c r="BF115" s="102">
        <f>VLOOKUP(L115,设备合同!$L$6:$CC$302,47,0)</f>
        <v>0</v>
      </c>
      <c r="BG115" s="102">
        <f>VLOOKUP(L115,设备合同!$L$6:$CC$302,48,0)</f>
        <v>0</v>
      </c>
      <c r="BH115" s="102">
        <f>VLOOKUP(L115,设备合同!$L$6:$CC$302,49,0)</f>
        <v>0</v>
      </c>
      <c r="BI115" s="102">
        <f>VLOOKUP(L115,设备合同!$L$6:$CC$302,50,0)</f>
        <v>0</v>
      </c>
      <c r="BJ115" s="102">
        <f>VLOOKUP(L115,设备合同!$L$6:$CC$302,51,0)</f>
        <v>0</v>
      </c>
      <c r="BK115" s="102">
        <f>VLOOKUP(L115,设备合同!$L$6:$CC$302,52,0)</f>
        <v>0</v>
      </c>
      <c r="BL115" s="102">
        <f>VLOOKUP(L115,设备合同!$L$6:$CC$302,53,0)</f>
        <v>0</v>
      </c>
      <c r="BM115" s="102">
        <f>VLOOKUP(L115,设备合同!$L$6:$CC$302,54,0)</f>
        <v>0</v>
      </c>
      <c r="BN115" s="102">
        <f>VLOOKUP(L115,设备合同!$L$6:$CC$302,55,0)</f>
        <v>0</v>
      </c>
      <c r="BO115" s="102">
        <f>VLOOKUP(L115,设备合同!$L$6:$CC$302,56,0)</f>
        <v>0</v>
      </c>
      <c r="BP115" s="102">
        <f>VLOOKUP(L115,设备合同!$L$6:$CC$302,57,0)</f>
        <v>0</v>
      </c>
      <c r="BQ115" s="102">
        <f>VLOOKUP(L115,设备合同!$L$6:$CC$302,58,0)</f>
        <v>0</v>
      </c>
      <c r="BR115" s="102">
        <f>VLOOKUP(L115,设备合同!$L$6:$CC$302,59,0)</f>
        <v>0</v>
      </c>
      <c r="BS115" s="102">
        <f>VLOOKUP(L115,设备合同!$L$6:$CC$302,60,0)</f>
        <v>0</v>
      </c>
      <c r="BT115" s="102">
        <f>VLOOKUP(L115,设备合同!$L$6:$CC$302,61,0)</f>
        <v>0</v>
      </c>
      <c r="BU115" s="102">
        <f>VLOOKUP(L115,设备合同!$L$6:$CC$302,62,0)</f>
        <v>0</v>
      </c>
      <c r="BV115" s="102">
        <f>VLOOKUP(L115,设备合同!$L$6:$CC$302,63,0)</f>
        <v>0</v>
      </c>
      <c r="BW115" s="102">
        <f>VLOOKUP(L115,设备合同!$L$6:$CC$302,64,0)</f>
        <v>0</v>
      </c>
      <c r="BX115" s="102">
        <f>VLOOKUP(L115,设备合同!$L$6:$CC$302,65,0)</f>
        <v>0</v>
      </c>
      <c r="BY115" s="102">
        <f>VLOOKUP(L115,设备合同!$L$6:$CC$302,66,0)</f>
        <v>0</v>
      </c>
      <c r="BZ115" s="102">
        <f>VLOOKUP(L115,设备合同!$L$6:$CC$302,67,0)</f>
        <v>0</v>
      </c>
      <c r="CA115" s="102">
        <f>VLOOKUP(L115,设备合同!$L$6:$CC$302,68,0)</f>
        <v>0</v>
      </c>
      <c r="CB115" s="102">
        <f>VLOOKUP(L115,设备合同!$L$6:$CC$302,69,0)</f>
        <v>0</v>
      </c>
      <c r="CC115" s="102">
        <f>VLOOKUP(L115,设备合同!$L$6:$CC$302,70,0)</f>
        <v>0</v>
      </c>
      <c r="CD115" s="123">
        <f t="shared" si="33"/>
        <v>409300</v>
      </c>
      <c r="CE115" s="102">
        <f t="shared" si="34"/>
        <v>388835</v>
      </c>
      <c r="CF115" s="102">
        <f t="shared" si="35"/>
        <v>388835</v>
      </c>
      <c r="CG115" s="102">
        <f t="shared" si="36"/>
        <v>0</v>
      </c>
      <c r="CH115" s="124">
        <f t="shared" si="37"/>
        <v>20465</v>
      </c>
      <c r="CI115" s="125">
        <f t="shared" si="38"/>
        <v>0.95</v>
      </c>
      <c r="CJ115" s="126" t="str">
        <f t="shared" si="39"/>
        <v>数据正确</v>
      </c>
    </row>
    <row r="116" s="60" customFormat="1" customHeight="1" spans="2:88">
      <c r="B116" s="70" t="str">
        <f t="shared" si="29"/>
        <v>-</v>
      </c>
      <c r="C116" s="71" t="str">
        <f t="shared" si="30"/>
        <v>-</v>
      </c>
      <c r="D116" s="181">
        <f t="shared" si="31"/>
        <v>46569</v>
      </c>
      <c r="E116" s="181">
        <f>SUMIF(设备合同!$L$6:$L$302,L116,设备合同!$E$6:$E$302)</f>
        <v>0</v>
      </c>
      <c r="F116" s="181">
        <f>SUMIF(设备合同!$L$6:$L$302,L116,设备合同!$F$6:$F$302)</f>
        <v>0</v>
      </c>
      <c r="G116" s="181">
        <f>SUMIF(设备合同!$L$6:$L$302,L116,设备合同!$G$6:$G$302)</f>
        <v>0</v>
      </c>
      <c r="H116" s="181">
        <f>SUMIF(设备合同!$L$6:$L$302,L116,设备合同!$H$6:$H$302)</f>
        <v>0</v>
      </c>
      <c r="I116" s="181">
        <f t="shared" si="32"/>
        <v>0</v>
      </c>
      <c r="J116" s="86" t="s">
        <v>98</v>
      </c>
      <c r="K116" s="87"/>
      <c r="L116" s="88">
        <v>111</v>
      </c>
      <c r="M116" s="89" t="str">
        <f>VLOOKUP(L116,设备合同!$L$6:$CC$302,2,0)</f>
        <v>备-X150302430号</v>
      </c>
      <c r="N116" s="90" t="str">
        <f>VLOOKUP(L116,设备合同!$L$6:$CC$302,3,0)</f>
        <v>设备合同</v>
      </c>
      <c r="O116" s="265" t="str">
        <f>VLOOKUP(L116,设备合同!$L$6:$CC$302,4,0)</f>
        <v>-</v>
      </c>
      <c r="P116" s="266">
        <f>VLOOKUP(L116,设备合同!$L$6:$CC$302,5,0)</f>
        <v>42240</v>
      </c>
      <c r="Q116" s="275">
        <f>VLOOKUP(L116,设备合同!$L$6:$CC$302,6,0)</f>
        <v>49020</v>
      </c>
      <c r="R116" s="89" t="str">
        <f>VLOOKUP(L116,设备合同!$L$6:$CC$302,7,0)</f>
        <v>低压开关箱10面，综合计量箱2面</v>
      </c>
      <c r="S116" s="89" t="str">
        <f>VLOOKUP(L116,设备合同!$L$6:$CC$302,8,0)</f>
        <v>福建莆田荔源电气设备有限公司</v>
      </c>
      <c r="T116" s="107">
        <f>VLOOKUP(L116,设备合同!$L$6:$CC$302,9,0)</f>
        <v>0</v>
      </c>
      <c r="U116" s="103" t="str">
        <f>VLOOKUP(L116,设备合同!$L$6:$CC$302,10,0)</f>
        <v>承兑汇票</v>
      </c>
      <c r="V116" s="276" t="str">
        <f>VLOOKUP(L116,设备合同!$L$6:$CC$302,11,0)</f>
        <v>货到交货地点验收合格支付95%</v>
      </c>
      <c r="W116" s="102">
        <f>VLOOKUP(L116,设备合同!$L$6:$CC$302,12,0)</f>
        <v>46569</v>
      </c>
      <c r="X116" s="102">
        <f>VLOOKUP(L116,设备合同!$L$6:$CC$302,13,0)</f>
        <v>46569</v>
      </c>
      <c r="Y116" s="102">
        <f>VLOOKUP(L116,设备合同!$L$6:$CC$302,14,0)</f>
        <v>46569</v>
      </c>
      <c r="Z116" s="102" t="str">
        <f>VLOOKUP(L116,设备合同!$L$6:$CC$302,15,0)</f>
        <v>5%质保金</v>
      </c>
      <c r="AA116" s="102">
        <f>VLOOKUP(L116,设备合同!$L$6:$CC$302,16,0)</f>
        <v>2451</v>
      </c>
      <c r="AB116" s="102">
        <f>VLOOKUP(L116,设备合同!$L$6:$CC$302,17,0)</f>
        <v>0</v>
      </c>
      <c r="AC116" s="102">
        <f>VLOOKUP(L116,设备合同!$L$6:$CC$302,18,0)</f>
        <v>0</v>
      </c>
      <c r="AD116" s="102">
        <f>VLOOKUP(L116,设备合同!$L$6:$CC$302,19,0)</f>
        <v>0</v>
      </c>
      <c r="AE116" s="102">
        <f>VLOOKUP(L116,设备合同!$L$6:$CC$302,20,0)</f>
        <v>0</v>
      </c>
      <c r="AF116" s="102">
        <f>VLOOKUP(L116,设备合同!$L$6:$CC$302,21,0)</f>
        <v>0</v>
      </c>
      <c r="AG116" s="102">
        <f>VLOOKUP(L116,设备合同!$L$6:$CC$302,22,0)</f>
        <v>0</v>
      </c>
      <c r="AH116" s="102">
        <f>VLOOKUP(L116,设备合同!$L$6:$CC$302,23,0)</f>
        <v>0</v>
      </c>
      <c r="AI116" s="102">
        <f>VLOOKUP(L116,设备合同!$L$6:$CC$302,24,0)</f>
        <v>0</v>
      </c>
      <c r="AJ116" s="102">
        <f>VLOOKUP(L116,设备合同!$L$6:$CC$302,25,0)</f>
        <v>0</v>
      </c>
      <c r="AK116" s="102">
        <f>VLOOKUP(L116,设备合同!$L$6:$CC$302,26,0)</f>
        <v>0</v>
      </c>
      <c r="AL116" s="102">
        <f>VLOOKUP(L116,设备合同!$L$6:$CC$302,27,0)</f>
        <v>0</v>
      </c>
      <c r="AM116" s="102">
        <f>VLOOKUP(L116,设备合同!$L$6:$CC$302,28,0)</f>
        <v>0</v>
      </c>
      <c r="AN116" s="102">
        <f>VLOOKUP(L116,设备合同!$L$6:$CC$302,29,0)</f>
        <v>0</v>
      </c>
      <c r="AO116" s="102">
        <f>VLOOKUP(L116,设备合同!$L$6:$CC$302,30,0)</f>
        <v>0</v>
      </c>
      <c r="AP116" s="102">
        <f>VLOOKUP(L116,设备合同!$L$6:$CC$302,31,0)</f>
        <v>0</v>
      </c>
      <c r="AQ116" s="102">
        <f>VLOOKUP(L116,设备合同!$L$6:$CC$302,32,0)</f>
        <v>0</v>
      </c>
      <c r="AR116" s="102">
        <f>VLOOKUP(L116,设备合同!$L$6:$CC$302,33,0)</f>
        <v>0</v>
      </c>
      <c r="AS116" s="102">
        <f>VLOOKUP(L116,设备合同!$L$6:$CC$302,34,0)</f>
        <v>0</v>
      </c>
      <c r="AT116" s="102">
        <f>VLOOKUP(L116,设备合同!$L$6:$CC$302,35,0)</f>
        <v>0</v>
      </c>
      <c r="AU116" s="102">
        <f>VLOOKUP(L116,设备合同!$L$6:$CC$302,36,0)</f>
        <v>0</v>
      </c>
      <c r="AV116" s="102">
        <f>VLOOKUP(L116,设备合同!$L$6:$CC$302,37,0)</f>
        <v>0</v>
      </c>
      <c r="AW116" s="102">
        <f>VLOOKUP(L116,设备合同!$L$6:$CC$302,38,0)</f>
        <v>0</v>
      </c>
      <c r="AX116" s="102">
        <f>VLOOKUP(L116,设备合同!$L$6:$CC$302,39,0)</f>
        <v>0</v>
      </c>
      <c r="AY116" s="102">
        <f>VLOOKUP(L116,设备合同!$L$6:$CC$302,40,0)</f>
        <v>0</v>
      </c>
      <c r="AZ116" s="102">
        <f>VLOOKUP(L116,设备合同!$L$6:$CC$302,41,0)</f>
        <v>0</v>
      </c>
      <c r="BA116" s="102">
        <f>VLOOKUP(L116,设备合同!$L$6:$CC$302,42,0)</f>
        <v>0</v>
      </c>
      <c r="BB116" s="102">
        <f>VLOOKUP(L116,设备合同!$L$6:$CC$302,43,0)</f>
        <v>0</v>
      </c>
      <c r="BC116" s="102">
        <f>VLOOKUP(L116,设备合同!$L$6:$CC$302,44,0)</f>
        <v>0</v>
      </c>
      <c r="BD116" s="102">
        <f>VLOOKUP(L116,设备合同!$L$6:$CC$302,45,0)</f>
        <v>0</v>
      </c>
      <c r="BE116" s="102">
        <f>VLOOKUP(L116,设备合同!$L$6:$CC$302,46,0)</f>
        <v>0</v>
      </c>
      <c r="BF116" s="102">
        <f>VLOOKUP(L116,设备合同!$L$6:$CC$302,47,0)</f>
        <v>0</v>
      </c>
      <c r="BG116" s="102">
        <f>VLOOKUP(L116,设备合同!$L$6:$CC$302,48,0)</f>
        <v>0</v>
      </c>
      <c r="BH116" s="102">
        <f>VLOOKUP(L116,设备合同!$L$6:$CC$302,49,0)</f>
        <v>0</v>
      </c>
      <c r="BI116" s="102">
        <f>VLOOKUP(L116,设备合同!$L$6:$CC$302,50,0)</f>
        <v>0</v>
      </c>
      <c r="BJ116" s="102">
        <f>VLOOKUP(L116,设备合同!$L$6:$CC$302,51,0)</f>
        <v>0</v>
      </c>
      <c r="BK116" s="102">
        <f>VLOOKUP(L116,设备合同!$L$6:$CC$302,52,0)</f>
        <v>0</v>
      </c>
      <c r="BL116" s="102">
        <f>VLOOKUP(L116,设备合同!$L$6:$CC$302,53,0)</f>
        <v>0</v>
      </c>
      <c r="BM116" s="102">
        <f>VLOOKUP(L116,设备合同!$L$6:$CC$302,54,0)</f>
        <v>0</v>
      </c>
      <c r="BN116" s="102">
        <f>VLOOKUP(L116,设备合同!$L$6:$CC$302,55,0)</f>
        <v>0</v>
      </c>
      <c r="BO116" s="102">
        <f>VLOOKUP(L116,设备合同!$L$6:$CC$302,56,0)</f>
        <v>0</v>
      </c>
      <c r="BP116" s="102">
        <f>VLOOKUP(L116,设备合同!$L$6:$CC$302,57,0)</f>
        <v>0</v>
      </c>
      <c r="BQ116" s="102">
        <f>VLOOKUP(L116,设备合同!$L$6:$CC$302,58,0)</f>
        <v>0</v>
      </c>
      <c r="BR116" s="102">
        <f>VLOOKUP(L116,设备合同!$L$6:$CC$302,59,0)</f>
        <v>0</v>
      </c>
      <c r="BS116" s="102">
        <f>VLOOKUP(L116,设备合同!$L$6:$CC$302,60,0)</f>
        <v>0</v>
      </c>
      <c r="BT116" s="102">
        <f>VLOOKUP(L116,设备合同!$L$6:$CC$302,61,0)</f>
        <v>0</v>
      </c>
      <c r="BU116" s="102">
        <f>VLOOKUP(L116,设备合同!$L$6:$CC$302,62,0)</f>
        <v>0</v>
      </c>
      <c r="BV116" s="102">
        <f>VLOOKUP(L116,设备合同!$L$6:$CC$302,63,0)</f>
        <v>0</v>
      </c>
      <c r="BW116" s="102">
        <f>VLOOKUP(L116,设备合同!$L$6:$CC$302,64,0)</f>
        <v>0</v>
      </c>
      <c r="BX116" s="102">
        <f>VLOOKUP(L116,设备合同!$L$6:$CC$302,65,0)</f>
        <v>0</v>
      </c>
      <c r="BY116" s="102">
        <f>VLOOKUP(L116,设备合同!$L$6:$CC$302,66,0)</f>
        <v>0</v>
      </c>
      <c r="BZ116" s="102">
        <f>VLOOKUP(L116,设备合同!$L$6:$CC$302,67,0)</f>
        <v>0</v>
      </c>
      <c r="CA116" s="102">
        <f>VLOOKUP(L116,设备合同!$L$6:$CC$302,68,0)</f>
        <v>0</v>
      </c>
      <c r="CB116" s="102">
        <f>VLOOKUP(L116,设备合同!$L$6:$CC$302,69,0)</f>
        <v>0</v>
      </c>
      <c r="CC116" s="102">
        <f>VLOOKUP(L116,设备合同!$L$6:$CC$302,70,0)</f>
        <v>0</v>
      </c>
      <c r="CD116" s="123">
        <f t="shared" si="33"/>
        <v>49020</v>
      </c>
      <c r="CE116" s="102">
        <f t="shared" si="34"/>
        <v>46569</v>
      </c>
      <c r="CF116" s="102">
        <f t="shared" si="35"/>
        <v>46569</v>
      </c>
      <c r="CG116" s="102">
        <f t="shared" si="36"/>
        <v>0</v>
      </c>
      <c r="CH116" s="124">
        <f t="shared" si="37"/>
        <v>2451</v>
      </c>
      <c r="CI116" s="125">
        <f t="shared" si="38"/>
        <v>0.95</v>
      </c>
      <c r="CJ116" s="126" t="str">
        <f t="shared" si="39"/>
        <v>数据正确</v>
      </c>
    </row>
    <row r="117" s="60" customFormat="1" customHeight="1" spans="2:88">
      <c r="B117" s="70" t="str">
        <f t="shared" si="29"/>
        <v>-</v>
      </c>
      <c r="C117" s="71" t="str">
        <f t="shared" si="30"/>
        <v>-</v>
      </c>
      <c r="D117" s="181">
        <f t="shared" si="31"/>
        <v>0</v>
      </c>
      <c r="E117" s="181">
        <f>SUMIF(设备合同!$L$6:$L$302,L117,设备合同!$E$6:$E$302)</f>
        <v>0</v>
      </c>
      <c r="F117" s="181">
        <f>SUMIF(设备合同!$L$6:$L$302,L117,设备合同!$F$6:$F$302)</f>
        <v>0</v>
      </c>
      <c r="G117" s="181">
        <f>SUMIF(设备合同!$L$6:$L$302,L117,设备合同!$G$6:$G$302)</f>
        <v>0</v>
      </c>
      <c r="H117" s="181">
        <f>SUMIF(设备合同!$L$6:$L$302,L117,设备合同!$H$6:$H$302)</f>
        <v>0</v>
      </c>
      <c r="I117" s="181">
        <f t="shared" si="32"/>
        <v>0</v>
      </c>
      <c r="J117" s="86" t="s">
        <v>98</v>
      </c>
      <c r="K117" s="87"/>
      <c r="L117" s="88">
        <v>112</v>
      </c>
      <c r="M117" s="89" t="str">
        <f>VLOOKUP(L117,设备合同!$L$6:$CC$302,2,0)</f>
        <v>物-X150302430号-1</v>
      </c>
      <c r="N117" s="90" t="str">
        <f>VLOOKUP(L117,设备合同!$L$6:$CC$302,3,0)</f>
        <v>设备合同</v>
      </c>
      <c r="O117" s="265" t="str">
        <f>VLOOKUP(L117,设备合同!$L$6:$CC$302,4,0)</f>
        <v>-</v>
      </c>
      <c r="P117" s="266">
        <f>VLOOKUP(L117,设备合同!$L$6:$CC$302,5,0)</f>
        <v>42324</v>
      </c>
      <c r="Q117" s="275">
        <f>VLOOKUP(L117,设备合同!$L$6:$CC$302,6,0)</f>
        <v>76312</v>
      </c>
      <c r="R117" s="89" t="str">
        <f>VLOOKUP(L117,设备合同!$L$6:$CC$302,7,0)</f>
        <v>油变2台</v>
      </c>
      <c r="S117" s="89" t="str">
        <f>VLOOKUP(L117,设备合同!$L$6:$CC$302,8,0)</f>
        <v>莆田亿力电力物资有限公司</v>
      </c>
      <c r="T117" s="107">
        <f>VLOOKUP(L117,设备合同!$L$6:$CC$302,9,0)</f>
        <v>0</v>
      </c>
      <c r="U117" s="103" t="str">
        <f>VLOOKUP(L117,设备合同!$L$6:$CC$302,10,0)</f>
        <v>承兑汇票</v>
      </c>
      <c r="V117" s="276" t="str">
        <f>VLOOKUP(L117,设备合同!$L$6:$CC$302,11,0)</f>
        <v>货到交货地点验收合格支付95%</v>
      </c>
      <c r="W117" s="102">
        <f>VLOOKUP(L117,设备合同!$L$6:$CC$302,12,0)</f>
        <v>72496.4</v>
      </c>
      <c r="X117" s="102">
        <f>VLOOKUP(L117,设备合同!$L$6:$CC$302,13,0)</f>
        <v>0</v>
      </c>
      <c r="Y117" s="102">
        <f>VLOOKUP(L117,设备合同!$L$6:$CC$302,14,0)</f>
        <v>0</v>
      </c>
      <c r="Z117" s="102" t="str">
        <f>VLOOKUP(L117,设备合同!$L$6:$CC$302,15,0)</f>
        <v>5%质保金1年</v>
      </c>
      <c r="AA117" s="102">
        <f>VLOOKUP(L117,设备合同!$L$6:$CC$302,16,0)</f>
        <v>3815.6</v>
      </c>
      <c r="AB117" s="102">
        <f>VLOOKUP(L117,设备合同!$L$6:$CC$302,17,0)</f>
        <v>0</v>
      </c>
      <c r="AC117" s="102">
        <f>VLOOKUP(L117,设备合同!$L$6:$CC$302,18,0)</f>
        <v>0</v>
      </c>
      <c r="AD117" s="102">
        <f>VLOOKUP(L117,设备合同!$L$6:$CC$302,19,0)</f>
        <v>0</v>
      </c>
      <c r="AE117" s="102">
        <f>VLOOKUP(L117,设备合同!$L$6:$CC$302,20,0)</f>
        <v>0</v>
      </c>
      <c r="AF117" s="102">
        <f>VLOOKUP(L117,设备合同!$L$6:$CC$302,21,0)</f>
        <v>0</v>
      </c>
      <c r="AG117" s="102">
        <f>VLOOKUP(L117,设备合同!$L$6:$CC$302,22,0)</f>
        <v>0</v>
      </c>
      <c r="AH117" s="102">
        <f>VLOOKUP(L117,设备合同!$L$6:$CC$302,23,0)</f>
        <v>0</v>
      </c>
      <c r="AI117" s="102">
        <f>VLOOKUP(L117,设备合同!$L$6:$CC$302,24,0)</f>
        <v>0</v>
      </c>
      <c r="AJ117" s="102">
        <f>VLOOKUP(L117,设备合同!$L$6:$CC$302,25,0)</f>
        <v>0</v>
      </c>
      <c r="AK117" s="102">
        <f>VLOOKUP(L117,设备合同!$L$6:$CC$302,26,0)</f>
        <v>0</v>
      </c>
      <c r="AL117" s="102">
        <f>VLOOKUP(L117,设备合同!$L$6:$CC$302,27,0)</f>
        <v>0</v>
      </c>
      <c r="AM117" s="102">
        <f>VLOOKUP(L117,设备合同!$L$6:$CC$302,28,0)</f>
        <v>0</v>
      </c>
      <c r="AN117" s="102">
        <f>VLOOKUP(L117,设备合同!$L$6:$CC$302,29,0)</f>
        <v>0</v>
      </c>
      <c r="AO117" s="102">
        <f>VLOOKUP(L117,设备合同!$L$6:$CC$302,30,0)</f>
        <v>0</v>
      </c>
      <c r="AP117" s="102">
        <f>VLOOKUP(L117,设备合同!$L$6:$CC$302,31,0)</f>
        <v>0</v>
      </c>
      <c r="AQ117" s="102">
        <f>VLOOKUP(L117,设备合同!$L$6:$CC$302,32,0)</f>
        <v>0</v>
      </c>
      <c r="AR117" s="102">
        <f>VLOOKUP(L117,设备合同!$L$6:$CC$302,33,0)</f>
        <v>0</v>
      </c>
      <c r="AS117" s="102">
        <f>VLOOKUP(L117,设备合同!$L$6:$CC$302,34,0)</f>
        <v>0</v>
      </c>
      <c r="AT117" s="102">
        <f>VLOOKUP(L117,设备合同!$L$6:$CC$302,35,0)</f>
        <v>0</v>
      </c>
      <c r="AU117" s="102">
        <f>VLOOKUP(L117,设备合同!$L$6:$CC$302,36,0)</f>
        <v>0</v>
      </c>
      <c r="AV117" s="102">
        <f>VLOOKUP(L117,设备合同!$L$6:$CC$302,37,0)</f>
        <v>0</v>
      </c>
      <c r="AW117" s="102">
        <f>VLOOKUP(L117,设备合同!$L$6:$CC$302,38,0)</f>
        <v>0</v>
      </c>
      <c r="AX117" s="102">
        <f>VLOOKUP(L117,设备合同!$L$6:$CC$302,39,0)</f>
        <v>0</v>
      </c>
      <c r="AY117" s="102">
        <f>VLOOKUP(L117,设备合同!$L$6:$CC$302,40,0)</f>
        <v>0</v>
      </c>
      <c r="AZ117" s="102">
        <f>VLOOKUP(L117,设备合同!$L$6:$CC$302,41,0)</f>
        <v>0</v>
      </c>
      <c r="BA117" s="102">
        <f>VLOOKUP(L117,设备合同!$L$6:$CC$302,42,0)</f>
        <v>0</v>
      </c>
      <c r="BB117" s="102">
        <f>VLOOKUP(L117,设备合同!$L$6:$CC$302,43,0)</f>
        <v>0</v>
      </c>
      <c r="BC117" s="102">
        <f>VLOOKUP(L117,设备合同!$L$6:$CC$302,44,0)</f>
        <v>0</v>
      </c>
      <c r="BD117" s="102">
        <f>VLOOKUP(L117,设备合同!$L$6:$CC$302,45,0)</f>
        <v>0</v>
      </c>
      <c r="BE117" s="102">
        <f>VLOOKUP(L117,设备合同!$L$6:$CC$302,46,0)</f>
        <v>0</v>
      </c>
      <c r="BF117" s="102">
        <f>VLOOKUP(L117,设备合同!$L$6:$CC$302,47,0)</f>
        <v>0</v>
      </c>
      <c r="BG117" s="102">
        <f>VLOOKUP(L117,设备合同!$L$6:$CC$302,48,0)</f>
        <v>0</v>
      </c>
      <c r="BH117" s="102">
        <f>VLOOKUP(L117,设备合同!$L$6:$CC$302,49,0)</f>
        <v>0</v>
      </c>
      <c r="BI117" s="102">
        <f>VLOOKUP(L117,设备合同!$L$6:$CC$302,50,0)</f>
        <v>0</v>
      </c>
      <c r="BJ117" s="102">
        <f>VLOOKUP(L117,设备合同!$L$6:$CC$302,51,0)</f>
        <v>0</v>
      </c>
      <c r="BK117" s="102">
        <f>VLOOKUP(L117,设备合同!$L$6:$CC$302,52,0)</f>
        <v>0</v>
      </c>
      <c r="BL117" s="102">
        <f>VLOOKUP(L117,设备合同!$L$6:$CC$302,53,0)</f>
        <v>0</v>
      </c>
      <c r="BM117" s="102">
        <f>VLOOKUP(L117,设备合同!$L$6:$CC$302,54,0)</f>
        <v>0</v>
      </c>
      <c r="BN117" s="102">
        <f>VLOOKUP(L117,设备合同!$L$6:$CC$302,55,0)</f>
        <v>0</v>
      </c>
      <c r="BO117" s="102">
        <f>VLOOKUP(L117,设备合同!$L$6:$CC$302,56,0)</f>
        <v>0</v>
      </c>
      <c r="BP117" s="102">
        <f>VLOOKUP(L117,设备合同!$L$6:$CC$302,57,0)</f>
        <v>0</v>
      </c>
      <c r="BQ117" s="102">
        <f>VLOOKUP(L117,设备合同!$L$6:$CC$302,58,0)</f>
        <v>0</v>
      </c>
      <c r="BR117" s="102">
        <f>VLOOKUP(L117,设备合同!$L$6:$CC$302,59,0)</f>
        <v>0</v>
      </c>
      <c r="BS117" s="102">
        <f>VLOOKUP(L117,设备合同!$L$6:$CC$302,60,0)</f>
        <v>0</v>
      </c>
      <c r="BT117" s="102">
        <f>VLOOKUP(L117,设备合同!$L$6:$CC$302,61,0)</f>
        <v>0</v>
      </c>
      <c r="BU117" s="102">
        <f>VLOOKUP(L117,设备合同!$L$6:$CC$302,62,0)</f>
        <v>0</v>
      </c>
      <c r="BV117" s="102">
        <f>VLOOKUP(L117,设备合同!$L$6:$CC$302,63,0)</f>
        <v>0</v>
      </c>
      <c r="BW117" s="102">
        <f>VLOOKUP(L117,设备合同!$L$6:$CC$302,64,0)</f>
        <v>0</v>
      </c>
      <c r="BX117" s="102">
        <f>VLOOKUP(L117,设备合同!$L$6:$CC$302,65,0)</f>
        <v>0</v>
      </c>
      <c r="BY117" s="102">
        <f>VLOOKUP(L117,设备合同!$L$6:$CC$302,66,0)</f>
        <v>0</v>
      </c>
      <c r="BZ117" s="102">
        <f>VLOOKUP(L117,设备合同!$L$6:$CC$302,67,0)</f>
        <v>0</v>
      </c>
      <c r="CA117" s="102">
        <f>VLOOKUP(L117,设备合同!$L$6:$CC$302,68,0)</f>
        <v>0</v>
      </c>
      <c r="CB117" s="102">
        <f>VLOOKUP(L117,设备合同!$L$6:$CC$302,69,0)</f>
        <v>0</v>
      </c>
      <c r="CC117" s="102">
        <f>VLOOKUP(L117,设备合同!$L$6:$CC$302,70,0)</f>
        <v>0</v>
      </c>
      <c r="CD117" s="123">
        <f t="shared" si="33"/>
        <v>76312</v>
      </c>
      <c r="CE117" s="102">
        <f t="shared" si="34"/>
        <v>0</v>
      </c>
      <c r="CF117" s="102">
        <f t="shared" si="35"/>
        <v>0</v>
      </c>
      <c r="CG117" s="102">
        <f t="shared" si="36"/>
        <v>0</v>
      </c>
      <c r="CH117" s="124">
        <f t="shared" si="37"/>
        <v>76312</v>
      </c>
      <c r="CI117" s="125">
        <f t="shared" si="38"/>
        <v>0</v>
      </c>
      <c r="CJ117" s="126" t="str">
        <f t="shared" si="39"/>
        <v>数据正确</v>
      </c>
    </row>
    <row r="118" s="60" customFormat="1" customHeight="1" spans="2:88">
      <c r="B118" s="70" t="str">
        <f t="shared" si="29"/>
        <v>-</v>
      </c>
      <c r="C118" s="71" t="str">
        <f t="shared" si="30"/>
        <v>-</v>
      </c>
      <c r="D118" s="181">
        <f t="shared" si="31"/>
        <v>31709</v>
      </c>
      <c r="E118" s="181">
        <f>SUMIF(设备合同!$L$6:$L$302,L118,设备合同!$E$6:$E$302)</f>
        <v>0</v>
      </c>
      <c r="F118" s="181">
        <f>SUMIF(设备合同!$L$6:$L$302,L118,设备合同!$F$6:$F$302)</f>
        <v>0</v>
      </c>
      <c r="G118" s="181">
        <f>SUMIF(设备合同!$L$6:$L$302,L118,设备合同!$G$6:$G$302)</f>
        <v>0</v>
      </c>
      <c r="H118" s="181">
        <f>SUMIF(设备合同!$L$6:$L$302,L118,设备合同!$H$6:$H$302)</f>
        <v>0</v>
      </c>
      <c r="I118" s="181">
        <f t="shared" si="32"/>
        <v>0</v>
      </c>
      <c r="J118" s="86" t="s">
        <v>98</v>
      </c>
      <c r="K118" s="87"/>
      <c r="L118" s="88">
        <v>113</v>
      </c>
      <c r="M118" s="89" t="str">
        <f>VLOOKUP(L118,设备合同!$L$6:$CC$302,2,0)</f>
        <v>无</v>
      </c>
      <c r="N118" s="90" t="str">
        <f>VLOOKUP(L118,设备合同!$L$6:$CC$302,3,0)</f>
        <v>设备合同</v>
      </c>
      <c r="O118" s="265" t="str">
        <f>VLOOKUP(L118,设备合同!$L$6:$CC$302,4,0)</f>
        <v>-</v>
      </c>
      <c r="P118" s="266">
        <f>VLOOKUP(L118,设备合同!$L$6:$CC$302,5,0)</f>
        <v>42460</v>
      </c>
      <c r="Q118" s="275">
        <f>VLOOKUP(L118,设备合同!$L$6:$CC$302,6,0)</f>
        <v>24780</v>
      </c>
      <c r="R118" s="89" t="str">
        <f>VLOOKUP(L118,设备合同!$L$6:$CC$302,7,0)</f>
        <v>装载机三清保养及维修工具一批</v>
      </c>
      <c r="S118" s="89" t="str">
        <f>VLOOKUP(L118,设备合同!$L$6:$CC$302,8,0)</f>
        <v>泉州市超越机电设备有限公司</v>
      </c>
      <c r="T118" s="107">
        <f>VLOOKUP(L118,设备合同!$L$6:$CC$302,9,0)</f>
        <v>0</v>
      </c>
      <c r="U118" s="103" t="str">
        <f>VLOOKUP(L118,设备合同!$L$6:$CC$302,10,0)</f>
        <v>电汇</v>
      </c>
      <c r="V118" s="276" t="str">
        <f>VLOOKUP(L118,设备合同!$L$6:$CC$302,11,0)</f>
        <v>验收合格收到全额发票支付</v>
      </c>
      <c r="W118" s="102">
        <f>VLOOKUP(L118,设备合同!$L$6:$CC$302,12,0)</f>
        <v>24780</v>
      </c>
      <c r="X118" s="102">
        <f>VLOOKUP(L118,设备合同!$L$6:$CC$302,13,0)</f>
        <v>31709</v>
      </c>
      <c r="Y118" s="102">
        <f>VLOOKUP(L118,设备合同!$L$6:$CC$302,14,0)</f>
        <v>31709</v>
      </c>
      <c r="Z118" s="102">
        <f>VLOOKUP(L118,设备合同!$L$6:$CC$302,15,0)</f>
        <v>0</v>
      </c>
      <c r="AA118" s="102">
        <f>VLOOKUP(L118,设备合同!$L$6:$CC$302,16,0)</f>
        <v>0</v>
      </c>
      <c r="AB118" s="102">
        <f>VLOOKUP(L118,设备合同!$L$6:$CC$302,17,0)</f>
        <v>0</v>
      </c>
      <c r="AC118" s="102">
        <f>VLOOKUP(L118,设备合同!$L$6:$CC$302,18,0)</f>
        <v>0</v>
      </c>
      <c r="AD118" s="102">
        <f>VLOOKUP(L118,设备合同!$L$6:$CC$302,19,0)</f>
        <v>0</v>
      </c>
      <c r="AE118" s="102">
        <f>VLOOKUP(L118,设备合同!$L$6:$CC$302,20,0)</f>
        <v>0</v>
      </c>
      <c r="AF118" s="102">
        <f>VLOOKUP(L118,设备合同!$L$6:$CC$302,21,0)</f>
        <v>0</v>
      </c>
      <c r="AG118" s="102">
        <f>VLOOKUP(L118,设备合同!$L$6:$CC$302,22,0)</f>
        <v>0</v>
      </c>
      <c r="AH118" s="102">
        <f>VLOOKUP(L118,设备合同!$L$6:$CC$302,23,0)</f>
        <v>0</v>
      </c>
      <c r="AI118" s="102">
        <f>VLOOKUP(L118,设备合同!$L$6:$CC$302,24,0)</f>
        <v>0</v>
      </c>
      <c r="AJ118" s="102">
        <f>VLOOKUP(L118,设备合同!$L$6:$CC$302,25,0)</f>
        <v>0</v>
      </c>
      <c r="AK118" s="102">
        <f>VLOOKUP(L118,设备合同!$L$6:$CC$302,26,0)</f>
        <v>0</v>
      </c>
      <c r="AL118" s="102">
        <f>VLOOKUP(L118,设备合同!$L$6:$CC$302,27,0)</f>
        <v>0</v>
      </c>
      <c r="AM118" s="102">
        <f>VLOOKUP(L118,设备合同!$L$6:$CC$302,28,0)</f>
        <v>0</v>
      </c>
      <c r="AN118" s="102">
        <f>VLOOKUP(L118,设备合同!$L$6:$CC$302,29,0)</f>
        <v>0</v>
      </c>
      <c r="AO118" s="102">
        <f>VLOOKUP(L118,设备合同!$L$6:$CC$302,30,0)</f>
        <v>0</v>
      </c>
      <c r="AP118" s="102">
        <f>VLOOKUP(L118,设备合同!$L$6:$CC$302,31,0)</f>
        <v>0</v>
      </c>
      <c r="AQ118" s="102">
        <f>VLOOKUP(L118,设备合同!$L$6:$CC$302,32,0)</f>
        <v>0</v>
      </c>
      <c r="AR118" s="102">
        <f>VLOOKUP(L118,设备合同!$L$6:$CC$302,33,0)</f>
        <v>0</v>
      </c>
      <c r="AS118" s="102">
        <f>VLOOKUP(L118,设备合同!$L$6:$CC$302,34,0)</f>
        <v>0</v>
      </c>
      <c r="AT118" s="102">
        <f>VLOOKUP(L118,设备合同!$L$6:$CC$302,35,0)</f>
        <v>0</v>
      </c>
      <c r="AU118" s="102">
        <f>VLOOKUP(L118,设备合同!$L$6:$CC$302,36,0)</f>
        <v>0</v>
      </c>
      <c r="AV118" s="102">
        <f>VLOOKUP(L118,设备合同!$L$6:$CC$302,37,0)</f>
        <v>0</v>
      </c>
      <c r="AW118" s="102">
        <f>VLOOKUP(L118,设备合同!$L$6:$CC$302,38,0)</f>
        <v>0</v>
      </c>
      <c r="AX118" s="102">
        <f>VLOOKUP(L118,设备合同!$L$6:$CC$302,39,0)</f>
        <v>0</v>
      </c>
      <c r="AY118" s="102">
        <f>VLOOKUP(L118,设备合同!$L$6:$CC$302,40,0)</f>
        <v>0</v>
      </c>
      <c r="AZ118" s="102">
        <f>VLOOKUP(L118,设备合同!$L$6:$CC$302,41,0)</f>
        <v>0</v>
      </c>
      <c r="BA118" s="102">
        <f>VLOOKUP(L118,设备合同!$L$6:$CC$302,42,0)</f>
        <v>0</v>
      </c>
      <c r="BB118" s="102">
        <f>VLOOKUP(L118,设备合同!$L$6:$CC$302,43,0)</f>
        <v>0</v>
      </c>
      <c r="BC118" s="102">
        <f>VLOOKUP(L118,设备合同!$L$6:$CC$302,44,0)</f>
        <v>0</v>
      </c>
      <c r="BD118" s="102">
        <f>VLOOKUP(L118,设备合同!$L$6:$CC$302,45,0)</f>
        <v>0</v>
      </c>
      <c r="BE118" s="102">
        <f>VLOOKUP(L118,设备合同!$L$6:$CC$302,46,0)</f>
        <v>0</v>
      </c>
      <c r="BF118" s="102">
        <f>VLOOKUP(L118,设备合同!$L$6:$CC$302,47,0)</f>
        <v>0</v>
      </c>
      <c r="BG118" s="102">
        <f>VLOOKUP(L118,设备合同!$L$6:$CC$302,48,0)</f>
        <v>0</v>
      </c>
      <c r="BH118" s="102">
        <f>VLOOKUP(L118,设备合同!$L$6:$CC$302,49,0)</f>
        <v>0</v>
      </c>
      <c r="BI118" s="102">
        <f>VLOOKUP(L118,设备合同!$L$6:$CC$302,50,0)</f>
        <v>0</v>
      </c>
      <c r="BJ118" s="102">
        <f>VLOOKUP(L118,设备合同!$L$6:$CC$302,51,0)</f>
        <v>0</v>
      </c>
      <c r="BK118" s="102">
        <f>VLOOKUP(L118,设备合同!$L$6:$CC$302,52,0)</f>
        <v>0</v>
      </c>
      <c r="BL118" s="102">
        <f>VLOOKUP(L118,设备合同!$L$6:$CC$302,53,0)</f>
        <v>0</v>
      </c>
      <c r="BM118" s="102">
        <f>VLOOKUP(L118,设备合同!$L$6:$CC$302,54,0)</f>
        <v>0</v>
      </c>
      <c r="BN118" s="102">
        <f>VLOOKUP(L118,设备合同!$L$6:$CC$302,55,0)</f>
        <v>0</v>
      </c>
      <c r="BO118" s="102">
        <f>VLOOKUP(L118,设备合同!$L$6:$CC$302,56,0)</f>
        <v>0</v>
      </c>
      <c r="BP118" s="102">
        <f>VLOOKUP(L118,设备合同!$L$6:$CC$302,57,0)</f>
        <v>0</v>
      </c>
      <c r="BQ118" s="102">
        <f>VLOOKUP(L118,设备合同!$L$6:$CC$302,58,0)</f>
        <v>0</v>
      </c>
      <c r="BR118" s="102">
        <f>VLOOKUP(L118,设备合同!$L$6:$CC$302,59,0)</f>
        <v>0</v>
      </c>
      <c r="BS118" s="102">
        <f>VLOOKUP(L118,设备合同!$L$6:$CC$302,60,0)</f>
        <v>0</v>
      </c>
      <c r="BT118" s="102">
        <f>VLOOKUP(L118,设备合同!$L$6:$CC$302,61,0)</f>
        <v>0</v>
      </c>
      <c r="BU118" s="102">
        <f>VLOOKUP(L118,设备合同!$L$6:$CC$302,62,0)</f>
        <v>0</v>
      </c>
      <c r="BV118" s="102">
        <f>VLOOKUP(L118,设备合同!$L$6:$CC$302,63,0)</f>
        <v>0</v>
      </c>
      <c r="BW118" s="102">
        <f>VLOOKUP(L118,设备合同!$L$6:$CC$302,64,0)</f>
        <v>0</v>
      </c>
      <c r="BX118" s="102">
        <f>VLOOKUP(L118,设备合同!$L$6:$CC$302,65,0)</f>
        <v>0</v>
      </c>
      <c r="BY118" s="102">
        <f>VLOOKUP(L118,设备合同!$L$6:$CC$302,66,0)</f>
        <v>0</v>
      </c>
      <c r="BZ118" s="102">
        <f>VLOOKUP(L118,设备合同!$L$6:$CC$302,67,0)</f>
        <v>0</v>
      </c>
      <c r="CA118" s="102">
        <f>VLOOKUP(L118,设备合同!$L$6:$CC$302,68,0)</f>
        <v>0</v>
      </c>
      <c r="CB118" s="102">
        <f>VLOOKUP(L118,设备合同!$L$6:$CC$302,69,0)</f>
        <v>0</v>
      </c>
      <c r="CC118" s="102">
        <f>VLOOKUP(L118,设备合同!$L$6:$CC$302,70,0)</f>
        <v>0</v>
      </c>
      <c r="CD118" s="123">
        <f t="shared" si="33"/>
        <v>24780</v>
      </c>
      <c r="CE118" s="102">
        <f t="shared" si="34"/>
        <v>31709</v>
      </c>
      <c r="CF118" s="102">
        <f t="shared" si="35"/>
        <v>31709</v>
      </c>
      <c r="CG118" s="102">
        <f t="shared" si="36"/>
        <v>0</v>
      </c>
      <c r="CH118" s="124">
        <f t="shared" si="37"/>
        <v>-6929</v>
      </c>
      <c r="CI118" s="125">
        <f t="shared" si="38"/>
        <v>1.27962066182405</v>
      </c>
      <c r="CJ118" s="126" t="str">
        <f t="shared" si="39"/>
        <v>数据正确</v>
      </c>
    </row>
    <row r="119" s="60" customFormat="1" customHeight="1" spans="2:88">
      <c r="B119" s="70" t="str">
        <f t="shared" si="29"/>
        <v>-</v>
      </c>
      <c r="C119" s="71" t="str">
        <f t="shared" si="30"/>
        <v>-</v>
      </c>
      <c r="D119" s="181">
        <f t="shared" si="31"/>
        <v>1900000</v>
      </c>
      <c r="E119" s="181">
        <f>SUMIF(服务合同!$L$6:$L$300,L119,服务合同!$E$6:$E$300)</f>
        <v>0</v>
      </c>
      <c r="F119" s="181">
        <f>SUMIF(服务合同!$L$6:$L$300,L119,服务合同!$F$6:$F$300)</f>
        <v>0</v>
      </c>
      <c r="G119" s="181">
        <f>SUMIF(服务合同!$L$6:$L$300,L119,服务合同!$G$6:$G$300)</f>
        <v>0</v>
      </c>
      <c r="H119" s="181">
        <f>SUMIF(服务合同!$L$6:$L$300,L119,服务合同!$H$6:$H$300)</f>
        <v>0</v>
      </c>
      <c r="I119" s="181">
        <f t="shared" si="32"/>
        <v>0</v>
      </c>
      <c r="J119" s="86" t="s">
        <v>98</v>
      </c>
      <c r="K119" s="87"/>
      <c r="L119" s="88">
        <v>114</v>
      </c>
      <c r="M119" s="89" t="str">
        <f>VLOOKUP(L119,服务合同!$L$6:$CC$300,2,0)</f>
        <v>无</v>
      </c>
      <c r="N119" s="90" t="str">
        <f>VLOOKUP(L119,服务合同!$L$6:$CC$300,3,0)</f>
        <v>服务合同</v>
      </c>
      <c r="O119" s="265" t="str">
        <f>VLOOKUP(L119,服务合同!$L$6:$CC$300,4,0)</f>
        <v>-</v>
      </c>
      <c r="P119" s="266">
        <f>VLOOKUP(L119,服务合同!$L$6:$CC$300,5,0)</f>
        <v>41956</v>
      </c>
      <c r="Q119" s="275">
        <f>VLOOKUP(L119,服务合同!$L$6:$CC$300,6,0)</f>
        <v>2200000</v>
      </c>
      <c r="R119" s="89" t="str">
        <f>VLOOKUP(L119,服务合同!$L$6:$CC$300,7,0)</f>
        <v>环境影响评价</v>
      </c>
      <c r="S119" s="89" t="str">
        <f>VLOOKUP(L119,服务合同!$L$6:$CC$300,8,0)</f>
        <v>福建省环境科学研究院</v>
      </c>
      <c r="T119" s="107">
        <f>VLOOKUP(L119,服务合同!$L$6:$CC$300,9,0)</f>
        <v>0</v>
      </c>
      <c r="U119" s="103" t="str">
        <f>VLOOKUP(L119,服务合同!$L$6:$CC$300,10,0)</f>
        <v>电汇</v>
      </c>
      <c r="V119" s="276" t="str">
        <f>VLOOKUP(L119,服务合同!$L$6:$CC$300,11,0)</f>
        <v>合同签订后5个工作日支付100万</v>
      </c>
      <c r="W119" s="102">
        <f>VLOOKUP(L119,服务合同!$L$6:$CC$300,12,0)</f>
        <v>1000000</v>
      </c>
      <c r="X119" s="102">
        <f>VLOOKUP(L119,服务合同!$L$6:$CC$300,13,0)</f>
        <v>1000000</v>
      </c>
      <c r="Y119" s="102">
        <f>VLOOKUP(L119,服务合同!$L$6:$CC$300,14,0)</f>
        <v>1000000</v>
      </c>
      <c r="Z119" s="102" t="str">
        <f>VLOOKUP(L119,服务合同!$L$6:$CC$300,15,0)</f>
        <v>乙方提交报告书5个工作日内支付60万</v>
      </c>
      <c r="AA119" s="102">
        <f>VLOOKUP(L119,服务合同!$L$6:$CC$300,16,0)</f>
        <v>600000</v>
      </c>
      <c r="AB119" s="102">
        <f>VLOOKUP(L119,服务合同!$L$6:$CC$300,17,0)</f>
        <v>600000</v>
      </c>
      <c r="AC119" s="102">
        <f>VLOOKUP(L119,服务合同!$L$6:$CC$300,18,0)</f>
        <v>600000</v>
      </c>
      <c r="AD119" s="102" t="str">
        <f>VLOOKUP(L119,服务合同!$L$6:$CC$300,19,0)</f>
        <v>乙方提交报告书（报批本）后5个工作日</v>
      </c>
      <c r="AE119" s="102">
        <f>VLOOKUP(L119,服务合同!$L$6:$CC$300,20,0)</f>
        <v>300000</v>
      </c>
      <c r="AF119" s="102">
        <f>VLOOKUP(L119,服务合同!$L$6:$CC$300,21,0)</f>
        <v>300000</v>
      </c>
      <c r="AG119" s="102">
        <f>VLOOKUP(L119,服务合同!$L$6:$CC$300,22,0)</f>
        <v>300000</v>
      </c>
      <c r="AH119" s="102" t="str">
        <f>VLOOKUP(L119,服务合同!$L$6:$CC$300,23,0)</f>
        <v>另外支付送钱</v>
      </c>
      <c r="AI119" s="102">
        <f>VLOOKUP(L119,服务合同!$L$6:$CC$300,24,0)</f>
        <v>300000</v>
      </c>
      <c r="AJ119" s="102">
        <f>VLOOKUP(L119,服务合同!$L$6:$CC$300,25,0)</f>
        <v>0</v>
      </c>
      <c r="AK119" s="102">
        <f>VLOOKUP(L119,服务合同!$L$6:$CC$300,26,0)</f>
        <v>0</v>
      </c>
      <c r="AL119" s="102">
        <f>VLOOKUP(L119,服务合同!$L$6:$CC$300,27,0)</f>
        <v>0</v>
      </c>
      <c r="AM119" s="102">
        <f>VLOOKUP(L119,服务合同!$L$6:$CC$300,28,0)</f>
        <v>0</v>
      </c>
      <c r="AN119" s="102">
        <f>VLOOKUP(L119,服务合同!$L$6:$CC$300,29,0)</f>
        <v>0</v>
      </c>
      <c r="AO119" s="102">
        <f>VLOOKUP(L119,服务合同!$L$6:$CC$300,30,0)</f>
        <v>0</v>
      </c>
      <c r="AP119" s="102">
        <f>VLOOKUP(L119,服务合同!$L$6:$CC$300,31,0)</f>
        <v>0</v>
      </c>
      <c r="AQ119" s="102">
        <f>VLOOKUP(L119,服务合同!$L$6:$CC$300,32,0)</f>
        <v>0</v>
      </c>
      <c r="AR119" s="102">
        <f>VLOOKUP(L119,服务合同!$L$6:$CC$300,33,0)</f>
        <v>0</v>
      </c>
      <c r="AS119" s="102">
        <f>VLOOKUP(L119,服务合同!$L$6:$CC$300,34,0)</f>
        <v>0</v>
      </c>
      <c r="AT119" s="102">
        <f>VLOOKUP(L119,服务合同!$L$6:$CC$300,35,0)</f>
        <v>0</v>
      </c>
      <c r="AU119" s="102">
        <f>VLOOKUP(L119,服务合同!$L$6:$CC$300,36,0)</f>
        <v>0</v>
      </c>
      <c r="AV119" s="102">
        <f>VLOOKUP(L119,服务合同!$L$6:$CC$300,37,0)</f>
        <v>0</v>
      </c>
      <c r="AW119" s="102">
        <f>VLOOKUP(L119,服务合同!$L$6:$CC$300,38,0)</f>
        <v>0</v>
      </c>
      <c r="AX119" s="102">
        <f>VLOOKUP(L119,服务合同!$L$6:$CC$300,39,0)</f>
        <v>0</v>
      </c>
      <c r="AY119" s="102">
        <f>VLOOKUP(L119,服务合同!$L$6:$CC$300,40,0)</f>
        <v>0</v>
      </c>
      <c r="AZ119" s="102">
        <f>VLOOKUP(L119,服务合同!$L$6:$CC$300,41,0)</f>
        <v>0</v>
      </c>
      <c r="BA119" s="102">
        <f>VLOOKUP(L119,服务合同!$L$6:$CC$300,42,0)</f>
        <v>0</v>
      </c>
      <c r="BB119" s="102">
        <f>VLOOKUP(L119,服务合同!$L$6:$CC$300,43,0)</f>
        <v>0</v>
      </c>
      <c r="BC119" s="102">
        <f>VLOOKUP(L119,服务合同!$L$6:$CC$300,44,0)</f>
        <v>0</v>
      </c>
      <c r="BD119" s="102">
        <f>VLOOKUP(L119,服务合同!$L$6:$CC$300,45,0)</f>
        <v>0</v>
      </c>
      <c r="BE119" s="102">
        <f>VLOOKUP(L119,服务合同!$L$6:$CC$300,46,0)</f>
        <v>0</v>
      </c>
      <c r="BF119" s="102">
        <f>VLOOKUP(L119,服务合同!$L$6:$CC$300,47,0)</f>
        <v>0</v>
      </c>
      <c r="BG119" s="102">
        <f>VLOOKUP(L119,服务合同!$L$6:$CC$300,48,0)</f>
        <v>0</v>
      </c>
      <c r="BH119" s="102">
        <f>VLOOKUP(L119,服务合同!$L$6:$CC$300,49,0)</f>
        <v>0</v>
      </c>
      <c r="BI119" s="102">
        <f>VLOOKUP(L119,服务合同!$L$6:$CC$300,50,0)</f>
        <v>0</v>
      </c>
      <c r="BJ119" s="102">
        <f>VLOOKUP(L119,服务合同!$L$6:$CC$300,51,0)</f>
        <v>0</v>
      </c>
      <c r="BK119" s="102">
        <f>VLOOKUP(L119,服务合同!$L$6:$CC$300,52,0)</f>
        <v>0</v>
      </c>
      <c r="BL119" s="102">
        <f>VLOOKUP(L119,服务合同!$L$6:$CC$300,53,0)</f>
        <v>0</v>
      </c>
      <c r="BM119" s="102">
        <f>VLOOKUP(L119,服务合同!$L$6:$CC$300,54,0)</f>
        <v>0</v>
      </c>
      <c r="BN119" s="102">
        <f>VLOOKUP(L119,服务合同!$L$6:$CC$300,55,0)</f>
        <v>0</v>
      </c>
      <c r="BO119" s="102">
        <f>VLOOKUP(L119,服务合同!$L$6:$CC$300,56,0)</f>
        <v>0</v>
      </c>
      <c r="BP119" s="102">
        <f>VLOOKUP(L119,服务合同!$L$6:$CC$300,57,0)</f>
        <v>0</v>
      </c>
      <c r="BQ119" s="102">
        <f>VLOOKUP(L119,服务合同!$L$6:$CC$300,58,0)</f>
        <v>0</v>
      </c>
      <c r="BR119" s="102">
        <f>VLOOKUP(L119,服务合同!$L$6:$CC$300,59,0)</f>
        <v>0</v>
      </c>
      <c r="BS119" s="102">
        <f>VLOOKUP(L119,服务合同!$L$6:$CC$300,60,0)</f>
        <v>0</v>
      </c>
      <c r="BT119" s="102">
        <f>VLOOKUP(L119,服务合同!$L$6:$CC$300,61,0)</f>
        <v>0</v>
      </c>
      <c r="BU119" s="102">
        <f>VLOOKUP(L119,服务合同!$L$6:$CC$300,62,0)</f>
        <v>0</v>
      </c>
      <c r="BV119" s="102">
        <f>VLOOKUP(L119,服务合同!$L$6:$CC$300,63,0)</f>
        <v>0</v>
      </c>
      <c r="BW119" s="102">
        <f>VLOOKUP(L119,服务合同!$L$6:$CC$300,64,0)</f>
        <v>0</v>
      </c>
      <c r="BX119" s="102">
        <f>VLOOKUP(L119,服务合同!$L$6:$CC$300,65,0)</f>
        <v>0</v>
      </c>
      <c r="BY119" s="102">
        <f>VLOOKUP(L119,服务合同!$L$6:$CC$300,66,0)</f>
        <v>0</v>
      </c>
      <c r="BZ119" s="102">
        <f>VLOOKUP(L119,服务合同!$L$6:$CC$300,67,0)</f>
        <v>0</v>
      </c>
      <c r="CA119" s="102">
        <f>VLOOKUP(L119,服务合同!$L$6:$CC$300,68,0)</f>
        <v>0</v>
      </c>
      <c r="CB119" s="102">
        <f>VLOOKUP(L119,服务合同!$L$6:$CC$300,69,0)</f>
        <v>0</v>
      </c>
      <c r="CC119" s="102">
        <f>VLOOKUP(L119,服务合同!$L$6:$CC$300,70,0)</f>
        <v>0</v>
      </c>
      <c r="CD119" s="123">
        <f t="shared" si="33"/>
        <v>2200000</v>
      </c>
      <c r="CE119" s="102">
        <f t="shared" si="34"/>
        <v>1900000</v>
      </c>
      <c r="CF119" s="102">
        <f t="shared" si="35"/>
        <v>1900000</v>
      </c>
      <c r="CG119" s="102">
        <f t="shared" si="36"/>
        <v>0</v>
      </c>
      <c r="CH119" s="124">
        <f t="shared" si="37"/>
        <v>300000</v>
      </c>
      <c r="CI119" s="125">
        <f t="shared" si="38"/>
        <v>0.863636363636364</v>
      </c>
      <c r="CJ119" s="126" t="str">
        <f t="shared" si="39"/>
        <v>数据正确</v>
      </c>
    </row>
    <row r="120" s="60" customFormat="1" customHeight="1" spans="2:88">
      <c r="B120" s="70" t="str">
        <f t="shared" si="29"/>
        <v>-</v>
      </c>
      <c r="C120" s="71" t="str">
        <f t="shared" si="30"/>
        <v>-</v>
      </c>
      <c r="D120" s="181">
        <f t="shared" si="31"/>
        <v>475000</v>
      </c>
      <c r="E120" s="181">
        <f>SUMIF(服务合同!$L$6:$L$300,L120,服务合同!$E$6:$E$300)</f>
        <v>0</v>
      </c>
      <c r="F120" s="181">
        <f>SUMIF(服务合同!$L$6:$L$300,L120,服务合同!$F$6:$F$300)</f>
        <v>0</v>
      </c>
      <c r="G120" s="181">
        <f>SUMIF(服务合同!$L$6:$L$300,L120,服务合同!$G$6:$G$300)</f>
        <v>0</v>
      </c>
      <c r="H120" s="181">
        <f>SUMIF(服务合同!$L$6:$L$300,L120,服务合同!$H$6:$H$300)</f>
        <v>0</v>
      </c>
      <c r="I120" s="181">
        <f t="shared" si="32"/>
        <v>0</v>
      </c>
      <c r="J120" s="86" t="s">
        <v>98</v>
      </c>
      <c r="K120" s="87"/>
      <c r="L120" s="88">
        <v>115</v>
      </c>
      <c r="M120" s="89" t="str">
        <f>VLOOKUP(L120,服务合同!$L$6:$CC$300,2,0)</f>
        <v>WMZX2015017</v>
      </c>
      <c r="N120" s="90" t="str">
        <f>VLOOKUP(L120,服务合同!$L$6:$CC$300,3,0)</f>
        <v>服务合同</v>
      </c>
      <c r="O120" s="265" t="str">
        <f>VLOOKUP(L120,服务合同!$L$6:$CC$300,4,0)</f>
        <v>-</v>
      </c>
      <c r="P120" s="266">
        <f>VLOOKUP(L120,服务合同!$L$6:$CC$300,5,0)</f>
        <v>42020</v>
      </c>
      <c r="Q120" s="275">
        <f>VLOOKUP(L120,服务合同!$L$6:$CC$300,6,0)</f>
        <v>550000</v>
      </c>
      <c r="R120" s="89" t="str">
        <f>VLOOKUP(L120,服务合同!$L$6:$CC$300,7,0)</f>
        <v>安全预评估</v>
      </c>
      <c r="S120" s="89" t="str">
        <f>VLOOKUP(L120,服务合同!$L$6:$CC$300,8,0)</f>
        <v>福建省为民安全工程师咨询服务中心</v>
      </c>
      <c r="T120" s="107">
        <f>VLOOKUP(L120,服务合同!$L$6:$CC$300,9,0)</f>
        <v>0</v>
      </c>
      <c r="U120" s="103" t="str">
        <f>VLOOKUP(L120,服务合同!$L$6:$CC$300,10,0)</f>
        <v>电汇</v>
      </c>
      <c r="V120" s="276" t="str">
        <f>VLOOKUP(L120,服务合同!$L$6:$CC$300,11,0)</f>
        <v>合同签订收到乙方正式发票后15个工作日支付50%</v>
      </c>
      <c r="W120" s="102">
        <f>VLOOKUP(L120,服务合同!$L$6:$CC$300,12,0)</f>
        <v>275000</v>
      </c>
      <c r="X120" s="102">
        <f>VLOOKUP(L120,服务合同!$L$6:$CC$300,13,0)</f>
        <v>200000</v>
      </c>
      <c r="Y120" s="102">
        <f>VLOOKUP(L120,服务合同!$L$6:$CC$300,14,0)</f>
        <v>200000</v>
      </c>
      <c r="Z120" s="102" t="str">
        <f>VLOOKUP(L120,服务合同!$L$6:$CC$300,15,0)</f>
        <v>报告书经专家确认后，收到全部发票后支付50%</v>
      </c>
      <c r="AA120" s="102">
        <f>VLOOKUP(L120,服务合同!$L$6:$CC$300,16,0)</f>
        <v>275000</v>
      </c>
      <c r="AB120" s="102">
        <f>VLOOKUP(L120,服务合同!$L$6:$CC$300,17,0)</f>
        <v>275000</v>
      </c>
      <c r="AC120" s="102">
        <f>VLOOKUP(L120,服务合同!$L$6:$CC$300,18,0)</f>
        <v>275000</v>
      </c>
      <c r="AD120" s="102">
        <f>VLOOKUP(L120,服务合同!$L$6:$CC$300,19,0)</f>
        <v>0</v>
      </c>
      <c r="AE120" s="102">
        <f>VLOOKUP(L120,服务合同!$L$6:$CC$300,20,0)</f>
        <v>0</v>
      </c>
      <c r="AF120" s="102">
        <f>VLOOKUP(L120,服务合同!$L$6:$CC$300,21,0)</f>
        <v>0</v>
      </c>
      <c r="AG120" s="102">
        <f>VLOOKUP(L120,服务合同!$L$6:$CC$300,22,0)</f>
        <v>0</v>
      </c>
      <c r="AH120" s="102">
        <f>VLOOKUP(L120,服务合同!$L$6:$CC$300,23,0)</f>
        <v>0</v>
      </c>
      <c r="AI120" s="102">
        <f>VLOOKUP(L120,服务合同!$L$6:$CC$300,24,0)</f>
        <v>0</v>
      </c>
      <c r="AJ120" s="102">
        <f>VLOOKUP(L120,服务合同!$L$6:$CC$300,25,0)</f>
        <v>0</v>
      </c>
      <c r="AK120" s="102">
        <f>VLOOKUP(L120,服务合同!$L$6:$CC$300,26,0)</f>
        <v>0</v>
      </c>
      <c r="AL120" s="102">
        <f>VLOOKUP(L120,服务合同!$L$6:$CC$300,27,0)</f>
        <v>0</v>
      </c>
      <c r="AM120" s="102">
        <f>VLOOKUP(L120,服务合同!$L$6:$CC$300,28,0)</f>
        <v>0</v>
      </c>
      <c r="AN120" s="102">
        <f>VLOOKUP(L120,服务合同!$L$6:$CC$300,29,0)</f>
        <v>0</v>
      </c>
      <c r="AO120" s="102">
        <f>VLOOKUP(L120,服务合同!$L$6:$CC$300,30,0)</f>
        <v>0</v>
      </c>
      <c r="AP120" s="102">
        <f>VLOOKUP(L120,服务合同!$L$6:$CC$300,31,0)</f>
        <v>0</v>
      </c>
      <c r="AQ120" s="102">
        <f>VLOOKUP(L120,服务合同!$L$6:$CC$300,32,0)</f>
        <v>0</v>
      </c>
      <c r="AR120" s="102">
        <f>VLOOKUP(L120,服务合同!$L$6:$CC$300,33,0)</f>
        <v>0</v>
      </c>
      <c r="AS120" s="102">
        <f>VLOOKUP(L120,服务合同!$L$6:$CC$300,34,0)</f>
        <v>0</v>
      </c>
      <c r="AT120" s="102">
        <f>VLOOKUP(L120,服务合同!$L$6:$CC$300,35,0)</f>
        <v>0</v>
      </c>
      <c r="AU120" s="102">
        <f>VLOOKUP(L120,服务合同!$L$6:$CC$300,36,0)</f>
        <v>0</v>
      </c>
      <c r="AV120" s="102">
        <f>VLOOKUP(L120,服务合同!$L$6:$CC$300,37,0)</f>
        <v>0</v>
      </c>
      <c r="AW120" s="102">
        <f>VLOOKUP(L120,服务合同!$L$6:$CC$300,38,0)</f>
        <v>0</v>
      </c>
      <c r="AX120" s="102">
        <f>VLOOKUP(L120,服务合同!$L$6:$CC$300,39,0)</f>
        <v>0</v>
      </c>
      <c r="AY120" s="102">
        <f>VLOOKUP(L120,服务合同!$L$6:$CC$300,40,0)</f>
        <v>0</v>
      </c>
      <c r="AZ120" s="102">
        <f>VLOOKUP(L120,服务合同!$L$6:$CC$300,41,0)</f>
        <v>0</v>
      </c>
      <c r="BA120" s="102">
        <f>VLOOKUP(L120,服务合同!$L$6:$CC$300,42,0)</f>
        <v>0</v>
      </c>
      <c r="BB120" s="102">
        <f>VLOOKUP(L120,服务合同!$L$6:$CC$300,43,0)</f>
        <v>0</v>
      </c>
      <c r="BC120" s="102">
        <f>VLOOKUP(L120,服务合同!$L$6:$CC$300,44,0)</f>
        <v>0</v>
      </c>
      <c r="BD120" s="102">
        <f>VLOOKUP(L120,服务合同!$L$6:$CC$300,45,0)</f>
        <v>0</v>
      </c>
      <c r="BE120" s="102">
        <f>VLOOKUP(L120,服务合同!$L$6:$CC$300,46,0)</f>
        <v>0</v>
      </c>
      <c r="BF120" s="102">
        <f>VLOOKUP(L120,服务合同!$L$6:$CC$300,47,0)</f>
        <v>0</v>
      </c>
      <c r="BG120" s="102">
        <f>VLOOKUP(L120,服务合同!$L$6:$CC$300,48,0)</f>
        <v>0</v>
      </c>
      <c r="BH120" s="102">
        <f>VLOOKUP(L120,服务合同!$L$6:$CC$300,49,0)</f>
        <v>0</v>
      </c>
      <c r="BI120" s="102">
        <f>VLOOKUP(L120,服务合同!$L$6:$CC$300,50,0)</f>
        <v>0</v>
      </c>
      <c r="BJ120" s="102">
        <f>VLOOKUP(L120,服务合同!$L$6:$CC$300,51,0)</f>
        <v>0</v>
      </c>
      <c r="BK120" s="102">
        <f>VLOOKUP(L120,服务合同!$L$6:$CC$300,52,0)</f>
        <v>0</v>
      </c>
      <c r="BL120" s="102">
        <f>VLOOKUP(L120,服务合同!$L$6:$CC$300,53,0)</f>
        <v>0</v>
      </c>
      <c r="BM120" s="102">
        <f>VLOOKUP(L120,服务合同!$L$6:$CC$300,54,0)</f>
        <v>0</v>
      </c>
      <c r="BN120" s="102">
        <f>VLOOKUP(L120,服务合同!$L$6:$CC$300,55,0)</f>
        <v>0</v>
      </c>
      <c r="BO120" s="102">
        <f>VLOOKUP(L120,服务合同!$L$6:$CC$300,56,0)</f>
        <v>0</v>
      </c>
      <c r="BP120" s="102">
        <f>VLOOKUP(L120,服务合同!$L$6:$CC$300,57,0)</f>
        <v>0</v>
      </c>
      <c r="BQ120" s="102">
        <f>VLOOKUP(L120,服务合同!$L$6:$CC$300,58,0)</f>
        <v>0</v>
      </c>
      <c r="BR120" s="102">
        <f>VLOOKUP(L120,服务合同!$L$6:$CC$300,59,0)</f>
        <v>0</v>
      </c>
      <c r="BS120" s="102">
        <f>VLOOKUP(L120,服务合同!$L$6:$CC$300,60,0)</f>
        <v>0</v>
      </c>
      <c r="BT120" s="102">
        <f>VLOOKUP(L120,服务合同!$L$6:$CC$300,61,0)</f>
        <v>0</v>
      </c>
      <c r="BU120" s="102">
        <f>VLOOKUP(L120,服务合同!$L$6:$CC$300,62,0)</f>
        <v>0</v>
      </c>
      <c r="BV120" s="102">
        <f>VLOOKUP(L120,服务合同!$L$6:$CC$300,63,0)</f>
        <v>0</v>
      </c>
      <c r="BW120" s="102">
        <f>VLOOKUP(L120,服务合同!$L$6:$CC$300,64,0)</f>
        <v>0</v>
      </c>
      <c r="BX120" s="102">
        <f>VLOOKUP(L120,服务合同!$L$6:$CC$300,65,0)</f>
        <v>0</v>
      </c>
      <c r="BY120" s="102">
        <f>VLOOKUP(L120,服务合同!$L$6:$CC$300,66,0)</f>
        <v>0</v>
      </c>
      <c r="BZ120" s="102">
        <f>VLOOKUP(L120,服务合同!$L$6:$CC$300,67,0)</f>
        <v>0</v>
      </c>
      <c r="CA120" s="102">
        <f>VLOOKUP(L120,服务合同!$L$6:$CC$300,68,0)</f>
        <v>0</v>
      </c>
      <c r="CB120" s="102">
        <f>VLOOKUP(L120,服务合同!$L$6:$CC$300,69,0)</f>
        <v>0</v>
      </c>
      <c r="CC120" s="102">
        <f>VLOOKUP(L120,服务合同!$L$6:$CC$300,70,0)</f>
        <v>0</v>
      </c>
      <c r="CD120" s="123">
        <f t="shared" si="33"/>
        <v>550000</v>
      </c>
      <c r="CE120" s="102">
        <f t="shared" si="34"/>
        <v>475000</v>
      </c>
      <c r="CF120" s="102">
        <f t="shared" si="35"/>
        <v>475000</v>
      </c>
      <c r="CG120" s="102">
        <f t="shared" si="36"/>
        <v>0</v>
      </c>
      <c r="CH120" s="124">
        <f t="shared" si="37"/>
        <v>75000</v>
      </c>
      <c r="CI120" s="125">
        <f t="shared" si="38"/>
        <v>0.863636363636364</v>
      </c>
      <c r="CJ120" s="126" t="str">
        <f t="shared" si="39"/>
        <v>数据正确</v>
      </c>
    </row>
    <row r="121" s="60" customFormat="1" customHeight="1" spans="2:88">
      <c r="B121" s="70" t="str">
        <f t="shared" si="29"/>
        <v>-</v>
      </c>
      <c r="C121" s="71" t="str">
        <f t="shared" si="30"/>
        <v>已付清</v>
      </c>
      <c r="D121" s="181">
        <f t="shared" si="31"/>
        <v>130000</v>
      </c>
      <c r="E121" s="181">
        <f>SUMIF(服务合同!$L$6:$L$300,L121,服务合同!$E$6:$E$300)</f>
        <v>0</v>
      </c>
      <c r="F121" s="181">
        <f>SUMIF(服务合同!$L$6:$L$300,L121,服务合同!$F$6:$F$300)</f>
        <v>0</v>
      </c>
      <c r="G121" s="181">
        <f>SUMIF(服务合同!$L$6:$L$300,L121,服务合同!$G$6:$G$300)</f>
        <v>0</v>
      </c>
      <c r="H121" s="181">
        <f>SUMIF(服务合同!$L$6:$L$300,L121,服务合同!$H$6:$H$300)</f>
        <v>0</v>
      </c>
      <c r="I121" s="181">
        <f t="shared" si="32"/>
        <v>0</v>
      </c>
      <c r="J121" s="86" t="s">
        <v>98</v>
      </c>
      <c r="K121" s="87"/>
      <c r="L121" s="88">
        <v>116</v>
      </c>
      <c r="M121" s="89" t="str">
        <f>VLOOKUP(L121,服务合同!$L$6:$CC$300,2,0)</f>
        <v>K1507</v>
      </c>
      <c r="N121" s="90" t="str">
        <f>VLOOKUP(L121,服务合同!$L$6:$CC$300,3,0)</f>
        <v>服务合同</v>
      </c>
      <c r="O121" s="265" t="str">
        <f>VLOOKUP(L121,服务合同!$L$6:$CC$300,4,0)</f>
        <v>-</v>
      </c>
      <c r="P121" s="266">
        <f>VLOOKUP(L121,服务合同!$L$6:$CC$300,5,0)</f>
        <v>42039</v>
      </c>
      <c r="Q121" s="275">
        <f>VLOOKUP(L121,服务合同!$L$6:$CC$300,6,0)</f>
        <v>130000</v>
      </c>
      <c r="R121" s="89" t="str">
        <f>VLOOKUP(L121,服务合同!$L$6:$CC$300,7,0)</f>
        <v>社会稳定风险分析篇章</v>
      </c>
      <c r="S121" s="89" t="str">
        <f>VLOOKUP(L121,服务合同!$L$6:$CC$300,8,0)</f>
        <v>厦门华旸建筑工程设计有限公司</v>
      </c>
      <c r="T121" s="107">
        <f>VLOOKUP(L121,服务合同!$L$6:$CC$300,9,0)</f>
        <v>0</v>
      </c>
      <c r="U121" s="103" t="str">
        <f>VLOOKUP(L121,服务合同!$L$6:$CC$300,10,0)</f>
        <v>电汇</v>
      </c>
      <c r="V121" s="276" t="str">
        <f>VLOOKUP(L121,服务合同!$L$6:$CC$300,11,0)</f>
        <v>合同签订10个工作日支付30%预付款</v>
      </c>
      <c r="W121" s="102">
        <f>VLOOKUP(L121,服务合同!$L$6:$CC$300,12,0)</f>
        <v>39000</v>
      </c>
      <c r="X121" s="102">
        <f>VLOOKUP(L121,服务合同!$L$6:$CC$300,13,0)</f>
        <v>39000</v>
      </c>
      <c r="Y121" s="102">
        <f>VLOOKUP(L121,服务合同!$L$6:$CC$300,14,0)</f>
        <v>39000</v>
      </c>
      <c r="Z121" s="102" t="str">
        <f>VLOOKUP(L121,服务合同!$L$6:$CC$300,15,0)</f>
        <v>篇章报审稿提交后10个工作日支付30%</v>
      </c>
      <c r="AA121" s="102">
        <f>VLOOKUP(L121,服务合同!$L$6:$CC$300,16,0)</f>
        <v>39000</v>
      </c>
      <c r="AB121" s="102">
        <f>VLOOKUP(L121,服务合同!$L$6:$CC$300,17,0)</f>
        <v>39000</v>
      </c>
      <c r="AC121" s="102">
        <f>VLOOKUP(L121,服务合同!$L$6:$CC$300,18,0)</f>
        <v>39000</v>
      </c>
      <c r="AD121" s="102" t="str">
        <f>VLOOKUP(L121,服务合同!$L$6:$CC$300,19,0)</f>
        <v>评估通过后10个工作日付清</v>
      </c>
      <c r="AE121" s="102">
        <f>VLOOKUP(L121,服务合同!$L$6:$CC$300,20,0)</f>
        <v>52000</v>
      </c>
      <c r="AF121" s="102">
        <f>VLOOKUP(L121,服务合同!$L$6:$CC$300,21,0)</f>
        <v>52000</v>
      </c>
      <c r="AG121" s="102">
        <f>VLOOKUP(L121,服务合同!$L$6:$CC$300,22,0)</f>
        <v>52000</v>
      </c>
      <c r="AH121" s="102">
        <f>VLOOKUP(L121,服务合同!$L$6:$CC$300,23,0)</f>
        <v>0</v>
      </c>
      <c r="AI121" s="102">
        <f>VLOOKUP(L121,服务合同!$L$6:$CC$300,24,0)</f>
        <v>0</v>
      </c>
      <c r="AJ121" s="102">
        <f>VLOOKUP(L121,服务合同!$L$6:$CC$300,25,0)</f>
        <v>0</v>
      </c>
      <c r="AK121" s="102">
        <f>VLOOKUP(L121,服务合同!$L$6:$CC$300,26,0)</f>
        <v>0</v>
      </c>
      <c r="AL121" s="102">
        <f>VLOOKUP(L121,服务合同!$L$6:$CC$300,27,0)</f>
        <v>0</v>
      </c>
      <c r="AM121" s="102">
        <f>VLOOKUP(L121,服务合同!$L$6:$CC$300,28,0)</f>
        <v>0</v>
      </c>
      <c r="AN121" s="102">
        <f>VLOOKUP(L121,服务合同!$L$6:$CC$300,29,0)</f>
        <v>0</v>
      </c>
      <c r="AO121" s="102">
        <f>VLOOKUP(L121,服务合同!$L$6:$CC$300,30,0)</f>
        <v>0</v>
      </c>
      <c r="AP121" s="102">
        <f>VLOOKUP(L121,服务合同!$L$6:$CC$300,31,0)</f>
        <v>0</v>
      </c>
      <c r="AQ121" s="102">
        <f>VLOOKUP(L121,服务合同!$L$6:$CC$300,32,0)</f>
        <v>0</v>
      </c>
      <c r="AR121" s="102">
        <f>VLOOKUP(L121,服务合同!$L$6:$CC$300,33,0)</f>
        <v>0</v>
      </c>
      <c r="AS121" s="102">
        <f>VLOOKUP(L121,服务合同!$L$6:$CC$300,34,0)</f>
        <v>0</v>
      </c>
      <c r="AT121" s="102">
        <f>VLOOKUP(L121,服务合同!$L$6:$CC$300,35,0)</f>
        <v>0</v>
      </c>
      <c r="AU121" s="102">
        <f>VLOOKUP(L121,服务合同!$L$6:$CC$300,36,0)</f>
        <v>0</v>
      </c>
      <c r="AV121" s="102">
        <f>VLOOKUP(L121,服务合同!$L$6:$CC$300,37,0)</f>
        <v>0</v>
      </c>
      <c r="AW121" s="102">
        <f>VLOOKUP(L121,服务合同!$L$6:$CC$300,38,0)</f>
        <v>0</v>
      </c>
      <c r="AX121" s="102">
        <f>VLOOKUP(L121,服务合同!$L$6:$CC$300,39,0)</f>
        <v>0</v>
      </c>
      <c r="AY121" s="102">
        <f>VLOOKUP(L121,服务合同!$L$6:$CC$300,40,0)</f>
        <v>0</v>
      </c>
      <c r="AZ121" s="102">
        <f>VLOOKUP(L121,服务合同!$L$6:$CC$300,41,0)</f>
        <v>0</v>
      </c>
      <c r="BA121" s="102">
        <f>VLOOKUP(L121,服务合同!$L$6:$CC$300,42,0)</f>
        <v>0</v>
      </c>
      <c r="BB121" s="102">
        <f>VLOOKUP(L121,服务合同!$L$6:$CC$300,43,0)</f>
        <v>0</v>
      </c>
      <c r="BC121" s="102">
        <f>VLOOKUP(L121,服务合同!$L$6:$CC$300,44,0)</f>
        <v>0</v>
      </c>
      <c r="BD121" s="102">
        <f>VLOOKUP(L121,服务合同!$L$6:$CC$300,45,0)</f>
        <v>0</v>
      </c>
      <c r="BE121" s="102">
        <f>VLOOKUP(L121,服务合同!$L$6:$CC$300,46,0)</f>
        <v>0</v>
      </c>
      <c r="BF121" s="102">
        <f>VLOOKUP(L121,服务合同!$L$6:$CC$300,47,0)</f>
        <v>0</v>
      </c>
      <c r="BG121" s="102">
        <f>VLOOKUP(L121,服务合同!$L$6:$CC$300,48,0)</f>
        <v>0</v>
      </c>
      <c r="BH121" s="102">
        <f>VLOOKUP(L121,服务合同!$L$6:$CC$300,49,0)</f>
        <v>0</v>
      </c>
      <c r="BI121" s="102">
        <f>VLOOKUP(L121,服务合同!$L$6:$CC$300,50,0)</f>
        <v>0</v>
      </c>
      <c r="BJ121" s="102">
        <f>VLOOKUP(L121,服务合同!$L$6:$CC$300,51,0)</f>
        <v>0</v>
      </c>
      <c r="BK121" s="102">
        <f>VLOOKUP(L121,服务合同!$L$6:$CC$300,52,0)</f>
        <v>0</v>
      </c>
      <c r="BL121" s="102">
        <f>VLOOKUP(L121,服务合同!$L$6:$CC$300,53,0)</f>
        <v>0</v>
      </c>
      <c r="BM121" s="102">
        <f>VLOOKUP(L121,服务合同!$L$6:$CC$300,54,0)</f>
        <v>0</v>
      </c>
      <c r="BN121" s="102">
        <f>VLOOKUP(L121,服务合同!$L$6:$CC$300,55,0)</f>
        <v>0</v>
      </c>
      <c r="BO121" s="102">
        <f>VLOOKUP(L121,服务合同!$L$6:$CC$300,56,0)</f>
        <v>0</v>
      </c>
      <c r="BP121" s="102">
        <f>VLOOKUP(L121,服务合同!$L$6:$CC$300,57,0)</f>
        <v>0</v>
      </c>
      <c r="BQ121" s="102">
        <f>VLOOKUP(L121,服务合同!$L$6:$CC$300,58,0)</f>
        <v>0</v>
      </c>
      <c r="BR121" s="102">
        <f>VLOOKUP(L121,服务合同!$L$6:$CC$300,59,0)</f>
        <v>0</v>
      </c>
      <c r="BS121" s="102">
        <f>VLOOKUP(L121,服务合同!$L$6:$CC$300,60,0)</f>
        <v>0</v>
      </c>
      <c r="BT121" s="102">
        <f>VLOOKUP(L121,服务合同!$L$6:$CC$300,61,0)</f>
        <v>0</v>
      </c>
      <c r="BU121" s="102">
        <f>VLOOKUP(L121,服务合同!$L$6:$CC$300,62,0)</f>
        <v>0</v>
      </c>
      <c r="BV121" s="102">
        <f>VLOOKUP(L121,服务合同!$L$6:$CC$300,63,0)</f>
        <v>0</v>
      </c>
      <c r="BW121" s="102">
        <f>VLOOKUP(L121,服务合同!$L$6:$CC$300,64,0)</f>
        <v>0</v>
      </c>
      <c r="BX121" s="102">
        <f>VLOOKUP(L121,服务合同!$L$6:$CC$300,65,0)</f>
        <v>0</v>
      </c>
      <c r="BY121" s="102">
        <f>VLOOKUP(L121,服务合同!$L$6:$CC$300,66,0)</f>
        <v>0</v>
      </c>
      <c r="BZ121" s="102">
        <f>VLOOKUP(L121,服务合同!$L$6:$CC$300,67,0)</f>
        <v>0</v>
      </c>
      <c r="CA121" s="102">
        <f>VLOOKUP(L121,服务合同!$L$6:$CC$300,68,0)</f>
        <v>0</v>
      </c>
      <c r="CB121" s="102">
        <f>VLOOKUP(L121,服务合同!$L$6:$CC$300,69,0)</f>
        <v>0</v>
      </c>
      <c r="CC121" s="102">
        <f>VLOOKUP(L121,服务合同!$L$6:$CC$300,70,0)</f>
        <v>0</v>
      </c>
      <c r="CD121" s="123">
        <f t="shared" si="33"/>
        <v>130000</v>
      </c>
      <c r="CE121" s="102">
        <f t="shared" si="34"/>
        <v>130000</v>
      </c>
      <c r="CF121" s="102">
        <f t="shared" si="35"/>
        <v>130000</v>
      </c>
      <c r="CG121" s="102">
        <f t="shared" si="36"/>
        <v>0</v>
      </c>
      <c r="CH121" s="124">
        <f t="shared" si="37"/>
        <v>0</v>
      </c>
      <c r="CI121" s="125">
        <f t="shared" si="38"/>
        <v>1</v>
      </c>
      <c r="CJ121" s="126" t="str">
        <f t="shared" si="39"/>
        <v>数据正确</v>
      </c>
    </row>
    <row r="122" s="60" customFormat="1" customHeight="1" spans="2:88">
      <c r="B122" s="70" t="str">
        <f t="shared" si="29"/>
        <v>-</v>
      </c>
      <c r="C122" s="71" t="str">
        <f t="shared" si="30"/>
        <v>已付清</v>
      </c>
      <c r="D122" s="181">
        <f t="shared" si="31"/>
        <v>200000</v>
      </c>
      <c r="E122" s="181">
        <f>SUMIF(服务合同!$L$6:$L$300,L122,服务合同!$E$6:$E$300)</f>
        <v>0</v>
      </c>
      <c r="F122" s="181">
        <f>SUMIF(服务合同!$L$6:$L$300,L122,服务合同!$F$6:$F$300)</f>
        <v>0</v>
      </c>
      <c r="G122" s="181">
        <f>SUMIF(服务合同!$L$6:$L$300,L122,服务合同!$G$6:$G$300)</f>
        <v>0</v>
      </c>
      <c r="H122" s="181">
        <f>SUMIF(服务合同!$L$6:$L$300,L122,服务合同!$H$6:$H$300)</f>
        <v>0</v>
      </c>
      <c r="I122" s="181">
        <f t="shared" si="32"/>
        <v>0</v>
      </c>
      <c r="J122" s="86" t="s">
        <v>98</v>
      </c>
      <c r="K122" s="87"/>
      <c r="L122" s="88">
        <v>117</v>
      </c>
      <c r="M122" s="89" t="str">
        <f>VLOOKUP(L122,服务合同!$L$6:$CC$300,2,0)</f>
        <v>无</v>
      </c>
      <c r="N122" s="90" t="str">
        <f>VLOOKUP(L122,服务合同!$L$6:$CC$300,3,0)</f>
        <v>服务合同</v>
      </c>
      <c r="O122" s="265" t="str">
        <f>VLOOKUP(L122,服务合同!$L$6:$CC$300,4,0)</f>
        <v>-</v>
      </c>
      <c r="P122" s="266">
        <f>VLOOKUP(L122,服务合同!$L$6:$CC$300,5,0)</f>
        <v>42003</v>
      </c>
      <c r="Q122" s="275">
        <f>VLOOKUP(L122,服务合同!$L$6:$CC$300,6,0)</f>
        <v>200000</v>
      </c>
      <c r="R122" s="89" t="str">
        <f>VLOOKUP(L122,服务合同!$L$6:$CC$300,7,0)</f>
        <v>地下水环境评价</v>
      </c>
      <c r="S122" s="89" t="str">
        <f>VLOOKUP(L122,服务合同!$L$6:$CC$300,8,0)</f>
        <v>核工业鹰潭工程勘察院</v>
      </c>
      <c r="T122" s="107">
        <f>VLOOKUP(L122,服务合同!$L$6:$CC$300,9,0)</f>
        <v>0</v>
      </c>
      <c r="U122" s="103" t="str">
        <f>VLOOKUP(L122,服务合同!$L$6:$CC$300,10,0)</f>
        <v>电汇</v>
      </c>
      <c r="V122" s="276" t="str">
        <f>VLOOKUP(L122,服务合同!$L$6:$CC$300,11,0)</f>
        <v>合同签订10个工作日支付30%预付款</v>
      </c>
      <c r="W122" s="102">
        <f>VLOOKUP(L122,服务合同!$L$6:$CC$300,12,0)</f>
        <v>100000</v>
      </c>
      <c r="X122" s="102">
        <f>VLOOKUP(L122,服务合同!$L$6:$CC$300,13,0)</f>
        <v>100000</v>
      </c>
      <c r="Y122" s="102">
        <f>VLOOKUP(L122,服务合同!$L$6:$CC$300,14,0)</f>
        <v>100000</v>
      </c>
      <c r="Z122" s="102" t="str">
        <f>VLOOKUP(L122,服务合同!$L$6:$CC$300,15,0)</f>
        <v>提交最终专题报告后支付5万</v>
      </c>
      <c r="AA122" s="102">
        <f>VLOOKUP(L122,服务合同!$L$6:$CC$300,16,0)</f>
        <v>50000</v>
      </c>
      <c r="AB122" s="102">
        <f>VLOOKUP(L122,服务合同!$L$6:$CC$300,17,0)</f>
        <v>100000</v>
      </c>
      <c r="AC122" s="102">
        <f>VLOOKUP(L122,服务合同!$L$6:$CC$300,18,0)</f>
        <v>100000</v>
      </c>
      <c r="AD122" s="102" t="str">
        <f>VLOOKUP(L122,服务合同!$L$6:$CC$300,19,0)</f>
        <v>项目通过环评审批后支付5万</v>
      </c>
      <c r="AE122" s="102">
        <f>VLOOKUP(L122,服务合同!$L$6:$CC$300,20,0)</f>
        <v>50000</v>
      </c>
      <c r="AF122" s="102">
        <f>VLOOKUP(L122,服务合同!$L$6:$CC$300,21,0)</f>
        <v>0</v>
      </c>
      <c r="AG122" s="102">
        <f>VLOOKUP(L122,服务合同!$L$6:$CC$300,22,0)</f>
        <v>0</v>
      </c>
      <c r="AH122" s="102">
        <f>VLOOKUP(L122,服务合同!$L$6:$CC$300,23,0)</f>
        <v>0</v>
      </c>
      <c r="AI122" s="102">
        <f>VLOOKUP(L122,服务合同!$L$6:$CC$300,24,0)</f>
        <v>0</v>
      </c>
      <c r="AJ122" s="102">
        <f>VLOOKUP(L122,服务合同!$L$6:$CC$300,25,0)</f>
        <v>0</v>
      </c>
      <c r="AK122" s="102">
        <f>VLOOKUP(L122,服务合同!$L$6:$CC$300,26,0)</f>
        <v>0</v>
      </c>
      <c r="AL122" s="102">
        <f>VLOOKUP(L122,服务合同!$L$6:$CC$300,27,0)</f>
        <v>0</v>
      </c>
      <c r="AM122" s="102">
        <f>VLOOKUP(L122,服务合同!$L$6:$CC$300,28,0)</f>
        <v>0</v>
      </c>
      <c r="AN122" s="102">
        <f>VLOOKUP(L122,服务合同!$L$6:$CC$300,29,0)</f>
        <v>0</v>
      </c>
      <c r="AO122" s="102">
        <f>VLOOKUP(L122,服务合同!$L$6:$CC$300,30,0)</f>
        <v>0</v>
      </c>
      <c r="AP122" s="102">
        <f>VLOOKUP(L122,服务合同!$L$6:$CC$300,31,0)</f>
        <v>0</v>
      </c>
      <c r="AQ122" s="102">
        <f>VLOOKUP(L122,服务合同!$L$6:$CC$300,32,0)</f>
        <v>0</v>
      </c>
      <c r="AR122" s="102">
        <f>VLOOKUP(L122,服务合同!$L$6:$CC$300,33,0)</f>
        <v>0</v>
      </c>
      <c r="AS122" s="102">
        <f>VLOOKUP(L122,服务合同!$L$6:$CC$300,34,0)</f>
        <v>0</v>
      </c>
      <c r="AT122" s="102">
        <f>VLOOKUP(L122,服务合同!$L$6:$CC$300,35,0)</f>
        <v>0</v>
      </c>
      <c r="AU122" s="102">
        <f>VLOOKUP(L122,服务合同!$L$6:$CC$300,36,0)</f>
        <v>0</v>
      </c>
      <c r="AV122" s="102">
        <f>VLOOKUP(L122,服务合同!$L$6:$CC$300,37,0)</f>
        <v>0</v>
      </c>
      <c r="AW122" s="102">
        <f>VLOOKUP(L122,服务合同!$L$6:$CC$300,38,0)</f>
        <v>0</v>
      </c>
      <c r="AX122" s="102">
        <f>VLOOKUP(L122,服务合同!$L$6:$CC$300,39,0)</f>
        <v>0</v>
      </c>
      <c r="AY122" s="102">
        <f>VLOOKUP(L122,服务合同!$L$6:$CC$300,40,0)</f>
        <v>0</v>
      </c>
      <c r="AZ122" s="102">
        <f>VLOOKUP(L122,服务合同!$L$6:$CC$300,41,0)</f>
        <v>0</v>
      </c>
      <c r="BA122" s="102">
        <f>VLOOKUP(L122,服务合同!$L$6:$CC$300,42,0)</f>
        <v>0</v>
      </c>
      <c r="BB122" s="102">
        <f>VLOOKUP(L122,服务合同!$L$6:$CC$300,43,0)</f>
        <v>0</v>
      </c>
      <c r="BC122" s="102">
        <f>VLOOKUP(L122,服务合同!$L$6:$CC$300,44,0)</f>
        <v>0</v>
      </c>
      <c r="BD122" s="102">
        <f>VLOOKUP(L122,服务合同!$L$6:$CC$300,45,0)</f>
        <v>0</v>
      </c>
      <c r="BE122" s="102">
        <f>VLOOKUP(L122,服务合同!$L$6:$CC$300,46,0)</f>
        <v>0</v>
      </c>
      <c r="BF122" s="102">
        <f>VLOOKUP(L122,服务合同!$L$6:$CC$300,47,0)</f>
        <v>0</v>
      </c>
      <c r="BG122" s="102">
        <f>VLOOKUP(L122,服务合同!$L$6:$CC$300,48,0)</f>
        <v>0</v>
      </c>
      <c r="BH122" s="102">
        <f>VLOOKUP(L122,服务合同!$L$6:$CC$300,49,0)</f>
        <v>0</v>
      </c>
      <c r="BI122" s="102">
        <f>VLOOKUP(L122,服务合同!$L$6:$CC$300,50,0)</f>
        <v>0</v>
      </c>
      <c r="BJ122" s="102">
        <f>VLOOKUP(L122,服务合同!$L$6:$CC$300,51,0)</f>
        <v>0</v>
      </c>
      <c r="BK122" s="102">
        <f>VLOOKUP(L122,服务合同!$L$6:$CC$300,52,0)</f>
        <v>0</v>
      </c>
      <c r="BL122" s="102">
        <f>VLOOKUP(L122,服务合同!$L$6:$CC$300,53,0)</f>
        <v>0</v>
      </c>
      <c r="BM122" s="102">
        <f>VLOOKUP(L122,服务合同!$L$6:$CC$300,54,0)</f>
        <v>0</v>
      </c>
      <c r="BN122" s="102">
        <f>VLOOKUP(L122,服务合同!$L$6:$CC$300,55,0)</f>
        <v>0</v>
      </c>
      <c r="BO122" s="102">
        <f>VLOOKUP(L122,服务合同!$L$6:$CC$300,56,0)</f>
        <v>0</v>
      </c>
      <c r="BP122" s="102">
        <f>VLOOKUP(L122,服务合同!$L$6:$CC$300,57,0)</f>
        <v>0</v>
      </c>
      <c r="BQ122" s="102">
        <f>VLOOKUP(L122,服务合同!$L$6:$CC$300,58,0)</f>
        <v>0</v>
      </c>
      <c r="BR122" s="102">
        <f>VLOOKUP(L122,服务合同!$L$6:$CC$300,59,0)</f>
        <v>0</v>
      </c>
      <c r="BS122" s="102">
        <f>VLOOKUP(L122,服务合同!$L$6:$CC$300,60,0)</f>
        <v>0</v>
      </c>
      <c r="BT122" s="102">
        <f>VLOOKUP(L122,服务合同!$L$6:$CC$300,61,0)</f>
        <v>0</v>
      </c>
      <c r="BU122" s="102">
        <f>VLOOKUP(L122,服务合同!$L$6:$CC$300,62,0)</f>
        <v>0</v>
      </c>
      <c r="BV122" s="102">
        <f>VLOOKUP(L122,服务合同!$L$6:$CC$300,63,0)</f>
        <v>0</v>
      </c>
      <c r="BW122" s="102">
        <f>VLOOKUP(L122,服务合同!$L$6:$CC$300,64,0)</f>
        <v>0</v>
      </c>
      <c r="BX122" s="102">
        <f>VLOOKUP(L122,服务合同!$L$6:$CC$300,65,0)</f>
        <v>0</v>
      </c>
      <c r="BY122" s="102">
        <f>VLOOKUP(L122,服务合同!$L$6:$CC$300,66,0)</f>
        <v>0</v>
      </c>
      <c r="BZ122" s="102">
        <f>VLOOKUP(L122,服务合同!$L$6:$CC$300,67,0)</f>
        <v>0</v>
      </c>
      <c r="CA122" s="102">
        <f>VLOOKUP(L122,服务合同!$L$6:$CC$300,68,0)</f>
        <v>0</v>
      </c>
      <c r="CB122" s="102">
        <f>VLOOKUP(L122,服务合同!$L$6:$CC$300,69,0)</f>
        <v>0</v>
      </c>
      <c r="CC122" s="102">
        <f>VLOOKUP(L122,服务合同!$L$6:$CC$300,70,0)</f>
        <v>0</v>
      </c>
      <c r="CD122" s="123">
        <f t="shared" si="33"/>
        <v>200000</v>
      </c>
      <c r="CE122" s="102">
        <f t="shared" si="34"/>
        <v>200000</v>
      </c>
      <c r="CF122" s="102">
        <f t="shared" si="35"/>
        <v>200000</v>
      </c>
      <c r="CG122" s="102">
        <f t="shared" si="36"/>
        <v>0</v>
      </c>
      <c r="CH122" s="124">
        <f t="shared" si="37"/>
        <v>0</v>
      </c>
      <c r="CI122" s="125">
        <f t="shared" si="38"/>
        <v>1</v>
      </c>
      <c r="CJ122" s="126" t="str">
        <f t="shared" si="39"/>
        <v>数据正确</v>
      </c>
    </row>
    <row r="123" s="60" customFormat="1" customHeight="1" spans="2:88">
      <c r="B123" s="70" t="str">
        <f t="shared" si="29"/>
        <v>-</v>
      </c>
      <c r="C123" s="71" t="str">
        <f t="shared" si="30"/>
        <v>已付清</v>
      </c>
      <c r="D123" s="181">
        <f t="shared" si="31"/>
        <v>62470000</v>
      </c>
      <c r="E123" s="181">
        <f>SUMIF(其他合同!$L$6:$L$300,L123,其他合同!$E$6:$E$300)</f>
        <v>0</v>
      </c>
      <c r="F123" s="181">
        <f>SUMIF(其他合同!$L$6:$L$300,L123,其他合同!$F$6:$F$300)</f>
        <v>0</v>
      </c>
      <c r="G123" s="181">
        <f>SUMIF(其他合同!$L$6:$L$300,L123,其他合同!$G$6:$G$300)</f>
        <v>0</v>
      </c>
      <c r="H123" s="181">
        <f>SUMIF(其他合同!$L$6:$L$300,L123,其他合同!$H$6:$H$300)</f>
        <v>0</v>
      </c>
      <c r="I123" s="181">
        <f t="shared" si="32"/>
        <v>0</v>
      </c>
      <c r="J123" s="86" t="s">
        <v>98</v>
      </c>
      <c r="K123" s="87"/>
      <c r="L123" s="88">
        <v>118</v>
      </c>
      <c r="M123" s="89" t="str">
        <f>VLOOKUP(L123,其他合同!$L$6:$CC$300,2,0)</f>
        <v>莆秀国土资出字（2015）10号</v>
      </c>
      <c r="N123" s="90" t="str">
        <f>VLOOKUP(L123,其他合同!$L$6:$CC$300,3,0)</f>
        <v>其他合同</v>
      </c>
      <c r="O123" s="265" t="str">
        <f>VLOOKUP(L123,其他合同!$L$6:$CC$300,4,0)</f>
        <v>-</v>
      </c>
      <c r="P123" s="266">
        <f>VLOOKUP(L123,其他合同!$L$6:$CC$300,5,0)</f>
        <v>42178</v>
      </c>
      <c r="Q123" s="275">
        <f>VLOOKUP(L123,其他合同!$L$6:$CC$300,6,0)</f>
        <v>62470000</v>
      </c>
      <c r="R123" s="89" t="str">
        <f>VLOOKUP(L123,其他合同!$L$6:$CC$300,7,0)</f>
        <v>土地费（433816平米*144元/平米）</v>
      </c>
      <c r="S123" s="89" t="str">
        <f>VLOOKUP(L123,其他合同!$L$6:$CC$300,8,0)</f>
        <v>莆田市国土资源局秀屿分局</v>
      </c>
      <c r="T123" s="107" t="str">
        <f>VLOOKUP(L123,其他合同!$L$6:$CC$300,9,0)</f>
        <v>-</v>
      </c>
      <c r="U123" s="103" t="str">
        <f>VLOOKUP(L123,其他合同!$L$6:$CC$300,10,0)</f>
        <v>电汇</v>
      </c>
      <c r="V123" s="276" t="str">
        <f>VLOOKUP(L123,其他合同!$L$6:$CC$300,11,0)</f>
        <v>合同签订60日之内一次性付清</v>
      </c>
      <c r="W123" s="102">
        <f>VLOOKUP(L123,其他合同!$L$6:$CC$300,12,0)</f>
        <v>62470000</v>
      </c>
      <c r="X123" s="102">
        <f>VLOOKUP(L123,其他合同!$L$6:$CC$300,13,0)</f>
        <v>62470000</v>
      </c>
      <c r="Y123" s="102">
        <f>VLOOKUP(L123,其他合同!$L$6:$CC$300,14,0)</f>
        <v>62470000</v>
      </c>
      <c r="Z123" s="102">
        <f>VLOOKUP(L123,其他合同!$L$6:$CC$300,15,0)</f>
        <v>0</v>
      </c>
      <c r="AA123" s="102">
        <f>VLOOKUP(L123,其他合同!$L$6:$CC$300,16,0)</f>
        <v>0</v>
      </c>
      <c r="AB123" s="102">
        <f>VLOOKUP(L123,其他合同!$L$6:$CC$300,17,0)</f>
        <v>0</v>
      </c>
      <c r="AC123" s="102">
        <f>VLOOKUP(L123,其他合同!$L$6:$CC$300,18,0)</f>
        <v>0</v>
      </c>
      <c r="AD123" s="102">
        <f>VLOOKUP(L123,其他合同!$L$6:$CC$300,19,0)</f>
        <v>0</v>
      </c>
      <c r="AE123" s="102">
        <f>VLOOKUP(L123,其他合同!$L$6:$CC$300,20,0)</f>
        <v>0</v>
      </c>
      <c r="AF123" s="102">
        <f>VLOOKUP(L123,其他合同!$L$6:$CC$300,21,0)</f>
        <v>0</v>
      </c>
      <c r="AG123" s="102">
        <f>VLOOKUP(L123,其他合同!$L$6:$CC$300,22,0)</f>
        <v>0</v>
      </c>
      <c r="AH123" s="102">
        <f>VLOOKUP(L123,其他合同!$L$6:$CC$300,23,0)</f>
        <v>0</v>
      </c>
      <c r="AI123" s="102">
        <f>VLOOKUP(L123,其他合同!$L$6:$CC$300,24,0)</f>
        <v>0</v>
      </c>
      <c r="AJ123" s="102">
        <f>VLOOKUP(L123,其他合同!$L$6:$CC$300,25,0)</f>
        <v>0</v>
      </c>
      <c r="AK123" s="102">
        <f>VLOOKUP(L123,其他合同!$L$6:$CC$300,26,0)</f>
        <v>0</v>
      </c>
      <c r="AL123" s="102">
        <f>VLOOKUP(L123,其他合同!$L$6:$CC$300,27,0)</f>
        <v>0</v>
      </c>
      <c r="AM123" s="102">
        <f>VLOOKUP(L123,其他合同!$L$6:$CC$300,28,0)</f>
        <v>0</v>
      </c>
      <c r="AN123" s="102">
        <f>VLOOKUP(L123,其他合同!$L$6:$CC$300,29,0)</f>
        <v>0</v>
      </c>
      <c r="AO123" s="102">
        <f>VLOOKUP(L123,其他合同!$L$6:$CC$300,30,0)</f>
        <v>0</v>
      </c>
      <c r="AP123" s="102">
        <f>VLOOKUP(L123,其他合同!$L$6:$CC$300,31,0)</f>
        <v>0</v>
      </c>
      <c r="AQ123" s="102">
        <f>VLOOKUP(L123,其他合同!$L$6:$CC$300,32,0)</f>
        <v>0</v>
      </c>
      <c r="AR123" s="102">
        <f>VLOOKUP(L123,其他合同!$L$6:$CC$300,33,0)</f>
        <v>0</v>
      </c>
      <c r="AS123" s="102">
        <f>VLOOKUP(L123,其他合同!$L$6:$CC$300,34,0)</f>
        <v>0</v>
      </c>
      <c r="AT123" s="102">
        <f>VLOOKUP(L123,其他合同!$L$6:$CC$300,35,0)</f>
        <v>0</v>
      </c>
      <c r="AU123" s="102">
        <f>VLOOKUP(L123,其他合同!$L$6:$CC$300,36,0)</f>
        <v>0</v>
      </c>
      <c r="AV123" s="102">
        <f>VLOOKUP(L123,其他合同!$L$6:$CC$300,37,0)</f>
        <v>0</v>
      </c>
      <c r="AW123" s="102">
        <f>VLOOKUP(L123,其他合同!$L$6:$CC$300,38,0)</f>
        <v>0</v>
      </c>
      <c r="AX123" s="102">
        <f>VLOOKUP(L123,其他合同!$L$6:$CC$300,39,0)</f>
        <v>0</v>
      </c>
      <c r="AY123" s="102">
        <f>VLOOKUP(L123,其他合同!$L$6:$CC$300,40,0)</f>
        <v>0</v>
      </c>
      <c r="AZ123" s="102">
        <f>VLOOKUP(L123,其他合同!$L$6:$CC$300,41,0)</f>
        <v>0</v>
      </c>
      <c r="BA123" s="102">
        <f>VLOOKUP(L123,其他合同!$L$6:$CC$300,42,0)</f>
        <v>0</v>
      </c>
      <c r="BB123" s="102">
        <f>VLOOKUP(L123,其他合同!$L$6:$CC$300,43,0)</f>
        <v>0</v>
      </c>
      <c r="BC123" s="102">
        <f>VLOOKUP(L123,其他合同!$L$6:$CC$300,44,0)</f>
        <v>0</v>
      </c>
      <c r="BD123" s="102">
        <f>VLOOKUP(L123,其他合同!$L$6:$CC$300,45,0)</f>
        <v>0</v>
      </c>
      <c r="BE123" s="102">
        <f>VLOOKUP(L123,其他合同!$L$6:$CC$300,46,0)</f>
        <v>0</v>
      </c>
      <c r="BF123" s="102">
        <f>VLOOKUP(L123,其他合同!$L$6:$CC$300,47,0)</f>
        <v>0</v>
      </c>
      <c r="BG123" s="102">
        <f>VLOOKUP(L123,其他合同!$L$6:$CC$300,48,0)</f>
        <v>0</v>
      </c>
      <c r="BH123" s="102">
        <f>VLOOKUP(L123,其他合同!$L$6:$CC$300,49,0)</f>
        <v>0</v>
      </c>
      <c r="BI123" s="102">
        <f>VLOOKUP(L123,其他合同!$L$6:$CC$300,50,0)</f>
        <v>0</v>
      </c>
      <c r="BJ123" s="102">
        <f>VLOOKUP(L123,其他合同!$L$6:$CC$300,51,0)</f>
        <v>0</v>
      </c>
      <c r="BK123" s="102">
        <f>VLOOKUP(L123,其他合同!$L$6:$CC$300,52,0)</f>
        <v>0</v>
      </c>
      <c r="BL123" s="102">
        <f>VLOOKUP(L123,其他合同!$L$6:$CC$300,53,0)</f>
        <v>0</v>
      </c>
      <c r="BM123" s="102">
        <f>VLOOKUP(L123,其他合同!$L$6:$CC$300,54,0)</f>
        <v>0</v>
      </c>
      <c r="BN123" s="102">
        <f>VLOOKUP(L123,其他合同!$L$6:$CC$300,55,0)</f>
        <v>0</v>
      </c>
      <c r="BO123" s="102">
        <f>VLOOKUP(L123,其他合同!$L$6:$CC$300,56,0)</f>
        <v>0</v>
      </c>
      <c r="BP123" s="102">
        <f>VLOOKUP(L123,其他合同!$L$6:$CC$300,57,0)</f>
        <v>0</v>
      </c>
      <c r="BQ123" s="102">
        <f>VLOOKUP(L123,其他合同!$L$6:$CC$300,58,0)</f>
        <v>0</v>
      </c>
      <c r="BR123" s="102">
        <f>VLOOKUP(L123,其他合同!$L$6:$CC$300,59,0)</f>
        <v>0</v>
      </c>
      <c r="BS123" s="102">
        <f>VLOOKUP(L123,其他合同!$L$6:$CC$300,60,0)</f>
        <v>0</v>
      </c>
      <c r="BT123" s="102">
        <f>VLOOKUP(L123,其他合同!$L$6:$CC$300,61,0)</f>
        <v>0</v>
      </c>
      <c r="BU123" s="102">
        <f>VLOOKUP(L123,其他合同!$L$6:$CC$300,62,0)</f>
        <v>0</v>
      </c>
      <c r="BV123" s="102">
        <f>VLOOKUP(L123,其他合同!$L$6:$CC$300,63,0)</f>
        <v>0</v>
      </c>
      <c r="BW123" s="102">
        <f>VLOOKUP(L123,其他合同!$L$6:$CC$300,64,0)</f>
        <v>0</v>
      </c>
      <c r="BX123" s="102">
        <f>VLOOKUP(L123,其他合同!$L$6:$CC$300,65,0)</f>
        <v>0</v>
      </c>
      <c r="BY123" s="102">
        <f>VLOOKUP(L123,其他合同!$L$6:$CC$300,66,0)</f>
        <v>0</v>
      </c>
      <c r="BZ123" s="102">
        <f>VLOOKUP(L123,其他合同!$L$6:$CC$300,67,0)</f>
        <v>0</v>
      </c>
      <c r="CA123" s="102">
        <f>VLOOKUP(L123,其他合同!$L$6:$CC$300,68,0)</f>
        <v>0</v>
      </c>
      <c r="CB123" s="102">
        <f>VLOOKUP(L123,其他合同!$L$6:$CC$300,69,0)</f>
        <v>0</v>
      </c>
      <c r="CC123" s="102">
        <f>VLOOKUP(L123,其他合同!$L$6:$CC$300,70,0)</f>
        <v>0</v>
      </c>
      <c r="CD123" s="123">
        <f t="shared" si="33"/>
        <v>62470000</v>
      </c>
      <c r="CE123" s="102">
        <f t="shared" si="34"/>
        <v>62470000</v>
      </c>
      <c r="CF123" s="102">
        <f t="shared" si="35"/>
        <v>62470000</v>
      </c>
      <c r="CG123" s="102">
        <f t="shared" si="36"/>
        <v>0</v>
      </c>
      <c r="CH123" s="124">
        <f t="shared" si="37"/>
        <v>0</v>
      </c>
      <c r="CI123" s="125">
        <f t="shared" si="38"/>
        <v>1</v>
      </c>
      <c r="CJ123" s="126" t="str">
        <f t="shared" si="39"/>
        <v>数据正确</v>
      </c>
    </row>
    <row r="124" s="60" customFormat="1" customHeight="1" spans="2:88">
      <c r="B124" s="70" t="str">
        <f t="shared" si="29"/>
        <v>-</v>
      </c>
      <c r="C124" s="71" t="str">
        <f t="shared" si="30"/>
        <v>已付清</v>
      </c>
      <c r="D124" s="181">
        <f t="shared" si="31"/>
        <v>12199000</v>
      </c>
      <c r="E124" s="181">
        <f>SUMIF(其他合同!$L$6:$L$300,L124,其他合同!$E$6:$E$300)</f>
        <v>0</v>
      </c>
      <c r="F124" s="181">
        <f>SUMIF(其他合同!$L$6:$L$300,L124,其他合同!$F$6:$F$300)</f>
        <v>0</v>
      </c>
      <c r="G124" s="181">
        <f>SUMIF(其他合同!$L$6:$L$300,L124,其他合同!$G$6:$G$300)</f>
        <v>0</v>
      </c>
      <c r="H124" s="181">
        <f>SUMIF(其他合同!$L$6:$L$300,L124,其他合同!$H$6:$H$300)</f>
        <v>0</v>
      </c>
      <c r="I124" s="181">
        <f t="shared" si="32"/>
        <v>0</v>
      </c>
      <c r="J124" s="86" t="s">
        <v>98</v>
      </c>
      <c r="K124" s="87"/>
      <c r="L124" s="88">
        <v>119</v>
      </c>
      <c r="M124" s="89" t="str">
        <f>VLOOKUP(L124,其他合同!$L$6:$CC$300,2,0)</f>
        <v>莆海域2015年出字04号</v>
      </c>
      <c r="N124" s="90" t="str">
        <f>VLOOKUP(L124,其他合同!$L$6:$CC$300,3,0)</f>
        <v>其他合同</v>
      </c>
      <c r="O124" s="265" t="str">
        <f>VLOOKUP(L124,其他合同!$L$6:$CC$300,4,0)</f>
        <v>-</v>
      </c>
      <c r="P124" s="266">
        <f>VLOOKUP(L124,其他合同!$L$6:$CC$300,5,0)</f>
        <v>42051</v>
      </c>
      <c r="Q124" s="275">
        <f>VLOOKUP(L124,其他合同!$L$6:$CC$300,6,0)</f>
        <v>12199000</v>
      </c>
      <c r="R124" s="89" t="str">
        <f>VLOOKUP(L124,其他合同!$L$6:$CC$300,7,0)</f>
        <v>海域土地费（50年）</v>
      </c>
      <c r="S124" s="89" t="str">
        <f>VLOOKUP(L124,其他合同!$L$6:$CC$300,8,0)</f>
        <v>莆田市财政局</v>
      </c>
      <c r="T124" s="107" t="str">
        <f>VLOOKUP(L124,其他合同!$L$6:$CC$300,9,0)</f>
        <v>-</v>
      </c>
      <c r="U124" s="103" t="str">
        <f>VLOOKUP(L124,其他合同!$L$6:$CC$300,10,0)</f>
        <v>电汇</v>
      </c>
      <c r="V124" s="276" t="str">
        <f>VLOOKUP(L124,其他合同!$L$6:$CC$300,11,0)</f>
        <v>合同签订10日之内一次性付清。定金2636806元，取得使用权证书后退回</v>
      </c>
      <c r="W124" s="102">
        <f>VLOOKUP(L124,其他合同!$L$6:$CC$300,12,0)</f>
        <v>12199000</v>
      </c>
      <c r="X124" s="102">
        <f>VLOOKUP(L124,其他合同!$L$6:$CC$300,13,0)</f>
        <v>12199000</v>
      </c>
      <c r="Y124" s="102">
        <f>VLOOKUP(L124,其他合同!$L$6:$CC$300,14,0)</f>
        <v>12199000</v>
      </c>
      <c r="Z124" s="102">
        <f>VLOOKUP(L124,其他合同!$L$6:$CC$300,15,0)</f>
        <v>0</v>
      </c>
      <c r="AA124" s="102">
        <f>VLOOKUP(L124,其他合同!$L$6:$CC$300,16,0)</f>
        <v>0</v>
      </c>
      <c r="AB124" s="102">
        <f>VLOOKUP(L124,其他合同!$L$6:$CC$300,17,0)</f>
        <v>0</v>
      </c>
      <c r="AC124" s="102">
        <f>VLOOKUP(L124,其他合同!$L$6:$CC$300,18,0)</f>
        <v>0</v>
      </c>
      <c r="AD124" s="102">
        <f>VLOOKUP(L124,其他合同!$L$6:$CC$300,19,0)</f>
        <v>0</v>
      </c>
      <c r="AE124" s="102">
        <f>VLOOKUP(L124,其他合同!$L$6:$CC$300,20,0)</f>
        <v>0</v>
      </c>
      <c r="AF124" s="102">
        <f>VLOOKUP(L124,其他合同!$L$6:$CC$300,21,0)</f>
        <v>0</v>
      </c>
      <c r="AG124" s="102">
        <f>VLOOKUP(L124,其他合同!$L$6:$CC$300,22,0)</f>
        <v>0</v>
      </c>
      <c r="AH124" s="102">
        <f>VLOOKUP(L124,其他合同!$L$6:$CC$300,23,0)</f>
        <v>0</v>
      </c>
      <c r="AI124" s="102">
        <f>VLOOKUP(L124,其他合同!$L$6:$CC$300,24,0)</f>
        <v>0</v>
      </c>
      <c r="AJ124" s="102">
        <f>VLOOKUP(L124,其他合同!$L$6:$CC$300,25,0)</f>
        <v>0</v>
      </c>
      <c r="AK124" s="102">
        <f>VLOOKUP(L124,其他合同!$L$6:$CC$300,26,0)</f>
        <v>0</v>
      </c>
      <c r="AL124" s="102">
        <f>VLOOKUP(L124,其他合同!$L$6:$CC$300,27,0)</f>
        <v>0</v>
      </c>
      <c r="AM124" s="102">
        <f>VLOOKUP(L124,其他合同!$L$6:$CC$300,28,0)</f>
        <v>0</v>
      </c>
      <c r="AN124" s="102">
        <f>VLOOKUP(L124,其他合同!$L$6:$CC$300,29,0)</f>
        <v>0</v>
      </c>
      <c r="AO124" s="102">
        <f>VLOOKUP(L124,其他合同!$L$6:$CC$300,30,0)</f>
        <v>0</v>
      </c>
      <c r="AP124" s="102">
        <f>VLOOKUP(L124,其他合同!$L$6:$CC$300,31,0)</f>
        <v>0</v>
      </c>
      <c r="AQ124" s="102">
        <f>VLOOKUP(L124,其他合同!$L$6:$CC$300,32,0)</f>
        <v>0</v>
      </c>
      <c r="AR124" s="102">
        <f>VLOOKUP(L124,其他合同!$L$6:$CC$300,33,0)</f>
        <v>0</v>
      </c>
      <c r="AS124" s="102">
        <f>VLOOKUP(L124,其他合同!$L$6:$CC$300,34,0)</f>
        <v>0</v>
      </c>
      <c r="AT124" s="102">
        <f>VLOOKUP(L124,其他合同!$L$6:$CC$300,35,0)</f>
        <v>0</v>
      </c>
      <c r="AU124" s="102">
        <f>VLOOKUP(L124,其他合同!$L$6:$CC$300,36,0)</f>
        <v>0</v>
      </c>
      <c r="AV124" s="102">
        <f>VLOOKUP(L124,其他合同!$L$6:$CC$300,37,0)</f>
        <v>0</v>
      </c>
      <c r="AW124" s="102">
        <f>VLOOKUP(L124,其他合同!$L$6:$CC$300,38,0)</f>
        <v>0</v>
      </c>
      <c r="AX124" s="102">
        <f>VLOOKUP(L124,其他合同!$L$6:$CC$300,39,0)</f>
        <v>0</v>
      </c>
      <c r="AY124" s="102">
        <f>VLOOKUP(L124,其他合同!$L$6:$CC$300,40,0)</f>
        <v>0</v>
      </c>
      <c r="AZ124" s="102">
        <f>VLOOKUP(L124,其他合同!$L$6:$CC$300,41,0)</f>
        <v>0</v>
      </c>
      <c r="BA124" s="102">
        <f>VLOOKUP(L124,其他合同!$L$6:$CC$300,42,0)</f>
        <v>0</v>
      </c>
      <c r="BB124" s="102">
        <f>VLOOKUP(L124,其他合同!$L$6:$CC$300,43,0)</f>
        <v>0</v>
      </c>
      <c r="BC124" s="102">
        <f>VLOOKUP(L124,其他合同!$L$6:$CC$300,44,0)</f>
        <v>0</v>
      </c>
      <c r="BD124" s="102">
        <f>VLOOKUP(L124,其他合同!$L$6:$CC$300,45,0)</f>
        <v>0</v>
      </c>
      <c r="BE124" s="102">
        <f>VLOOKUP(L124,其他合同!$L$6:$CC$300,46,0)</f>
        <v>0</v>
      </c>
      <c r="BF124" s="102">
        <f>VLOOKUP(L124,其他合同!$L$6:$CC$300,47,0)</f>
        <v>0</v>
      </c>
      <c r="BG124" s="102">
        <f>VLOOKUP(L124,其他合同!$L$6:$CC$300,48,0)</f>
        <v>0</v>
      </c>
      <c r="BH124" s="102">
        <f>VLOOKUP(L124,其他合同!$L$6:$CC$300,49,0)</f>
        <v>0</v>
      </c>
      <c r="BI124" s="102">
        <f>VLOOKUP(L124,其他合同!$L$6:$CC$300,50,0)</f>
        <v>0</v>
      </c>
      <c r="BJ124" s="102">
        <f>VLOOKUP(L124,其他合同!$L$6:$CC$300,51,0)</f>
        <v>0</v>
      </c>
      <c r="BK124" s="102">
        <f>VLOOKUP(L124,其他合同!$L$6:$CC$300,52,0)</f>
        <v>0</v>
      </c>
      <c r="BL124" s="102">
        <f>VLOOKUP(L124,其他合同!$L$6:$CC$300,53,0)</f>
        <v>0</v>
      </c>
      <c r="BM124" s="102">
        <f>VLOOKUP(L124,其他合同!$L$6:$CC$300,54,0)</f>
        <v>0</v>
      </c>
      <c r="BN124" s="102">
        <f>VLOOKUP(L124,其他合同!$L$6:$CC$300,55,0)</f>
        <v>0</v>
      </c>
      <c r="BO124" s="102">
        <f>VLOOKUP(L124,其他合同!$L$6:$CC$300,56,0)</f>
        <v>0</v>
      </c>
      <c r="BP124" s="102">
        <f>VLOOKUP(L124,其他合同!$L$6:$CC$300,57,0)</f>
        <v>0</v>
      </c>
      <c r="BQ124" s="102">
        <f>VLOOKUP(L124,其他合同!$L$6:$CC$300,58,0)</f>
        <v>0</v>
      </c>
      <c r="BR124" s="102">
        <f>VLOOKUP(L124,其他合同!$L$6:$CC$300,59,0)</f>
        <v>0</v>
      </c>
      <c r="BS124" s="102">
        <f>VLOOKUP(L124,其他合同!$L$6:$CC$300,60,0)</f>
        <v>0</v>
      </c>
      <c r="BT124" s="102">
        <f>VLOOKUP(L124,其他合同!$L$6:$CC$300,61,0)</f>
        <v>0</v>
      </c>
      <c r="BU124" s="102">
        <f>VLOOKUP(L124,其他合同!$L$6:$CC$300,62,0)</f>
        <v>0</v>
      </c>
      <c r="BV124" s="102">
        <f>VLOOKUP(L124,其他合同!$L$6:$CC$300,63,0)</f>
        <v>0</v>
      </c>
      <c r="BW124" s="102">
        <f>VLOOKUP(L124,其他合同!$L$6:$CC$300,64,0)</f>
        <v>0</v>
      </c>
      <c r="BX124" s="102">
        <f>VLOOKUP(L124,其他合同!$L$6:$CC$300,65,0)</f>
        <v>0</v>
      </c>
      <c r="BY124" s="102">
        <f>VLOOKUP(L124,其他合同!$L$6:$CC$300,66,0)</f>
        <v>0</v>
      </c>
      <c r="BZ124" s="102">
        <f>VLOOKUP(L124,其他合同!$L$6:$CC$300,67,0)</f>
        <v>0</v>
      </c>
      <c r="CA124" s="102">
        <f>VLOOKUP(L124,其他合同!$L$6:$CC$300,68,0)</f>
        <v>0</v>
      </c>
      <c r="CB124" s="102">
        <f>VLOOKUP(L124,其他合同!$L$6:$CC$300,69,0)</f>
        <v>0</v>
      </c>
      <c r="CC124" s="102">
        <f>VLOOKUP(L124,其他合同!$L$6:$CC$300,70,0)</f>
        <v>0</v>
      </c>
      <c r="CD124" s="123">
        <f t="shared" si="33"/>
        <v>12199000</v>
      </c>
      <c r="CE124" s="102">
        <f t="shared" si="34"/>
        <v>12199000</v>
      </c>
      <c r="CF124" s="102">
        <f t="shared" si="35"/>
        <v>12199000</v>
      </c>
      <c r="CG124" s="102">
        <f t="shared" si="36"/>
        <v>0</v>
      </c>
      <c r="CH124" s="124">
        <f t="shared" si="37"/>
        <v>0</v>
      </c>
      <c r="CI124" s="125">
        <f t="shared" si="38"/>
        <v>1</v>
      </c>
      <c r="CJ124" s="126" t="str">
        <f t="shared" si="39"/>
        <v>数据正确</v>
      </c>
    </row>
    <row r="125" s="60" customFormat="1" customHeight="1" spans="2:88">
      <c r="B125" s="70" t="str">
        <f t="shared" si="29"/>
        <v>-</v>
      </c>
      <c r="C125" s="71" t="str">
        <f t="shared" si="30"/>
        <v>已付清</v>
      </c>
      <c r="D125" s="181">
        <f t="shared" si="31"/>
        <v>18557800</v>
      </c>
      <c r="E125" s="181">
        <f>SUMIF(其他合同!$L$6:$L$300,L125,其他合同!$E$6:$E$300)</f>
        <v>0</v>
      </c>
      <c r="F125" s="181">
        <f>SUMIF(其他合同!$L$6:$L$300,L125,其他合同!$F$6:$F$300)</f>
        <v>0</v>
      </c>
      <c r="G125" s="181">
        <f>SUMIF(其他合同!$L$6:$L$300,L125,其他合同!$G$6:$G$300)</f>
        <v>0</v>
      </c>
      <c r="H125" s="181">
        <f>SUMIF(其他合同!$L$6:$L$300,L125,其他合同!$H$6:$H$300)</f>
        <v>0</v>
      </c>
      <c r="I125" s="181">
        <f t="shared" si="32"/>
        <v>0</v>
      </c>
      <c r="J125" s="86" t="s">
        <v>98</v>
      </c>
      <c r="K125" s="87"/>
      <c r="L125" s="88">
        <v>120</v>
      </c>
      <c r="M125" s="89" t="str">
        <f>VLOOKUP(L125,其他合同!$L$6:$CC$300,2,0)</f>
        <v>莆海域2015年出字05号</v>
      </c>
      <c r="N125" s="90" t="str">
        <f>VLOOKUP(L125,其他合同!$L$6:$CC$300,3,0)</f>
        <v>其他合同</v>
      </c>
      <c r="O125" s="265" t="str">
        <f>VLOOKUP(L125,其他合同!$L$6:$CC$300,4,0)</f>
        <v>-</v>
      </c>
      <c r="P125" s="266">
        <f>VLOOKUP(L125,其他合同!$L$6:$CC$300,5,0)</f>
        <v>42051</v>
      </c>
      <c r="Q125" s="275">
        <f>VLOOKUP(L125,其他合同!$L$6:$CC$300,6,0)</f>
        <v>18557800</v>
      </c>
      <c r="R125" s="89" t="str">
        <f>VLOOKUP(L125,其他合同!$L$6:$CC$300,7,0)</f>
        <v>海域土地费（50年）</v>
      </c>
      <c r="S125" s="89" t="str">
        <f>VLOOKUP(L125,其他合同!$L$6:$CC$300,8,0)</f>
        <v>莆田市财政局</v>
      </c>
      <c r="T125" s="107" t="str">
        <f>VLOOKUP(L125,其他合同!$L$6:$CC$300,9,0)</f>
        <v>-</v>
      </c>
      <c r="U125" s="103" t="str">
        <f>VLOOKUP(L125,其他合同!$L$6:$CC$300,10,0)</f>
        <v>电汇</v>
      </c>
      <c r="V125" s="276" t="str">
        <f>VLOOKUP(L125,其他合同!$L$6:$CC$300,11,0)</f>
        <v>合同签订10日之内一次性付清。定金4028653元，取得使用权证书后退回</v>
      </c>
      <c r="W125" s="102">
        <f>VLOOKUP(L125,其他合同!$L$6:$CC$300,12,0)</f>
        <v>18557800</v>
      </c>
      <c r="X125" s="102">
        <f>VLOOKUP(L125,其他合同!$L$6:$CC$300,13,0)</f>
        <v>18557800</v>
      </c>
      <c r="Y125" s="102">
        <f>VLOOKUP(L125,其他合同!$L$6:$CC$300,14,0)</f>
        <v>18557800</v>
      </c>
      <c r="Z125" s="102">
        <f>VLOOKUP(L125,其他合同!$L$6:$CC$300,15,0)</f>
        <v>0</v>
      </c>
      <c r="AA125" s="102">
        <f>VLOOKUP(L125,其他合同!$L$6:$CC$300,16,0)</f>
        <v>0</v>
      </c>
      <c r="AB125" s="102">
        <f>VLOOKUP(L125,其他合同!$L$6:$CC$300,17,0)</f>
        <v>0</v>
      </c>
      <c r="AC125" s="102">
        <f>VLOOKUP(L125,其他合同!$L$6:$CC$300,18,0)</f>
        <v>0</v>
      </c>
      <c r="AD125" s="102">
        <f>VLOOKUP(L125,其他合同!$L$6:$CC$300,19,0)</f>
        <v>0</v>
      </c>
      <c r="AE125" s="102">
        <f>VLOOKUP(L125,其他合同!$L$6:$CC$300,20,0)</f>
        <v>0</v>
      </c>
      <c r="AF125" s="102">
        <f>VLOOKUP(L125,其他合同!$L$6:$CC$300,21,0)</f>
        <v>0</v>
      </c>
      <c r="AG125" s="102">
        <f>VLOOKUP(L125,其他合同!$L$6:$CC$300,22,0)</f>
        <v>0</v>
      </c>
      <c r="AH125" s="102">
        <f>VLOOKUP(L125,其他合同!$L$6:$CC$300,23,0)</f>
        <v>0</v>
      </c>
      <c r="AI125" s="102">
        <f>VLOOKUP(L125,其他合同!$L$6:$CC$300,24,0)</f>
        <v>0</v>
      </c>
      <c r="AJ125" s="102">
        <f>VLOOKUP(L125,其他合同!$L$6:$CC$300,25,0)</f>
        <v>0</v>
      </c>
      <c r="AK125" s="102">
        <f>VLOOKUP(L125,其他合同!$L$6:$CC$300,26,0)</f>
        <v>0</v>
      </c>
      <c r="AL125" s="102">
        <f>VLOOKUP(L125,其他合同!$L$6:$CC$300,27,0)</f>
        <v>0</v>
      </c>
      <c r="AM125" s="102">
        <f>VLOOKUP(L125,其他合同!$L$6:$CC$300,28,0)</f>
        <v>0</v>
      </c>
      <c r="AN125" s="102">
        <f>VLOOKUP(L125,其他合同!$L$6:$CC$300,29,0)</f>
        <v>0</v>
      </c>
      <c r="AO125" s="102">
        <f>VLOOKUP(L125,其他合同!$L$6:$CC$300,30,0)</f>
        <v>0</v>
      </c>
      <c r="AP125" s="102">
        <f>VLOOKUP(L125,其他合同!$L$6:$CC$300,31,0)</f>
        <v>0</v>
      </c>
      <c r="AQ125" s="102">
        <f>VLOOKUP(L125,其他合同!$L$6:$CC$300,32,0)</f>
        <v>0</v>
      </c>
      <c r="AR125" s="102">
        <f>VLOOKUP(L125,其他合同!$L$6:$CC$300,33,0)</f>
        <v>0</v>
      </c>
      <c r="AS125" s="102">
        <f>VLOOKUP(L125,其他合同!$L$6:$CC$300,34,0)</f>
        <v>0</v>
      </c>
      <c r="AT125" s="102">
        <f>VLOOKUP(L125,其他合同!$L$6:$CC$300,35,0)</f>
        <v>0</v>
      </c>
      <c r="AU125" s="102">
        <f>VLOOKUP(L125,其他合同!$L$6:$CC$300,36,0)</f>
        <v>0</v>
      </c>
      <c r="AV125" s="102">
        <f>VLOOKUP(L125,其他合同!$L$6:$CC$300,37,0)</f>
        <v>0</v>
      </c>
      <c r="AW125" s="102">
        <f>VLOOKUP(L125,其他合同!$L$6:$CC$300,38,0)</f>
        <v>0</v>
      </c>
      <c r="AX125" s="102">
        <f>VLOOKUP(L125,其他合同!$L$6:$CC$300,39,0)</f>
        <v>0</v>
      </c>
      <c r="AY125" s="102">
        <f>VLOOKUP(L125,其他合同!$L$6:$CC$300,40,0)</f>
        <v>0</v>
      </c>
      <c r="AZ125" s="102">
        <f>VLOOKUP(L125,其他合同!$L$6:$CC$300,41,0)</f>
        <v>0</v>
      </c>
      <c r="BA125" s="102">
        <f>VLOOKUP(L125,其他合同!$L$6:$CC$300,42,0)</f>
        <v>0</v>
      </c>
      <c r="BB125" s="102">
        <f>VLOOKUP(L125,其他合同!$L$6:$CC$300,43,0)</f>
        <v>0</v>
      </c>
      <c r="BC125" s="102">
        <f>VLOOKUP(L125,其他合同!$L$6:$CC$300,44,0)</f>
        <v>0</v>
      </c>
      <c r="BD125" s="102">
        <f>VLOOKUP(L125,其他合同!$L$6:$CC$300,45,0)</f>
        <v>0</v>
      </c>
      <c r="BE125" s="102">
        <f>VLOOKUP(L125,其他合同!$L$6:$CC$300,46,0)</f>
        <v>0</v>
      </c>
      <c r="BF125" s="102">
        <f>VLOOKUP(L125,其他合同!$L$6:$CC$300,47,0)</f>
        <v>0</v>
      </c>
      <c r="BG125" s="102">
        <f>VLOOKUP(L125,其他合同!$L$6:$CC$300,48,0)</f>
        <v>0</v>
      </c>
      <c r="BH125" s="102">
        <f>VLOOKUP(L125,其他合同!$L$6:$CC$300,49,0)</f>
        <v>0</v>
      </c>
      <c r="BI125" s="102">
        <f>VLOOKUP(L125,其他合同!$L$6:$CC$300,50,0)</f>
        <v>0</v>
      </c>
      <c r="BJ125" s="102">
        <f>VLOOKUP(L125,其他合同!$L$6:$CC$300,51,0)</f>
        <v>0</v>
      </c>
      <c r="BK125" s="102">
        <f>VLOOKUP(L125,其他合同!$L$6:$CC$300,52,0)</f>
        <v>0</v>
      </c>
      <c r="BL125" s="102">
        <f>VLOOKUP(L125,其他合同!$L$6:$CC$300,53,0)</f>
        <v>0</v>
      </c>
      <c r="BM125" s="102">
        <f>VLOOKUP(L125,其他合同!$L$6:$CC$300,54,0)</f>
        <v>0</v>
      </c>
      <c r="BN125" s="102">
        <f>VLOOKUP(L125,其他合同!$L$6:$CC$300,55,0)</f>
        <v>0</v>
      </c>
      <c r="BO125" s="102">
        <f>VLOOKUP(L125,其他合同!$L$6:$CC$300,56,0)</f>
        <v>0</v>
      </c>
      <c r="BP125" s="102">
        <f>VLOOKUP(L125,其他合同!$L$6:$CC$300,57,0)</f>
        <v>0</v>
      </c>
      <c r="BQ125" s="102">
        <f>VLOOKUP(L125,其他合同!$L$6:$CC$300,58,0)</f>
        <v>0</v>
      </c>
      <c r="BR125" s="102">
        <f>VLOOKUP(L125,其他合同!$L$6:$CC$300,59,0)</f>
        <v>0</v>
      </c>
      <c r="BS125" s="102">
        <f>VLOOKUP(L125,其他合同!$L$6:$CC$300,60,0)</f>
        <v>0</v>
      </c>
      <c r="BT125" s="102">
        <f>VLOOKUP(L125,其他合同!$L$6:$CC$300,61,0)</f>
        <v>0</v>
      </c>
      <c r="BU125" s="102">
        <f>VLOOKUP(L125,其他合同!$L$6:$CC$300,62,0)</f>
        <v>0</v>
      </c>
      <c r="BV125" s="102">
        <f>VLOOKUP(L125,其他合同!$L$6:$CC$300,63,0)</f>
        <v>0</v>
      </c>
      <c r="BW125" s="102">
        <f>VLOOKUP(L125,其他合同!$L$6:$CC$300,64,0)</f>
        <v>0</v>
      </c>
      <c r="BX125" s="102">
        <f>VLOOKUP(L125,其他合同!$L$6:$CC$300,65,0)</f>
        <v>0</v>
      </c>
      <c r="BY125" s="102">
        <f>VLOOKUP(L125,其他合同!$L$6:$CC$300,66,0)</f>
        <v>0</v>
      </c>
      <c r="BZ125" s="102">
        <f>VLOOKUP(L125,其他合同!$L$6:$CC$300,67,0)</f>
        <v>0</v>
      </c>
      <c r="CA125" s="102">
        <f>VLOOKUP(L125,其他合同!$L$6:$CC$300,68,0)</f>
        <v>0</v>
      </c>
      <c r="CB125" s="102">
        <f>VLOOKUP(L125,其他合同!$L$6:$CC$300,69,0)</f>
        <v>0</v>
      </c>
      <c r="CC125" s="102">
        <f>VLOOKUP(L125,其他合同!$L$6:$CC$300,70,0)</f>
        <v>0</v>
      </c>
      <c r="CD125" s="123">
        <f t="shared" si="33"/>
        <v>18557800</v>
      </c>
      <c r="CE125" s="102">
        <f t="shared" si="34"/>
        <v>18557800</v>
      </c>
      <c r="CF125" s="102">
        <f t="shared" si="35"/>
        <v>18557800</v>
      </c>
      <c r="CG125" s="102">
        <f t="shared" si="36"/>
        <v>0</v>
      </c>
      <c r="CH125" s="124">
        <f t="shared" si="37"/>
        <v>0</v>
      </c>
      <c r="CI125" s="125">
        <f t="shared" si="38"/>
        <v>1</v>
      </c>
      <c r="CJ125" s="126" t="str">
        <f t="shared" si="39"/>
        <v>数据正确</v>
      </c>
    </row>
    <row r="126" s="60" customFormat="1" customHeight="1" spans="2:88">
      <c r="B126" s="70" t="str">
        <f t="shared" si="29"/>
        <v>-</v>
      </c>
      <c r="C126" s="71" t="str">
        <f t="shared" si="30"/>
        <v>已付清</v>
      </c>
      <c r="D126" s="181">
        <f t="shared" si="31"/>
        <v>62439385.77</v>
      </c>
      <c r="E126" s="181">
        <f>SUMIF(其他合同!$L$6:$L$300,L126,其他合同!$E$6:$E$300)</f>
        <v>0</v>
      </c>
      <c r="F126" s="181">
        <f>SUMIF(其他合同!$L$6:$L$300,L126,其他合同!$F$6:$F$300)</f>
        <v>0</v>
      </c>
      <c r="G126" s="181">
        <f>SUMIF(其他合同!$L$6:$L$300,L126,其他合同!$G$6:$G$300)</f>
        <v>0</v>
      </c>
      <c r="H126" s="181">
        <f>SUMIF(其他合同!$L$6:$L$300,L126,其他合同!$H$6:$H$300)</f>
        <v>0</v>
      </c>
      <c r="I126" s="181">
        <f t="shared" si="32"/>
        <v>0</v>
      </c>
      <c r="J126" s="86" t="s">
        <v>98</v>
      </c>
      <c r="K126" s="87"/>
      <c r="L126" s="88">
        <v>121</v>
      </c>
      <c r="M126" s="89" t="str">
        <f>VLOOKUP(L126,其他合同!$L$6:$CC$300,2,0)</f>
        <v>无</v>
      </c>
      <c r="N126" s="90" t="str">
        <f>VLOOKUP(L126,其他合同!$L$6:$CC$300,3,0)</f>
        <v>其他合同</v>
      </c>
      <c r="O126" s="265" t="str">
        <f>VLOOKUP(L126,其他合同!$L$6:$CC$300,4,0)</f>
        <v>-</v>
      </c>
      <c r="P126" s="266">
        <f>VLOOKUP(L126,其他合同!$L$6:$CC$300,5,0)</f>
        <v>42520</v>
      </c>
      <c r="Q126" s="275">
        <f>VLOOKUP(L126,其他合同!$L$6:$CC$300,6,0)</f>
        <v>62439385.77</v>
      </c>
      <c r="R126" s="89" t="str">
        <f>VLOOKUP(L126,其他合同!$L$6:$CC$300,7,0)</f>
        <v>排污权交易（60万吨）</v>
      </c>
      <c r="S126" s="89" t="str">
        <f>VLOOKUP(L126,其他合同!$L$6:$CC$300,8,0)</f>
        <v>仙游县环境保护局</v>
      </c>
      <c r="T126" s="107" t="str">
        <f>VLOOKUP(L126,其他合同!$L$6:$CC$300,9,0)</f>
        <v>-</v>
      </c>
      <c r="U126" s="103" t="str">
        <f>VLOOKUP(L126,其他合同!$L$6:$CC$300,10,0)</f>
        <v>电汇</v>
      </c>
      <c r="V126" s="276" t="str">
        <f>VLOOKUP(L126,其他合同!$L$6:$CC$300,11,0)</f>
        <v>合同签订10日之内一次性付清。定金4028653元，取得使用权证书后退回</v>
      </c>
      <c r="W126" s="102">
        <f>VLOOKUP(L126,其他合同!$L$6:$CC$300,12,0)</f>
        <v>62439385.77</v>
      </c>
      <c r="X126" s="102">
        <f>VLOOKUP(L126,其他合同!$L$6:$CC$300,13,0)</f>
        <v>62439385.77</v>
      </c>
      <c r="Y126" s="102">
        <f>VLOOKUP(L126,其他合同!$L$6:$CC$300,14,0)</f>
        <v>62439385.77</v>
      </c>
      <c r="Z126" s="102">
        <f>VLOOKUP(L126,其他合同!$L$6:$CC$300,15,0)</f>
        <v>0</v>
      </c>
      <c r="AA126" s="102">
        <f>VLOOKUP(L126,其他合同!$L$6:$CC$300,16,0)</f>
        <v>0</v>
      </c>
      <c r="AB126" s="102">
        <f>VLOOKUP(L126,其他合同!$L$6:$CC$300,17,0)</f>
        <v>0</v>
      </c>
      <c r="AC126" s="102">
        <f>VLOOKUP(L126,其他合同!$L$6:$CC$300,18,0)</f>
        <v>0</v>
      </c>
      <c r="AD126" s="102">
        <f>VLOOKUP(L126,其他合同!$L$6:$CC$300,19,0)</f>
        <v>0</v>
      </c>
      <c r="AE126" s="102">
        <f>VLOOKUP(L126,其他合同!$L$6:$CC$300,20,0)</f>
        <v>0</v>
      </c>
      <c r="AF126" s="102">
        <f>VLOOKUP(L126,其他合同!$L$6:$CC$300,21,0)</f>
        <v>0</v>
      </c>
      <c r="AG126" s="102">
        <f>VLOOKUP(L126,其他合同!$L$6:$CC$300,22,0)</f>
        <v>0</v>
      </c>
      <c r="AH126" s="102">
        <f>VLOOKUP(L126,其他合同!$L$6:$CC$300,23,0)</f>
        <v>0</v>
      </c>
      <c r="AI126" s="102">
        <f>VLOOKUP(L126,其他合同!$L$6:$CC$300,24,0)</f>
        <v>0</v>
      </c>
      <c r="AJ126" s="102">
        <f>VLOOKUP(L126,其他合同!$L$6:$CC$300,25,0)</f>
        <v>0</v>
      </c>
      <c r="AK126" s="102">
        <f>VLOOKUP(L126,其他合同!$L$6:$CC$300,26,0)</f>
        <v>0</v>
      </c>
      <c r="AL126" s="102">
        <f>VLOOKUP(L126,其他合同!$L$6:$CC$300,27,0)</f>
        <v>0</v>
      </c>
      <c r="AM126" s="102">
        <f>VLOOKUP(L126,其他合同!$L$6:$CC$300,28,0)</f>
        <v>0</v>
      </c>
      <c r="AN126" s="102">
        <f>VLOOKUP(L126,其他合同!$L$6:$CC$300,29,0)</f>
        <v>0</v>
      </c>
      <c r="AO126" s="102">
        <f>VLOOKUP(L126,其他合同!$L$6:$CC$300,30,0)</f>
        <v>0</v>
      </c>
      <c r="AP126" s="102">
        <f>VLOOKUP(L126,其他合同!$L$6:$CC$300,31,0)</f>
        <v>0</v>
      </c>
      <c r="AQ126" s="102">
        <f>VLOOKUP(L126,其他合同!$L$6:$CC$300,32,0)</f>
        <v>0</v>
      </c>
      <c r="AR126" s="102">
        <f>VLOOKUP(L126,其他合同!$L$6:$CC$300,33,0)</f>
        <v>0</v>
      </c>
      <c r="AS126" s="102">
        <f>VLOOKUP(L126,其他合同!$L$6:$CC$300,34,0)</f>
        <v>0</v>
      </c>
      <c r="AT126" s="102">
        <f>VLOOKUP(L126,其他合同!$L$6:$CC$300,35,0)</f>
        <v>0</v>
      </c>
      <c r="AU126" s="102">
        <f>VLOOKUP(L126,其他合同!$L$6:$CC$300,36,0)</f>
        <v>0</v>
      </c>
      <c r="AV126" s="102">
        <f>VLOOKUP(L126,其他合同!$L$6:$CC$300,37,0)</f>
        <v>0</v>
      </c>
      <c r="AW126" s="102">
        <f>VLOOKUP(L126,其他合同!$L$6:$CC$300,38,0)</f>
        <v>0</v>
      </c>
      <c r="AX126" s="102">
        <f>VLOOKUP(L126,其他合同!$L$6:$CC$300,39,0)</f>
        <v>0</v>
      </c>
      <c r="AY126" s="102">
        <f>VLOOKUP(L126,其他合同!$L$6:$CC$300,40,0)</f>
        <v>0</v>
      </c>
      <c r="AZ126" s="102">
        <f>VLOOKUP(L126,其他合同!$L$6:$CC$300,41,0)</f>
        <v>0</v>
      </c>
      <c r="BA126" s="102">
        <f>VLOOKUP(L126,其他合同!$L$6:$CC$300,42,0)</f>
        <v>0</v>
      </c>
      <c r="BB126" s="102">
        <f>VLOOKUP(L126,其他合同!$L$6:$CC$300,43,0)</f>
        <v>0</v>
      </c>
      <c r="BC126" s="102">
        <f>VLOOKUP(L126,其他合同!$L$6:$CC$300,44,0)</f>
        <v>0</v>
      </c>
      <c r="BD126" s="102">
        <f>VLOOKUP(L126,其他合同!$L$6:$CC$300,45,0)</f>
        <v>0</v>
      </c>
      <c r="BE126" s="102">
        <f>VLOOKUP(L126,其他合同!$L$6:$CC$300,46,0)</f>
        <v>0</v>
      </c>
      <c r="BF126" s="102">
        <f>VLOOKUP(L126,其他合同!$L$6:$CC$300,47,0)</f>
        <v>0</v>
      </c>
      <c r="BG126" s="102">
        <f>VLOOKUP(L126,其他合同!$L$6:$CC$300,48,0)</f>
        <v>0</v>
      </c>
      <c r="BH126" s="102">
        <f>VLOOKUP(L126,其他合同!$L$6:$CC$300,49,0)</f>
        <v>0</v>
      </c>
      <c r="BI126" s="102">
        <f>VLOOKUP(L126,其他合同!$L$6:$CC$300,50,0)</f>
        <v>0</v>
      </c>
      <c r="BJ126" s="102">
        <f>VLOOKUP(L126,其他合同!$L$6:$CC$300,51,0)</f>
        <v>0</v>
      </c>
      <c r="BK126" s="102">
        <f>VLOOKUP(L126,其他合同!$L$6:$CC$300,52,0)</f>
        <v>0</v>
      </c>
      <c r="BL126" s="102">
        <f>VLOOKUP(L126,其他合同!$L$6:$CC$300,53,0)</f>
        <v>0</v>
      </c>
      <c r="BM126" s="102">
        <f>VLOOKUP(L126,其他合同!$L$6:$CC$300,54,0)</f>
        <v>0</v>
      </c>
      <c r="BN126" s="102">
        <f>VLOOKUP(L126,其他合同!$L$6:$CC$300,55,0)</f>
        <v>0</v>
      </c>
      <c r="BO126" s="102">
        <f>VLOOKUP(L126,其他合同!$L$6:$CC$300,56,0)</f>
        <v>0</v>
      </c>
      <c r="BP126" s="102">
        <f>VLOOKUP(L126,其他合同!$L$6:$CC$300,57,0)</f>
        <v>0</v>
      </c>
      <c r="BQ126" s="102">
        <f>VLOOKUP(L126,其他合同!$L$6:$CC$300,58,0)</f>
        <v>0</v>
      </c>
      <c r="BR126" s="102">
        <f>VLOOKUP(L126,其他合同!$L$6:$CC$300,59,0)</f>
        <v>0</v>
      </c>
      <c r="BS126" s="102">
        <f>VLOOKUP(L126,其他合同!$L$6:$CC$300,60,0)</f>
        <v>0</v>
      </c>
      <c r="BT126" s="102">
        <f>VLOOKUP(L126,其他合同!$L$6:$CC$300,61,0)</f>
        <v>0</v>
      </c>
      <c r="BU126" s="102">
        <f>VLOOKUP(L126,其他合同!$L$6:$CC$300,62,0)</f>
        <v>0</v>
      </c>
      <c r="BV126" s="102">
        <f>VLOOKUP(L126,其他合同!$L$6:$CC$300,63,0)</f>
        <v>0</v>
      </c>
      <c r="BW126" s="102">
        <f>VLOOKUP(L126,其他合同!$L$6:$CC$300,64,0)</f>
        <v>0</v>
      </c>
      <c r="BX126" s="102">
        <f>VLOOKUP(L126,其他合同!$L$6:$CC$300,65,0)</f>
        <v>0</v>
      </c>
      <c r="BY126" s="102">
        <f>VLOOKUP(L126,其他合同!$L$6:$CC$300,66,0)</f>
        <v>0</v>
      </c>
      <c r="BZ126" s="102">
        <f>VLOOKUP(L126,其他合同!$L$6:$CC$300,67,0)</f>
        <v>0</v>
      </c>
      <c r="CA126" s="102">
        <f>VLOOKUP(L126,其他合同!$L$6:$CC$300,68,0)</f>
        <v>0</v>
      </c>
      <c r="CB126" s="102">
        <f>VLOOKUP(L126,其他合同!$L$6:$CC$300,69,0)</f>
        <v>0</v>
      </c>
      <c r="CC126" s="102">
        <f>VLOOKUP(L126,其他合同!$L$6:$CC$300,70,0)</f>
        <v>0</v>
      </c>
      <c r="CD126" s="123">
        <f t="shared" si="33"/>
        <v>62439385.77</v>
      </c>
      <c r="CE126" s="102">
        <f t="shared" si="34"/>
        <v>62439385.77</v>
      </c>
      <c r="CF126" s="102">
        <f t="shared" si="35"/>
        <v>62439385.77</v>
      </c>
      <c r="CG126" s="102">
        <f t="shared" si="36"/>
        <v>0</v>
      </c>
      <c r="CH126" s="124">
        <f t="shared" si="37"/>
        <v>0</v>
      </c>
      <c r="CI126" s="125">
        <f t="shared" si="38"/>
        <v>1</v>
      </c>
      <c r="CJ126" s="126" t="str">
        <f t="shared" si="39"/>
        <v>数据正确</v>
      </c>
    </row>
    <row r="127" s="60" customFormat="1" customHeight="1" spans="2:88">
      <c r="B127" s="70" t="str">
        <f t="shared" si="29"/>
        <v>-</v>
      </c>
      <c r="C127" s="71" t="str">
        <f t="shared" si="30"/>
        <v>-</v>
      </c>
      <c r="D127" s="181">
        <f t="shared" si="31"/>
        <v>0</v>
      </c>
      <c r="E127" s="181">
        <f>SUMIF(服务合同!$L$6:$L$300,L127,服务合同!$E$6:$E$300)</f>
        <v>0</v>
      </c>
      <c r="F127" s="181">
        <f>SUMIF(服务合同!$L$6:$L$300,L127,服务合同!$F$6:$F$300)</f>
        <v>0</v>
      </c>
      <c r="G127" s="181">
        <f>SUMIF(服务合同!$L$6:$L$300,L127,服务合同!$G$6:$G$300)</f>
        <v>0</v>
      </c>
      <c r="H127" s="181">
        <f>SUMIF(服务合同!$L$6:$L$300,L127,服务合同!$H$6:$H$300)</f>
        <v>0</v>
      </c>
      <c r="I127" s="181">
        <f t="shared" si="32"/>
        <v>0</v>
      </c>
      <c r="J127" s="86" t="s">
        <v>98</v>
      </c>
      <c r="K127" s="87"/>
      <c r="L127" s="88">
        <v>122</v>
      </c>
      <c r="M127" s="89" t="str">
        <f>VLOOKUP(L127,服务合同!$L$6:$CC$300,2,0)</f>
        <v>无</v>
      </c>
      <c r="N127" s="90" t="str">
        <f>VLOOKUP(L127,服务合同!$L$6:$CC$300,3,0)</f>
        <v>服务合同</v>
      </c>
      <c r="O127" s="265" t="str">
        <f>VLOOKUP(L127,服务合同!$L$6:$CC$300,4,0)</f>
        <v>-</v>
      </c>
      <c r="P127" s="266">
        <f>VLOOKUP(L127,服务合同!$L$6:$CC$300,5,0)</f>
        <v>42023</v>
      </c>
      <c r="Q127" s="275">
        <f>VLOOKUP(L127,服务合同!$L$6:$CC$300,6,0)</f>
        <v>78313</v>
      </c>
      <c r="R127" s="89" t="str">
        <f>VLOOKUP(L127,服务合同!$L$6:$CC$300,7,0)</f>
        <v>护卫保安服务</v>
      </c>
      <c r="S127" s="89" t="str">
        <f>VLOOKUP(L127,服务合同!$L$6:$CC$300,8,0)</f>
        <v>福建特护保安有限公司南安分公司</v>
      </c>
      <c r="T127" s="107">
        <f>VLOOKUP(L127,服务合同!$L$6:$CC$300,9,0)</f>
        <v>0</v>
      </c>
      <c r="U127" s="103" t="str">
        <f>VLOOKUP(L127,服务合同!$L$6:$CC$300,10,0)</f>
        <v>电汇</v>
      </c>
      <c r="V127" s="276" t="str">
        <f>VLOOKUP(L127,服务合同!$L$6:$CC$300,11,0)</f>
        <v>次月20日之前支付本月服务费</v>
      </c>
      <c r="W127" s="102">
        <f>VLOOKUP(L127,服务合同!$L$6:$CC$300,12,0)</f>
        <v>78313</v>
      </c>
      <c r="X127" s="102">
        <f>VLOOKUP(L127,服务合同!$L$6:$CC$300,13,0)</f>
        <v>0</v>
      </c>
      <c r="Y127" s="102">
        <f>VLOOKUP(L127,服务合同!$L$6:$CC$300,14,0)</f>
        <v>0</v>
      </c>
      <c r="Z127" s="102">
        <f>VLOOKUP(L127,服务合同!$L$6:$CC$300,15,0)</f>
        <v>0</v>
      </c>
      <c r="AA127" s="102">
        <f>VLOOKUP(L127,服务合同!$L$6:$CC$300,16,0)</f>
        <v>0</v>
      </c>
      <c r="AB127" s="102">
        <f>VLOOKUP(L127,服务合同!$L$6:$CC$300,17,0)</f>
        <v>0</v>
      </c>
      <c r="AC127" s="102">
        <f>VLOOKUP(L127,服务合同!$L$6:$CC$300,18,0)</f>
        <v>0</v>
      </c>
      <c r="AD127" s="102">
        <f>VLOOKUP(L127,服务合同!$L$6:$CC$300,19,0)</f>
        <v>0</v>
      </c>
      <c r="AE127" s="102">
        <f>VLOOKUP(L127,服务合同!$L$6:$CC$300,20,0)</f>
        <v>0</v>
      </c>
      <c r="AF127" s="102">
        <f>VLOOKUP(L127,服务合同!$L$6:$CC$300,21,0)</f>
        <v>0</v>
      </c>
      <c r="AG127" s="102">
        <f>VLOOKUP(L127,服务合同!$L$6:$CC$300,22,0)</f>
        <v>0</v>
      </c>
      <c r="AH127" s="102">
        <f>VLOOKUP(L127,服务合同!$L$6:$CC$300,23,0)</f>
        <v>0</v>
      </c>
      <c r="AI127" s="102">
        <f>VLOOKUP(L127,服务合同!$L$6:$CC$300,24,0)</f>
        <v>0</v>
      </c>
      <c r="AJ127" s="102">
        <f>VLOOKUP(L127,服务合同!$L$6:$CC$300,25,0)</f>
        <v>0</v>
      </c>
      <c r="AK127" s="102">
        <f>VLOOKUP(L127,服务合同!$L$6:$CC$300,26,0)</f>
        <v>0</v>
      </c>
      <c r="AL127" s="102">
        <f>VLOOKUP(L127,服务合同!$L$6:$CC$300,27,0)</f>
        <v>0</v>
      </c>
      <c r="AM127" s="102">
        <f>VLOOKUP(L127,服务合同!$L$6:$CC$300,28,0)</f>
        <v>0</v>
      </c>
      <c r="AN127" s="102">
        <f>VLOOKUP(L127,服务合同!$L$6:$CC$300,29,0)</f>
        <v>0</v>
      </c>
      <c r="AO127" s="102">
        <f>VLOOKUP(L127,服务合同!$L$6:$CC$300,30,0)</f>
        <v>0</v>
      </c>
      <c r="AP127" s="102">
        <f>VLOOKUP(L127,服务合同!$L$6:$CC$300,31,0)</f>
        <v>0</v>
      </c>
      <c r="AQ127" s="102">
        <f>VLOOKUP(L127,服务合同!$L$6:$CC$300,32,0)</f>
        <v>0</v>
      </c>
      <c r="AR127" s="102">
        <f>VLOOKUP(L127,服务合同!$L$6:$CC$300,33,0)</f>
        <v>0</v>
      </c>
      <c r="AS127" s="102">
        <f>VLOOKUP(L127,服务合同!$L$6:$CC$300,34,0)</f>
        <v>0</v>
      </c>
      <c r="AT127" s="102">
        <f>VLOOKUP(L127,服务合同!$L$6:$CC$300,35,0)</f>
        <v>0</v>
      </c>
      <c r="AU127" s="102">
        <f>VLOOKUP(L127,服务合同!$L$6:$CC$300,36,0)</f>
        <v>0</v>
      </c>
      <c r="AV127" s="102">
        <f>VLOOKUP(L127,服务合同!$L$6:$CC$300,37,0)</f>
        <v>0</v>
      </c>
      <c r="AW127" s="102">
        <f>VLOOKUP(L127,服务合同!$L$6:$CC$300,38,0)</f>
        <v>0</v>
      </c>
      <c r="AX127" s="102">
        <f>VLOOKUP(L127,服务合同!$L$6:$CC$300,39,0)</f>
        <v>0</v>
      </c>
      <c r="AY127" s="102">
        <f>VLOOKUP(L127,服务合同!$L$6:$CC$300,40,0)</f>
        <v>0</v>
      </c>
      <c r="AZ127" s="102">
        <f>VLOOKUP(L127,服务合同!$L$6:$CC$300,41,0)</f>
        <v>0</v>
      </c>
      <c r="BA127" s="102">
        <f>VLOOKUP(L127,服务合同!$L$6:$CC$300,42,0)</f>
        <v>0</v>
      </c>
      <c r="BB127" s="102">
        <f>VLOOKUP(L127,服务合同!$L$6:$CC$300,43,0)</f>
        <v>0</v>
      </c>
      <c r="BC127" s="102">
        <f>VLOOKUP(L127,服务合同!$L$6:$CC$300,44,0)</f>
        <v>0</v>
      </c>
      <c r="BD127" s="102">
        <f>VLOOKUP(L127,服务合同!$L$6:$CC$300,45,0)</f>
        <v>0</v>
      </c>
      <c r="BE127" s="102">
        <f>VLOOKUP(L127,服务合同!$L$6:$CC$300,46,0)</f>
        <v>0</v>
      </c>
      <c r="BF127" s="102">
        <f>VLOOKUP(L127,服务合同!$L$6:$CC$300,47,0)</f>
        <v>0</v>
      </c>
      <c r="BG127" s="102">
        <f>VLOOKUP(L127,服务合同!$L$6:$CC$300,48,0)</f>
        <v>0</v>
      </c>
      <c r="BH127" s="102">
        <f>VLOOKUP(L127,服务合同!$L$6:$CC$300,49,0)</f>
        <v>0</v>
      </c>
      <c r="BI127" s="102">
        <f>VLOOKUP(L127,服务合同!$L$6:$CC$300,50,0)</f>
        <v>0</v>
      </c>
      <c r="BJ127" s="102">
        <f>VLOOKUP(L127,服务合同!$L$6:$CC$300,51,0)</f>
        <v>0</v>
      </c>
      <c r="BK127" s="102">
        <f>VLOOKUP(L127,服务合同!$L$6:$CC$300,52,0)</f>
        <v>0</v>
      </c>
      <c r="BL127" s="102">
        <f>VLOOKUP(L127,服务合同!$L$6:$CC$300,53,0)</f>
        <v>0</v>
      </c>
      <c r="BM127" s="102">
        <f>VLOOKUP(L127,服务合同!$L$6:$CC$300,54,0)</f>
        <v>0</v>
      </c>
      <c r="BN127" s="102">
        <f>VLOOKUP(L127,服务合同!$L$6:$CC$300,55,0)</f>
        <v>0</v>
      </c>
      <c r="BO127" s="102">
        <f>VLOOKUP(L127,服务合同!$L$6:$CC$300,56,0)</f>
        <v>0</v>
      </c>
      <c r="BP127" s="102">
        <f>VLOOKUP(L127,服务合同!$L$6:$CC$300,57,0)</f>
        <v>0</v>
      </c>
      <c r="BQ127" s="102">
        <f>VLOOKUP(L127,服务合同!$L$6:$CC$300,58,0)</f>
        <v>0</v>
      </c>
      <c r="BR127" s="102">
        <f>VLOOKUP(L127,服务合同!$L$6:$CC$300,59,0)</f>
        <v>0</v>
      </c>
      <c r="BS127" s="102">
        <f>VLOOKUP(L127,服务合同!$L$6:$CC$300,60,0)</f>
        <v>0</v>
      </c>
      <c r="BT127" s="102">
        <f>VLOOKUP(L127,服务合同!$L$6:$CC$300,61,0)</f>
        <v>0</v>
      </c>
      <c r="BU127" s="102">
        <f>VLOOKUP(L127,服务合同!$L$6:$CC$300,62,0)</f>
        <v>0</v>
      </c>
      <c r="BV127" s="102">
        <f>VLOOKUP(L127,服务合同!$L$6:$CC$300,63,0)</f>
        <v>0</v>
      </c>
      <c r="BW127" s="102">
        <f>VLOOKUP(L127,服务合同!$L$6:$CC$300,64,0)</f>
        <v>0</v>
      </c>
      <c r="BX127" s="102">
        <f>VLOOKUP(L127,服务合同!$L$6:$CC$300,65,0)</f>
        <v>0</v>
      </c>
      <c r="BY127" s="102">
        <f>VLOOKUP(L127,服务合同!$L$6:$CC$300,66,0)</f>
        <v>0</v>
      </c>
      <c r="BZ127" s="102">
        <f>VLOOKUP(L127,服务合同!$L$6:$CC$300,67,0)</f>
        <v>0</v>
      </c>
      <c r="CA127" s="102">
        <f>VLOOKUP(L127,服务合同!$L$6:$CC$300,68,0)</f>
        <v>0</v>
      </c>
      <c r="CB127" s="102">
        <f>VLOOKUP(L127,服务合同!$L$6:$CC$300,69,0)</f>
        <v>0</v>
      </c>
      <c r="CC127" s="102">
        <f>VLOOKUP(L127,服务合同!$L$6:$CC$300,70,0)</f>
        <v>0</v>
      </c>
      <c r="CD127" s="123">
        <f t="shared" si="33"/>
        <v>78313</v>
      </c>
      <c r="CE127" s="102">
        <f t="shared" si="34"/>
        <v>0</v>
      </c>
      <c r="CF127" s="102">
        <f t="shared" si="35"/>
        <v>0</v>
      </c>
      <c r="CG127" s="102">
        <f t="shared" si="36"/>
        <v>0</v>
      </c>
      <c r="CH127" s="124">
        <f t="shared" si="37"/>
        <v>78313</v>
      </c>
      <c r="CI127" s="125">
        <f t="shared" si="38"/>
        <v>0</v>
      </c>
      <c r="CJ127" s="126" t="str">
        <f t="shared" si="39"/>
        <v>数据正确</v>
      </c>
    </row>
    <row r="128" s="60" customFormat="1" customHeight="1" spans="2:88">
      <c r="B128" s="70" t="str">
        <f t="shared" si="29"/>
        <v>-</v>
      </c>
      <c r="C128" s="71" t="str">
        <f t="shared" si="30"/>
        <v>-</v>
      </c>
      <c r="D128" s="181">
        <f t="shared" si="31"/>
        <v>0</v>
      </c>
      <c r="E128" s="181">
        <f>SUMIF(服务合同!$L$6:$L$300,L128,服务合同!$E$6:$E$300)</f>
        <v>0</v>
      </c>
      <c r="F128" s="181">
        <f>SUMIF(服务合同!$L$6:$L$300,L128,服务合同!$F$6:$F$300)</f>
        <v>0</v>
      </c>
      <c r="G128" s="181">
        <f>SUMIF(服务合同!$L$6:$L$300,L128,服务合同!$G$6:$G$300)</f>
        <v>0</v>
      </c>
      <c r="H128" s="181">
        <f>SUMIF(服务合同!$L$6:$L$300,L128,服务合同!$H$6:$H$300)</f>
        <v>0</v>
      </c>
      <c r="I128" s="181">
        <f t="shared" si="32"/>
        <v>0</v>
      </c>
      <c r="J128" s="86" t="s">
        <v>98</v>
      </c>
      <c r="K128" s="87"/>
      <c r="L128" s="88">
        <v>123</v>
      </c>
      <c r="M128" s="89" t="str">
        <f>VLOOKUP(L128,服务合同!$L$6:$CC$300,2,0)</f>
        <v>HZPJY(2016)-01</v>
      </c>
      <c r="N128" s="90" t="str">
        <f>VLOOKUP(L128,服务合同!$L$6:$CC$300,3,0)</f>
        <v>服务合同</v>
      </c>
      <c r="O128" s="265" t="str">
        <f>VLOOKUP(L128,服务合同!$L$6:$CC$300,4,0)</f>
        <v>-</v>
      </c>
      <c r="P128" s="266">
        <f>VLOOKUP(L128,服务合同!$L$6:$CC$300,5,0)</f>
        <v>42460</v>
      </c>
      <c r="Q128" s="275">
        <f>VLOOKUP(L128,服务合同!$L$6:$CC$300,6,0)</f>
        <v>180000</v>
      </c>
      <c r="R128" s="89" t="str">
        <f>VLOOKUP(L128,服务合同!$L$6:$CC$300,7,0)</f>
        <v>化工职业病预评价</v>
      </c>
      <c r="S128" s="89" t="str">
        <f>VLOOKUP(L128,服务合同!$L$6:$CC$300,8,0)</f>
        <v>北京化工职业病防治院</v>
      </c>
      <c r="T128" s="107">
        <f>VLOOKUP(L128,服务合同!$L$6:$CC$300,9,0)</f>
        <v>0</v>
      </c>
      <c r="U128" s="103" t="str">
        <f>VLOOKUP(L128,服务合同!$L$6:$CC$300,10,0)</f>
        <v>电汇</v>
      </c>
      <c r="V128" s="276" t="str">
        <f>VLOOKUP(L128,服务合同!$L$6:$CC$300,11,0)</f>
        <v>合同签订5个工作日支付20%</v>
      </c>
      <c r="W128" s="102">
        <f>VLOOKUP(L128,服务合同!$L$6:$CC$300,12,0)</f>
        <v>36000</v>
      </c>
      <c r="X128" s="102">
        <f>VLOOKUP(L128,服务合同!$L$6:$CC$300,13,0)</f>
        <v>0</v>
      </c>
      <c r="Y128" s="102">
        <f>VLOOKUP(L128,服务合同!$L$6:$CC$300,14,0)</f>
        <v>0</v>
      </c>
      <c r="Z128" s="102" t="str">
        <f>VLOOKUP(L128,服务合同!$L$6:$CC$300,15,0)</f>
        <v>安监局组织召开审核会议前5日支付30%</v>
      </c>
      <c r="AA128" s="102">
        <f>VLOOKUP(L128,服务合同!$L$6:$CC$300,16,0)</f>
        <v>54000</v>
      </c>
      <c r="AB128" s="102">
        <f>VLOOKUP(L128,服务合同!$L$6:$CC$300,17,0)</f>
        <v>0</v>
      </c>
      <c r="AC128" s="102">
        <f>VLOOKUP(L128,服务合同!$L$6:$CC$300,18,0)</f>
        <v>0</v>
      </c>
      <c r="AD128" s="102" t="str">
        <f>VLOOKUP(L128,服务合同!$L$6:$CC$300,19,0)</f>
        <v>通过国家行政主管部门备案批复后5个工作日，支付50%</v>
      </c>
      <c r="AE128" s="102">
        <f>VLOOKUP(L128,服务合同!$L$6:$CC$300,20,0)</f>
        <v>90000</v>
      </c>
      <c r="AF128" s="102">
        <f>VLOOKUP(L128,服务合同!$L$6:$CC$300,21,0)</f>
        <v>0</v>
      </c>
      <c r="AG128" s="102">
        <f>VLOOKUP(L128,服务合同!$L$6:$CC$300,22,0)</f>
        <v>0</v>
      </c>
      <c r="AH128" s="102">
        <f>VLOOKUP(L128,服务合同!$L$6:$CC$300,23,0)</f>
        <v>0</v>
      </c>
      <c r="AI128" s="102">
        <f>VLOOKUP(L128,服务合同!$L$6:$CC$300,24,0)</f>
        <v>0</v>
      </c>
      <c r="AJ128" s="102">
        <f>VLOOKUP(L128,服务合同!$L$6:$CC$300,25,0)</f>
        <v>0</v>
      </c>
      <c r="AK128" s="102">
        <f>VLOOKUP(L128,服务合同!$L$6:$CC$300,26,0)</f>
        <v>0</v>
      </c>
      <c r="AL128" s="102">
        <f>VLOOKUP(L128,服务合同!$L$6:$CC$300,27,0)</f>
        <v>0</v>
      </c>
      <c r="AM128" s="102">
        <f>VLOOKUP(L128,服务合同!$L$6:$CC$300,28,0)</f>
        <v>0</v>
      </c>
      <c r="AN128" s="102">
        <f>VLOOKUP(L128,服务合同!$L$6:$CC$300,29,0)</f>
        <v>0</v>
      </c>
      <c r="AO128" s="102">
        <f>VLOOKUP(L128,服务合同!$L$6:$CC$300,30,0)</f>
        <v>0</v>
      </c>
      <c r="AP128" s="102">
        <f>VLOOKUP(L128,服务合同!$L$6:$CC$300,31,0)</f>
        <v>0</v>
      </c>
      <c r="AQ128" s="102">
        <f>VLOOKUP(L128,服务合同!$L$6:$CC$300,32,0)</f>
        <v>0</v>
      </c>
      <c r="AR128" s="102">
        <f>VLOOKUP(L128,服务合同!$L$6:$CC$300,33,0)</f>
        <v>0</v>
      </c>
      <c r="AS128" s="102">
        <f>VLOOKUP(L128,服务合同!$L$6:$CC$300,34,0)</f>
        <v>0</v>
      </c>
      <c r="AT128" s="102">
        <f>VLOOKUP(L128,服务合同!$L$6:$CC$300,35,0)</f>
        <v>0</v>
      </c>
      <c r="AU128" s="102">
        <f>VLOOKUP(L128,服务合同!$L$6:$CC$300,36,0)</f>
        <v>0</v>
      </c>
      <c r="AV128" s="102">
        <f>VLOOKUP(L128,服务合同!$L$6:$CC$300,37,0)</f>
        <v>0</v>
      </c>
      <c r="AW128" s="102">
        <f>VLOOKUP(L128,服务合同!$L$6:$CC$300,38,0)</f>
        <v>0</v>
      </c>
      <c r="AX128" s="102">
        <f>VLOOKUP(L128,服务合同!$L$6:$CC$300,39,0)</f>
        <v>0</v>
      </c>
      <c r="AY128" s="102">
        <f>VLOOKUP(L128,服务合同!$L$6:$CC$300,40,0)</f>
        <v>0</v>
      </c>
      <c r="AZ128" s="102">
        <f>VLOOKUP(L128,服务合同!$L$6:$CC$300,41,0)</f>
        <v>0</v>
      </c>
      <c r="BA128" s="102">
        <f>VLOOKUP(L128,服务合同!$L$6:$CC$300,42,0)</f>
        <v>0</v>
      </c>
      <c r="BB128" s="102">
        <f>VLOOKUP(L128,服务合同!$L$6:$CC$300,43,0)</f>
        <v>0</v>
      </c>
      <c r="BC128" s="102">
        <f>VLOOKUP(L128,服务合同!$L$6:$CC$300,44,0)</f>
        <v>0</v>
      </c>
      <c r="BD128" s="102">
        <f>VLOOKUP(L128,服务合同!$L$6:$CC$300,45,0)</f>
        <v>0</v>
      </c>
      <c r="BE128" s="102">
        <f>VLOOKUP(L128,服务合同!$L$6:$CC$300,46,0)</f>
        <v>0</v>
      </c>
      <c r="BF128" s="102">
        <f>VLOOKUP(L128,服务合同!$L$6:$CC$300,47,0)</f>
        <v>0</v>
      </c>
      <c r="BG128" s="102">
        <f>VLOOKUP(L128,服务合同!$L$6:$CC$300,48,0)</f>
        <v>0</v>
      </c>
      <c r="BH128" s="102">
        <f>VLOOKUP(L128,服务合同!$L$6:$CC$300,49,0)</f>
        <v>0</v>
      </c>
      <c r="BI128" s="102">
        <f>VLOOKUP(L128,服务合同!$L$6:$CC$300,50,0)</f>
        <v>0</v>
      </c>
      <c r="BJ128" s="102">
        <f>VLOOKUP(L128,服务合同!$L$6:$CC$300,51,0)</f>
        <v>0</v>
      </c>
      <c r="BK128" s="102">
        <f>VLOOKUP(L128,服务合同!$L$6:$CC$300,52,0)</f>
        <v>0</v>
      </c>
      <c r="BL128" s="102">
        <f>VLOOKUP(L128,服务合同!$L$6:$CC$300,53,0)</f>
        <v>0</v>
      </c>
      <c r="BM128" s="102">
        <f>VLOOKUP(L128,服务合同!$L$6:$CC$300,54,0)</f>
        <v>0</v>
      </c>
      <c r="BN128" s="102">
        <f>VLOOKUP(L128,服务合同!$L$6:$CC$300,55,0)</f>
        <v>0</v>
      </c>
      <c r="BO128" s="102">
        <f>VLOOKUP(L128,服务合同!$L$6:$CC$300,56,0)</f>
        <v>0</v>
      </c>
      <c r="BP128" s="102">
        <f>VLOOKUP(L128,服务合同!$L$6:$CC$300,57,0)</f>
        <v>0</v>
      </c>
      <c r="BQ128" s="102">
        <f>VLOOKUP(L128,服务合同!$L$6:$CC$300,58,0)</f>
        <v>0</v>
      </c>
      <c r="BR128" s="102">
        <f>VLOOKUP(L128,服务合同!$L$6:$CC$300,59,0)</f>
        <v>0</v>
      </c>
      <c r="BS128" s="102">
        <f>VLOOKUP(L128,服务合同!$L$6:$CC$300,60,0)</f>
        <v>0</v>
      </c>
      <c r="BT128" s="102">
        <f>VLOOKUP(L128,服务合同!$L$6:$CC$300,61,0)</f>
        <v>0</v>
      </c>
      <c r="BU128" s="102">
        <f>VLOOKUP(L128,服务合同!$L$6:$CC$300,62,0)</f>
        <v>0</v>
      </c>
      <c r="BV128" s="102">
        <f>VLOOKUP(L128,服务合同!$L$6:$CC$300,63,0)</f>
        <v>0</v>
      </c>
      <c r="BW128" s="102">
        <f>VLOOKUP(L128,服务合同!$L$6:$CC$300,64,0)</f>
        <v>0</v>
      </c>
      <c r="BX128" s="102">
        <f>VLOOKUP(L128,服务合同!$L$6:$CC$300,65,0)</f>
        <v>0</v>
      </c>
      <c r="BY128" s="102">
        <f>VLOOKUP(L128,服务合同!$L$6:$CC$300,66,0)</f>
        <v>0</v>
      </c>
      <c r="BZ128" s="102">
        <f>VLOOKUP(L128,服务合同!$L$6:$CC$300,67,0)</f>
        <v>0</v>
      </c>
      <c r="CA128" s="102">
        <f>VLOOKUP(L128,服务合同!$L$6:$CC$300,68,0)</f>
        <v>0</v>
      </c>
      <c r="CB128" s="102">
        <f>VLOOKUP(L128,服务合同!$L$6:$CC$300,69,0)</f>
        <v>0</v>
      </c>
      <c r="CC128" s="102">
        <f>VLOOKUP(L128,服务合同!$L$6:$CC$300,70,0)</f>
        <v>0</v>
      </c>
      <c r="CD128" s="123">
        <f t="shared" si="33"/>
        <v>180000</v>
      </c>
      <c r="CE128" s="102">
        <f t="shared" si="34"/>
        <v>0</v>
      </c>
      <c r="CF128" s="102">
        <f t="shared" si="35"/>
        <v>0</v>
      </c>
      <c r="CG128" s="102">
        <f t="shared" si="36"/>
        <v>0</v>
      </c>
      <c r="CH128" s="124">
        <f t="shared" si="37"/>
        <v>180000</v>
      </c>
      <c r="CI128" s="125">
        <f t="shared" si="38"/>
        <v>0</v>
      </c>
      <c r="CJ128" s="126" t="str">
        <f t="shared" si="39"/>
        <v>数据正确</v>
      </c>
    </row>
    <row r="129" s="60" customFormat="1" customHeight="1" spans="2:88">
      <c r="B129" s="70" t="str">
        <f t="shared" si="29"/>
        <v>-</v>
      </c>
      <c r="C129" s="71" t="str">
        <f t="shared" si="30"/>
        <v>已付清</v>
      </c>
      <c r="D129" s="181">
        <f t="shared" si="31"/>
        <v>39206000</v>
      </c>
      <c r="E129" s="181">
        <f>SUMIF(其他合同!$L$6:$L$300,L129,其他合同!$E$6:$E$300)</f>
        <v>0</v>
      </c>
      <c r="F129" s="181">
        <f>SUMIF(其他合同!$L$6:$L$300,L129,其他合同!$F$6:$F$300)</f>
        <v>0</v>
      </c>
      <c r="G129" s="181">
        <f>SUMIF(其他合同!$L$6:$L$300,L129,其他合同!$G$6:$G$300)</f>
        <v>0</v>
      </c>
      <c r="H129" s="181">
        <f>SUMIF(其他合同!$L$6:$L$300,L129,其他合同!$H$6:$H$300)</f>
        <v>0</v>
      </c>
      <c r="I129" s="181">
        <f t="shared" si="32"/>
        <v>0</v>
      </c>
      <c r="J129" s="86" t="s">
        <v>98</v>
      </c>
      <c r="K129" s="87"/>
      <c r="L129" s="88">
        <v>124</v>
      </c>
      <c r="M129" s="89" t="str">
        <f>VLOOKUP(L129,其他合同!$L$6:$CC$300,2,0)</f>
        <v>莆秀国土资出字（2016）2号</v>
      </c>
      <c r="N129" s="90" t="str">
        <f>VLOOKUP(L129,其他合同!$L$6:$CC$300,3,0)</f>
        <v>其他合同</v>
      </c>
      <c r="O129" s="265" t="str">
        <f>VLOOKUP(L129,其他合同!$L$6:$CC$300,4,0)</f>
        <v>-</v>
      </c>
      <c r="P129" s="266">
        <f>VLOOKUP(L129,其他合同!$L$6:$CC$300,5,0)</f>
        <v>42451</v>
      </c>
      <c r="Q129" s="275">
        <f>VLOOKUP(L129,其他合同!$L$6:$CC$300,6,0)</f>
        <v>39206000</v>
      </c>
      <c r="R129" s="89" t="str">
        <f>VLOOKUP(L129,其他合同!$L$6:$CC$300,7,0)</f>
        <v>土地费</v>
      </c>
      <c r="S129" s="89" t="str">
        <f>VLOOKUP(L129,其他合同!$L$6:$CC$300,8,0)</f>
        <v>莆田市国土资源局秀屿分局</v>
      </c>
      <c r="T129" s="107" t="str">
        <f>VLOOKUP(L129,其他合同!$L$6:$CC$300,9,0)</f>
        <v>-</v>
      </c>
      <c r="U129" s="103" t="str">
        <f>VLOOKUP(L129,其他合同!$L$6:$CC$300,10,0)</f>
        <v>电汇</v>
      </c>
      <c r="V129" s="276" t="str">
        <f>VLOOKUP(L129,其他合同!$L$6:$CC$300,11,0)</f>
        <v>合同签订60日之内一次性付清</v>
      </c>
      <c r="W129" s="102">
        <f>VLOOKUP(L129,其他合同!$L$6:$CC$300,12,0)</f>
        <v>39206000</v>
      </c>
      <c r="X129" s="102">
        <f>VLOOKUP(L129,其他合同!$L$6:$CC$300,13,0)</f>
        <v>39206000</v>
      </c>
      <c r="Y129" s="102">
        <f>VLOOKUP(L129,其他合同!$L$6:$CC$300,14,0)</f>
        <v>39206000</v>
      </c>
      <c r="Z129" s="102">
        <f>VLOOKUP(L129,其他合同!$L$6:$CC$300,15,0)</f>
        <v>0</v>
      </c>
      <c r="AA129" s="102">
        <f>VLOOKUP(L129,其他合同!$L$6:$CC$300,16,0)</f>
        <v>0</v>
      </c>
      <c r="AB129" s="102">
        <f>VLOOKUP(L129,其他合同!$L$6:$CC$300,17,0)</f>
        <v>0</v>
      </c>
      <c r="AC129" s="102">
        <f>VLOOKUP(L129,其他合同!$L$6:$CC$300,18,0)</f>
        <v>0</v>
      </c>
      <c r="AD129" s="102">
        <f>VLOOKUP(L129,其他合同!$L$6:$CC$300,19,0)</f>
        <v>0</v>
      </c>
      <c r="AE129" s="102">
        <f>VLOOKUP(L129,其他合同!$L$6:$CC$300,20,0)</f>
        <v>0</v>
      </c>
      <c r="AF129" s="102">
        <f>VLOOKUP(L129,其他合同!$L$6:$CC$300,21,0)</f>
        <v>0</v>
      </c>
      <c r="AG129" s="102">
        <f>VLOOKUP(L129,其他合同!$L$6:$CC$300,22,0)</f>
        <v>0</v>
      </c>
      <c r="AH129" s="102">
        <f>VLOOKUP(L129,其他合同!$L$6:$CC$300,23,0)</f>
        <v>0</v>
      </c>
      <c r="AI129" s="102">
        <f>VLOOKUP(L129,其他合同!$L$6:$CC$300,24,0)</f>
        <v>0</v>
      </c>
      <c r="AJ129" s="102">
        <f>VLOOKUP(L129,其他合同!$L$6:$CC$300,25,0)</f>
        <v>0</v>
      </c>
      <c r="AK129" s="102">
        <f>VLOOKUP(L129,其他合同!$L$6:$CC$300,26,0)</f>
        <v>0</v>
      </c>
      <c r="AL129" s="102">
        <f>VLOOKUP(L129,其他合同!$L$6:$CC$300,27,0)</f>
        <v>0</v>
      </c>
      <c r="AM129" s="102">
        <f>VLOOKUP(L129,其他合同!$L$6:$CC$300,28,0)</f>
        <v>0</v>
      </c>
      <c r="AN129" s="102">
        <f>VLOOKUP(L129,其他合同!$L$6:$CC$300,29,0)</f>
        <v>0</v>
      </c>
      <c r="AO129" s="102">
        <f>VLOOKUP(L129,其他合同!$L$6:$CC$300,30,0)</f>
        <v>0</v>
      </c>
      <c r="AP129" s="102">
        <f>VLOOKUP(L129,其他合同!$L$6:$CC$300,31,0)</f>
        <v>0</v>
      </c>
      <c r="AQ129" s="102">
        <f>VLOOKUP(L129,其他合同!$L$6:$CC$300,32,0)</f>
        <v>0</v>
      </c>
      <c r="AR129" s="102">
        <f>VLOOKUP(L129,其他合同!$L$6:$CC$300,33,0)</f>
        <v>0</v>
      </c>
      <c r="AS129" s="102">
        <f>VLOOKUP(L129,其他合同!$L$6:$CC$300,34,0)</f>
        <v>0</v>
      </c>
      <c r="AT129" s="102">
        <f>VLOOKUP(L129,其他合同!$L$6:$CC$300,35,0)</f>
        <v>0</v>
      </c>
      <c r="AU129" s="102">
        <f>VLOOKUP(L129,其他合同!$L$6:$CC$300,36,0)</f>
        <v>0</v>
      </c>
      <c r="AV129" s="102">
        <f>VLOOKUP(L129,其他合同!$L$6:$CC$300,37,0)</f>
        <v>0</v>
      </c>
      <c r="AW129" s="102">
        <f>VLOOKUP(L129,其他合同!$L$6:$CC$300,38,0)</f>
        <v>0</v>
      </c>
      <c r="AX129" s="102">
        <f>VLOOKUP(L129,其他合同!$L$6:$CC$300,39,0)</f>
        <v>0</v>
      </c>
      <c r="AY129" s="102">
        <f>VLOOKUP(L129,其他合同!$L$6:$CC$300,40,0)</f>
        <v>0</v>
      </c>
      <c r="AZ129" s="102">
        <f>VLOOKUP(L129,其他合同!$L$6:$CC$300,41,0)</f>
        <v>0</v>
      </c>
      <c r="BA129" s="102">
        <f>VLOOKUP(L129,其他合同!$L$6:$CC$300,42,0)</f>
        <v>0</v>
      </c>
      <c r="BB129" s="102">
        <f>VLOOKUP(L129,其他合同!$L$6:$CC$300,43,0)</f>
        <v>0</v>
      </c>
      <c r="BC129" s="102">
        <f>VLOOKUP(L129,其他合同!$L$6:$CC$300,44,0)</f>
        <v>0</v>
      </c>
      <c r="BD129" s="102">
        <f>VLOOKUP(L129,其他合同!$L$6:$CC$300,45,0)</f>
        <v>0</v>
      </c>
      <c r="BE129" s="102">
        <f>VLOOKUP(L129,其他合同!$L$6:$CC$300,46,0)</f>
        <v>0</v>
      </c>
      <c r="BF129" s="102">
        <f>VLOOKUP(L129,其他合同!$L$6:$CC$300,47,0)</f>
        <v>0</v>
      </c>
      <c r="BG129" s="102">
        <f>VLOOKUP(L129,其他合同!$L$6:$CC$300,48,0)</f>
        <v>0</v>
      </c>
      <c r="BH129" s="102">
        <f>VLOOKUP(L129,其他合同!$L$6:$CC$300,49,0)</f>
        <v>0</v>
      </c>
      <c r="BI129" s="102">
        <f>VLOOKUP(L129,其他合同!$L$6:$CC$300,50,0)</f>
        <v>0</v>
      </c>
      <c r="BJ129" s="102">
        <f>VLOOKUP(L129,其他合同!$L$6:$CC$300,51,0)</f>
        <v>0</v>
      </c>
      <c r="BK129" s="102">
        <f>VLOOKUP(L129,其他合同!$L$6:$CC$300,52,0)</f>
        <v>0</v>
      </c>
      <c r="BL129" s="102">
        <f>VLOOKUP(L129,其他合同!$L$6:$CC$300,53,0)</f>
        <v>0</v>
      </c>
      <c r="BM129" s="102">
        <f>VLOOKUP(L129,其他合同!$L$6:$CC$300,54,0)</f>
        <v>0</v>
      </c>
      <c r="BN129" s="102">
        <f>VLOOKUP(L129,其他合同!$L$6:$CC$300,55,0)</f>
        <v>0</v>
      </c>
      <c r="BO129" s="102">
        <f>VLOOKUP(L129,其他合同!$L$6:$CC$300,56,0)</f>
        <v>0</v>
      </c>
      <c r="BP129" s="102">
        <f>VLOOKUP(L129,其他合同!$L$6:$CC$300,57,0)</f>
        <v>0</v>
      </c>
      <c r="BQ129" s="102">
        <f>VLOOKUP(L129,其他合同!$L$6:$CC$300,58,0)</f>
        <v>0</v>
      </c>
      <c r="BR129" s="102">
        <f>VLOOKUP(L129,其他合同!$L$6:$CC$300,59,0)</f>
        <v>0</v>
      </c>
      <c r="BS129" s="102">
        <f>VLOOKUP(L129,其他合同!$L$6:$CC$300,60,0)</f>
        <v>0</v>
      </c>
      <c r="BT129" s="102">
        <f>VLOOKUP(L129,其他合同!$L$6:$CC$300,61,0)</f>
        <v>0</v>
      </c>
      <c r="BU129" s="102">
        <f>VLOOKUP(L129,其他合同!$L$6:$CC$300,62,0)</f>
        <v>0</v>
      </c>
      <c r="BV129" s="102">
        <f>VLOOKUP(L129,其他合同!$L$6:$CC$300,63,0)</f>
        <v>0</v>
      </c>
      <c r="BW129" s="102">
        <f>VLOOKUP(L129,其他合同!$L$6:$CC$300,64,0)</f>
        <v>0</v>
      </c>
      <c r="BX129" s="102">
        <f>VLOOKUP(L129,其他合同!$L$6:$CC$300,65,0)</f>
        <v>0</v>
      </c>
      <c r="BY129" s="102">
        <f>VLOOKUP(L129,其他合同!$L$6:$CC$300,66,0)</f>
        <v>0</v>
      </c>
      <c r="BZ129" s="102">
        <f>VLOOKUP(L129,其他合同!$L$6:$CC$300,67,0)</f>
        <v>0</v>
      </c>
      <c r="CA129" s="102">
        <f>VLOOKUP(L129,其他合同!$L$6:$CC$300,68,0)</f>
        <v>0</v>
      </c>
      <c r="CB129" s="102">
        <f>VLOOKUP(L129,其他合同!$L$6:$CC$300,69,0)</f>
        <v>0</v>
      </c>
      <c r="CC129" s="102">
        <f>VLOOKUP(L129,其他合同!$L$6:$CC$300,70,0)</f>
        <v>0</v>
      </c>
      <c r="CD129" s="123">
        <f t="shared" si="33"/>
        <v>39206000</v>
      </c>
      <c r="CE129" s="102">
        <f t="shared" si="34"/>
        <v>39206000</v>
      </c>
      <c r="CF129" s="102">
        <f t="shared" si="35"/>
        <v>39206000</v>
      </c>
      <c r="CG129" s="102">
        <f t="shared" si="36"/>
        <v>0</v>
      </c>
      <c r="CH129" s="124">
        <f t="shared" si="37"/>
        <v>0</v>
      </c>
      <c r="CI129" s="125">
        <f t="shared" si="38"/>
        <v>1</v>
      </c>
      <c r="CJ129" s="126" t="str">
        <f t="shared" si="39"/>
        <v>数据正确</v>
      </c>
    </row>
    <row r="130" s="60" customFormat="1" customHeight="1" spans="2:88">
      <c r="B130" s="70" t="str">
        <f t="shared" si="29"/>
        <v>-</v>
      </c>
      <c r="C130" s="71" t="str">
        <f t="shared" si="30"/>
        <v>已付清</v>
      </c>
      <c r="D130" s="181">
        <f t="shared" si="31"/>
        <v>0.001</v>
      </c>
      <c r="E130" s="181">
        <f>SUMIF(服务合同!$L$6:$L$300,L130,服务合同!$E$6:$E$300)</f>
        <v>0</v>
      </c>
      <c r="F130" s="181">
        <f>SUMIF(服务合同!$L$6:$L$300,L130,服务合同!$F$6:$F$300)</f>
        <v>0</v>
      </c>
      <c r="G130" s="181">
        <f>SUMIF(服务合同!$L$6:$L$300,L130,服务合同!$G$6:$G$300)</f>
        <v>0</v>
      </c>
      <c r="H130" s="181">
        <f>SUMIF(服务合同!$L$6:$L$300,L130,服务合同!$H$6:$H$300)</f>
        <v>0</v>
      </c>
      <c r="I130" s="181">
        <f t="shared" si="32"/>
        <v>0</v>
      </c>
      <c r="J130" s="86" t="s">
        <v>98</v>
      </c>
      <c r="K130" s="87"/>
      <c r="L130" s="88">
        <v>125</v>
      </c>
      <c r="M130" s="89">
        <f>VLOOKUP(L130,服务合同!$L$6:$CC$300,2,0)</f>
        <v>7583054592</v>
      </c>
      <c r="N130" s="90" t="str">
        <f>VLOOKUP(L130,服务合同!$L$6:$CC$300,3,0)</f>
        <v>服务合同</v>
      </c>
      <c r="O130" s="265" t="str">
        <f>VLOOKUP(L130,服务合同!$L$6:$CC$300,4,0)</f>
        <v>-</v>
      </c>
      <c r="P130" s="266">
        <f>VLOOKUP(L130,服务合同!$L$6:$CC$300,5,0)</f>
        <v>42047</v>
      </c>
      <c r="Q130" s="275">
        <f>VLOOKUP(L130,服务合同!$L$6:$CC$300,6,0)</f>
        <v>0.001</v>
      </c>
      <c r="R130" s="89" t="str">
        <f>VLOOKUP(L130,服务合同!$L$6:$CC$300,7,0)</f>
        <v>临时接电费，暂收12.4万，临时接电结束退还</v>
      </c>
      <c r="S130" s="89" t="str">
        <f>VLOOKUP(L130,服务合同!$L$6:$CC$300,8,0)</f>
        <v>国网福建省电力有限公司莆田供电公司</v>
      </c>
      <c r="T130" s="107">
        <f>VLOOKUP(L130,服务合同!$L$6:$CC$300,9,0)</f>
        <v>0</v>
      </c>
      <c r="U130" s="103" t="str">
        <f>VLOOKUP(L130,服务合同!$L$6:$CC$300,10,0)</f>
        <v>电汇</v>
      </c>
      <c r="V130" s="276" t="str">
        <f>VLOOKUP(L130,服务合同!$L$6:$CC$300,11,0)</f>
        <v>合同签订一次性支付</v>
      </c>
      <c r="W130" s="102">
        <f>VLOOKUP(L130,服务合同!$L$6:$CC$300,12,0)</f>
        <v>0.001</v>
      </c>
      <c r="X130" s="102">
        <f>VLOOKUP(L130,服务合同!$L$6:$CC$300,13,0)</f>
        <v>0.001</v>
      </c>
      <c r="Y130" s="102">
        <f>VLOOKUP(L130,服务合同!$L$6:$CC$300,14,0)</f>
        <v>0.001</v>
      </c>
      <c r="Z130" s="102">
        <f>VLOOKUP(L130,服务合同!$L$6:$CC$300,15,0)</f>
        <v>0</v>
      </c>
      <c r="AA130" s="102">
        <f>VLOOKUP(L130,服务合同!$L$6:$CC$300,16,0)</f>
        <v>0</v>
      </c>
      <c r="AB130" s="102">
        <f>VLOOKUP(L130,服务合同!$L$6:$CC$300,17,0)</f>
        <v>0</v>
      </c>
      <c r="AC130" s="102">
        <f>VLOOKUP(L130,服务合同!$L$6:$CC$300,18,0)</f>
        <v>0</v>
      </c>
      <c r="AD130" s="102">
        <f>VLOOKUP(L130,服务合同!$L$6:$CC$300,19,0)</f>
        <v>0</v>
      </c>
      <c r="AE130" s="102">
        <f>VLOOKUP(L130,服务合同!$L$6:$CC$300,20,0)</f>
        <v>0</v>
      </c>
      <c r="AF130" s="102">
        <f>VLOOKUP(L130,服务合同!$L$6:$CC$300,21,0)</f>
        <v>0</v>
      </c>
      <c r="AG130" s="102">
        <f>VLOOKUP(L130,服务合同!$L$6:$CC$300,22,0)</f>
        <v>0</v>
      </c>
      <c r="AH130" s="102">
        <f>VLOOKUP(L130,服务合同!$L$6:$CC$300,23,0)</f>
        <v>0</v>
      </c>
      <c r="AI130" s="102">
        <f>VLOOKUP(L130,服务合同!$L$6:$CC$300,24,0)</f>
        <v>0</v>
      </c>
      <c r="AJ130" s="102">
        <f>VLOOKUP(L130,服务合同!$L$6:$CC$300,25,0)</f>
        <v>0</v>
      </c>
      <c r="AK130" s="102">
        <f>VLOOKUP(L130,服务合同!$L$6:$CC$300,26,0)</f>
        <v>0</v>
      </c>
      <c r="AL130" s="102">
        <f>VLOOKUP(L130,服务合同!$L$6:$CC$300,27,0)</f>
        <v>0</v>
      </c>
      <c r="AM130" s="102">
        <f>VLOOKUP(L130,服务合同!$L$6:$CC$300,28,0)</f>
        <v>0</v>
      </c>
      <c r="AN130" s="102">
        <f>VLOOKUP(L130,服务合同!$L$6:$CC$300,29,0)</f>
        <v>0</v>
      </c>
      <c r="AO130" s="102">
        <f>VLOOKUP(L130,服务合同!$L$6:$CC$300,30,0)</f>
        <v>0</v>
      </c>
      <c r="AP130" s="102">
        <f>VLOOKUP(L130,服务合同!$L$6:$CC$300,31,0)</f>
        <v>0</v>
      </c>
      <c r="AQ130" s="102">
        <f>VLOOKUP(L130,服务合同!$L$6:$CC$300,32,0)</f>
        <v>0</v>
      </c>
      <c r="AR130" s="102">
        <f>VLOOKUP(L130,服务合同!$L$6:$CC$300,33,0)</f>
        <v>0</v>
      </c>
      <c r="AS130" s="102">
        <f>VLOOKUP(L130,服务合同!$L$6:$CC$300,34,0)</f>
        <v>0</v>
      </c>
      <c r="AT130" s="102">
        <f>VLOOKUP(L130,服务合同!$L$6:$CC$300,35,0)</f>
        <v>0</v>
      </c>
      <c r="AU130" s="102">
        <f>VLOOKUP(L130,服务合同!$L$6:$CC$300,36,0)</f>
        <v>0</v>
      </c>
      <c r="AV130" s="102">
        <f>VLOOKUP(L130,服务合同!$L$6:$CC$300,37,0)</f>
        <v>0</v>
      </c>
      <c r="AW130" s="102">
        <f>VLOOKUP(L130,服务合同!$L$6:$CC$300,38,0)</f>
        <v>0</v>
      </c>
      <c r="AX130" s="102">
        <f>VLOOKUP(L130,服务合同!$L$6:$CC$300,39,0)</f>
        <v>0</v>
      </c>
      <c r="AY130" s="102">
        <f>VLOOKUP(L130,服务合同!$L$6:$CC$300,40,0)</f>
        <v>0</v>
      </c>
      <c r="AZ130" s="102">
        <f>VLOOKUP(L130,服务合同!$L$6:$CC$300,41,0)</f>
        <v>0</v>
      </c>
      <c r="BA130" s="102">
        <f>VLOOKUP(L130,服务合同!$L$6:$CC$300,42,0)</f>
        <v>0</v>
      </c>
      <c r="BB130" s="102">
        <f>VLOOKUP(L130,服务合同!$L$6:$CC$300,43,0)</f>
        <v>0</v>
      </c>
      <c r="BC130" s="102">
        <f>VLOOKUP(L130,服务合同!$L$6:$CC$300,44,0)</f>
        <v>0</v>
      </c>
      <c r="BD130" s="102">
        <f>VLOOKUP(L130,服务合同!$L$6:$CC$300,45,0)</f>
        <v>0</v>
      </c>
      <c r="BE130" s="102">
        <f>VLOOKUP(L130,服务合同!$L$6:$CC$300,46,0)</f>
        <v>0</v>
      </c>
      <c r="BF130" s="102">
        <f>VLOOKUP(L130,服务合同!$L$6:$CC$300,47,0)</f>
        <v>0</v>
      </c>
      <c r="BG130" s="102">
        <f>VLOOKUP(L130,服务合同!$L$6:$CC$300,48,0)</f>
        <v>0</v>
      </c>
      <c r="BH130" s="102">
        <f>VLOOKUP(L130,服务合同!$L$6:$CC$300,49,0)</f>
        <v>0</v>
      </c>
      <c r="BI130" s="102">
        <f>VLOOKUP(L130,服务合同!$L$6:$CC$300,50,0)</f>
        <v>0</v>
      </c>
      <c r="BJ130" s="102">
        <f>VLOOKUP(L130,服务合同!$L$6:$CC$300,51,0)</f>
        <v>0</v>
      </c>
      <c r="BK130" s="102">
        <f>VLOOKUP(L130,服务合同!$L$6:$CC$300,52,0)</f>
        <v>0</v>
      </c>
      <c r="BL130" s="102">
        <f>VLOOKUP(L130,服务合同!$L$6:$CC$300,53,0)</f>
        <v>0</v>
      </c>
      <c r="BM130" s="102">
        <f>VLOOKUP(L130,服务合同!$L$6:$CC$300,54,0)</f>
        <v>0</v>
      </c>
      <c r="BN130" s="102">
        <f>VLOOKUP(L130,服务合同!$L$6:$CC$300,55,0)</f>
        <v>0</v>
      </c>
      <c r="BO130" s="102">
        <f>VLOOKUP(L130,服务合同!$L$6:$CC$300,56,0)</f>
        <v>0</v>
      </c>
      <c r="BP130" s="102">
        <f>VLOOKUP(L130,服务合同!$L$6:$CC$300,57,0)</f>
        <v>0</v>
      </c>
      <c r="BQ130" s="102">
        <f>VLOOKUP(L130,服务合同!$L$6:$CC$300,58,0)</f>
        <v>0</v>
      </c>
      <c r="BR130" s="102">
        <f>VLOOKUP(L130,服务合同!$L$6:$CC$300,59,0)</f>
        <v>0</v>
      </c>
      <c r="BS130" s="102">
        <f>VLOOKUP(L130,服务合同!$L$6:$CC$300,60,0)</f>
        <v>0</v>
      </c>
      <c r="BT130" s="102">
        <f>VLOOKUP(L130,服务合同!$L$6:$CC$300,61,0)</f>
        <v>0</v>
      </c>
      <c r="BU130" s="102">
        <f>VLOOKUP(L130,服务合同!$L$6:$CC$300,62,0)</f>
        <v>0</v>
      </c>
      <c r="BV130" s="102">
        <f>VLOOKUP(L130,服务合同!$L$6:$CC$300,63,0)</f>
        <v>0</v>
      </c>
      <c r="BW130" s="102">
        <f>VLOOKUP(L130,服务合同!$L$6:$CC$300,64,0)</f>
        <v>0</v>
      </c>
      <c r="BX130" s="102">
        <f>VLOOKUP(L130,服务合同!$L$6:$CC$300,65,0)</f>
        <v>0</v>
      </c>
      <c r="BY130" s="102">
        <f>VLOOKUP(L130,服务合同!$L$6:$CC$300,66,0)</f>
        <v>0</v>
      </c>
      <c r="BZ130" s="102">
        <f>VLOOKUP(L130,服务合同!$L$6:$CC$300,67,0)</f>
        <v>0</v>
      </c>
      <c r="CA130" s="102">
        <f>VLOOKUP(L130,服务合同!$L$6:$CC$300,68,0)</f>
        <v>0</v>
      </c>
      <c r="CB130" s="102">
        <f>VLOOKUP(L130,服务合同!$L$6:$CC$300,69,0)</f>
        <v>0</v>
      </c>
      <c r="CC130" s="102">
        <f>VLOOKUP(L130,服务合同!$L$6:$CC$300,70,0)</f>
        <v>0</v>
      </c>
      <c r="CD130" s="123">
        <f t="shared" si="33"/>
        <v>0.001</v>
      </c>
      <c r="CE130" s="102">
        <f t="shared" si="34"/>
        <v>0.001</v>
      </c>
      <c r="CF130" s="102">
        <f t="shared" si="35"/>
        <v>0.001</v>
      </c>
      <c r="CG130" s="102">
        <f t="shared" si="36"/>
        <v>0</v>
      </c>
      <c r="CH130" s="124">
        <f t="shared" si="37"/>
        <v>0</v>
      </c>
      <c r="CI130" s="125">
        <f t="shared" si="38"/>
        <v>1</v>
      </c>
      <c r="CJ130" s="126" t="str">
        <f t="shared" si="39"/>
        <v>数据正确</v>
      </c>
    </row>
    <row r="131" s="60" customFormat="1" customHeight="1" spans="2:88">
      <c r="B131" s="70" t="str">
        <f t="shared" si="29"/>
        <v>-</v>
      </c>
      <c r="C131" s="71" t="str">
        <f t="shared" si="30"/>
        <v>已付清</v>
      </c>
      <c r="D131" s="181">
        <f t="shared" si="31"/>
        <v>999</v>
      </c>
      <c r="E131" s="181">
        <f>SUMIF(行政合同!$L$6:$L$300,L131,行政合同!$E$6:$E$300)</f>
        <v>0</v>
      </c>
      <c r="F131" s="181">
        <f>SUMIF(行政合同!$L$6:$L$300,L131,行政合同!$F$6:$F$300)</f>
        <v>0</v>
      </c>
      <c r="G131" s="181">
        <f>SUMIF(行政合同!$L$6:$L$300,L131,行政合同!$G$6:$G$300)</f>
        <v>0</v>
      </c>
      <c r="H131" s="181">
        <f>SUMIF(行政合同!$L$6:$L$300,L131,行政合同!$H$6:$H$300)</f>
        <v>0</v>
      </c>
      <c r="I131" s="181">
        <f t="shared" si="32"/>
        <v>0</v>
      </c>
      <c r="J131" s="86" t="s">
        <v>98</v>
      </c>
      <c r="K131" s="87"/>
      <c r="L131" s="88">
        <v>126</v>
      </c>
      <c r="M131" s="89" t="str">
        <f>VLOOKUP(L131,行政合同!$L$6:$CC$300,2,0)</f>
        <v>YR-TGA-01-03</v>
      </c>
      <c r="N131" s="90" t="str">
        <f>VLOOKUP(L131,行政合同!$L$6:$CC$300,3,0)</f>
        <v>行政合同</v>
      </c>
      <c r="O131" s="265" t="str">
        <f>VLOOKUP(L131,行政合同!$L$6:$CC$300,4,0)</f>
        <v>-</v>
      </c>
      <c r="P131" s="266">
        <f>VLOOKUP(L131,行政合同!$L$6:$CC$300,5,0)</f>
        <v>42594</v>
      </c>
      <c r="Q131" s="275">
        <f>VLOOKUP(L131,行政合同!$L$6:$CC$300,6,0)</f>
        <v>999</v>
      </c>
      <c r="R131" s="89" t="str">
        <f>VLOOKUP(L131,行政合同!$L$6:$CC$300,7,0)</f>
        <v>597人才网服务（16.8.1-18.8.1）</v>
      </c>
      <c r="S131" s="89" t="str">
        <f>VLOOKUP(L131,行政合同!$L$6:$CC$300,8,0)</f>
        <v>莆田伍玖柒网络科技有限公司</v>
      </c>
      <c r="T131" s="107">
        <f>VLOOKUP(L131,行政合同!$L$6:$CC$300,9,0)</f>
        <v>0</v>
      </c>
      <c r="U131" s="103" t="str">
        <f>VLOOKUP(L131,行政合同!$L$6:$CC$300,10,0)</f>
        <v>电汇</v>
      </c>
      <c r="V131" s="276" t="str">
        <f>VLOOKUP(L131,行政合同!$L$6:$CC$300,11,0)</f>
        <v>全额</v>
      </c>
      <c r="W131" s="102">
        <f>VLOOKUP(L131,行政合同!$L$6:$CC$300,12,0)</f>
        <v>999</v>
      </c>
      <c r="X131" s="102">
        <f>VLOOKUP(L131,行政合同!$L$6:$CC$300,13,0)</f>
        <v>999</v>
      </c>
      <c r="Y131" s="102">
        <f>VLOOKUP(L131,行政合同!$L$6:$CC$300,14,0)</f>
        <v>999</v>
      </c>
      <c r="Z131" s="102">
        <f>VLOOKUP(L131,行政合同!$L$6:$CC$300,15,0)</f>
        <v>0</v>
      </c>
      <c r="AA131" s="102">
        <f>VLOOKUP(L131,行政合同!$L$6:$CC$300,16,0)</f>
        <v>0</v>
      </c>
      <c r="AB131" s="102">
        <f>VLOOKUP(L131,行政合同!$L$6:$CC$300,17,0)</f>
        <v>0</v>
      </c>
      <c r="AC131" s="102">
        <f>VLOOKUP(L131,行政合同!$L$6:$CC$300,18,0)</f>
        <v>0</v>
      </c>
      <c r="AD131" s="102">
        <f>VLOOKUP(L131,行政合同!$L$6:$CC$300,19,0)</f>
        <v>0</v>
      </c>
      <c r="AE131" s="102">
        <f>VLOOKUP(L131,行政合同!$L$6:$CC$300,20,0)</f>
        <v>0</v>
      </c>
      <c r="AF131" s="102">
        <f>VLOOKUP(L131,行政合同!$L$6:$CC$300,21,0)</f>
        <v>0</v>
      </c>
      <c r="AG131" s="102">
        <f>VLOOKUP(L131,行政合同!$L$6:$CC$300,22,0)</f>
        <v>0</v>
      </c>
      <c r="AH131" s="102">
        <f>VLOOKUP(L131,行政合同!$L$6:$CC$300,23,0)</f>
        <v>0</v>
      </c>
      <c r="AI131" s="102">
        <f>VLOOKUP(L131,行政合同!$L$6:$CC$300,24,0)</f>
        <v>0</v>
      </c>
      <c r="AJ131" s="102">
        <f>VLOOKUP(L131,行政合同!$L$6:$CC$300,25,0)</f>
        <v>0</v>
      </c>
      <c r="AK131" s="102">
        <f>VLOOKUP(L131,行政合同!$L$6:$CC$300,26,0)</f>
        <v>0</v>
      </c>
      <c r="AL131" s="102">
        <f>VLOOKUP(L131,行政合同!$L$6:$CC$300,27,0)</f>
        <v>0</v>
      </c>
      <c r="AM131" s="102">
        <f>VLOOKUP(L131,行政合同!$L$6:$CC$300,28,0)</f>
        <v>0</v>
      </c>
      <c r="AN131" s="102">
        <f>VLOOKUP(L131,行政合同!$L$6:$CC$300,29,0)</f>
        <v>0</v>
      </c>
      <c r="AO131" s="102">
        <f>VLOOKUP(L131,行政合同!$L$6:$CC$300,30,0)</f>
        <v>0</v>
      </c>
      <c r="AP131" s="102">
        <f>VLOOKUP(L131,行政合同!$L$6:$CC$300,31,0)</f>
        <v>0</v>
      </c>
      <c r="AQ131" s="102">
        <f>VLOOKUP(L131,行政合同!$L$6:$CC$300,32,0)</f>
        <v>0</v>
      </c>
      <c r="AR131" s="102">
        <f>VLOOKUP(L131,行政合同!$L$6:$CC$300,33,0)</f>
        <v>0</v>
      </c>
      <c r="AS131" s="102">
        <f>VLOOKUP(L131,行政合同!$L$6:$CC$300,34,0)</f>
        <v>0</v>
      </c>
      <c r="AT131" s="102">
        <f>VLOOKUP(L131,行政合同!$L$6:$CC$300,35,0)</f>
        <v>0</v>
      </c>
      <c r="AU131" s="102">
        <f>VLOOKUP(L131,行政合同!$L$6:$CC$300,36,0)</f>
        <v>0</v>
      </c>
      <c r="AV131" s="102">
        <f>VLOOKUP(L131,行政合同!$L$6:$CC$300,37,0)</f>
        <v>0</v>
      </c>
      <c r="AW131" s="102">
        <f>VLOOKUP(L131,行政合同!$L$6:$CC$300,38,0)</f>
        <v>0</v>
      </c>
      <c r="AX131" s="102">
        <f>VLOOKUP(L131,行政合同!$L$6:$CC$300,39,0)</f>
        <v>0</v>
      </c>
      <c r="AY131" s="102">
        <f>VLOOKUP(L131,行政合同!$L$6:$CC$300,40,0)</f>
        <v>0</v>
      </c>
      <c r="AZ131" s="102">
        <f>VLOOKUP(L131,行政合同!$L$6:$CC$300,41,0)</f>
        <v>0</v>
      </c>
      <c r="BA131" s="102">
        <f>VLOOKUP(L131,行政合同!$L$6:$CC$300,42,0)</f>
        <v>0</v>
      </c>
      <c r="BB131" s="102">
        <f>VLOOKUP(L131,行政合同!$L$6:$CC$300,43,0)</f>
        <v>0</v>
      </c>
      <c r="BC131" s="102">
        <f>VLOOKUP(L131,行政合同!$L$6:$CC$300,44,0)</f>
        <v>0</v>
      </c>
      <c r="BD131" s="102">
        <f>VLOOKUP(L131,行政合同!$L$6:$CC$300,45,0)</f>
        <v>0</v>
      </c>
      <c r="BE131" s="102">
        <f>VLOOKUP(L131,行政合同!$L$6:$CC$300,46,0)</f>
        <v>0</v>
      </c>
      <c r="BF131" s="102">
        <f>VLOOKUP(L131,行政合同!$L$6:$CC$300,47,0)</f>
        <v>0</v>
      </c>
      <c r="BG131" s="102">
        <f>VLOOKUP(L131,行政合同!$L$6:$CC$300,48,0)</f>
        <v>0</v>
      </c>
      <c r="BH131" s="102">
        <f>VLOOKUP(L131,行政合同!$L$6:$CC$300,49,0)</f>
        <v>0</v>
      </c>
      <c r="BI131" s="102">
        <f>VLOOKUP(L131,行政合同!$L$6:$CC$300,50,0)</f>
        <v>0</v>
      </c>
      <c r="BJ131" s="102">
        <f>VLOOKUP(L131,行政合同!$L$6:$CC$300,51,0)</f>
        <v>0</v>
      </c>
      <c r="BK131" s="102">
        <f>VLOOKUP(L131,行政合同!$L$6:$CC$300,52,0)</f>
        <v>0</v>
      </c>
      <c r="BL131" s="102">
        <f>VLOOKUP(L131,行政合同!$L$6:$CC$300,53,0)</f>
        <v>0</v>
      </c>
      <c r="BM131" s="102">
        <f>VLOOKUP(L131,行政合同!$L$6:$CC$300,54,0)</f>
        <v>0</v>
      </c>
      <c r="BN131" s="102">
        <f>VLOOKUP(L131,行政合同!$L$6:$CC$300,55,0)</f>
        <v>0</v>
      </c>
      <c r="BO131" s="102">
        <f>VLOOKUP(L131,行政合同!$L$6:$CC$300,56,0)</f>
        <v>0</v>
      </c>
      <c r="BP131" s="102">
        <f>VLOOKUP(L131,行政合同!$L$6:$CC$300,57,0)</f>
        <v>0</v>
      </c>
      <c r="BQ131" s="102">
        <f>VLOOKUP(L131,行政合同!$L$6:$CC$300,58,0)</f>
        <v>0</v>
      </c>
      <c r="BR131" s="102">
        <f>VLOOKUP(L131,行政合同!$L$6:$CC$300,59,0)</f>
        <v>0</v>
      </c>
      <c r="BS131" s="102">
        <f>VLOOKUP(L131,行政合同!$L$6:$CC$300,60,0)</f>
        <v>0</v>
      </c>
      <c r="BT131" s="102">
        <f>VLOOKUP(L131,行政合同!$L$6:$CC$300,61,0)</f>
        <v>0</v>
      </c>
      <c r="BU131" s="102">
        <f>VLOOKUP(L131,行政合同!$L$6:$CC$300,62,0)</f>
        <v>0</v>
      </c>
      <c r="BV131" s="102">
        <f>VLOOKUP(L131,行政合同!$L$6:$CC$300,63,0)</f>
        <v>0</v>
      </c>
      <c r="BW131" s="102">
        <f>VLOOKUP(L131,行政合同!$L$6:$CC$300,64,0)</f>
        <v>0</v>
      </c>
      <c r="BX131" s="102">
        <f>VLOOKUP(L131,行政合同!$L$6:$CC$300,65,0)</f>
        <v>0</v>
      </c>
      <c r="BY131" s="102">
        <f>VLOOKUP(L131,行政合同!$L$6:$CC$300,66,0)</f>
        <v>0</v>
      </c>
      <c r="BZ131" s="102">
        <f>VLOOKUP(L131,行政合同!$L$6:$CC$300,67,0)</f>
        <v>0</v>
      </c>
      <c r="CA131" s="102">
        <f>VLOOKUP(L131,行政合同!$L$6:$CC$300,68,0)</f>
        <v>0</v>
      </c>
      <c r="CB131" s="102">
        <f>VLOOKUP(L131,行政合同!$L$6:$CC$300,69,0)</f>
        <v>0</v>
      </c>
      <c r="CC131" s="102">
        <f>VLOOKUP(L131,行政合同!$L$6:$CC$300,70,0)</f>
        <v>0</v>
      </c>
      <c r="CD131" s="123">
        <f t="shared" si="33"/>
        <v>999</v>
      </c>
      <c r="CE131" s="102">
        <f t="shared" si="34"/>
        <v>999</v>
      </c>
      <c r="CF131" s="102">
        <f t="shared" si="35"/>
        <v>999</v>
      </c>
      <c r="CG131" s="102">
        <f t="shared" si="36"/>
        <v>0</v>
      </c>
      <c r="CH131" s="124">
        <f t="shared" si="37"/>
        <v>0</v>
      </c>
      <c r="CI131" s="125">
        <f t="shared" si="38"/>
        <v>1</v>
      </c>
      <c r="CJ131" s="126" t="str">
        <f t="shared" si="39"/>
        <v>数据正确</v>
      </c>
    </row>
    <row r="132" s="60" customFormat="1" customHeight="1" spans="2:88">
      <c r="B132" s="70" t="str">
        <f t="shared" si="29"/>
        <v>-</v>
      </c>
      <c r="C132" s="71" t="str">
        <f t="shared" si="30"/>
        <v>-</v>
      </c>
      <c r="D132" s="181">
        <f t="shared" si="31"/>
        <v>6247238.16</v>
      </c>
      <c r="E132" s="181">
        <f>SUMIF(工程合同!$L$6:$L$299,L132,工程合同!$E$6:$E$299)</f>
        <v>0</v>
      </c>
      <c r="F132" s="181">
        <f>SUMIF(工程合同!$L$6:$L$299,L132,工程合同!$F$6:$F$299)</f>
        <v>0</v>
      </c>
      <c r="G132" s="181">
        <f>SUMIF(工程合同!$L$6:$L$299,L132,工程合同!$G$6:$G$299)</f>
        <v>94863.04</v>
      </c>
      <c r="H132" s="181">
        <f>SUMIF(工程合同!$L$6:$L$299,L132,工程合同!$H$6:$H$299)</f>
        <v>26898.7999999998</v>
      </c>
      <c r="I132" s="181">
        <f t="shared" si="32"/>
        <v>0</v>
      </c>
      <c r="J132" s="86" t="s">
        <v>98</v>
      </c>
      <c r="K132" s="87"/>
      <c r="L132" s="88">
        <v>127</v>
      </c>
      <c r="M132" s="89" t="str">
        <f>VLOOKUP(L132,工程合同!$L$6:$CC$299,2,0)</f>
        <v>YRKJ-2016GC-SGHT001</v>
      </c>
      <c r="N132" s="90" t="str">
        <f>VLOOKUP(L132,工程合同!$L$6:$CC$299,3,0)</f>
        <v>工程合同</v>
      </c>
      <c r="O132" s="265" t="str">
        <f>VLOOKUP(L132,工程合同!$L$6:$CC$299,4,0)</f>
        <v>-</v>
      </c>
      <c r="P132" s="266">
        <f>VLOOKUP(L132,工程合同!$L$6:$CC$299,5,0)</f>
        <v>42505</v>
      </c>
      <c r="Q132" s="275">
        <f>VLOOKUP(L132,工程合同!$L$6:$CC$299,6,0)</f>
        <v>7996800</v>
      </c>
      <c r="R132" s="89" t="str">
        <f>VLOOKUP(L132,工程合同!$L$6:$CC$299,7,0)</f>
        <v>三修车间、物装一车间、物装二车间工程施工</v>
      </c>
      <c r="S132" s="89" t="str">
        <f>VLOOKUP(L132,工程合同!$L$6:$CC$299,8,0)</f>
        <v>中化二建集团有限公司</v>
      </c>
      <c r="T132" s="107">
        <f>VLOOKUP(L132,工程合同!$L$6:$CC$299,9,0)</f>
        <v>0</v>
      </c>
      <c r="U132" s="103" t="str">
        <f>VLOOKUP(L132,工程合同!$L$6:$CC$299,10,0)</f>
        <v>6个月承兑汇票</v>
      </c>
      <c r="V132" s="276" t="str">
        <f>VLOOKUP(L132,工程合同!$L$6:$CC$299,11,0)</f>
        <v>结构施工到+-0.000完成，支付20%</v>
      </c>
      <c r="W132" s="102">
        <f>VLOOKUP(L132,工程合同!$L$6:$CC$299,12,0)</f>
        <v>1599360</v>
      </c>
      <c r="X132" s="102">
        <f>VLOOKUP(L132,工程合同!$L$6:$CC$299,13,0)</f>
        <v>1599000</v>
      </c>
      <c r="Y132" s="102">
        <f>VLOOKUP(L132,工程合同!$L$6:$CC$299,14,0)</f>
        <v>1551030</v>
      </c>
      <c r="Z132" s="102" t="str">
        <f>VLOOKUP(L132,工程合同!$L$6:$CC$299,15,0)</f>
        <v>结构施工到屋面，支付20%</v>
      </c>
      <c r="AA132" s="102">
        <f>VLOOKUP(L132,工程合同!$L$6:$CC$299,16,0)</f>
        <v>1599360</v>
      </c>
      <c r="AB132" s="102">
        <f>VLOOKUP(L132,工程合同!$L$6:$CC$299,17,0)</f>
        <v>1590000</v>
      </c>
      <c r="AC132" s="102">
        <f>VLOOKUP(L132,工程合同!$L$6:$CC$299,18,0)</f>
        <v>1590000</v>
      </c>
      <c r="AD132" s="102" t="str">
        <f>VLOOKUP(L132,工程合同!$L$6:$CC$299,19,0)</f>
        <v>主体完成，支付20%</v>
      </c>
      <c r="AE132" s="102">
        <f>VLOOKUP(L132,工程合同!$L$6:$CC$299,20,0)</f>
        <v>1599360</v>
      </c>
      <c r="AF132" s="102">
        <f>VLOOKUP(L132,工程合同!$L$6:$CC$299,21,0)</f>
        <v>1590000</v>
      </c>
      <c r="AG132" s="102">
        <f>VLOOKUP(L132,工程合同!$L$6:$CC$299,22,0)</f>
        <v>1516208.16</v>
      </c>
      <c r="AH132" s="102" t="str">
        <f>VLOOKUP(L132,工程合同!$L$6:$CC$299,23,0)</f>
        <v>验收合格，支付20%</v>
      </c>
      <c r="AI132" s="102">
        <f>VLOOKUP(L132,工程合同!$L$6:$CC$299,24,0)</f>
        <v>1599360</v>
      </c>
      <c r="AJ132" s="102">
        <f>VLOOKUP(L132,工程合同!$L$6:$CC$299,25,0)</f>
        <v>1590000</v>
      </c>
      <c r="AK132" s="102">
        <f>VLOOKUP(L132,工程合同!$L$6:$CC$299,26,0)</f>
        <v>1590000</v>
      </c>
      <c r="AL132" s="102" t="str">
        <f>VLOOKUP(L132,工程合同!$L$6:$CC$299,27,0)</f>
        <v>竣工验收合格，支付15%</v>
      </c>
      <c r="AM132" s="102">
        <f>VLOOKUP(L132,工程合同!$L$6:$CC$299,28,0)</f>
        <v>1199520</v>
      </c>
      <c r="AN132" s="102">
        <f>VLOOKUP(L132,工程合同!$L$6:$CC$299,29,0)</f>
        <v>0</v>
      </c>
      <c r="AO132" s="102">
        <f>VLOOKUP(L132,工程合同!$L$6:$CC$299,30,0)</f>
        <v>0</v>
      </c>
      <c r="AP132" s="102" t="str">
        <f>VLOOKUP(L132,工程合同!$L$6:$CC$299,31,0)</f>
        <v>质保期5%，1年</v>
      </c>
      <c r="AQ132" s="102">
        <f>VLOOKUP(L132,工程合同!$L$6:$CC$299,32,0)</f>
        <v>399840</v>
      </c>
      <c r="AR132" s="102">
        <f>VLOOKUP(L132,工程合同!$L$6:$CC$299,33,0)</f>
        <v>0</v>
      </c>
      <c r="AS132" s="102">
        <f>VLOOKUP(L132,工程合同!$L$6:$CC$299,34,0)</f>
        <v>0</v>
      </c>
      <c r="AT132" s="102">
        <f>VLOOKUP(L132,工程合同!$L$6:$CC$299,35,0)</f>
        <v>0</v>
      </c>
      <c r="AU132" s="102">
        <f>VLOOKUP(L132,工程合同!$L$6:$CC$299,36,0)</f>
        <v>0</v>
      </c>
      <c r="AV132" s="102">
        <f>VLOOKUP(L132,工程合同!$L$6:$CC$299,37,0)</f>
        <v>0</v>
      </c>
      <c r="AW132" s="102">
        <f>VLOOKUP(L132,工程合同!$L$6:$CC$299,38,0)</f>
        <v>0</v>
      </c>
      <c r="AX132" s="102">
        <f>VLOOKUP(L132,工程合同!$L$6:$CC$299,39,0)</f>
        <v>0</v>
      </c>
      <c r="AY132" s="102">
        <f>VLOOKUP(L132,工程合同!$L$6:$CC$299,40,0)</f>
        <v>0</v>
      </c>
      <c r="AZ132" s="102">
        <f>VLOOKUP(L132,工程合同!$L$6:$CC$299,41,0)</f>
        <v>0</v>
      </c>
      <c r="BA132" s="102">
        <f>VLOOKUP(L132,工程合同!$L$6:$CC$299,42,0)</f>
        <v>0</v>
      </c>
      <c r="BB132" s="102">
        <f>VLOOKUP(L132,工程合同!$L$6:$CC$299,43,0)</f>
        <v>0</v>
      </c>
      <c r="BC132" s="102">
        <f>VLOOKUP(L132,工程合同!$L$6:$CC$299,44,0)</f>
        <v>0</v>
      </c>
      <c r="BD132" s="102">
        <f>VLOOKUP(L132,工程合同!$L$6:$CC$299,45,0)</f>
        <v>0</v>
      </c>
      <c r="BE132" s="102">
        <f>VLOOKUP(L132,工程合同!$L$6:$CC$299,46,0)</f>
        <v>0</v>
      </c>
      <c r="BF132" s="102">
        <f>VLOOKUP(L132,工程合同!$L$6:$CC$299,47,0)</f>
        <v>0</v>
      </c>
      <c r="BG132" s="102">
        <f>VLOOKUP(L132,工程合同!$L$6:$CC$299,48,0)</f>
        <v>0</v>
      </c>
      <c r="BH132" s="102">
        <f>VLOOKUP(L132,工程合同!$L$6:$CC$299,49,0)</f>
        <v>0</v>
      </c>
      <c r="BI132" s="102">
        <f>VLOOKUP(L132,工程合同!$L$6:$CC$299,50,0)</f>
        <v>0</v>
      </c>
      <c r="BJ132" s="102">
        <f>VLOOKUP(L132,工程合同!$L$6:$CC$299,51,0)</f>
        <v>0</v>
      </c>
      <c r="BK132" s="102">
        <f>VLOOKUP(L132,工程合同!$L$6:$CC$299,52,0)</f>
        <v>0</v>
      </c>
      <c r="BL132" s="102">
        <f>VLOOKUP(L132,工程合同!$L$6:$CC$299,53,0)</f>
        <v>0</v>
      </c>
      <c r="BM132" s="102">
        <f>VLOOKUP(L132,工程合同!$L$6:$CC$299,54,0)</f>
        <v>0</v>
      </c>
      <c r="BN132" s="102">
        <f>VLOOKUP(L132,工程合同!$L$6:$CC$299,55,0)</f>
        <v>0</v>
      </c>
      <c r="BO132" s="102">
        <f>VLOOKUP(L132,工程合同!$L$6:$CC$299,56,0)</f>
        <v>0</v>
      </c>
      <c r="BP132" s="102">
        <f>VLOOKUP(L132,工程合同!$L$6:$CC$299,57,0)</f>
        <v>0</v>
      </c>
      <c r="BQ132" s="102">
        <f>VLOOKUP(L132,工程合同!$L$6:$CC$299,58,0)</f>
        <v>0</v>
      </c>
      <c r="BR132" s="102">
        <f>VLOOKUP(L132,工程合同!$L$6:$CC$299,59,0)</f>
        <v>0</v>
      </c>
      <c r="BS132" s="102">
        <f>VLOOKUP(L132,工程合同!$L$6:$CC$299,60,0)</f>
        <v>0</v>
      </c>
      <c r="BT132" s="102">
        <f>VLOOKUP(L132,工程合同!$L$6:$CC$299,61,0)</f>
        <v>0</v>
      </c>
      <c r="BU132" s="102">
        <f>VLOOKUP(L132,工程合同!$L$6:$CC$299,62,0)</f>
        <v>0</v>
      </c>
      <c r="BV132" s="102">
        <f>VLOOKUP(L132,工程合同!$L$6:$CC$299,63,0)</f>
        <v>0</v>
      </c>
      <c r="BW132" s="102">
        <f>VLOOKUP(L132,工程合同!$L$6:$CC$299,64,0)</f>
        <v>0</v>
      </c>
      <c r="BX132" s="102">
        <f>VLOOKUP(L132,工程合同!$L$6:$CC$299,65,0)</f>
        <v>0</v>
      </c>
      <c r="BY132" s="102">
        <f>VLOOKUP(L132,工程合同!$L$6:$CC$299,66,0)</f>
        <v>0</v>
      </c>
      <c r="BZ132" s="102">
        <f>VLOOKUP(L132,工程合同!$L$6:$CC$299,67,0)</f>
        <v>0</v>
      </c>
      <c r="CA132" s="102">
        <f>VLOOKUP(L132,工程合同!$L$6:$CC$299,68,0)</f>
        <v>0</v>
      </c>
      <c r="CB132" s="102">
        <f>VLOOKUP(L132,工程合同!$L$6:$CC$299,69,0)</f>
        <v>0</v>
      </c>
      <c r="CC132" s="102">
        <f>VLOOKUP(L132,工程合同!$L$6:$CC$299,70,0)</f>
        <v>0</v>
      </c>
      <c r="CD132" s="123">
        <f t="shared" si="33"/>
        <v>7996800</v>
      </c>
      <c r="CE132" s="102">
        <f t="shared" si="34"/>
        <v>6369000</v>
      </c>
      <c r="CF132" s="102">
        <f t="shared" si="35"/>
        <v>6247238.16</v>
      </c>
      <c r="CG132" s="102">
        <f t="shared" si="36"/>
        <v>121761.84</v>
      </c>
      <c r="CH132" s="124">
        <f t="shared" si="37"/>
        <v>1627800</v>
      </c>
      <c r="CI132" s="125">
        <f t="shared" si="38"/>
        <v>0.796443577430972</v>
      </c>
      <c r="CJ132" s="126" t="str">
        <f t="shared" si="39"/>
        <v>数据正确</v>
      </c>
    </row>
    <row r="133" s="60" customFormat="1" customHeight="1" spans="2:88">
      <c r="B133" s="70" t="str">
        <f t="shared" si="29"/>
        <v>-</v>
      </c>
      <c r="C133" s="71" t="str">
        <f t="shared" si="30"/>
        <v>-</v>
      </c>
      <c r="D133" s="181">
        <f t="shared" si="31"/>
        <v>462551</v>
      </c>
      <c r="E133" s="181">
        <f>SUMIF(服务合同!$L$6:$L$300,L133,服务合同!$E$6:$E$300)</f>
        <v>0</v>
      </c>
      <c r="F133" s="181">
        <f>SUMIF(服务合同!$L$6:$L$300,L133,服务合同!$F$6:$F$300)</f>
        <v>0</v>
      </c>
      <c r="G133" s="181">
        <f>SUMIF(服务合同!$L$6:$L$300,L133,服务合同!$G$6:$G$300)</f>
        <v>0</v>
      </c>
      <c r="H133" s="181">
        <f>SUMIF(服务合同!$L$6:$L$300,L133,服务合同!$H$6:$H$300)</f>
        <v>5000</v>
      </c>
      <c r="I133" s="181">
        <f t="shared" si="32"/>
        <v>0</v>
      </c>
      <c r="J133" s="86" t="s">
        <v>98</v>
      </c>
      <c r="K133" s="87"/>
      <c r="L133" s="88">
        <v>128</v>
      </c>
      <c r="M133" s="89" t="str">
        <f>VLOOKUP(L133,服务合同!$L$6:$CC$300,2,0)</f>
        <v>YRKJ-2016GC-JLHT0001</v>
      </c>
      <c r="N133" s="90" t="str">
        <f>VLOOKUP(L133,服务合同!$L$6:$CC$300,3,0)</f>
        <v>服务合同</v>
      </c>
      <c r="O133" s="265" t="str">
        <f>VLOOKUP(L133,服务合同!$L$6:$CC$300,4,0)</f>
        <v>-</v>
      </c>
      <c r="P133" s="266">
        <f>VLOOKUP(L133,服务合同!$L$6:$CC$300,5,0)</f>
        <v>42500</v>
      </c>
      <c r="Q133" s="275">
        <f>VLOOKUP(L133,服务合同!$L$6:$CC$300,6,0)</f>
        <v>950000</v>
      </c>
      <c r="R133" s="89" t="str">
        <f>VLOOKUP(L133,服务合同!$L$6:$CC$300,7,0)</f>
        <v>建设工程监理</v>
      </c>
      <c r="S133" s="89" t="str">
        <f>VLOOKUP(L133,服务合同!$L$6:$CC$300,8,0)</f>
        <v>四川亿博工程项目管理有限公司</v>
      </c>
      <c r="T133" s="107">
        <f>VLOOKUP(L133,服务合同!$L$6:$CC$300,9,0)</f>
        <v>0</v>
      </c>
      <c r="U133" s="103" t="str">
        <f>VLOOKUP(L133,服务合同!$L$6:$CC$300,10,0)</f>
        <v>电汇</v>
      </c>
      <c r="V133" s="276" t="str">
        <f>VLOOKUP(L133,服务合同!$L$6:$CC$300,11,0)</f>
        <v>每月支付上月监理服务费，含发票</v>
      </c>
      <c r="W133" s="102">
        <f>VLOOKUP(L133,服务合同!$L$6:$CC$300,12,0)</f>
        <v>950000</v>
      </c>
      <c r="X133" s="102">
        <f>VLOOKUP(L133,服务合同!$L$6:$CC$300,13,0)</f>
        <v>467551</v>
      </c>
      <c r="Y133" s="102">
        <f>VLOOKUP(L133,服务合同!$L$6:$CC$300,14,0)</f>
        <v>462551</v>
      </c>
      <c r="Z133" s="102">
        <f>VLOOKUP(L133,服务合同!$L$6:$CC$300,15,0)</f>
        <v>0</v>
      </c>
      <c r="AA133" s="102">
        <f>VLOOKUP(L133,服务合同!$L$6:$CC$300,16,0)</f>
        <v>0</v>
      </c>
      <c r="AB133" s="102">
        <f>VLOOKUP(L133,服务合同!$L$6:$CC$300,17,0)</f>
        <v>0</v>
      </c>
      <c r="AC133" s="102">
        <f>VLOOKUP(L133,服务合同!$L$6:$CC$300,18,0)</f>
        <v>0</v>
      </c>
      <c r="AD133" s="102">
        <f>VLOOKUP(L133,服务合同!$L$6:$CC$300,19,0)</f>
        <v>0</v>
      </c>
      <c r="AE133" s="102">
        <f>VLOOKUP(L133,服务合同!$L$6:$CC$300,20,0)</f>
        <v>0</v>
      </c>
      <c r="AF133" s="102">
        <f>VLOOKUP(L133,服务合同!$L$6:$CC$300,21,0)</f>
        <v>0</v>
      </c>
      <c r="AG133" s="102">
        <f>VLOOKUP(L133,服务合同!$L$6:$CC$300,22,0)</f>
        <v>0</v>
      </c>
      <c r="AH133" s="102">
        <f>VLOOKUP(L133,服务合同!$L$6:$CC$300,23,0)</f>
        <v>0</v>
      </c>
      <c r="AI133" s="102">
        <f>VLOOKUP(L133,服务合同!$L$6:$CC$300,24,0)</f>
        <v>0</v>
      </c>
      <c r="AJ133" s="102">
        <f>VLOOKUP(L133,服务合同!$L$6:$CC$300,25,0)</f>
        <v>0</v>
      </c>
      <c r="AK133" s="102">
        <f>VLOOKUP(L133,服务合同!$L$6:$CC$300,26,0)</f>
        <v>0</v>
      </c>
      <c r="AL133" s="102">
        <f>VLOOKUP(L133,服务合同!$L$6:$CC$300,27,0)</f>
        <v>0</v>
      </c>
      <c r="AM133" s="102">
        <f>VLOOKUP(L133,服务合同!$L$6:$CC$300,28,0)</f>
        <v>0</v>
      </c>
      <c r="AN133" s="102">
        <f>VLOOKUP(L133,服务合同!$L$6:$CC$300,29,0)</f>
        <v>0</v>
      </c>
      <c r="AO133" s="102">
        <f>VLOOKUP(L133,服务合同!$L$6:$CC$300,30,0)</f>
        <v>0</v>
      </c>
      <c r="AP133" s="102">
        <f>VLOOKUP(L133,服务合同!$L$6:$CC$300,31,0)</f>
        <v>0</v>
      </c>
      <c r="AQ133" s="102">
        <f>VLOOKUP(L133,服务合同!$L$6:$CC$300,32,0)</f>
        <v>0</v>
      </c>
      <c r="AR133" s="102">
        <f>VLOOKUP(L133,服务合同!$L$6:$CC$300,33,0)</f>
        <v>0</v>
      </c>
      <c r="AS133" s="102">
        <f>VLOOKUP(L133,服务合同!$L$6:$CC$300,34,0)</f>
        <v>0</v>
      </c>
      <c r="AT133" s="102">
        <f>VLOOKUP(L133,服务合同!$L$6:$CC$300,35,0)</f>
        <v>0</v>
      </c>
      <c r="AU133" s="102">
        <f>VLOOKUP(L133,服务合同!$L$6:$CC$300,36,0)</f>
        <v>0</v>
      </c>
      <c r="AV133" s="102">
        <f>VLOOKUP(L133,服务合同!$L$6:$CC$300,37,0)</f>
        <v>0</v>
      </c>
      <c r="AW133" s="102">
        <f>VLOOKUP(L133,服务合同!$L$6:$CC$300,38,0)</f>
        <v>0</v>
      </c>
      <c r="AX133" s="102">
        <f>VLOOKUP(L133,服务合同!$L$6:$CC$300,39,0)</f>
        <v>0</v>
      </c>
      <c r="AY133" s="102">
        <f>VLOOKUP(L133,服务合同!$L$6:$CC$300,40,0)</f>
        <v>0</v>
      </c>
      <c r="AZ133" s="102">
        <f>VLOOKUP(L133,服务合同!$L$6:$CC$300,41,0)</f>
        <v>0</v>
      </c>
      <c r="BA133" s="102">
        <f>VLOOKUP(L133,服务合同!$L$6:$CC$300,42,0)</f>
        <v>0</v>
      </c>
      <c r="BB133" s="102">
        <f>VLOOKUP(L133,服务合同!$L$6:$CC$300,43,0)</f>
        <v>0</v>
      </c>
      <c r="BC133" s="102">
        <f>VLOOKUP(L133,服务合同!$L$6:$CC$300,44,0)</f>
        <v>0</v>
      </c>
      <c r="BD133" s="102">
        <f>VLOOKUP(L133,服务合同!$L$6:$CC$300,45,0)</f>
        <v>0</v>
      </c>
      <c r="BE133" s="102">
        <f>VLOOKUP(L133,服务合同!$L$6:$CC$300,46,0)</f>
        <v>0</v>
      </c>
      <c r="BF133" s="102">
        <f>VLOOKUP(L133,服务合同!$L$6:$CC$300,47,0)</f>
        <v>0</v>
      </c>
      <c r="BG133" s="102">
        <f>VLOOKUP(L133,服务合同!$L$6:$CC$300,48,0)</f>
        <v>0</v>
      </c>
      <c r="BH133" s="102">
        <f>VLOOKUP(L133,服务合同!$L$6:$CC$300,49,0)</f>
        <v>0</v>
      </c>
      <c r="BI133" s="102">
        <f>VLOOKUP(L133,服务合同!$L$6:$CC$300,50,0)</f>
        <v>0</v>
      </c>
      <c r="BJ133" s="102">
        <f>VLOOKUP(L133,服务合同!$L$6:$CC$300,51,0)</f>
        <v>0</v>
      </c>
      <c r="BK133" s="102">
        <f>VLOOKUP(L133,服务合同!$L$6:$CC$300,52,0)</f>
        <v>0</v>
      </c>
      <c r="BL133" s="102">
        <f>VLOOKUP(L133,服务合同!$L$6:$CC$300,53,0)</f>
        <v>0</v>
      </c>
      <c r="BM133" s="102">
        <f>VLOOKUP(L133,服务合同!$L$6:$CC$300,54,0)</f>
        <v>0</v>
      </c>
      <c r="BN133" s="102">
        <f>VLOOKUP(L133,服务合同!$L$6:$CC$300,55,0)</f>
        <v>0</v>
      </c>
      <c r="BO133" s="102">
        <f>VLOOKUP(L133,服务合同!$L$6:$CC$300,56,0)</f>
        <v>0</v>
      </c>
      <c r="BP133" s="102">
        <f>VLOOKUP(L133,服务合同!$L$6:$CC$300,57,0)</f>
        <v>0</v>
      </c>
      <c r="BQ133" s="102">
        <f>VLOOKUP(L133,服务合同!$L$6:$CC$300,58,0)</f>
        <v>0</v>
      </c>
      <c r="BR133" s="102">
        <f>VLOOKUP(L133,服务合同!$L$6:$CC$300,59,0)</f>
        <v>0</v>
      </c>
      <c r="BS133" s="102">
        <f>VLOOKUP(L133,服务合同!$L$6:$CC$300,60,0)</f>
        <v>0</v>
      </c>
      <c r="BT133" s="102">
        <f>VLOOKUP(L133,服务合同!$L$6:$CC$300,61,0)</f>
        <v>0</v>
      </c>
      <c r="BU133" s="102">
        <f>VLOOKUP(L133,服务合同!$L$6:$CC$300,62,0)</f>
        <v>0</v>
      </c>
      <c r="BV133" s="102">
        <f>VLOOKUP(L133,服务合同!$L$6:$CC$300,63,0)</f>
        <v>0</v>
      </c>
      <c r="BW133" s="102">
        <f>VLOOKUP(L133,服务合同!$L$6:$CC$300,64,0)</f>
        <v>0</v>
      </c>
      <c r="BX133" s="102">
        <f>VLOOKUP(L133,服务合同!$L$6:$CC$300,65,0)</f>
        <v>0</v>
      </c>
      <c r="BY133" s="102">
        <f>VLOOKUP(L133,服务合同!$L$6:$CC$300,66,0)</f>
        <v>0</v>
      </c>
      <c r="BZ133" s="102">
        <f>VLOOKUP(L133,服务合同!$L$6:$CC$300,67,0)</f>
        <v>0</v>
      </c>
      <c r="CA133" s="102">
        <f>VLOOKUP(L133,服务合同!$L$6:$CC$300,68,0)</f>
        <v>0</v>
      </c>
      <c r="CB133" s="102">
        <f>VLOOKUP(L133,服务合同!$L$6:$CC$300,69,0)</f>
        <v>0</v>
      </c>
      <c r="CC133" s="102">
        <f>VLOOKUP(L133,服务合同!$L$6:$CC$300,70,0)</f>
        <v>0</v>
      </c>
      <c r="CD133" s="123">
        <f t="shared" si="33"/>
        <v>950000</v>
      </c>
      <c r="CE133" s="102">
        <f t="shared" si="34"/>
        <v>467551</v>
      </c>
      <c r="CF133" s="102">
        <f t="shared" si="35"/>
        <v>462551</v>
      </c>
      <c r="CG133" s="102">
        <f t="shared" si="36"/>
        <v>5000</v>
      </c>
      <c r="CH133" s="124">
        <f t="shared" si="37"/>
        <v>482449</v>
      </c>
      <c r="CI133" s="125">
        <f t="shared" si="38"/>
        <v>0.492158947368421</v>
      </c>
      <c r="CJ133" s="126" t="str">
        <f t="shared" si="39"/>
        <v>数据正确</v>
      </c>
    </row>
    <row r="134" s="60" customFormat="1" customHeight="1" spans="2:88">
      <c r="B134" s="70" t="str">
        <f t="shared" si="29"/>
        <v>-</v>
      </c>
      <c r="C134" s="71" t="str">
        <f t="shared" si="30"/>
        <v>已付清</v>
      </c>
      <c r="D134" s="181">
        <f t="shared" si="31"/>
        <v>100000</v>
      </c>
      <c r="E134" s="181">
        <f>SUMIF(服务合同!$L$6:$L$300,L134,服务合同!$E$6:$E$300)</f>
        <v>0</v>
      </c>
      <c r="F134" s="181">
        <f>SUMIF(服务合同!$L$6:$L$300,L134,服务合同!$F$6:$F$300)</f>
        <v>0</v>
      </c>
      <c r="G134" s="181">
        <f>SUMIF(服务合同!$L$6:$L$300,L134,服务合同!$G$6:$G$300)</f>
        <v>0</v>
      </c>
      <c r="H134" s="181">
        <f>SUMIF(服务合同!$L$6:$L$300,L134,服务合同!$H$6:$H$300)</f>
        <v>0</v>
      </c>
      <c r="I134" s="181">
        <f t="shared" si="32"/>
        <v>0</v>
      </c>
      <c r="J134" s="86" t="s">
        <v>98</v>
      </c>
      <c r="K134" s="87"/>
      <c r="L134" s="88">
        <v>129</v>
      </c>
      <c r="M134" s="89" t="str">
        <f>VLOOKUP(L134,服务合同!$L$6:$CC$300,2,0)</f>
        <v>无</v>
      </c>
      <c r="N134" s="90" t="str">
        <f>VLOOKUP(L134,服务合同!$L$6:$CC$300,3,0)</f>
        <v>服务合同</v>
      </c>
      <c r="O134" s="265" t="str">
        <f>VLOOKUP(L134,服务合同!$L$6:$CC$300,4,0)</f>
        <v>-</v>
      </c>
      <c r="P134" s="266">
        <f>VLOOKUP(L134,服务合同!$L$6:$CC$300,5,0)</f>
        <v>42220</v>
      </c>
      <c r="Q134" s="275">
        <f>VLOOKUP(L134,服务合同!$L$6:$CC$300,6,0)</f>
        <v>100000</v>
      </c>
      <c r="R134" s="89" t="str">
        <f>VLOOKUP(L134,服务合同!$L$6:$CC$300,7,0)</f>
        <v>海域前期费用结算单</v>
      </c>
      <c r="S134" s="89" t="str">
        <f>VLOOKUP(L134,服务合同!$L$6:$CC$300,8,0)</f>
        <v>莆田市海洋与渔业环境监测站</v>
      </c>
      <c r="T134" s="107">
        <f>VLOOKUP(L134,服务合同!$L$6:$CC$300,9,0)</f>
        <v>0</v>
      </c>
      <c r="U134" s="103" t="str">
        <f>VLOOKUP(L134,服务合同!$L$6:$CC$300,10,0)</f>
        <v>电汇</v>
      </c>
      <c r="V134" s="276" t="str">
        <f>VLOOKUP(L134,服务合同!$L$6:$CC$300,11,0)</f>
        <v>合同签订10个工作日一次性支付</v>
      </c>
      <c r="W134" s="102">
        <f>VLOOKUP(L134,服务合同!$L$6:$CC$300,12,0)</f>
        <v>100000</v>
      </c>
      <c r="X134" s="102">
        <f>VLOOKUP(L134,服务合同!$L$6:$CC$300,13,0)</f>
        <v>100000</v>
      </c>
      <c r="Y134" s="102">
        <f>VLOOKUP(L134,服务合同!$L$6:$CC$300,14,0)</f>
        <v>100000</v>
      </c>
      <c r="Z134" s="102">
        <f>VLOOKUP(L134,服务合同!$L$6:$CC$300,15,0)</f>
        <v>0</v>
      </c>
      <c r="AA134" s="102">
        <f>VLOOKUP(L134,服务合同!$L$6:$CC$300,16,0)</f>
        <v>0</v>
      </c>
      <c r="AB134" s="102">
        <f>VLOOKUP(L134,服务合同!$L$6:$CC$300,17,0)</f>
        <v>0</v>
      </c>
      <c r="AC134" s="102">
        <f>VLOOKUP(L134,服务合同!$L$6:$CC$300,18,0)</f>
        <v>0</v>
      </c>
      <c r="AD134" s="102">
        <f>VLOOKUP(L134,服务合同!$L$6:$CC$300,19,0)</f>
        <v>0</v>
      </c>
      <c r="AE134" s="102">
        <f>VLOOKUP(L134,服务合同!$L$6:$CC$300,20,0)</f>
        <v>0</v>
      </c>
      <c r="AF134" s="102">
        <f>VLOOKUP(L134,服务合同!$L$6:$CC$300,21,0)</f>
        <v>0</v>
      </c>
      <c r="AG134" s="102">
        <f>VLOOKUP(L134,服务合同!$L$6:$CC$300,22,0)</f>
        <v>0</v>
      </c>
      <c r="AH134" s="102">
        <f>VLOOKUP(L134,服务合同!$L$6:$CC$300,23,0)</f>
        <v>0</v>
      </c>
      <c r="AI134" s="102">
        <f>VLOOKUP(L134,服务合同!$L$6:$CC$300,24,0)</f>
        <v>0</v>
      </c>
      <c r="AJ134" s="102">
        <f>VLOOKUP(L134,服务合同!$L$6:$CC$300,25,0)</f>
        <v>0</v>
      </c>
      <c r="AK134" s="102">
        <f>VLOOKUP(L134,服务合同!$L$6:$CC$300,26,0)</f>
        <v>0</v>
      </c>
      <c r="AL134" s="102">
        <f>VLOOKUP(L134,服务合同!$L$6:$CC$300,27,0)</f>
        <v>0</v>
      </c>
      <c r="AM134" s="102">
        <f>VLOOKUP(L134,服务合同!$L$6:$CC$300,28,0)</f>
        <v>0</v>
      </c>
      <c r="AN134" s="102">
        <f>VLOOKUP(L134,服务合同!$L$6:$CC$300,29,0)</f>
        <v>0</v>
      </c>
      <c r="AO134" s="102">
        <f>VLOOKUP(L134,服务合同!$L$6:$CC$300,30,0)</f>
        <v>0</v>
      </c>
      <c r="AP134" s="102">
        <f>VLOOKUP(L134,服务合同!$L$6:$CC$300,31,0)</f>
        <v>0</v>
      </c>
      <c r="AQ134" s="102">
        <f>VLOOKUP(L134,服务合同!$L$6:$CC$300,32,0)</f>
        <v>0</v>
      </c>
      <c r="AR134" s="102">
        <f>VLOOKUP(L134,服务合同!$L$6:$CC$300,33,0)</f>
        <v>0</v>
      </c>
      <c r="AS134" s="102">
        <f>VLOOKUP(L134,服务合同!$L$6:$CC$300,34,0)</f>
        <v>0</v>
      </c>
      <c r="AT134" s="102">
        <f>VLOOKUP(L134,服务合同!$L$6:$CC$300,35,0)</f>
        <v>0</v>
      </c>
      <c r="AU134" s="102">
        <f>VLOOKUP(L134,服务合同!$L$6:$CC$300,36,0)</f>
        <v>0</v>
      </c>
      <c r="AV134" s="102">
        <f>VLOOKUP(L134,服务合同!$L$6:$CC$300,37,0)</f>
        <v>0</v>
      </c>
      <c r="AW134" s="102">
        <f>VLOOKUP(L134,服务合同!$L$6:$CC$300,38,0)</f>
        <v>0</v>
      </c>
      <c r="AX134" s="102">
        <f>VLOOKUP(L134,服务合同!$L$6:$CC$300,39,0)</f>
        <v>0</v>
      </c>
      <c r="AY134" s="102">
        <f>VLOOKUP(L134,服务合同!$L$6:$CC$300,40,0)</f>
        <v>0</v>
      </c>
      <c r="AZ134" s="102">
        <f>VLOOKUP(L134,服务合同!$L$6:$CC$300,41,0)</f>
        <v>0</v>
      </c>
      <c r="BA134" s="102">
        <f>VLOOKUP(L134,服务合同!$L$6:$CC$300,42,0)</f>
        <v>0</v>
      </c>
      <c r="BB134" s="102">
        <f>VLOOKUP(L134,服务合同!$L$6:$CC$300,43,0)</f>
        <v>0</v>
      </c>
      <c r="BC134" s="102">
        <f>VLOOKUP(L134,服务合同!$L$6:$CC$300,44,0)</f>
        <v>0</v>
      </c>
      <c r="BD134" s="102">
        <f>VLOOKUP(L134,服务合同!$L$6:$CC$300,45,0)</f>
        <v>0</v>
      </c>
      <c r="BE134" s="102">
        <f>VLOOKUP(L134,服务合同!$L$6:$CC$300,46,0)</f>
        <v>0</v>
      </c>
      <c r="BF134" s="102">
        <f>VLOOKUP(L134,服务合同!$L$6:$CC$300,47,0)</f>
        <v>0</v>
      </c>
      <c r="BG134" s="102">
        <f>VLOOKUP(L134,服务合同!$L$6:$CC$300,48,0)</f>
        <v>0</v>
      </c>
      <c r="BH134" s="102">
        <f>VLOOKUP(L134,服务合同!$L$6:$CC$300,49,0)</f>
        <v>0</v>
      </c>
      <c r="BI134" s="102">
        <f>VLOOKUP(L134,服务合同!$L$6:$CC$300,50,0)</f>
        <v>0</v>
      </c>
      <c r="BJ134" s="102">
        <f>VLOOKUP(L134,服务合同!$L$6:$CC$300,51,0)</f>
        <v>0</v>
      </c>
      <c r="BK134" s="102">
        <f>VLOOKUP(L134,服务合同!$L$6:$CC$300,52,0)</f>
        <v>0</v>
      </c>
      <c r="BL134" s="102">
        <f>VLOOKUP(L134,服务合同!$L$6:$CC$300,53,0)</f>
        <v>0</v>
      </c>
      <c r="BM134" s="102">
        <f>VLOOKUP(L134,服务合同!$L$6:$CC$300,54,0)</f>
        <v>0</v>
      </c>
      <c r="BN134" s="102">
        <f>VLOOKUP(L134,服务合同!$L$6:$CC$300,55,0)</f>
        <v>0</v>
      </c>
      <c r="BO134" s="102">
        <f>VLOOKUP(L134,服务合同!$L$6:$CC$300,56,0)</f>
        <v>0</v>
      </c>
      <c r="BP134" s="102">
        <f>VLOOKUP(L134,服务合同!$L$6:$CC$300,57,0)</f>
        <v>0</v>
      </c>
      <c r="BQ134" s="102">
        <f>VLOOKUP(L134,服务合同!$L$6:$CC$300,58,0)</f>
        <v>0</v>
      </c>
      <c r="BR134" s="102">
        <f>VLOOKUP(L134,服务合同!$L$6:$CC$300,59,0)</f>
        <v>0</v>
      </c>
      <c r="BS134" s="102">
        <f>VLOOKUP(L134,服务合同!$L$6:$CC$300,60,0)</f>
        <v>0</v>
      </c>
      <c r="BT134" s="102">
        <f>VLOOKUP(L134,服务合同!$L$6:$CC$300,61,0)</f>
        <v>0</v>
      </c>
      <c r="BU134" s="102">
        <f>VLOOKUP(L134,服务合同!$L$6:$CC$300,62,0)</f>
        <v>0</v>
      </c>
      <c r="BV134" s="102">
        <f>VLOOKUP(L134,服务合同!$L$6:$CC$300,63,0)</f>
        <v>0</v>
      </c>
      <c r="BW134" s="102">
        <f>VLOOKUP(L134,服务合同!$L$6:$CC$300,64,0)</f>
        <v>0</v>
      </c>
      <c r="BX134" s="102">
        <f>VLOOKUP(L134,服务合同!$L$6:$CC$300,65,0)</f>
        <v>0</v>
      </c>
      <c r="BY134" s="102">
        <f>VLOOKUP(L134,服务合同!$L$6:$CC$300,66,0)</f>
        <v>0</v>
      </c>
      <c r="BZ134" s="102">
        <f>VLOOKUP(L134,服务合同!$L$6:$CC$300,67,0)</f>
        <v>0</v>
      </c>
      <c r="CA134" s="102">
        <f>VLOOKUP(L134,服务合同!$L$6:$CC$300,68,0)</f>
        <v>0</v>
      </c>
      <c r="CB134" s="102">
        <f>VLOOKUP(L134,服务合同!$L$6:$CC$300,69,0)</f>
        <v>0</v>
      </c>
      <c r="CC134" s="102">
        <f>VLOOKUP(L134,服务合同!$L$6:$CC$300,70,0)</f>
        <v>0</v>
      </c>
      <c r="CD134" s="123">
        <f t="shared" si="33"/>
        <v>100000</v>
      </c>
      <c r="CE134" s="102">
        <f t="shared" si="34"/>
        <v>100000</v>
      </c>
      <c r="CF134" s="102">
        <f t="shared" si="35"/>
        <v>100000</v>
      </c>
      <c r="CG134" s="102">
        <f t="shared" si="36"/>
        <v>0</v>
      </c>
      <c r="CH134" s="124">
        <f t="shared" si="37"/>
        <v>0</v>
      </c>
      <c r="CI134" s="125">
        <f t="shared" si="38"/>
        <v>1</v>
      </c>
      <c r="CJ134" s="126" t="str">
        <f t="shared" si="39"/>
        <v>数据正确</v>
      </c>
    </row>
    <row r="135" s="60" customFormat="1" customHeight="1" spans="2:88">
      <c r="B135" s="70" t="str">
        <f t="shared" si="29"/>
        <v>-</v>
      </c>
      <c r="C135" s="71" t="str">
        <f t="shared" si="30"/>
        <v>已付清</v>
      </c>
      <c r="D135" s="181">
        <f t="shared" si="31"/>
        <v>948600</v>
      </c>
      <c r="E135" s="181">
        <f>SUMIF(材料合同!$L$6:$L$305,L135,材料合同!$E$6:$E$305)</f>
        <v>0</v>
      </c>
      <c r="F135" s="181">
        <f>SUMIF(材料合同!$L$6:$L$305,L135,材料合同!$F$6:$F$305)</f>
        <v>0</v>
      </c>
      <c r="G135" s="181">
        <f>SUMIF(材料合同!$L$6:$L$305,L135,材料合同!$G$6:$G$305)</f>
        <v>0</v>
      </c>
      <c r="H135" s="181">
        <f>SUMIF(材料合同!$L$6:$L$305,L135,材料合同!$H$6:$H$305)</f>
        <v>0</v>
      </c>
      <c r="I135" s="181">
        <f t="shared" si="32"/>
        <v>0</v>
      </c>
      <c r="J135" s="86" t="s">
        <v>98</v>
      </c>
      <c r="K135" s="87"/>
      <c r="L135" s="88">
        <v>130</v>
      </c>
      <c r="M135" s="89" t="str">
        <f>VLOOKUP(L135,材料合同!$L$6:$CC$305,2,0)</f>
        <v>YRKJGC-160008-1</v>
      </c>
      <c r="N135" s="90" t="str">
        <f>VLOOKUP(L135,材料合同!$L$6:$CC$305,3,0)</f>
        <v>材料合同</v>
      </c>
      <c r="O135" s="265" t="str">
        <f>VLOOKUP(L135,材料合同!$L$6:$CC$305,4,0)</f>
        <v>-</v>
      </c>
      <c r="P135" s="266">
        <f>VLOOKUP(L135,材料合同!$L$6:$CC$305,5,0)</f>
        <v>42675</v>
      </c>
      <c r="Q135" s="275">
        <f>VLOOKUP(L135,材料合同!$L$6:$CC$305,6,0)</f>
        <v>948600</v>
      </c>
      <c r="R135" s="89" t="str">
        <f>VLOOKUP(L135,材料合同!$L$6:$CC$305,7,0)</f>
        <v>管桩（5580米*170元/米） 无合同</v>
      </c>
      <c r="S135" s="89" t="str">
        <f>VLOOKUP(L135,材料合同!$L$6:$CC$305,8,0)</f>
        <v>福建建华建材有限公司</v>
      </c>
      <c r="T135" s="107">
        <f>VLOOKUP(L135,材料合同!$L$6:$CC$305,9,0)</f>
        <v>0</v>
      </c>
      <c r="U135" s="103" t="str">
        <f>VLOOKUP(L135,材料合同!$L$6:$CC$305,10,0)</f>
        <v>承兑汇票</v>
      </c>
      <c r="V135" s="276" t="str">
        <f>VLOOKUP(L135,材料合同!$L$6:$CC$305,11,0)</f>
        <v>货到付款，每次供货3000米，验收合格，卖方提供等额的收据给甲方后5日支付，卖方收到货款后5个工作日内提供17%的专票给甲方</v>
      </c>
      <c r="W135" s="102">
        <f>VLOOKUP(L135,材料合同!$L$6:$CC$305,12,0)</f>
        <v>948600</v>
      </c>
      <c r="X135" s="102">
        <f>VLOOKUP(L135,材料合同!$L$6:$CC$305,13,0)</f>
        <v>948600</v>
      </c>
      <c r="Y135" s="102">
        <f>VLOOKUP(L135,材料合同!$L$6:$CC$305,14,0)</f>
        <v>948600</v>
      </c>
      <c r="Z135" s="102">
        <f>VLOOKUP(L135,材料合同!$L$6:$CC$305,15,0)</f>
        <v>0</v>
      </c>
      <c r="AA135" s="102">
        <f>VLOOKUP(L135,材料合同!$L$6:$CC$305,16,0)</f>
        <v>0</v>
      </c>
      <c r="AB135" s="102">
        <f>VLOOKUP(L135,材料合同!$L$6:$CC$305,17,0)</f>
        <v>0</v>
      </c>
      <c r="AC135" s="102">
        <f>VLOOKUP(L135,材料合同!$L$6:$CC$305,18,0)</f>
        <v>0</v>
      </c>
      <c r="AD135" s="102">
        <f>VLOOKUP(L135,材料合同!$L$6:$CC$305,19,0)</f>
        <v>0</v>
      </c>
      <c r="AE135" s="102">
        <f>VLOOKUP(L135,材料合同!$L$6:$CC$305,20,0)</f>
        <v>0</v>
      </c>
      <c r="AF135" s="102">
        <f>VLOOKUP(L135,材料合同!$L$6:$CC$305,21,0)</f>
        <v>0</v>
      </c>
      <c r="AG135" s="102">
        <f>VLOOKUP(L135,材料合同!$L$6:$CC$305,22,0)</f>
        <v>0</v>
      </c>
      <c r="AH135" s="102">
        <f>VLOOKUP(L135,材料合同!$L$6:$CC$305,23,0)</f>
        <v>0</v>
      </c>
      <c r="AI135" s="102">
        <f>VLOOKUP(L135,材料合同!$L$6:$CC$305,24,0)</f>
        <v>0</v>
      </c>
      <c r="AJ135" s="102">
        <f>VLOOKUP(L135,材料合同!$L$6:$CC$305,25,0)</f>
        <v>0</v>
      </c>
      <c r="AK135" s="102">
        <f>VLOOKUP(L135,材料合同!$L$6:$CC$305,26,0)</f>
        <v>0</v>
      </c>
      <c r="AL135" s="102">
        <f>VLOOKUP(L135,材料合同!$L$6:$CC$305,27,0)</f>
        <v>0</v>
      </c>
      <c r="AM135" s="102">
        <f>VLOOKUP(L135,材料合同!$L$6:$CC$305,28,0)</f>
        <v>0</v>
      </c>
      <c r="AN135" s="102">
        <f>VLOOKUP(L135,材料合同!$L$6:$CC$305,29,0)</f>
        <v>0</v>
      </c>
      <c r="AO135" s="102">
        <f>VLOOKUP(L135,材料合同!$L$6:$CC$305,30,0)</f>
        <v>0</v>
      </c>
      <c r="AP135" s="102">
        <f>VLOOKUP(L135,材料合同!$L$6:$CC$305,31,0)</f>
        <v>0</v>
      </c>
      <c r="AQ135" s="102">
        <f>VLOOKUP(L135,材料合同!$L$6:$CC$305,32,0)</f>
        <v>0</v>
      </c>
      <c r="AR135" s="102">
        <f>VLOOKUP(L135,材料合同!$L$6:$CC$305,33,0)</f>
        <v>0</v>
      </c>
      <c r="AS135" s="102">
        <f>VLOOKUP(L135,材料合同!$L$6:$CC$305,34,0)</f>
        <v>0</v>
      </c>
      <c r="AT135" s="102">
        <f>VLOOKUP(L135,材料合同!$L$6:$CC$305,35,0)</f>
        <v>0</v>
      </c>
      <c r="AU135" s="102">
        <f>VLOOKUP(L135,材料合同!$L$6:$CC$305,36,0)</f>
        <v>0</v>
      </c>
      <c r="AV135" s="102">
        <f>VLOOKUP(L135,材料合同!$L$6:$CC$305,37,0)</f>
        <v>0</v>
      </c>
      <c r="AW135" s="102">
        <f>VLOOKUP(L135,材料合同!$L$6:$CC$305,38,0)</f>
        <v>0</v>
      </c>
      <c r="AX135" s="102">
        <f>VLOOKUP(L135,材料合同!$L$6:$CC$305,39,0)</f>
        <v>0</v>
      </c>
      <c r="AY135" s="102">
        <f>VLOOKUP(L135,材料合同!$L$6:$CC$305,40,0)</f>
        <v>0</v>
      </c>
      <c r="AZ135" s="102">
        <f>VLOOKUP(L135,材料合同!$L$6:$CC$305,41,0)</f>
        <v>0</v>
      </c>
      <c r="BA135" s="102">
        <f>VLOOKUP(L135,材料合同!$L$6:$CC$305,42,0)</f>
        <v>0</v>
      </c>
      <c r="BB135" s="102">
        <f>VLOOKUP(L135,材料合同!$L$6:$CC$305,43,0)</f>
        <v>0</v>
      </c>
      <c r="BC135" s="102">
        <f>VLOOKUP(L135,材料合同!$L$6:$CC$305,44,0)</f>
        <v>0</v>
      </c>
      <c r="BD135" s="102">
        <f>VLOOKUP(L135,材料合同!$L$6:$CC$305,45,0)</f>
        <v>0</v>
      </c>
      <c r="BE135" s="102">
        <f>VLOOKUP(L135,材料合同!$L$6:$CC$305,46,0)</f>
        <v>0</v>
      </c>
      <c r="BF135" s="102">
        <f>VLOOKUP(L135,材料合同!$L$6:$CC$305,47,0)</f>
        <v>0</v>
      </c>
      <c r="BG135" s="102">
        <f>VLOOKUP(L135,材料合同!$L$6:$CC$305,48,0)</f>
        <v>0</v>
      </c>
      <c r="BH135" s="102">
        <f>VLOOKUP(L135,材料合同!$L$6:$CC$305,49,0)</f>
        <v>0</v>
      </c>
      <c r="BI135" s="102">
        <f>VLOOKUP(L135,材料合同!$L$6:$CC$305,50,0)</f>
        <v>0</v>
      </c>
      <c r="BJ135" s="102">
        <f>VLOOKUP(L135,材料合同!$L$6:$CC$305,51,0)</f>
        <v>0</v>
      </c>
      <c r="BK135" s="102">
        <f>VLOOKUP(L135,材料合同!$L$6:$CC$305,52,0)</f>
        <v>0</v>
      </c>
      <c r="BL135" s="102">
        <f>VLOOKUP(L135,材料合同!$L$6:$CC$305,53,0)</f>
        <v>0</v>
      </c>
      <c r="BM135" s="102">
        <f>VLOOKUP(L135,材料合同!$L$6:$CC$305,54,0)</f>
        <v>0</v>
      </c>
      <c r="BN135" s="102">
        <f>VLOOKUP(L135,材料合同!$L$6:$CC$305,55,0)</f>
        <v>0</v>
      </c>
      <c r="BO135" s="102">
        <f>VLOOKUP(L135,材料合同!$L$6:$CC$305,56,0)</f>
        <v>0</v>
      </c>
      <c r="BP135" s="102">
        <f>VLOOKUP(L135,材料合同!$L$6:$CC$305,57,0)</f>
        <v>0</v>
      </c>
      <c r="BQ135" s="102">
        <f>VLOOKUP(L135,材料合同!$L$6:$CC$305,58,0)</f>
        <v>0</v>
      </c>
      <c r="BR135" s="102">
        <f>VLOOKUP(L135,材料合同!$L$6:$CC$305,59,0)</f>
        <v>0</v>
      </c>
      <c r="BS135" s="102">
        <f>VLOOKUP(L135,材料合同!$L$6:$CC$305,60,0)</f>
        <v>0</v>
      </c>
      <c r="BT135" s="102">
        <f>VLOOKUP(L135,材料合同!$L$6:$CC$305,61,0)</f>
        <v>0</v>
      </c>
      <c r="BU135" s="102">
        <f>VLOOKUP(L135,材料合同!$L$6:$CC$305,62,0)</f>
        <v>0</v>
      </c>
      <c r="BV135" s="102">
        <f>VLOOKUP(L135,材料合同!$L$6:$CC$305,63,0)</f>
        <v>0</v>
      </c>
      <c r="BW135" s="102">
        <f>VLOOKUP(L135,材料合同!$L$6:$CC$305,64,0)</f>
        <v>0</v>
      </c>
      <c r="BX135" s="102">
        <f>VLOOKUP(L135,材料合同!$L$6:$CC$305,65,0)</f>
        <v>0</v>
      </c>
      <c r="BY135" s="102">
        <f>VLOOKUP(L135,材料合同!$L$6:$CC$305,66,0)</f>
        <v>0</v>
      </c>
      <c r="BZ135" s="102">
        <f>VLOOKUP(L135,材料合同!$L$6:$CC$305,67,0)</f>
        <v>0</v>
      </c>
      <c r="CA135" s="102">
        <f>VLOOKUP(L135,材料合同!$L$6:$CC$305,68,0)</f>
        <v>0</v>
      </c>
      <c r="CB135" s="102">
        <f>VLOOKUP(L135,材料合同!$L$6:$CC$305,69,0)</f>
        <v>0</v>
      </c>
      <c r="CC135" s="102">
        <f>VLOOKUP(L135,材料合同!$L$6:$CC$305,70,0)</f>
        <v>0</v>
      </c>
      <c r="CD135" s="123">
        <f t="shared" si="33"/>
        <v>948600</v>
      </c>
      <c r="CE135" s="102">
        <f t="shared" si="34"/>
        <v>948600</v>
      </c>
      <c r="CF135" s="102">
        <f t="shared" si="35"/>
        <v>948600</v>
      </c>
      <c r="CG135" s="102">
        <f t="shared" si="36"/>
        <v>0</v>
      </c>
      <c r="CH135" s="124">
        <f t="shared" si="37"/>
        <v>0</v>
      </c>
      <c r="CI135" s="125">
        <f t="shared" si="38"/>
        <v>1</v>
      </c>
      <c r="CJ135" s="126" t="str">
        <f t="shared" si="39"/>
        <v>数据正确</v>
      </c>
    </row>
    <row r="136" s="60" customFormat="1" customHeight="1" spans="2:88">
      <c r="B136" s="70" t="str">
        <f t="shared" si="29"/>
        <v>-</v>
      </c>
      <c r="C136" s="71" t="str">
        <f t="shared" si="30"/>
        <v>已付清</v>
      </c>
      <c r="D136" s="181">
        <f t="shared" si="31"/>
        <v>1931083</v>
      </c>
      <c r="E136" s="181">
        <f>SUMIF(材料合同!$L$6:$L$305,L136,材料合同!$E$6:$E$305)</f>
        <v>0</v>
      </c>
      <c r="F136" s="181">
        <f>SUMIF(材料合同!$L$6:$L$305,L136,材料合同!$F$6:$F$305)</f>
        <v>0</v>
      </c>
      <c r="G136" s="181">
        <f>SUMIF(材料合同!$L$6:$L$305,L136,材料合同!$G$6:$G$305)</f>
        <v>0</v>
      </c>
      <c r="H136" s="181">
        <f>SUMIF(材料合同!$L$6:$L$305,L136,材料合同!$H$6:$H$305)</f>
        <v>0</v>
      </c>
      <c r="I136" s="181">
        <f t="shared" si="32"/>
        <v>0</v>
      </c>
      <c r="J136" s="86" t="s">
        <v>98</v>
      </c>
      <c r="K136" s="87"/>
      <c r="L136" s="88">
        <v>131</v>
      </c>
      <c r="M136" s="89" t="str">
        <f>VLOOKUP(L136,材料合同!$L$6:$CC$305,2,0)</f>
        <v>YRKJGC-170012-1</v>
      </c>
      <c r="N136" s="90" t="str">
        <f>VLOOKUP(L136,材料合同!$L$6:$CC$305,3,0)</f>
        <v>材料合同</v>
      </c>
      <c r="O136" s="265" t="str">
        <f>VLOOKUP(L136,材料合同!$L$6:$CC$305,4,0)</f>
        <v>-</v>
      </c>
      <c r="P136" s="266">
        <f>VLOOKUP(L136,材料合同!$L$6:$CC$305,5,0)</f>
        <v>42839</v>
      </c>
      <c r="Q136" s="275">
        <f>VLOOKUP(L136,材料合同!$L$6:$CC$305,6,0)</f>
        <v>1931083</v>
      </c>
      <c r="R136" s="89" t="str">
        <f>VLOOKUP(L136,材料合同!$L$6:$CC$305,7,0)</f>
        <v>管桩（5870米*217元/米） 纸质、电子版未移交</v>
      </c>
      <c r="S136" s="89" t="str">
        <f>VLOOKUP(L136,材料合同!$L$6:$CC$305,8,0)</f>
        <v>福建建华建材有限公司</v>
      </c>
      <c r="T136" s="107">
        <f>VLOOKUP(L136,材料合同!$L$6:$CC$305,9,0)</f>
        <v>0</v>
      </c>
      <c r="U136" s="103" t="str">
        <f>VLOOKUP(L136,材料合同!$L$6:$CC$305,10,0)</f>
        <v>承兑汇票</v>
      </c>
      <c r="V136" s="276" t="str">
        <f>VLOOKUP(L136,材料合同!$L$6:$CC$305,11,0)</f>
        <v>货到付款，每次供货5000米，验收合格，卖方提供等额的收据给甲方后5日支付，卖方收到货款后5个工作日内提供17%的专票给甲方</v>
      </c>
      <c r="W136" s="102">
        <f>VLOOKUP(L136,材料合同!$L$6:$CC$305,12,0)</f>
        <v>1931083</v>
      </c>
      <c r="X136" s="102">
        <f>VLOOKUP(L136,材料合同!$L$6:$CC$305,13,0)</f>
        <v>1931083</v>
      </c>
      <c r="Y136" s="102">
        <f>VLOOKUP(L136,材料合同!$L$6:$CC$305,14,0)</f>
        <v>1931083</v>
      </c>
      <c r="Z136" s="102">
        <f>VLOOKUP(L136,材料合同!$L$6:$CC$305,15,0)</f>
        <v>0</v>
      </c>
      <c r="AA136" s="102">
        <f>VLOOKUP(L136,材料合同!$L$6:$CC$305,16,0)</f>
        <v>0</v>
      </c>
      <c r="AB136" s="102">
        <f>VLOOKUP(L136,材料合同!$L$6:$CC$305,17,0)</f>
        <v>0</v>
      </c>
      <c r="AC136" s="102">
        <f>VLOOKUP(L136,材料合同!$L$6:$CC$305,18,0)</f>
        <v>0</v>
      </c>
      <c r="AD136" s="102">
        <f>VLOOKUP(L136,材料合同!$L$6:$CC$305,19,0)</f>
        <v>0</v>
      </c>
      <c r="AE136" s="102">
        <f>VLOOKUP(L136,材料合同!$L$6:$CC$305,20,0)</f>
        <v>0</v>
      </c>
      <c r="AF136" s="102">
        <f>VLOOKUP(L136,材料合同!$L$6:$CC$305,21,0)</f>
        <v>0</v>
      </c>
      <c r="AG136" s="102">
        <f>VLOOKUP(L136,材料合同!$L$6:$CC$305,22,0)</f>
        <v>0</v>
      </c>
      <c r="AH136" s="102">
        <f>VLOOKUP(L136,材料合同!$L$6:$CC$305,23,0)</f>
        <v>0</v>
      </c>
      <c r="AI136" s="102">
        <f>VLOOKUP(L136,材料合同!$L$6:$CC$305,24,0)</f>
        <v>0</v>
      </c>
      <c r="AJ136" s="102">
        <f>VLOOKUP(L136,材料合同!$L$6:$CC$305,25,0)</f>
        <v>0</v>
      </c>
      <c r="AK136" s="102">
        <f>VLOOKUP(L136,材料合同!$L$6:$CC$305,26,0)</f>
        <v>0</v>
      </c>
      <c r="AL136" s="102">
        <f>VLOOKUP(L136,材料合同!$L$6:$CC$305,27,0)</f>
        <v>0</v>
      </c>
      <c r="AM136" s="102">
        <f>VLOOKUP(L136,材料合同!$L$6:$CC$305,28,0)</f>
        <v>0</v>
      </c>
      <c r="AN136" s="102">
        <f>VLOOKUP(L136,材料合同!$L$6:$CC$305,29,0)</f>
        <v>0</v>
      </c>
      <c r="AO136" s="102">
        <f>VLOOKUP(L136,材料合同!$L$6:$CC$305,30,0)</f>
        <v>0</v>
      </c>
      <c r="AP136" s="102">
        <f>VLOOKUP(L136,材料合同!$L$6:$CC$305,31,0)</f>
        <v>0</v>
      </c>
      <c r="AQ136" s="102">
        <f>VLOOKUP(L136,材料合同!$L$6:$CC$305,32,0)</f>
        <v>0</v>
      </c>
      <c r="AR136" s="102">
        <f>VLOOKUP(L136,材料合同!$L$6:$CC$305,33,0)</f>
        <v>0</v>
      </c>
      <c r="AS136" s="102">
        <f>VLOOKUP(L136,材料合同!$L$6:$CC$305,34,0)</f>
        <v>0</v>
      </c>
      <c r="AT136" s="102">
        <f>VLOOKUP(L136,材料合同!$L$6:$CC$305,35,0)</f>
        <v>0</v>
      </c>
      <c r="AU136" s="102">
        <f>VLOOKUP(L136,材料合同!$L$6:$CC$305,36,0)</f>
        <v>0</v>
      </c>
      <c r="AV136" s="102">
        <f>VLOOKUP(L136,材料合同!$L$6:$CC$305,37,0)</f>
        <v>0</v>
      </c>
      <c r="AW136" s="102">
        <f>VLOOKUP(L136,材料合同!$L$6:$CC$305,38,0)</f>
        <v>0</v>
      </c>
      <c r="AX136" s="102">
        <f>VLOOKUP(L136,材料合同!$L$6:$CC$305,39,0)</f>
        <v>0</v>
      </c>
      <c r="AY136" s="102">
        <f>VLOOKUP(L136,材料合同!$L$6:$CC$305,40,0)</f>
        <v>0</v>
      </c>
      <c r="AZ136" s="102">
        <f>VLOOKUP(L136,材料合同!$L$6:$CC$305,41,0)</f>
        <v>0</v>
      </c>
      <c r="BA136" s="102">
        <f>VLOOKUP(L136,材料合同!$L$6:$CC$305,42,0)</f>
        <v>0</v>
      </c>
      <c r="BB136" s="102">
        <f>VLOOKUP(L136,材料合同!$L$6:$CC$305,43,0)</f>
        <v>0</v>
      </c>
      <c r="BC136" s="102">
        <f>VLOOKUP(L136,材料合同!$L$6:$CC$305,44,0)</f>
        <v>0</v>
      </c>
      <c r="BD136" s="102">
        <f>VLOOKUP(L136,材料合同!$L$6:$CC$305,45,0)</f>
        <v>0</v>
      </c>
      <c r="BE136" s="102">
        <f>VLOOKUP(L136,材料合同!$L$6:$CC$305,46,0)</f>
        <v>0</v>
      </c>
      <c r="BF136" s="102">
        <f>VLOOKUP(L136,材料合同!$L$6:$CC$305,47,0)</f>
        <v>0</v>
      </c>
      <c r="BG136" s="102">
        <f>VLOOKUP(L136,材料合同!$L$6:$CC$305,48,0)</f>
        <v>0</v>
      </c>
      <c r="BH136" s="102">
        <f>VLOOKUP(L136,材料合同!$L$6:$CC$305,49,0)</f>
        <v>0</v>
      </c>
      <c r="BI136" s="102">
        <f>VLOOKUP(L136,材料合同!$L$6:$CC$305,50,0)</f>
        <v>0</v>
      </c>
      <c r="BJ136" s="102">
        <f>VLOOKUP(L136,材料合同!$L$6:$CC$305,51,0)</f>
        <v>0</v>
      </c>
      <c r="BK136" s="102">
        <f>VLOOKUP(L136,材料合同!$L$6:$CC$305,52,0)</f>
        <v>0</v>
      </c>
      <c r="BL136" s="102">
        <f>VLOOKUP(L136,材料合同!$L$6:$CC$305,53,0)</f>
        <v>0</v>
      </c>
      <c r="BM136" s="102">
        <f>VLOOKUP(L136,材料合同!$L$6:$CC$305,54,0)</f>
        <v>0</v>
      </c>
      <c r="BN136" s="102">
        <f>VLOOKUP(L136,材料合同!$L$6:$CC$305,55,0)</f>
        <v>0</v>
      </c>
      <c r="BO136" s="102">
        <f>VLOOKUP(L136,材料合同!$L$6:$CC$305,56,0)</f>
        <v>0</v>
      </c>
      <c r="BP136" s="102">
        <f>VLOOKUP(L136,材料合同!$L$6:$CC$305,57,0)</f>
        <v>0</v>
      </c>
      <c r="BQ136" s="102">
        <f>VLOOKUP(L136,材料合同!$L$6:$CC$305,58,0)</f>
        <v>0</v>
      </c>
      <c r="BR136" s="102">
        <f>VLOOKUP(L136,材料合同!$L$6:$CC$305,59,0)</f>
        <v>0</v>
      </c>
      <c r="BS136" s="102">
        <f>VLOOKUP(L136,材料合同!$L$6:$CC$305,60,0)</f>
        <v>0</v>
      </c>
      <c r="BT136" s="102">
        <f>VLOOKUP(L136,材料合同!$L$6:$CC$305,61,0)</f>
        <v>0</v>
      </c>
      <c r="BU136" s="102">
        <f>VLOOKUP(L136,材料合同!$L$6:$CC$305,62,0)</f>
        <v>0</v>
      </c>
      <c r="BV136" s="102">
        <f>VLOOKUP(L136,材料合同!$L$6:$CC$305,63,0)</f>
        <v>0</v>
      </c>
      <c r="BW136" s="102">
        <f>VLOOKUP(L136,材料合同!$L$6:$CC$305,64,0)</f>
        <v>0</v>
      </c>
      <c r="BX136" s="102">
        <f>VLOOKUP(L136,材料合同!$L$6:$CC$305,65,0)</f>
        <v>0</v>
      </c>
      <c r="BY136" s="102">
        <f>VLOOKUP(L136,材料合同!$L$6:$CC$305,66,0)</f>
        <v>0</v>
      </c>
      <c r="BZ136" s="102">
        <f>VLOOKUP(L136,材料合同!$L$6:$CC$305,67,0)</f>
        <v>0</v>
      </c>
      <c r="CA136" s="102">
        <f>VLOOKUP(L136,材料合同!$L$6:$CC$305,68,0)</f>
        <v>0</v>
      </c>
      <c r="CB136" s="102">
        <f>VLOOKUP(L136,材料合同!$L$6:$CC$305,69,0)</f>
        <v>0</v>
      </c>
      <c r="CC136" s="102">
        <f>VLOOKUP(L136,材料合同!$L$6:$CC$305,70,0)</f>
        <v>0</v>
      </c>
      <c r="CD136" s="123">
        <f t="shared" si="33"/>
        <v>1931083</v>
      </c>
      <c r="CE136" s="102">
        <f t="shared" si="34"/>
        <v>1931083</v>
      </c>
      <c r="CF136" s="102">
        <f t="shared" si="35"/>
        <v>1931083</v>
      </c>
      <c r="CG136" s="102">
        <f t="shared" si="36"/>
        <v>0</v>
      </c>
      <c r="CH136" s="124">
        <f t="shared" si="37"/>
        <v>0</v>
      </c>
      <c r="CI136" s="125">
        <f t="shared" si="38"/>
        <v>1</v>
      </c>
      <c r="CJ136" s="126" t="str">
        <f t="shared" si="39"/>
        <v>数据正确</v>
      </c>
    </row>
    <row r="137" s="60" customFormat="1" customHeight="1" spans="2:88">
      <c r="B137" s="70" t="str">
        <f t="shared" si="29"/>
        <v>-</v>
      </c>
      <c r="C137" s="71" t="str">
        <f t="shared" si="30"/>
        <v>-</v>
      </c>
      <c r="D137" s="181">
        <f t="shared" si="31"/>
        <v>168000</v>
      </c>
      <c r="E137" s="181">
        <f>SUMIF(工程合同!$L$6:$L$299,L137,工程合同!$E$6:$E$299)</f>
        <v>0</v>
      </c>
      <c r="F137" s="181">
        <f>SUMIF(工程合同!$L$6:$L$299,L137,工程合同!$F$6:$F$299)</f>
        <v>0</v>
      </c>
      <c r="G137" s="181">
        <f>SUMIF(工程合同!$L$6:$L$299,L137,工程合同!$G$6:$G$299)</f>
        <v>0</v>
      </c>
      <c r="H137" s="181">
        <f>SUMIF(工程合同!$L$6:$L$299,L137,工程合同!$H$6:$H$299)</f>
        <v>0</v>
      </c>
      <c r="I137" s="181">
        <f t="shared" si="32"/>
        <v>0</v>
      </c>
      <c r="J137" s="86" t="s">
        <v>98</v>
      </c>
      <c r="K137" s="87"/>
      <c r="L137" s="88">
        <v>132</v>
      </c>
      <c r="M137" s="89" t="str">
        <f>VLOOKUP(L137,工程合同!$L$6:$CC$299,2,0)</f>
        <v>YRKJGC-150011</v>
      </c>
      <c r="N137" s="90" t="str">
        <f>VLOOKUP(L137,工程合同!$L$6:$CC$299,3,0)</f>
        <v>工程合同</v>
      </c>
      <c r="O137" s="265" t="str">
        <f>VLOOKUP(L137,工程合同!$L$6:$CC$299,4,0)</f>
        <v>-</v>
      </c>
      <c r="P137" s="266">
        <f>VLOOKUP(L137,工程合同!$L$6:$CC$299,5,0)</f>
        <v>42299</v>
      </c>
      <c r="Q137" s="275">
        <f>VLOOKUP(L137,工程合同!$L$6:$CC$299,6,0)</f>
        <v>265000</v>
      </c>
      <c r="R137" s="89" t="str">
        <f>VLOOKUP(L137,工程合同!$L$6:$CC$299,7,0)</f>
        <v>三修车间、硫铵仓库、地磅基础试桩及工程桩工程</v>
      </c>
      <c r="S137" s="89" t="str">
        <f>VLOOKUP(L137,工程合同!$L$6:$CC$299,8,0)</f>
        <v>福建勘察基础工程公司</v>
      </c>
      <c r="T137" s="107">
        <f>VLOOKUP(L137,工程合同!$L$6:$CC$299,9,0)</f>
        <v>0</v>
      </c>
      <c r="U137" s="103" t="str">
        <f>VLOOKUP(L137,工程合同!$L$6:$CC$299,10,0)</f>
        <v>6个月承兑汇票</v>
      </c>
      <c r="V137" s="276" t="str">
        <f>VLOOKUP(L137,工程合同!$L$6:$CC$299,11,0)</f>
        <v>按月结算，进度款的80%</v>
      </c>
      <c r="W137" s="102">
        <f>VLOOKUP(L137,工程合同!$L$6:$CC$299,12,0)</f>
        <v>212000</v>
      </c>
      <c r="X137" s="102">
        <f>VLOOKUP(L137,工程合同!$L$6:$CC$299,13,0)</f>
        <v>168000</v>
      </c>
      <c r="Y137" s="102">
        <f>VLOOKUP(L137,工程合同!$L$6:$CC$299,14,0)</f>
        <v>168000</v>
      </c>
      <c r="Z137" s="102" t="str">
        <f>VLOOKUP(L137,工程合同!$L$6:$CC$299,15,0)</f>
        <v>工程竣工验收合格后支付15%</v>
      </c>
      <c r="AA137" s="102">
        <f>VLOOKUP(L137,工程合同!$L$6:$CC$299,16,0)</f>
        <v>39750</v>
      </c>
      <c r="AB137" s="102">
        <f>VLOOKUP(L137,工程合同!$L$6:$CC$299,17,0)</f>
        <v>0</v>
      </c>
      <c r="AC137" s="102">
        <f>VLOOKUP(L137,工程合同!$L$6:$CC$299,18,0)</f>
        <v>0</v>
      </c>
      <c r="AD137" s="102" t="str">
        <f>VLOOKUP(L137,工程合同!$L$6:$CC$299,19,0)</f>
        <v>质保期1年后付5%</v>
      </c>
      <c r="AE137" s="102">
        <f>VLOOKUP(L137,工程合同!$L$6:$CC$299,20,0)</f>
        <v>13250</v>
      </c>
      <c r="AF137" s="102">
        <f>VLOOKUP(L137,工程合同!$L$6:$CC$299,21,0)</f>
        <v>0</v>
      </c>
      <c r="AG137" s="102">
        <f>VLOOKUP(L137,工程合同!$L$6:$CC$299,22,0)</f>
        <v>0</v>
      </c>
      <c r="AH137" s="102">
        <f>VLOOKUP(L137,工程合同!$L$6:$CC$299,23,0)</f>
        <v>0</v>
      </c>
      <c r="AI137" s="102">
        <f>VLOOKUP(L137,工程合同!$L$6:$CC$299,24,0)</f>
        <v>0</v>
      </c>
      <c r="AJ137" s="102">
        <f>VLOOKUP(L137,工程合同!$L$6:$CC$299,25,0)</f>
        <v>0</v>
      </c>
      <c r="AK137" s="102">
        <f>VLOOKUP(L137,工程合同!$L$6:$CC$299,26,0)</f>
        <v>0</v>
      </c>
      <c r="AL137" s="102">
        <f>VLOOKUP(L137,工程合同!$L$6:$CC$299,27,0)</f>
        <v>0</v>
      </c>
      <c r="AM137" s="102">
        <f>VLOOKUP(L137,工程合同!$L$6:$CC$299,28,0)</f>
        <v>0</v>
      </c>
      <c r="AN137" s="102">
        <f>VLOOKUP(L137,工程合同!$L$6:$CC$299,29,0)</f>
        <v>0</v>
      </c>
      <c r="AO137" s="102">
        <f>VLOOKUP(L137,工程合同!$L$6:$CC$299,30,0)</f>
        <v>0</v>
      </c>
      <c r="AP137" s="102">
        <f>VLOOKUP(L137,工程合同!$L$6:$CC$299,31,0)</f>
        <v>0</v>
      </c>
      <c r="AQ137" s="102">
        <f>VLOOKUP(L137,工程合同!$L$6:$CC$299,32,0)</f>
        <v>0</v>
      </c>
      <c r="AR137" s="102">
        <f>VLOOKUP(L137,工程合同!$L$6:$CC$299,33,0)</f>
        <v>0</v>
      </c>
      <c r="AS137" s="102">
        <f>VLOOKUP(L137,工程合同!$L$6:$CC$299,34,0)</f>
        <v>0</v>
      </c>
      <c r="AT137" s="102">
        <f>VLOOKUP(L137,工程合同!$L$6:$CC$299,35,0)</f>
        <v>0</v>
      </c>
      <c r="AU137" s="102">
        <f>VLOOKUP(L137,工程合同!$L$6:$CC$299,36,0)</f>
        <v>0</v>
      </c>
      <c r="AV137" s="102">
        <f>VLOOKUP(L137,工程合同!$L$6:$CC$299,37,0)</f>
        <v>0</v>
      </c>
      <c r="AW137" s="102">
        <f>VLOOKUP(L137,工程合同!$L$6:$CC$299,38,0)</f>
        <v>0</v>
      </c>
      <c r="AX137" s="102">
        <f>VLOOKUP(L137,工程合同!$L$6:$CC$299,39,0)</f>
        <v>0</v>
      </c>
      <c r="AY137" s="102">
        <f>VLOOKUP(L137,工程合同!$L$6:$CC$299,40,0)</f>
        <v>0</v>
      </c>
      <c r="AZ137" s="102">
        <f>VLOOKUP(L137,工程合同!$L$6:$CC$299,41,0)</f>
        <v>0</v>
      </c>
      <c r="BA137" s="102">
        <f>VLOOKUP(L137,工程合同!$L$6:$CC$299,42,0)</f>
        <v>0</v>
      </c>
      <c r="BB137" s="102">
        <f>VLOOKUP(L137,工程合同!$L$6:$CC$299,43,0)</f>
        <v>0</v>
      </c>
      <c r="BC137" s="102">
        <f>VLOOKUP(L137,工程合同!$L$6:$CC$299,44,0)</f>
        <v>0</v>
      </c>
      <c r="BD137" s="102">
        <f>VLOOKUP(L137,工程合同!$L$6:$CC$299,45,0)</f>
        <v>0</v>
      </c>
      <c r="BE137" s="102">
        <f>VLOOKUP(L137,工程合同!$L$6:$CC$299,46,0)</f>
        <v>0</v>
      </c>
      <c r="BF137" s="102">
        <f>VLOOKUP(L137,工程合同!$L$6:$CC$299,47,0)</f>
        <v>0</v>
      </c>
      <c r="BG137" s="102">
        <f>VLOOKUP(L137,工程合同!$L$6:$CC$299,48,0)</f>
        <v>0</v>
      </c>
      <c r="BH137" s="102">
        <f>VLOOKUP(L137,工程合同!$L$6:$CC$299,49,0)</f>
        <v>0</v>
      </c>
      <c r="BI137" s="102">
        <f>VLOOKUP(L137,工程合同!$L$6:$CC$299,50,0)</f>
        <v>0</v>
      </c>
      <c r="BJ137" s="102">
        <f>VLOOKUP(L137,工程合同!$L$6:$CC$299,51,0)</f>
        <v>0</v>
      </c>
      <c r="BK137" s="102">
        <f>VLOOKUP(L137,工程合同!$L$6:$CC$299,52,0)</f>
        <v>0</v>
      </c>
      <c r="BL137" s="102">
        <f>VLOOKUP(L137,工程合同!$L$6:$CC$299,53,0)</f>
        <v>0</v>
      </c>
      <c r="BM137" s="102">
        <f>VLOOKUP(L137,工程合同!$L$6:$CC$299,54,0)</f>
        <v>0</v>
      </c>
      <c r="BN137" s="102">
        <f>VLOOKUP(L137,工程合同!$L$6:$CC$299,55,0)</f>
        <v>0</v>
      </c>
      <c r="BO137" s="102">
        <f>VLOOKUP(L137,工程合同!$L$6:$CC$299,56,0)</f>
        <v>0</v>
      </c>
      <c r="BP137" s="102">
        <f>VLOOKUP(L137,工程合同!$L$6:$CC$299,57,0)</f>
        <v>0</v>
      </c>
      <c r="BQ137" s="102">
        <f>VLOOKUP(L137,工程合同!$L$6:$CC$299,58,0)</f>
        <v>0</v>
      </c>
      <c r="BR137" s="102">
        <f>VLOOKUP(L137,工程合同!$L$6:$CC$299,59,0)</f>
        <v>0</v>
      </c>
      <c r="BS137" s="102">
        <f>VLOOKUP(L137,工程合同!$L$6:$CC$299,60,0)</f>
        <v>0</v>
      </c>
      <c r="BT137" s="102">
        <f>VLOOKUP(L137,工程合同!$L$6:$CC$299,61,0)</f>
        <v>0</v>
      </c>
      <c r="BU137" s="102">
        <f>VLOOKUP(L137,工程合同!$L$6:$CC$299,62,0)</f>
        <v>0</v>
      </c>
      <c r="BV137" s="102">
        <f>VLOOKUP(L137,工程合同!$L$6:$CC$299,63,0)</f>
        <v>0</v>
      </c>
      <c r="BW137" s="102">
        <f>VLOOKUP(L137,工程合同!$L$6:$CC$299,64,0)</f>
        <v>0</v>
      </c>
      <c r="BX137" s="102">
        <f>VLOOKUP(L137,工程合同!$L$6:$CC$299,65,0)</f>
        <v>0</v>
      </c>
      <c r="BY137" s="102">
        <f>VLOOKUP(L137,工程合同!$L$6:$CC$299,66,0)</f>
        <v>0</v>
      </c>
      <c r="BZ137" s="102">
        <f>VLOOKUP(L137,工程合同!$L$6:$CC$299,67,0)</f>
        <v>0</v>
      </c>
      <c r="CA137" s="102">
        <f>VLOOKUP(L137,工程合同!$L$6:$CC$299,68,0)</f>
        <v>0</v>
      </c>
      <c r="CB137" s="102">
        <f>VLOOKUP(L137,工程合同!$L$6:$CC$299,69,0)</f>
        <v>0</v>
      </c>
      <c r="CC137" s="102">
        <f>VLOOKUP(L137,工程合同!$L$6:$CC$299,70,0)</f>
        <v>0</v>
      </c>
      <c r="CD137" s="123">
        <f t="shared" si="33"/>
        <v>265000</v>
      </c>
      <c r="CE137" s="102">
        <f t="shared" si="34"/>
        <v>168000</v>
      </c>
      <c r="CF137" s="102">
        <f t="shared" si="35"/>
        <v>168000</v>
      </c>
      <c r="CG137" s="102">
        <f t="shared" si="36"/>
        <v>0</v>
      </c>
      <c r="CH137" s="124">
        <f t="shared" si="37"/>
        <v>97000</v>
      </c>
      <c r="CI137" s="125">
        <f t="shared" si="38"/>
        <v>0.633962264150943</v>
      </c>
      <c r="CJ137" s="126" t="str">
        <f t="shared" si="39"/>
        <v>数据正确</v>
      </c>
    </row>
    <row r="138" s="60" customFormat="1" customHeight="1" spans="2:88">
      <c r="B138" s="70" t="str">
        <f t="shared" si="29"/>
        <v>-</v>
      </c>
      <c r="C138" s="71" t="str">
        <f t="shared" si="30"/>
        <v>已付清</v>
      </c>
      <c r="D138" s="181">
        <f t="shared" si="31"/>
        <v>40729.92</v>
      </c>
      <c r="E138" s="181">
        <f>SUMIF(材料合同!$L$6:$L$305,L138,材料合同!$E$6:$E$305)</f>
        <v>0</v>
      </c>
      <c r="F138" s="181">
        <f>SUMIF(材料合同!$L$6:$L$305,L138,材料合同!$F$6:$F$305)</f>
        <v>0</v>
      </c>
      <c r="G138" s="181">
        <f>SUMIF(材料合同!$L$6:$L$305,L138,材料合同!$G$6:$G$305)</f>
        <v>0</v>
      </c>
      <c r="H138" s="181">
        <f>SUMIF(材料合同!$L$6:$L$305,L138,材料合同!$H$6:$H$305)</f>
        <v>0</v>
      </c>
      <c r="I138" s="181">
        <f t="shared" si="32"/>
        <v>0</v>
      </c>
      <c r="J138" s="86" t="s">
        <v>98</v>
      </c>
      <c r="K138" s="87"/>
      <c r="L138" s="88">
        <v>133</v>
      </c>
      <c r="M138" s="89" t="str">
        <f>VLOOKUP(L138,材料合同!$L$6:$CC$305,2,0)</f>
        <v>YRKJGC-160011</v>
      </c>
      <c r="N138" s="90" t="str">
        <f>VLOOKUP(L138,材料合同!$L$6:$CC$305,3,0)</f>
        <v>材料合同</v>
      </c>
      <c r="O138" s="265">
        <f>VLOOKUP(L138,材料合同!$L$6:$CC$305,4,0)</f>
        <v>0</v>
      </c>
      <c r="P138" s="266">
        <f>VLOOKUP(L138,材料合同!$L$6:$CC$305,5,0)</f>
        <v>42733</v>
      </c>
      <c r="Q138" s="275">
        <f>VLOOKUP(L138,材料合同!$L$6:$CC$305,6,0)</f>
        <v>40729.92</v>
      </c>
      <c r="R138" s="89" t="str">
        <f>VLOOKUP(L138,材料合同!$L$6:$CC$305,7,0)</f>
        <v>水泥空心砖（2.05元/块），水泥标砖（0.28元/块） 补合同</v>
      </c>
      <c r="S138" s="89" t="str">
        <f>VLOOKUP(L138,材料合同!$L$6:$CC$305,8,0)</f>
        <v>莆田市秀屿区东庄荔锦水泥制砖场</v>
      </c>
      <c r="T138" s="107">
        <f>VLOOKUP(L138,材料合同!$L$6:$CC$305,9,0)</f>
        <v>0</v>
      </c>
      <c r="U138" s="103" t="str">
        <f>VLOOKUP(L138,材料合同!$L$6:$CC$305,10,0)</f>
        <v>承兑</v>
      </c>
      <c r="V138" s="276" t="str">
        <f>VLOOKUP(L138,材料合同!$L$6:$CC$305,11,0)</f>
        <v>货到交货地点验收合格后，收到全额发票支付</v>
      </c>
      <c r="W138" s="102">
        <f>VLOOKUP(L138,材料合同!$L$6:$CC$305,12,0)</f>
        <v>40729.92</v>
      </c>
      <c r="X138" s="102">
        <f>VLOOKUP(L138,材料合同!$L$6:$CC$305,13,0)</f>
        <v>40729.92</v>
      </c>
      <c r="Y138" s="102">
        <f>VLOOKUP(L138,材料合同!$L$6:$CC$305,14,0)</f>
        <v>40729.92</v>
      </c>
      <c r="Z138" s="102">
        <f>VLOOKUP(L138,材料合同!$L$6:$CC$305,15,0)</f>
        <v>0</v>
      </c>
      <c r="AA138" s="102">
        <f>VLOOKUP(L138,材料合同!$L$6:$CC$305,16,0)</f>
        <v>0</v>
      </c>
      <c r="AB138" s="102">
        <f>VLOOKUP(L138,材料合同!$L$6:$CC$305,17,0)</f>
        <v>0</v>
      </c>
      <c r="AC138" s="102">
        <f>VLOOKUP(L138,材料合同!$L$6:$CC$305,18,0)</f>
        <v>0</v>
      </c>
      <c r="AD138" s="102">
        <f>VLOOKUP(L138,材料合同!$L$6:$CC$305,19,0)</f>
        <v>0</v>
      </c>
      <c r="AE138" s="102">
        <f>VLOOKUP(L138,材料合同!$L$6:$CC$305,20,0)</f>
        <v>0</v>
      </c>
      <c r="AF138" s="102">
        <f>VLOOKUP(L138,材料合同!$L$6:$CC$305,21,0)</f>
        <v>0</v>
      </c>
      <c r="AG138" s="102">
        <f>VLOOKUP(L138,材料合同!$L$6:$CC$305,22,0)</f>
        <v>0</v>
      </c>
      <c r="AH138" s="102">
        <f>VLOOKUP(L138,材料合同!$L$6:$CC$305,23,0)</f>
        <v>0</v>
      </c>
      <c r="AI138" s="102">
        <f>VLOOKUP(L138,材料合同!$L$6:$CC$305,24,0)</f>
        <v>0</v>
      </c>
      <c r="AJ138" s="102">
        <f>VLOOKUP(L138,材料合同!$L$6:$CC$305,25,0)</f>
        <v>0</v>
      </c>
      <c r="AK138" s="102">
        <f>VLOOKUP(L138,材料合同!$L$6:$CC$305,26,0)</f>
        <v>0</v>
      </c>
      <c r="AL138" s="102">
        <f>VLOOKUP(L138,材料合同!$L$6:$CC$305,27,0)</f>
        <v>0</v>
      </c>
      <c r="AM138" s="102">
        <f>VLOOKUP(L138,材料合同!$L$6:$CC$305,28,0)</f>
        <v>0</v>
      </c>
      <c r="AN138" s="102">
        <f>VLOOKUP(L138,材料合同!$L$6:$CC$305,29,0)</f>
        <v>0</v>
      </c>
      <c r="AO138" s="102">
        <f>VLOOKUP(L138,材料合同!$L$6:$CC$305,30,0)</f>
        <v>0</v>
      </c>
      <c r="AP138" s="102">
        <f>VLOOKUP(L138,材料合同!$L$6:$CC$305,31,0)</f>
        <v>0</v>
      </c>
      <c r="AQ138" s="102">
        <f>VLOOKUP(L138,材料合同!$L$6:$CC$305,32,0)</f>
        <v>0</v>
      </c>
      <c r="AR138" s="102">
        <f>VLOOKUP(L138,材料合同!$L$6:$CC$305,33,0)</f>
        <v>0</v>
      </c>
      <c r="AS138" s="102">
        <f>VLOOKUP(L138,材料合同!$L$6:$CC$305,34,0)</f>
        <v>0</v>
      </c>
      <c r="AT138" s="102">
        <f>VLOOKUP(L138,材料合同!$L$6:$CC$305,35,0)</f>
        <v>0</v>
      </c>
      <c r="AU138" s="102">
        <f>VLOOKUP(L138,材料合同!$L$6:$CC$305,36,0)</f>
        <v>0</v>
      </c>
      <c r="AV138" s="102">
        <f>VLOOKUP(L138,材料合同!$L$6:$CC$305,37,0)</f>
        <v>0</v>
      </c>
      <c r="AW138" s="102">
        <f>VLOOKUP(L138,材料合同!$L$6:$CC$305,38,0)</f>
        <v>0</v>
      </c>
      <c r="AX138" s="102">
        <f>VLOOKUP(L138,材料合同!$L$6:$CC$305,39,0)</f>
        <v>0</v>
      </c>
      <c r="AY138" s="102">
        <f>VLOOKUP(L138,材料合同!$L$6:$CC$305,40,0)</f>
        <v>0</v>
      </c>
      <c r="AZ138" s="102">
        <f>VLOOKUP(L138,材料合同!$L$6:$CC$305,41,0)</f>
        <v>0</v>
      </c>
      <c r="BA138" s="102">
        <f>VLOOKUP(L138,材料合同!$L$6:$CC$305,42,0)</f>
        <v>0</v>
      </c>
      <c r="BB138" s="102">
        <f>VLOOKUP(L138,材料合同!$L$6:$CC$305,43,0)</f>
        <v>0</v>
      </c>
      <c r="BC138" s="102">
        <f>VLOOKUP(L138,材料合同!$L$6:$CC$305,44,0)</f>
        <v>0</v>
      </c>
      <c r="BD138" s="102">
        <f>VLOOKUP(L138,材料合同!$L$6:$CC$305,45,0)</f>
        <v>0</v>
      </c>
      <c r="BE138" s="102">
        <f>VLOOKUP(L138,材料合同!$L$6:$CC$305,46,0)</f>
        <v>0</v>
      </c>
      <c r="BF138" s="102">
        <f>VLOOKUP(L138,材料合同!$L$6:$CC$305,47,0)</f>
        <v>0</v>
      </c>
      <c r="BG138" s="102">
        <f>VLOOKUP(L138,材料合同!$L$6:$CC$305,48,0)</f>
        <v>0</v>
      </c>
      <c r="BH138" s="102">
        <f>VLOOKUP(L138,材料合同!$L$6:$CC$305,49,0)</f>
        <v>0</v>
      </c>
      <c r="BI138" s="102">
        <f>VLOOKUP(L138,材料合同!$L$6:$CC$305,50,0)</f>
        <v>0</v>
      </c>
      <c r="BJ138" s="102">
        <f>VLOOKUP(L138,材料合同!$L$6:$CC$305,51,0)</f>
        <v>0</v>
      </c>
      <c r="BK138" s="102">
        <f>VLOOKUP(L138,材料合同!$L$6:$CC$305,52,0)</f>
        <v>0</v>
      </c>
      <c r="BL138" s="102">
        <f>VLOOKUP(L138,材料合同!$L$6:$CC$305,53,0)</f>
        <v>0</v>
      </c>
      <c r="BM138" s="102">
        <f>VLOOKUP(L138,材料合同!$L$6:$CC$305,54,0)</f>
        <v>0</v>
      </c>
      <c r="BN138" s="102">
        <f>VLOOKUP(L138,材料合同!$L$6:$CC$305,55,0)</f>
        <v>0</v>
      </c>
      <c r="BO138" s="102">
        <f>VLOOKUP(L138,材料合同!$L$6:$CC$305,56,0)</f>
        <v>0</v>
      </c>
      <c r="BP138" s="102">
        <f>VLOOKUP(L138,材料合同!$L$6:$CC$305,57,0)</f>
        <v>0</v>
      </c>
      <c r="BQ138" s="102">
        <f>VLOOKUP(L138,材料合同!$L$6:$CC$305,58,0)</f>
        <v>0</v>
      </c>
      <c r="BR138" s="102">
        <f>VLOOKUP(L138,材料合同!$L$6:$CC$305,59,0)</f>
        <v>0</v>
      </c>
      <c r="BS138" s="102">
        <f>VLOOKUP(L138,材料合同!$L$6:$CC$305,60,0)</f>
        <v>0</v>
      </c>
      <c r="BT138" s="102">
        <f>VLOOKUP(L138,材料合同!$L$6:$CC$305,61,0)</f>
        <v>0</v>
      </c>
      <c r="BU138" s="102">
        <f>VLOOKUP(L138,材料合同!$L$6:$CC$305,62,0)</f>
        <v>0</v>
      </c>
      <c r="BV138" s="102">
        <f>VLOOKUP(L138,材料合同!$L$6:$CC$305,63,0)</f>
        <v>0</v>
      </c>
      <c r="BW138" s="102">
        <f>VLOOKUP(L138,材料合同!$L$6:$CC$305,64,0)</f>
        <v>0</v>
      </c>
      <c r="BX138" s="102">
        <f>VLOOKUP(L138,材料合同!$L$6:$CC$305,65,0)</f>
        <v>0</v>
      </c>
      <c r="BY138" s="102">
        <f>VLOOKUP(L138,材料合同!$L$6:$CC$305,66,0)</f>
        <v>0</v>
      </c>
      <c r="BZ138" s="102">
        <f>VLOOKUP(L138,材料合同!$L$6:$CC$305,67,0)</f>
        <v>0</v>
      </c>
      <c r="CA138" s="102">
        <f>VLOOKUP(L138,材料合同!$L$6:$CC$305,68,0)</f>
        <v>0</v>
      </c>
      <c r="CB138" s="102">
        <f>VLOOKUP(L138,材料合同!$L$6:$CC$305,69,0)</f>
        <v>0</v>
      </c>
      <c r="CC138" s="102">
        <f>VLOOKUP(L138,材料合同!$L$6:$CC$305,70,0)</f>
        <v>0</v>
      </c>
      <c r="CD138" s="123">
        <f t="shared" si="33"/>
        <v>40729.92</v>
      </c>
      <c r="CE138" s="102">
        <f t="shared" si="34"/>
        <v>40729.92</v>
      </c>
      <c r="CF138" s="102">
        <f t="shared" si="35"/>
        <v>40729.92</v>
      </c>
      <c r="CG138" s="102">
        <f t="shared" si="36"/>
        <v>0</v>
      </c>
      <c r="CH138" s="124">
        <f t="shared" si="37"/>
        <v>0</v>
      </c>
      <c r="CI138" s="125">
        <f t="shared" si="38"/>
        <v>1</v>
      </c>
      <c r="CJ138" s="126" t="str">
        <f t="shared" si="39"/>
        <v>数据正确</v>
      </c>
    </row>
    <row r="139" s="60" customFormat="1" customHeight="1" spans="2:88">
      <c r="B139" s="70" t="str">
        <f t="shared" si="29"/>
        <v>-</v>
      </c>
      <c r="C139" s="71" t="str">
        <f t="shared" si="30"/>
        <v>-</v>
      </c>
      <c r="D139" s="181">
        <f t="shared" si="31"/>
        <v>0</v>
      </c>
      <c r="E139" s="181">
        <f>SUMIF(设备合同!$L$6:$L$302,L139,设备合同!$E$6:$E$302)</f>
        <v>0</v>
      </c>
      <c r="F139" s="181">
        <f>SUMIF(设备合同!$L$6:$L$302,L139,设备合同!$F$6:$F$302)</f>
        <v>0</v>
      </c>
      <c r="G139" s="181">
        <f>SUMIF(设备合同!$L$6:$L$302,L139,设备合同!$G$6:$G$302)</f>
        <v>0</v>
      </c>
      <c r="H139" s="181">
        <f>SUMIF(设备合同!$L$6:$L$302,L139,设备合同!$H$6:$H$302)</f>
        <v>0</v>
      </c>
      <c r="I139" s="181">
        <f t="shared" si="32"/>
        <v>0</v>
      </c>
      <c r="J139" s="86" t="s">
        <v>98</v>
      </c>
      <c r="K139" s="87"/>
      <c r="L139" s="88">
        <v>134</v>
      </c>
      <c r="M139" s="89" t="str">
        <f>VLOOKUP(L139,设备合同!$L$6:$CC$302,2,0)</f>
        <v>YRKJEQ-170031</v>
      </c>
      <c r="N139" s="90" t="str">
        <f>VLOOKUP(L139,设备合同!$L$6:$CC$302,3,0)</f>
        <v>设备合同</v>
      </c>
      <c r="O139" s="265" t="str">
        <f>VLOOKUP(L139,设备合同!$L$6:$CC$302,4,0)</f>
        <v>-</v>
      </c>
      <c r="P139" s="266">
        <f>VLOOKUP(L139,设备合同!$L$6:$CC$302,5,0)</f>
        <v>42808</v>
      </c>
      <c r="Q139" s="275">
        <f>VLOOKUP(L139,设备合同!$L$6:$CC$302,6,0)</f>
        <v>7270000</v>
      </c>
      <c r="R139" s="89" t="str">
        <f>VLOOKUP(L139,设备合同!$L$6:$CC$302,7,0)</f>
        <v>环己酮塔内件设计及制造（二标段）</v>
      </c>
      <c r="S139" s="89" t="str">
        <f>VLOOKUP(L139,设备合同!$L$6:$CC$302,8,0)</f>
        <v>岳阳恒忠机械工程技术有限公司</v>
      </c>
      <c r="T139" s="107">
        <f>VLOOKUP(L139,设备合同!$L$6:$CC$302,9,0)</f>
        <v>0</v>
      </c>
      <c r="U139" s="103" t="str">
        <f>VLOOKUP(L139,设备合同!$L$6:$CC$302,10,0)</f>
        <v>6个月承兑汇票</v>
      </c>
      <c r="V139" s="276" t="str">
        <f>VLOOKUP(L139,设备合同!$L$6:$CC$302,11,0)</f>
        <v>乙方具备发货条件通知甲方确认满足要求，收到全额17%专票及完整资料后支付60%发货款；共14万履约保证金，到货1哦天后退还</v>
      </c>
      <c r="W139" s="102">
        <f>VLOOKUP(L139,设备合同!$L$6:$CC$302,12,0)</f>
        <v>4362000</v>
      </c>
      <c r="X139" s="102">
        <f>VLOOKUP(L139,设备合同!$L$6:$CC$302,13,0)</f>
        <v>0</v>
      </c>
      <c r="Y139" s="102">
        <f>VLOOKUP(L139,设备合同!$L$6:$CC$302,14,0)</f>
        <v>0</v>
      </c>
      <c r="Z139" s="102" t="str">
        <f>VLOOKUP(L139,设备合同!$L$6:$CC$302,15,0)</f>
        <v>货到到达甲方验收合格后15个工作日支付30%</v>
      </c>
      <c r="AA139" s="102">
        <f>VLOOKUP(L139,设备合同!$L$6:$CC$302,16,0)</f>
        <v>2181000</v>
      </c>
      <c r="AB139" s="102">
        <f>VLOOKUP(L139,设备合同!$L$6:$CC$302,17,0)</f>
        <v>0</v>
      </c>
      <c r="AC139" s="102">
        <f>VLOOKUP(L139,设备合同!$L$6:$CC$302,18,0)</f>
        <v>0</v>
      </c>
      <c r="AD139" s="102" t="str">
        <f>VLOOKUP(L139,设备合同!$L$6:$CC$302,19,0)</f>
        <v>10%质保金，验收合格后12个月支付</v>
      </c>
      <c r="AE139" s="102">
        <f>VLOOKUP(L139,设备合同!$L$6:$CC$302,20,0)</f>
        <v>727000</v>
      </c>
      <c r="AF139" s="102">
        <f>VLOOKUP(L139,设备合同!$L$6:$CC$302,21,0)</f>
        <v>0</v>
      </c>
      <c r="AG139" s="102">
        <f>VLOOKUP(L139,设备合同!$L$6:$CC$302,22,0)</f>
        <v>0</v>
      </c>
      <c r="AH139" s="102">
        <f>VLOOKUP(L139,设备合同!$L$6:$CC$302,23,0)</f>
        <v>0</v>
      </c>
      <c r="AI139" s="102">
        <f>VLOOKUP(L139,设备合同!$L$6:$CC$302,24,0)</f>
        <v>0</v>
      </c>
      <c r="AJ139" s="102">
        <f>VLOOKUP(L139,设备合同!$L$6:$CC$302,25,0)</f>
        <v>0</v>
      </c>
      <c r="AK139" s="102">
        <f>VLOOKUP(L139,设备合同!$L$6:$CC$302,26,0)</f>
        <v>0</v>
      </c>
      <c r="AL139" s="102">
        <f>VLOOKUP(L139,设备合同!$L$6:$CC$302,27,0)</f>
        <v>0</v>
      </c>
      <c r="AM139" s="102">
        <f>VLOOKUP(L139,设备合同!$L$6:$CC$302,28,0)</f>
        <v>0</v>
      </c>
      <c r="AN139" s="102">
        <f>VLOOKUP(L139,设备合同!$L$6:$CC$302,29,0)</f>
        <v>0</v>
      </c>
      <c r="AO139" s="102">
        <f>VLOOKUP(L139,设备合同!$L$6:$CC$302,30,0)</f>
        <v>0</v>
      </c>
      <c r="AP139" s="102">
        <f>VLOOKUP(L139,设备合同!$L$6:$CC$302,31,0)</f>
        <v>0</v>
      </c>
      <c r="AQ139" s="102">
        <f>VLOOKUP(L139,设备合同!$L$6:$CC$302,32,0)</f>
        <v>0</v>
      </c>
      <c r="AR139" s="102">
        <f>VLOOKUP(L139,设备合同!$L$6:$CC$302,33,0)</f>
        <v>0</v>
      </c>
      <c r="AS139" s="102">
        <f>VLOOKUP(L139,设备合同!$L$6:$CC$302,34,0)</f>
        <v>0</v>
      </c>
      <c r="AT139" s="102">
        <f>VLOOKUP(L139,设备合同!$L$6:$CC$302,35,0)</f>
        <v>0</v>
      </c>
      <c r="AU139" s="102">
        <f>VLOOKUP(L139,设备合同!$L$6:$CC$302,36,0)</f>
        <v>0</v>
      </c>
      <c r="AV139" s="102">
        <f>VLOOKUP(L139,设备合同!$L$6:$CC$302,37,0)</f>
        <v>0</v>
      </c>
      <c r="AW139" s="102">
        <f>VLOOKUP(L139,设备合同!$L$6:$CC$302,38,0)</f>
        <v>0</v>
      </c>
      <c r="AX139" s="102">
        <f>VLOOKUP(L139,设备合同!$L$6:$CC$302,39,0)</f>
        <v>0</v>
      </c>
      <c r="AY139" s="102">
        <f>VLOOKUP(L139,设备合同!$L$6:$CC$302,40,0)</f>
        <v>0</v>
      </c>
      <c r="AZ139" s="102">
        <f>VLOOKUP(L139,设备合同!$L$6:$CC$302,41,0)</f>
        <v>0</v>
      </c>
      <c r="BA139" s="102">
        <f>VLOOKUP(L139,设备合同!$L$6:$CC$302,42,0)</f>
        <v>0</v>
      </c>
      <c r="BB139" s="102">
        <f>VLOOKUP(L139,设备合同!$L$6:$CC$302,43,0)</f>
        <v>0</v>
      </c>
      <c r="BC139" s="102">
        <f>VLOOKUP(L139,设备合同!$L$6:$CC$302,44,0)</f>
        <v>0</v>
      </c>
      <c r="BD139" s="102">
        <f>VLOOKUP(L139,设备合同!$L$6:$CC$302,45,0)</f>
        <v>0</v>
      </c>
      <c r="BE139" s="102">
        <f>VLOOKUP(L139,设备合同!$L$6:$CC$302,46,0)</f>
        <v>0</v>
      </c>
      <c r="BF139" s="102">
        <f>VLOOKUP(L139,设备合同!$L$6:$CC$302,47,0)</f>
        <v>0</v>
      </c>
      <c r="BG139" s="102">
        <f>VLOOKUP(L139,设备合同!$L$6:$CC$302,48,0)</f>
        <v>0</v>
      </c>
      <c r="BH139" s="102">
        <f>VLOOKUP(L139,设备合同!$L$6:$CC$302,49,0)</f>
        <v>0</v>
      </c>
      <c r="BI139" s="102">
        <f>VLOOKUP(L139,设备合同!$L$6:$CC$302,50,0)</f>
        <v>0</v>
      </c>
      <c r="BJ139" s="102">
        <f>VLOOKUP(L139,设备合同!$L$6:$CC$302,51,0)</f>
        <v>0</v>
      </c>
      <c r="BK139" s="102">
        <f>VLOOKUP(L139,设备合同!$L$6:$CC$302,52,0)</f>
        <v>0</v>
      </c>
      <c r="BL139" s="102">
        <f>VLOOKUP(L139,设备合同!$L$6:$CC$302,53,0)</f>
        <v>0</v>
      </c>
      <c r="BM139" s="102">
        <f>VLOOKUP(L139,设备合同!$L$6:$CC$302,54,0)</f>
        <v>0</v>
      </c>
      <c r="BN139" s="102">
        <f>VLOOKUP(L139,设备合同!$L$6:$CC$302,55,0)</f>
        <v>0</v>
      </c>
      <c r="BO139" s="102">
        <f>VLOOKUP(L139,设备合同!$L$6:$CC$302,56,0)</f>
        <v>0</v>
      </c>
      <c r="BP139" s="102">
        <f>VLOOKUP(L139,设备合同!$L$6:$CC$302,57,0)</f>
        <v>0</v>
      </c>
      <c r="BQ139" s="102">
        <f>VLOOKUP(L139,设备合同!$L$6:$CC$302,58,0)</f>
        <v>0</v>
      </c>
      <c r="BR139" s="102">
        <f>VLOOKUP(L139,设备合同!$L$6:$CC$302,59,0)</f>
        <v>0</v>
      </c>
      <c r="BS139" s="102">
        <f>VLOOKUP(L139,设备合同!$L$6:$CC$302,60,0)</f>
        <v>0</v>
      </c>
      <c r="BT139" s="102">
        <f>VLOOKUP(L139,设备合同!$L$6:$CC$302,61,0)</f>
        <v>0</v>
      </c>
      <c r="BU139" s="102">
        <f>VLOOKUP(L139,设备合同!$L$6:$CC$302,62,0)</f>
        <v>0</v>
      </c>
      <c r="BV139" s="102">
        <f>VLOOKUP(L139,设备合同!$L$6:$CC$302,63,0)</f>
        <v>0</v>
      </c>
      <c r="BW139" s="102">
        <f>VLOOKUP(L139,设备合同!$L$6:$CC$302,64,0)</f>
        <v>0</v>
      </c>
      <c r="BX139" s="102">
        <f>VLOOKUP(L139,设备合同!$L$6:$CC$302,65,0)</f>
        <v>0</v>
      </c>
      <c r="BY139" s="102">
        <f>VLOOKUP(L139,设备合同!$L$6:$CC$302,66,0)</f>
        <v>0</v>
      </c>
      <c r="BZ139" s="102">
        <f>VLOOKUP(L139,设备合同!$L$6:$CC$302,67,0)</f>
        <v>0</v>
      </c>
      <c r="CA139" s="102">
        <f>VLOOKUP(L139,设备合同!$L$6:$CC$302,68,0)</f>
        <v>0</v>
      </c>
      <c r="CB139" s="102">
        <f>VLOOKUP(L139,设备合同!$L$6:$CC$302,69,0)</f>
        <v>0</v>
      </c>
      <c r="CC139" s="102">
        <f>VLOOKUP(L139,设备合同!$L$6:$CC$302,70,0)</f>
        <v>0</v>
      </c>
      <c r="CD139" s="123">
        <f t="shared" si="33"/>
        <v>7270000</v>
      </c>
      <c r="CE139" s="102">
        <f t="shared" si="34"/>
        <v>0</v>
      </c>
      <c r="CF139" s="102">
        <f t="shared" si="35"/>
        <v>0</v>
      </c>
      <c r="CG139" s="102">
        <f t="shared" si="36"/>
        <v>0</v>
      </c>
      <c r="CH139" s="124">
        <f t="shared" si="37"/>
        <v>7270000</v>
      </c>
      <c r="CI139" s="125">
        <f t="shared" si="38"/>
        <v>0</v>
      </c>
      <c r="CJ139" s="126" t="str">
        <f t="shared" si="39"/>
        <v>数据正确</v>
      </c>
    </row>
    <row r="140" s="60" customFormat="1" customHeight="1" spans="2:88">
      <c r="B140" s="70" t="str">
        <f t="shared" ref="B140:B203" si="40">IF(I140=0,"-","申请中")</f>
        <v>-</v>
      </c>
      <c r="C140" s="71" t="str">
        <f t="shared" ref="C140:C203" si="41">IF(CI140=100%,"已付清","-")</f>
        <v>-</v>
      </c>
      <c r="D140" s="181">
        <f t="shared" ref="D140:D203" si="42">CF140</f>
        <v>2750000</v>
      </c>
      <c r="E140" s="181">
        <f>SUMIF(设备合同!$L$6:$L$302,L140,设备合同!$E$6:$E$302)</f>
        <v>0</v>
      </c>
      <c r="F140" s="181">
        <f>SUMIF(设备合同!$L$6:$L$302,L140,设备合同!$F$6:$F$302)</f>
        <v>0</v>
      </c>
      <c r="G140" s="181">
        <f>SUMIF(设备合同!$L$6:$L$302,L140,设备合同!$G$6:$G$302)</f>
        <v>0</v>
      </c>
      <c r="H140" s="181">
        <f>SUMIF(设备合同!$L$6:$L$302,L140,设备合同!$H$6:$H$302)</f>
        <v>0</v>
      </c>
      <c r="I140" s="181">
        <f t="shared" ref="I140:I203" si="43">CE140-CF140-CG140</f>
        <v>0</v>
      </c>
      <c r="J140" s="86" t="s">
        <v>98</v>
      </c>
      <c r="K140" s="87"/>
      <c r="L140" s="88">
        <v>135</v>
      </c>
      <c r="M140" s="89" t="str">
        <f>VLOOKUP(L140,设备合同!$L$6:$CC$302,2,0)</f>
        <v>YRKJEQ-170042</v>
      </c>
      <c r="N140" s="90" t="str">
        <f>VLOOKUP(L140,设备合同!$L$6:$CC$302,3,0)</f>
        <v>设备合同</v>
      </c>
      <c r="O140" s="265">
        <f>VLOOKUP(L140,设备合同!$L$6:$CC$302,4,0)</f>
        <v>2017050054</v>
      </c>
      <c r="P140" s="266">
        <f>VLOOKUP(L140,设备合同!$L$6:$CC$302,5,0)</f>
        <v>42914</v>
      </c>
      <c r="Q140" s="275">
        <f>VLOOKUP(L140,设备合同!$L$6:$CC$302,6,0)</f>
        <v>13750000</v>
      </c>
      <c r="R140" s="89" t="str">
        <f>VLOOKUP(L140,设备合同!$L$6:$CC$302,7,0)</f>
        <v>原水净化系统及附属设备1套</v>
      </c>
      <c r="S140" s="89" t="str">
        <f>VLOOKUP(L140,设备合同!$L$6:$CC$302,8,0)</f>
        <v>江苏一环集团有限公司</v>
      </c>
      <c r="T140" s="107" t="str">
        <f>VLOOKUP(L140,设备合同!$L$6:$CC$302,9,0)</f>
        <v>原水净化系统</v>
      </c>
      <c r="U140" s="103" t="str">
        <f>VLOOKUP(L140,设备合同!$L$6:$CC$302,10,0)</f>
        <v>6个月承兑汇票/现金不下浮</v>
      </c>
      <c r="V140" s="276" t="str">
        <f>VLOOKUP(L140,设备合同!$L$6:$CC$302,11,0)</f>
        <v>合同签订15个工作日，收到等额17%专票及预付保函后15个工作日，支付20%预付款。10%履约保证金</v>
      </c>
      <c r="W140" s="102">
        <f>VLOOKUP(L140,设备合同!$L$6:$CC$302,12,0)</f>
        <v>2750000</v>
      </c>
      <c r="X140" s="102">
        <f>VLOOKUP(L140,设备合同!$L$6:$CC$302,13,0)</f>
        <v>2750000</v>
      </c>
      <c r="Y140" s="102">
        <f>VLOOKUP(L140,设备合同!$L$6:$CC$302,14,0)</f>
        <v>2750000</v>
      </c>
      <c r="Z140" s="102" t="str">
        <f>VLOOKUP(L140,设备合同!$L$6:$CC$302,15,0)</f>
        <v>甲方到乙方现场确认无误后，收到17%全额专票，15个工作日内支付40%发货款</v>
      </c>
      <c r="AA140" s="102">
        <f>VLOOKUP(L140,设备合同!$L$6:$CC$302,16,0)</f>
        <v>5500000</v>
      </c>
      <c r="AB140" s="102">
        <f>VLOOKUP(L140,设备合同!$L$6:$CC$302,17,0)</f>
        <v>0</v>
      </c>
      <c r="AC140" s="102">
        <f>VLOOKUP(L140,设备合同!$L$6:$CC$302,18,0)</f>
        <v>0</v>
      </c>
      <c r="AD140" s="102" t="str">
        <f>VLOOKUP(L140,设备合同!$L$6:$CC$302,19,0)</f>
        <v>甲方收到核定的调试合格报告及全额的专票后15个工作日，支付30%调试款</v>
      </c>
      <c r="AE140" s="102">
        <f>VLOOKUP(L140,设备合同!$L$6:$CC$302,20,0)</f>
        <v>4125000</v>
      </c>
      <c r="AF140" s="102">
        <f>VLOOKUP(L140,设备合同!$L$6:$CC$302,21,0)</f>
        <v>0</v>
      </c>
      <c r="AG140" s="102">
        <f>VLOOKUP(L140,设备合同!$L$6:$CC$302,22,0)</f>
        <v>0</v>
      </c>
      <c r="AH140" s="102" t="str">
        <f>VLOOKUP(L140,设备合同!$L$6:$CC$302,23,0)</f>
        <v>10%总价作为质保金，验收合格后12个月保期满后15个工作日支付</v>
      </c>
      <c r="AI140" s="102">
        <f>VLOOKUP(L140,设备合同!$L$6:$CC$302,24,0)</f>
        <v>1375000</v>
      </c>
      <c r="AJ140" s="102">
        <f>VLOOKUP(L140,设备合同!$L$6:$CC$302,25,0)</f>
        <v>0</v>
      </c>
      <c r="AK140" s="102">
        <f>VLOOKUP(L140,设备合同!$L$6:$CC$302,26,0)</f>
        <v>0</v>
      </c>
      <c r="AL140" s="102">
        <f>VLOOKUP(L140,设备合同!$L$6:$CC$302,27,0)</f>
        <v>0</v>
      </c>
      <c r="AM140" s="102">
        <f>VLOOKUP(L140,设备合同!$L$6:$CC$302,28,0)</f>
        <v>0</v>
      </c>
      <c r="AN140" s="102">
        <f>VLOOKUP(L140,设备合同!$L$6:$CC$302,29,0)</f>
        <v>0</v>
      </c>
      <c r="AO140" s="102">
        <f>VLOOKUP(L140,设备合同!$L$6:$CC$302,30,0)</f>
        <v>0</v>
      </c>
      <c r="AP140" s="102">
        <f>VLOOKUP(L140,设备合同!$L$6:$CC$302,31,0)</f>
        <v>0</v>
      </c>
      <c r="AQ140" s="102">
        <f>VLOOKUP(L140,设备合同!$L$6:$CC$302,32,0)</f>
        <v>0</v>
      </c>
      <c r="AR140" s="102">
        <f>VLOOKUP(L140,设备合同!$L$6:$CC$302,33,0)</f>
        <v>0</v>
      </c>
      <c r="AS140" s="102">
        <f>VLOOKUP(L140,设备合同!$L$6:$CC$302,34,0)</f>
        <v>0</v>
      </c>
      <c r="AT140" s="102">
        <f>VLOOKUP(L140,设备合同!$L$6:$CC$302,35,0)</f>
        <v>0</v>
      </c>
      <c r="AU140" s="102">
        <f>VLOOKUP(L140,设备合同!$L$6:$CC$302,36,0)</f>
        <v>0</v>
      </c>
      <c r="AV140" s="102">
        <f>VLOOKUP(L140,设备合同!$L$6:$CC$302,37,0)</f>
        <v>0</v>
      </c>
      <c r="AW140" s="102">
        <f>VLOOKUP(L140,设备合同!$L$6:$CC$302,38,0)</f>
        <v>0</v>
      </c>
      <c r="AX140" s="102">
        <f>VLOOKUP(L140,设备合同!$L$6:$CC$302,39,0)</f>
        <v>0</v>
      </c>
      <c r="AY140" s="102">
        <f>VLOOKUP(L140,设备合同!$L$6:$CC$302,40,0)</f>
        <v>0</v>
      </c>
      <c r="AZ140" s="102">
        <f>VLOOKUP(L140,设备合同!$L$6:$CC$302,41,0)</f>
        <v>0</v>
      </c>
      <c r="BA140" s="102">
        <f>VLOOKUP(L140,设备合同!$L$6:$CC$302,42,0)</f>
        <v>0</v>
      </c>
      <c r="BB140" s="102">
        <f>VLOOKUP(L140,设备合同!$L$6:$CC$302,43,0)</f>
        <v>0</v>
      </c>
      <c r="BC140" s="102">
        <f>VLOOKUP(L140,设备合同!$L$6:$CC$302,44,0)</f>
        <v>0</v>
      </c>
      <c r="BD140" s="102">
        <f>VLOOKUP(L140,设备合同!$L$6:$CC$302,45,0)</f>
        <v>0</v>
      </c>
      <c r="BE140" s="102">
        <f>VLOOKUP(L140,设备合同!$L$6:$CC$302,46,0)</f>
        <v>0</v>
      </c>
      <c r="BF140" s="102">
        <f>VLOOKUP(L140,设备合同!$L$6:$CC$302,47,0)</f>
        <v>0</v>
      </c>
      <c r="BG140" s="102">
        <f>VLOOKUP(L140,设备合同!$L$6:$CC$302,48,0)</f>
        <v>0</v>
      </c>
      <c r="BH140" s="102">
        <f>VLOOKUP(L140,设备合同!$L$6:$CC$302,49,0)</f>
        <v>0</v>
      </c>
      <c r="BI140" s="102">
        <f>VLOOKUP(L140,设备合同!$L$6:$CC$302,50,0)</f>
        <v>0</v>
      </c>
      <c r="BJ140" s="102">
        <f>VLOOKUP(L140,设备合同!$L$6:$CC$302,51,0)</f>
        <v>0</v>
      </c>
      <c r="BK140" s="102">
        <f>VLOOKUP(L140,设备合同!$L$6:$CC$302,52,0)</f>
        <v>0</v>
      </c>
      <c r="BL140" s="102">
        <f>VLOOKUP(L140,设备合同!$L$6:$CC$302,53,0)</f>
        <v>0</v>
      </c>
      <c r="BM140" s="102">
        <f>VLOOKUP(L140,设备合同!$L$6:$CC$302,54,0)</f>
        <v>0</v>
      </c>
      <c r="BN140" s="102">
        <f>VLOOKUP(L140,设备合同!$L$6:$CC$302,55,0)</f>
        <v>0</v>
      </c>
      <c r="BO140" s="102">
        <f>VLOOKUP(L140,设备合同!$L$6:$CC$302,56,0)</f>
        <v>0</v>
      </c>
      <c r="BP140" s="102">
        <f>VLOOKUP(L140,设备合同!$L$6:$CC$302,57,0)</f>
        <v>0</v>
      </c>
      <c r="BQ140" s="102">
        <f>VLOOKUP(L140,设备合同!$L$6:$CC$302,58,0)</f>
        <v>0</v>
      </c>
      <c r="BR140" s="102">
        <f>VLOOKUP(L140,设备合同!$L$6:$CC$302,59,0)</f>
        <v>0</v>
      </c>
      <c r="BS140" s="102">
        <f>VLOOKUP(L140,设备合同!$L$6:$CC$302,60,0)</f>
        <v>0</v>
      </c>
      <c r="BT140" s="102">
        <f>VLOOKUP(L140,设备合同!$L$6:$CC$302,61,0)</f>
        <v>0</v>
      </c>
      <c r="BU140" s="102">
        <f>VLOOKUP(L140,设备合同!$L$6:$CC$302,62,0)</f>
        <v>0</v>
      </c>
      <c r="BV140" s="102">
        <f>VLOOKUP(L140,设备合同!$L$6:$CC$302,63,0)</f>
        <v>0</v>
      </c>
      <c r="BW140" s="102">
        <f>VLOOKUP(L140,设备合同!$L$6:$CC$302,64,0)</f>
        <v>0</v>
      </c>
      <c r="BX140" s="102">
        <f>VLOOKUP(L140,设备合同!$L$6:$CC$302,65,0)</f>
        <v>0</v>
      </c>
      <c r="BY140" s="102">
        <f>VLOOKUP(L140,设备合同!$L$6:$CC$302,66,0)</f>
        <v>0</v>
      </c>
      <c r="BZ140" s="102">
        <f>VLOOKUP(L140,设备合同!$L$6:$CC$302,67,0)</f>
        <v>0</v>
      </c>
      <c r="CA140" s="102">
        <f>VLOOKUP(L140,设备合同!$L$6:$CC$302,68,0)</f>
        <v>0</v>
      </c>
      <c r="CB140" s="102">
        <f>VLOOKUP(L140,设备合同!$L$6:$CC$302,69,0)</f>
        <v>0</v>
      </c>
      <c r="CC140" s="102">
        <f>VLOOKUP(L140,设备合同!$L$6:$CC$302,70,0)</f>
        <v>0</v>
      </c>
      <c r="CD140" s="123">
        <f t="shared" ref="CD140:CD203" si="44">W140+AA140+AE140+AI140+AM140+AQ140+AU140+AY140+BC140+BG140+BK140+BO140+BS140+BW140+CA140</f>
        <v>13750000</v>
      </c>
      <c r="CE140" s="102">
        <f t="shared" ref="CE140:CE203" si="45">X140+AB140+AF140+AJ140+AN140+AR140+AV140+AZ140+BD140+BH140+BL140+BP140+BT140+BX140+CB140</f>
        <v>2750000</v>
      </c>
      <c r="CF140" s="102">
        <f t="shared" ref="CF140:CF203" si="46">Y140+AC140+AG140+AK140+AO140+AS140+AW140+BA140+BE140+BI140+BM140+BQ140+BU140+BY140+CC140</f>
        <v>2750000</v>
      </c>
      <c r="CG140" s="102">
        <f t="shared" ref="CG140:CG203" si="47">E140+F140+G140+H140</f>
        <v>0</v>
      </c>
      <c r="CH140" s="124">
        <f t="shared" ref="CH140:CH203" si="48">Q140-CF140-CG140</f>
        <v>11000000</v>
      </c>
      <c r="CI140" s="125">
        <f t="shared" ref="CI140:CI203" si="49">IF(ISERROR((CF140+CG140)/Q140),"-",(CF140+CG140)/Q140)</f>
        <v>0.2</v>
      </c>
      <c r="CJ140" s="126" t="str">
        <f t="shared" ref="CJ140:CJ203" si="50">IF(Q140-CD140=0,"数据正确","数据错误")</f>
        <v>数据正确</v>
      </c>
    </row>
    <row r="141" s="60" customFormat="1" customHeight="1" spans="2:88">
      <c r="B141" s="70" t="str">
        <f t="shared" si="40"/>
        <v>-</v>
      </c>
      <c r="C141" s="71" t="str">
        <f t="shared" si="41"/>
        <v>-</v>
      </c>
      <c r="D141" s="181">
        <f t="shared" si="42"/>
        <v>953300</v>
      </c>
      <c r="E141" s="181">
        <f>SUMIF(设备合同!$L$6:$L$302,L141,设备合同!$E$6:$E$302)</f>
        <v>0</v>
      </c>
      <c r="F141" s="181">
        <f>SUMIF(设备合同!$L$6:$L$302,L141,设备合同!$F$6:$F$302)</f>
        <v>0</v>
      </c>
      <c r="G141" s="181">
        <f>SUMIF(设备合同!$L$6:$L$302,L141,设备合同!$G$6:$G$302)</f>
        <v>0</v>
      </c>
      <c r="H141" s="181">
        <f>SUMIF(设备合同!$L$6:$L$302,L141,设备合同!$H$6:$H$302)</f>
        <v>0</v>
      </c>
      <c r="I141" s="181">
        <f t="shared" si="43"/>
        <v>0</v>
      </c>
      <c r="J141" s="86" t="s">
        <v>98</v>
      </c>
      <c r="K141" s="87"/>
      <c r="L141" s="88">
        <v>136</v>
      </c>
      <c r="M141" s="89" t="str">
        <f>VLOOKUP(L141,设备合同!$L$6:$CC$302,2,0)</f>
        <v>YRKJEQ-170030</v>
      </c>
      <c r="N141" s="90" t="str">
        <f>VLOOKUP(L141,设备合同!$L$6:$CC$302,3,0)</f>
        <v>设备合同</v>
      </c>
      <c r="O141" s="265" t="str">
        <f>VLOOKUP(L141,设备合同!$L$6:$CC$302,4,0)</f>
        <v>-</v>
      </c>
      <c r="P141" s="266">
        <f>VLOOKUP(L141,设备合同!$L$6:$CC$302,5,0)</f>
        <v>42914</v>
      </c>
      <c r="Q141" s="275">
        <f>VLOOKUP(L141,设备合同!$L$6:$CC$302,6,0)</f>
        <v>11000000</v>
      </c>
      <c r="R141" s="89" t="str">
        <f>VLOOKUP(L141,设备合同!$L$6:$CC$302,7,0)</f>
        <v>环己酮塔内件设计及制造（一标段）</v>
      </c>
      <c r="S141" s="89" t="str">
        <f>VLOOKUP(L141,设备合同!$L$6:$CC$302,8,0)</f>
        <v>湖北洪湖化工机械总厂</v>
      </c>
      <c r="T141" s="107" t="str">
        <f>VLOOKUP(L141,设备合同!$L$6:$CC$302,9,0)</f>
        <v>环己酮装置</v>
      </c>
      <c r="U141" s="103" t="str">
        <f>VLOOKUP(L141,设备合同!$L$6:$CC$302,10,0)</f>
        <v>6个月承兑汇票</v>
      </c>
      <c r="V141" s="276" t="str">
        <f>VLOOKUP(L141,设备合同!$L$6:$CC$302,11,0)</f>
        <v>合同签订15个工作日，收到等额17%专票及预付保函后15个工作日，支付20%预付款。10%履约保证金</v>
      </c>
      <c r="W141" s="102">
        <f>VLOOKUP(L141,设备合同!$L$6:$CC$302,12,0)</f>
        <v>7600000</v>
      </c>
      <c r="X141" s="102">
        <f>VLOOKUP(L141,设备合同!$L$6:$CC$302,13,0)</f>
        <v>953300</v>
      </c>
      <c r="Y141" s="102">
        <f>VLOOKUP(L141,设备合同!$L$6:$CC$302,14,0)</f>
        <v>953300</v>
      </c>
      <c r="Z141" s="102">
        <f>VLOOKUP(L141,设备合同!$L$6:$CC$302,15,0)</f>
        <v>0</v>
      </c>
      <c r="AA141" s="102">
        <f>VLOOKUP(L141,设备合同!$L$6:$CC$302,16,0)</f>
        <v>1800000</v>
      </c>
      <c r="AB141" s="102">
        <f>VLOOKUP(L141,设备合同!$L$6:$CC$302,17,0)</f>
        <v>0</v>
      </c>
      <c r="AC141" s="102">
        <f>VLOOKUP(L141,设备合同!$L$6:$CC$302,18,0)</f>
        <v>0</v>
      </c>
      <c r="AD141" s="102">
        <f>VLOOKUP(L141,设备合同!$L$6:$CC$302,19,0)</f>
        <v>0</v>
      </c>
      <c r="AE141" s="102">
        <f>VLOOKUP(L141,设备合同!$L$6:$CC$302,20,0)</f>
        <v>1200000</v>
      </c>
      <c r="AF141" s="102">
        <f>VLOOKUP(L141,设备合同!$L$6:$CC$302,21,0)</f>
        <v>0</v>
      </c>
      <c r="AG141" s="102">
        <f>VLOOKUP(L141,设备合同!$L$6:$CC$302,22,0)</f>
        <v>0</v>
      </c>
      <c r="AH141" s="102">
        <f>VLOOKUP(L141,设备合同!$L$6:$CC$302,23,0)</f>
        <v>0</v>
      </c>
      <c r="AI141" s="102">
        <f>VLOOKUP(L141,设备合同!$L$6:$CC$302,24,0)</f>
        <v>400000</v>
      </c>
      <c r="AJ141" s="102">
        <f>VLOOKUP(L141,设备合同!$L$6:$CC$302,25,0)</f>
        <v>0</v>
      </c>
      <c r="AK141" s="102">
        <f>VLOOKUP(L141,设备合同!$L$6:$CC$302,26,0)</f>
        <v>0</v>
      </c>
      <c r="AL141" s="102">
        <f>VLOOKUP(L141,设备合同!$L$6:$CC$302,27,0)</f>
        <v>0</v>
      </c>
      <c r="AM141" s="102">
        <f>VLOOKUP(L141,设备合同!$L$6:$CC$302,28,0)</f>
        <v>0</v>
      </c>
      <c r="AN141" s="102">
        <f>VLOOKUP(L141,设备合同!$L$6:$CC$302,29,0)</f>
        <v>0</v>
      </c>
      <c r="AO141" s="102">
        <f>VLOOKUP(L141,设备合同!$L$6:$CC$302,30,0)</f>
        <v>0</v>
      </c>
      <c r="AP141" s="102">
        <f>VLOOKUP(L141,设备合同!$L$6:$CC$302,31,0)</f>
        <v>0</v>
      </c>
      <c r="AQ141" s="102">
        <f>VLOOKUP(L141,设备合同!$L$6:$CC$302,32,0)</f>
        <v>0</v>
      </c>
      <c r="AR141" s="102">
        <f>VLOOKUP(L141,设备合同!$L$6:$CC$302,33,0)</f>
        <v>0</v>
      </c>
      <c r="AS141" s="102">
        <f>VLOOKUP(L141,设备合同!$L$6:$CC$302,34,0)</f>
        <v>0</v>
      </c>
      <c r="AT141" s="102">
        <f>VLOOKUP(L141,设备合同!$L$6:$CC$302,35,0)</f>
        <v>0</v>
      </c>
      <c r="AU141" s="102">
        <f>VLOOKUP(L141,设备合同!$L$6:$CC$302,36,0)</f>
        <v>0</v>
      </c>
      <c r="AV141" s="102">
        <f>VLOOKUP(L141,设备合同!$L$6:$CC$302,37,0)</f>
        <v>0</v>
      </c>
      <c r="AW141" s="102">
        <f>VLOOKUP(L141,设备合同!$L$6:$CC$302,38,0)</f>
        <v>0</v>
      </c>
      <c r="AX141" s="102">
        <f>VLOOKUP(L141,设备合同!$L$6:$CC$302,39,0)</f>
        <v>0</v>
      </c>
      <c r="AY141" s="102">
        <f>VLOOKUP(L141,设备合同!$L$6:$CC$302,40,0)</f>
        <v>0</v>
      </c>
      <c r="AZ141" s="102">
        <f>VLOOKUP(L141,设备合同!$L$6:$CC$302,41,0)</f>
        <v>0</v>
      </c>
      <c r="BA141" s="102">
        <f>VLOOKUP(L141,设备合同!$L$6:$CC$302,42,0)</f>
        <v>0</v>
      </c>
      <c r="BB141" s="102">
        <f>VLOOKUP(L141,设备合同!$L$6:$CC$302,43,0)</f>
        <v>0</v>
      </c>
      <c r="BC141" s="102">
        <f>VLOOKUP(L141,设备合同!$L$6:$CC$302,44,0)</f>
        <v>0</v>
      </c>
      <c r="BD141" s="102">
        <f>VLOOKUP(L141,设备合同!$L$6:$CC$302,45,0)</f>
        <v>0</v>
      </c>
      <c r="BE141" s="102">
        <f>VLOOKUP(L141,设备合同!$L$6:$CC$302,46,0)</f>
        <v>0</v>
      </c>
      <c r="BF141" s="102">
        <f>VLOOKUP(L141,设备合同!$L$6:$CC$302,47,0)</f>
        <v>0</v>
      </c>
      <c r="BG141" s="102">
        <f>VLOOKUP(L141,设备合同!$L$6:$CC$302,48,0)</f>
        <v>0</v>
      </c>
      <c r="BH141" s="102">
        <f>VLOOKUP(L141,设备合同!$L$6:$CC$302,49,0)</f>
        <v>0</v>
      </c>
      <c r="BI141" s="102">
        <f>VLOOKUP(L141,设备合同!$L$6:$CC$302,50,0)</f>
        <v>0</v>
      </c>
      <c r="BJ141" s="102">
        <f>VLOOKUP(L141,设备合同!$L$6:$CC$302,51,0)</f>
        <v>0</v>
      </c>
      <c r="BK141" s="102">
        <f>VLOOKUP(L141,设备合同!$L$6:$CC$302,52,0)</f>
        <v>0</v>
      </c>
      <c r="BL141" s="102">
        <f>VLOOKUP(L141,设备合同!$L$6:$CC$302,53,0)</f>
        <v>0</v>
      </c>
      <c r="BM141" s="102">
        <f>VLOOKUP(L141,设备合同!$L$6:$CC$302,54,0)</f>
        <v>0</v>
      </c>
      <c r="BN141" s="102">
        <f>VLOOKUP(L141,设备合同!$L$6:$CC$302,55,0)</f>
        <v>0</v>
      </c>
      <c r="BO141" s="102">
        <f>VLOOKUP(L141,设备合同!$L$6:$CC$302,56,0)</f>
        <v>0</v>
      </c>
      <c r="BP141" s="102">
        <f>VLOOKUP(L141,设备合同!$L$6:$CC$302,57,0)</f>
        <v>0</v>
      </c>
      <c r="BQ141" s="102">
        <f>VLOOKUP(L141,设备合同!$L$6:$CC$302,58,0)</f>
        <v>0</v>
      </c>
      <c r="BR141" s="102">
        <f>VLOOKUP(L141,设备合同!$L$6:$CC$302,59,0)</f>
        <v>0</v>
      </c>
      <c r="BS141" s="102">
        <f>VLOOKUP(L141,设备合同!$L$6:$CC$302,60,0)</f>
        <v>0</v>
      </c>
      <c r="BT141" s="102">
        <f>VLOOKUP(L141,设备合同!$L$6:$CC$302,61,0)</f>
        <v>0</v>
      </c>
      <c r="BU141" s="102">
        <f>VLOOKUP(L141,设备合同!$L$6:$CC$302,62,0)</f>
        <v>0</v>
      </c>
      <c r="BV141" s="102">
        <f>VLOOKUP(L141,设备合同!$L$6:$CC$302,63,0)</f>
        <v>0</v>
      </c>
      <c r="BW141" s="102">
        <f>VLOOKUP(L141,设备合同!$L$6:$CC$302,64,0)</f>
        <v>0</v>
      </c>
      <c r="BX141" s="102">
        <f>VLOOKUP(L141,设备合同!$L$6:$CC$302,65,0)</f>
        <v>0</v>
      </c>
      <c r="BY141" s="102">
        <f>VLOOKUP(L141,设备合同!$L$6:$CC$302,66,0)</f>
        <v>0</v>
      </c>
      <c r="BZ141" s="102">
        <f>VLOOKUP(L141,设备合同!$L$6:$CC$302,67,0)</f>
        <v>0</v>
      </c>
      <c r="CA141" s="102">
        <f>VLOOKUP(L141,设备合同!$L$6:$CC$302,68,0)</f>
        <v>0</v>
      </c>
      <c r="CB141" s="102">
        <f>VLOOKUP(L141,设备合同!$L$6:$CC$302,69,0)</f>
        <v>0</v>
      </c>
      <c r="CC141" s="102">
        <f>VLOOKUP(L141,设备合同!$L$6:$CC$302,70,0)</f>
        <v>0</v>
      </c>
      <c r="CD141" s="123">
        <f t="shared" si="44"/>
        <v>11000000</v>
      </c>
      <c r="CE141" s="102">
        <f t="shared" si="45"/>
        <v>953300</v>
      </c>
      <c r="CF141" s="102">
        <f t="shared" si="46"/>
        <v>953300</v>
      </c>
      <c r="CG141" s="102">
        <f t="shared" si="47"/>
        <v>0</v>
      </c>
      <c r="CH141" s="124">
        <f t="shared" si="48"/>
        <v>10046700</v>
      </c>
      <c r="CI141" s="125">
        <f t="shared" si="49"/>
        <v>0.0866636363636364</v>
      </c>
      <c r="CJ141" s="126" t="str">
        <f t="shared" si="50"/>
        <v>数据正确</v>
      </c>
    </row>
    <row r="142" s="60" customFormat="1" customHeight="1" spans="2:88">
      <c r="B142" s="70" t="str">
        <f t="shared" si="40"/>
        <v>-</v>
      </c>
      <c r="C142" s="71" t="str">
        <f t="shared" si="41"/>
        <v>-</v>
      </c>
      <c r="D142" s="181">
        <f t="shared" si="42"/>
        <v>0</v>
      </c>
      <c r="E142" s="181">
        <f>SUMIF(设备合同!$L$6:$L$302,L142,设备合同!$E$6:$E$302)</f>
        <v>0</v>
      </c>
      <c r="F142" s="181">
        <f>SUMIF(设备合同!$L$6:$L$302,L142,设备合同!$F$6:$F$302)</f>
        <v>0</v>
      </c>
      <c r="G142" s="181">
        <f>SUMIF(设备合同!$L$6:$L$302,L142,设备合同!$G$6:$G$302)</f>
        <v>0</v>
      </c>
      <c r="H142" s="181">
        <f>SUMIF(设备合同!$L$6:$L$302,L142,设备合同!$H$6:$H$302)</f>
        <v>0</v>
      </c>
      <c r="I142" s="181">
        <f t="shared" si="43"/>
        <v>0</v>
      </c>
      <c r="J142" s="86" t="s">
        <v>98</v>
      </c>
      <c r="K142" s="87"/>
      <c r="L142" s="88">
        <v>137</v>
      </c>
      <c r="M142" s="89" t="str">
        <f>VLOOKUP(L142,设备合同!$L$6:$CC$302,2,0)</f>
        <v>YRKJEQ-170041</v>
      </c>
      <c r="N142" s="90" t="str">
        <f>VLOOKUP(L142,设备合同!$L$6:$CC$302,3,0)</f>
        <v>设备合同</v>
      </c>
      <c r="O142" s="265">
        <f>VLOOKUP(L142,设备合同!$L$6:$CC$302,4,0)</f>
        <v>2017060042</v>
      </c>
      <c r="P142" s="266">
        <f>VLOOKUP(L142,设备合同!$L$6:$CC$302,5,0)</f>
        <v>42919</v>
      </c>
      <c r="Q142" s="275">
        <f>VLOOKUP(L142,设备合同!$L$6:$CC$302,6,0)</f>
        <v>145000</v>
      </c>
      <c r="R142" s="89" t="str">
        <f>VLOOKUP(L142,设备合同!$L$6:$CC$302,7,0)</f>
        <v>混合器、消音器共10台</v>
      </c>
      <c r="S142" s="89" t="str">
        <f>VLOOKUP(L142,设备合同!$L$6:$CC$302,8,0)</f>
        <v>上海泽尔石化设备有限公司</v>
      </c>
      <c r="T142" s="107" t="str">
        <f>VLOOKUP(L142,设备合同!$L$6:$CC$302,9,0)</f>
        <v>氨肟化装置12.6万元，己内酰胺装置1.9万元</v>
      </c>
      <c r="U142" s="103" t="str">
        <f>VLOOKUP(L142,设备合同!$L$6:$CC$302,10,0)</f>
        <v>6个月承兑汇票</v>
      </c>
      <c r="V142" s="276" t="str">
        <f>VLOOKUP(L142,设备合同!$L$6:$CC$302,11,0)</f>
        <v>乙方货物制造完成，甲方人员在乙方工厂清点验货无误，并收到60%的专票（17%）后15个工作日支付60%发货款</v>
      </c>
      <c r="W142" s="102">
        <f>VLOOKUP(L142,设备合同!$L$6:$CC$302,12,0)</f>
        <v>87000</v>
      </c>
      <c r="X142" s="102">
        <f>VLOOKUP(L142,设备合同!$L$6:$CC$302,13,0)</f>
        <v>0</v>
      </c>
      <c r="Y142" s="102">
        <f>VLOOKUP(L142,设备合同!$L$6:$CC$302,14,0)</f>
        <v>0</v>
      </c>
      <c r="Z142" s="102" t="str">
        <f>VLOOKUP(L142,设备合同!$L$6:$CC$302,15,0)</f>
        <v>甲方验收合格后，15个工作日内支付30%的货款</v>
      </c>
      <c r="AA142" s="102">
        <f>VLOOKUP(L142,设备合同!$L$6:$CC$302,16,0)</f>
        <v>43500</v>
      </c>
      <c r="AB142" s="102">
        <f>VLOOKUP(L142,设备合同!$L$6:$CC$302,17,0)</f>
        <v>0</v>
      </c>
      <c r="AC142" s="102">
        <f>VLOOKUP(L142,设备合同!$L$6:$CC$302,18,0)</f>
        <v>0</v>
      </c>
      <c r="AD142" s="102" t="str">
        <f>VLOOKUP(L142,设备合同!$L$6:$CC$302,19,0)</f>
        <v>10%的货款作为质保金，验收合格后18个月后支付</v>
      </c>
      <c r="AE142" s="102">
        <f>VLOOKUP(L142,设备合同!$L$6:$CC$302,20,0)</f>
        <v>14500</v>
      </c>
      <c r="AF142" s="102">
        <f>VLOOKUP(L142,设备合同!$L$6:$CC$302,21,0)</f>
        <v>0</v>
      </c>
      <c r="AG142" s="102">
        <f>VLOOKUP(L142,设备合同!$L$6:$CC$302,22,0)</f>
        <v>0</v>
      </c>
      <c r="AH142" s="102">
        <f>VLOOKUP(L142,设备合同!$L$6:$CC$302,23,0)</f>
        <v>0</v>
      </c>
      <c r="AI142" s="102">
        <f>VLOOKUP(L142,设备合同!$L$6:$CC$302,24,0)</f>
        <v>0</v>
      </c>
      <c r="AJ142" s="102">
        <f>VLOOKUP(L142,设备合同!$L$6:$CC$302,25,0)</f>
        <v>0</v>
      </c>
      <c r="AK142" s="102">
        <f>VLOOKUP(L142,设备合同!$L$6:$CC$302,26,0)</f>
        <v>0</v>
      </c>
      <c r="AL142" s="102">
        <f>VLOOKUP(L142,设备合同!$L$6:$CC$302,27,0)</f>
        <v>0</v>
      </c>
      <c r="AM142" s="102">
        <f>VLOOKUP(L142,设备合同!$L$6:$CC$302,28,0)</f>
        <v>0</v>
      </c>
      <c r="AN142" s="102">
        <f>VLOOKUP(L142,设备合同!$L$6:$CC$302,29,0)</f>
        <v>0</v>
      </c>
      <c r="AO142" s="102">
        <f>VLOOKUP(L142,设备合同!$L$6:$CC$302,30,0)</f>
        <v>0</v>
      </c>
      <c r="AP142" s="102">
        <f>VLOOKUP(L142,设备合同!$L$6:$CC$302,31,0)</f>
        <v>0</v>
      </c>
      <c r="AQ142" s="102">
        <f>VLOOKUP(L142,设备合同!$L$6:$CC$302,32,0)</f>
        <v>0</v>
      </c>
      <c r="AR142" s="102">
        <f>VLOOKUP(L142,设备合同!$L$6:$CC$302,33,0)</f>
        <v>0</v>
      </c>
      <c r="AS142" s="102">
        <f>VLOOKUP(L142,设备合同!$L$6:$CC$302,34,0)</f>
        <v>0</v>
      </c>
      <c r="AT142" s="102">
        <f>VLOOKUP(L142,设备合同!$L$6:$CC$302,35,0)</f>
        <v>0</v>
      </c>
      <c r="AU142" s="102">
        <f>VLOOKUP(L142,设备合同!$L$6:$CC$302,36,0)</f>
        <v>0</v>
      </c>
      <c r="AV142" s="102">
        <f>VLOOKUP(L142,设备合同!$L$6:$CC$302,37,0)</f>
        <v>0</v>
      </c>
      <c r="AW142" s="102">
        <f>VLOOKUP(L142,设备合同!$L$6:$CC$302,38,0)</f>
        <v>0</v>
      </c>
      <c r="AX142" s="102">
        <f>VLOOKUP(L142,设备合同!$L$6:$CC$302,39,0)</f>
        <v>0</v>
      </c>
      <c r="AY142" s="102">
        <f>VLOOKUP(L142,设备合同!$L$6:$CC$302,40,0)</f>
        <v>0</v>
      </c>
      <c r="AZ142" s="102">
        <f>VLOOKUP(L142,设备合同!$L$6:$CC$302,41,0)</f>
        <v>0</v>
      </c>
      <c r="BA142" s="102">
        <f>VLOOKUP(L142,设备合同!$L$6:$CC$302,42,0)</f>
        <v>0</v>
      </c>
      <c r="BB142" s="102">
        <f>VLOOKUP(L142,设备合同!$L$6:$CC$302,43,0)</f>
        <v>0</v>
      </c>
      <c r="BC142" s="102">
        <f>VLOOKUP(L142,设备合同!$L$6:$CC$302,44,0)</f>
        <v>0</v>
      </c>
      <c r="BD142" s="102">
        <f>VLOOKUP(L142,设备合同!$L$6:$CC$302,45,0)</f>
        <v>0</v>
      </c>
      <c r="BE142" s="102">
        <f>VLOOKUP(L142,设备合同!$L$6:$CC$302,46,0)</f>
        <v>0</v>
      </c>
      <c r="BF142" s="102">
        <f>VLOOKUP(L142,设备合同!$L$6:$CC$302,47,0)</f>
        <v>0</v>
      </c>
      <c r="BG142" s="102">
        <f>VLOOKUP(L142,设备合同!$L$6:$CC$302,48,0)</f>
        <v>0</v>
      </c>
      <c r="BH142" s="102">
        <f>VLOOKUP(L142,设备合同!$L$6:$CC$302,49,0)</f>
        <v>0</v>
      </c>
      <c r="BI142" s="102">
        <f>VLOOKUP(L142,设备合同!$L$6:$CC$302,50,0)</f>
        <v>0</v>
      </c>
      <c r="BJ142" s="102">
        <f>VLOOKUP(L142,设备合同!$L$6:$CC$302,51,0)</f>
        <v>0</v>
      </c>
      <c r="BK142" s="102">
        <f>VLOOKUP(L142,设备合同!$L$6:$CC$302,52,0)</f>
        <v>0</v>
      </c>
      <c r="BL142" s="102">
        <f>VLOOKUP(L142,设备合同!$L$6:$CC$302,53,0)</f>
        <v>0</v>
      </c>
      <c r="BM142" s="102">
        <f>VLOOKUP(L142,设备合同!$L$6:$CC$302,54,0)</f>
        <v>0</v>
      </c>
      <c r="BN142" s="102">
        <f>VLOOKUP(L142,设备合同!$L$6:$CC$302,55,0)</f>
        <v>0</v>
      </c>
      <c r="BO142" s="102">
        <f>VLOOKUP(L142,设备合同!$L$6:$CC$302,56,0)</f>
        <v>0</v>
      </c>
      <c r="BP142" s="102">
        <f>VLOOKUP(L142,设备合同!$L$6:$CC$302,57,0)</f>
        <v>0</v>
      </c>
      <c r="BQ142" s="102">
        <f>VLOOKUP(L142,设备合同!$L$6:$CC$302,58,0)</f>
        <v>0</v>
      </c>
      <c r="BR142" s="102">
        <f>VLOOKUP(L142,设备合同!$L$6:$CC$302,59,0)</f>
        <v>0</v>
      </c>
      <c r="BS142" s="102">
        <f>VLOOKUP(L142,设备合同!$L$6:$CC$302,60,0)</f>
        <v>0</v>
      </c>
      <c r="BT142" s="102">
        <f>VLOOKUP(L142,设备合同!$L$6:$CC$302,61,0)</f>
        <v>0</v>
      </c>
      <c r="BU142" s="102">
        <f>VLOOKUP(L142,设备合同!$L$6:$CC$302,62,0)</f>
        <v>0</v>
      </c>
      <c r="BV142" s="102">
        <f>VLOOKUP(L142,设备合同!$L$6:$CC$302,63,0)</f>
        <v>0</v>
      </c>
      <c r="BW142" s="102">
        <f>VLOOKUP(L142,设备合同!$L$6:$CC$302,64,0)</f>
        <v>0</v>
      </c>
      <c r="BX142" s="102">
        <f>VLOOKUP(L142,设备合同!$L$6:$CC$302,65,0)</f>
        <v>0</v>
      </c>
      <c r="BY142" s="102">
        <f>VLOOKUP(L142,设备合同!$L$6:$CC$302,66,0)</f>
        <v>0</v>
      </c>
      <c r="BZ142" s="102">
        <f>VLOOKUP(L142,设备合同!$L$6:$CC$302,67,0)</f>
        <v>0</v>
      </c>
      <c r="CA142" s="102">
        <f>VLOOKUP(L142,设备合同!$L$6:$CC$302,68,0)</f>
        <v>0</v>
      </c>
      <c r="CB142" s="102">
        <f>VLOOKUP(L142,设备合同!$L$6:$CC$302,69,0)</f>
        <v>0</v>
      </c>
      <c r="CC142" s="102">
        <f>VLOOKUP(L142,设备合同!$L$6:$CC$302,70,0)</f>
        <v>0</v>
      </c>
      <c r="CD142" s="123">
        <f t="shared" si="44"/>
        <v>145000</v>
      </c>
      <c r="CE142" s="102">
        <f t="shared" si="45"/>
        <v>0</v>
      </c>
      <c r="CF142" s="102">
        <f t="shared" si="46"/>
        <v>0</v>
      </c>
      <c r="CG142" s="102">
        <f t="shared" si="47"/>
        <v>0</v>
      </c>
      <c r="CH142" s="124">
        <f t="shared" si="48"/>
        <v>145000</v>
      </c>
      <c r="CI142" s="125">
        <f t="shared" si="49"/>
        <v>0</v>
      </c>
      <c r="CJ142" s="126" t="str">
        <f t="shared" si="50"/>
        <v>数据正确</v>
      </c>
    </row>
    <row r="143" s="60" customFormat="1" customHeight="1" spans="2:88">
      <c r="B143" s="70" t="str">
        <f t="shared" si="40"/>
        <v>-</v>
      </c>
      <c r="C143" s="71" t="str">
        <f t="shared" si="41"/>
        <v>-</v>
      </c>
      <c r="D143" s="181">
        <f t="shared" si="42"/>
        <v>0</v>
      </c>
      <c r="E143" s="181">
        <f>SUMIF(设备合同!$L$6:$L$302,L143,设备合同!$E$6:$E$302)</f>
        <v>0</v>
      </c>
      <c r="F143" s="181">
        <f>SUMIF(设备合同!$L$6:$L$302,L143,设备合同!$F$6:$F$302)</f>
        <v>0</v>
      </c>
      <c r="G143" s="181">
        <f>SUMIF(设备合同!$L$6:$L$302,L143,设备合同!$G$6:$G$302)</f>
        <v>0</v>
      </c>
      <c r="H143" s="181">
        <f>SUMIF(设备合同!$L$6:$L$302,L143,设备合同!$H$6:$H$302)</f>
        <v>0</v>
      </c>
      <c r="I143" s="181">
        <f t="shared" si="43"/>
        <v>0</v>
      </c>
      <c r="J143" s="86" t="s">
        <v>98</v>
      </c>
      <c r="K143" s="87"/>
      <c r="L143" s="88">
        <v>138</v>
      </c>
      <c r="M143" s="89" t="str">
        <f>VLOOKUP(L143,设备合同!$L$6:$CC$302,2,0)</f>
        <v>YRKJEQ-170051</v>
      </c>
      <c r="N143" s="90" t="str">
        <f>VLOOKUP(L143,设备合同!$L$6:$CC$302,3,0)</f>
        <v>设备合同</v>
      </c>
      <c r="O143" s="265">
        <f>VLOOKUP(L143,设备合同!$L$6:$CC$302,4,0)</f>
        <v>2017050013</v>
      </c>
      <c r="P143" s="266">
        <f>VLOOKUP(L143,设备合同!$L$6:$CC$302,5,0)</f>
        <v>42928</v>
      </c>
      <c r="Q143" s="275">
        <f>VLOOKUP(L143,设备合同!$L$6:$CC$302,6,0)</f>
        <v>1800000</v>
      </c>
      <c r="R143" s="89" t="str">
        <f>VLOOKUP(L143,设备合同!$L$6:$CC$302,7,0)</f>
        <v>环己酮装置卧式多级离心泵共4台</v>
      </c>
      <c r="S143" s="89" t="str">
        <f>VLOOKUP(L143,设备合同!$L$6:$CC$302,8,0)</f>
        <v>杭州大路实业有限公司</v>
      </c>
      <c r="T143" s="107">
        <f>VLOOKUP(L143,设备合同!$L$6:$CC$302,9,0)</f>
        <v>0</v>
      </c>
      <c r="U143" s="103" t="str">
        <f>VLOOKUP(L143,设备合同!$L$6:$CC$302,10,0)</f>
        <v>6个月承兑汇票</v>
      </c>
      <c r="V143" s="276" t="str">
        <f>VLOOKUP(L143,设备合同!$L$6:$CC$302,11,0)</f>
        <v>乙方货物制造完成，甲方人员在乙方工厂清点验货无误，并收到60%的专票（17%）后15个工作日支付60%发货款</v>
      </c>
      <c r="W143" s="102">
        <f>VLOOKUP(L143,设备合同!$L$6:$CC$302,12,0)</f>
        <v>1080000</v>
      </c>
      <c r="X143" s="102">
        <f>VLOOKUP(L143,设备合同!$L$6:$CC$302,13,0)</f>
        <v>0</v>
      </c>
      <c r="Y143" s="102">
        <f>VLOOKUP(L143,设备合同!$L$6:$CC$302,14,0)</f>
        <v>0</v>
      </c>
      <c r="Z143" s="102" t="str">
        <f>VLOOKUP(L143,设备合同!$L$6:$CC$302,15,0)</f>
        <v>甲方验收合格后，15个工作日内支付30%的货款</v>
      </c>
      <c r="AA143" s="102">
        <f>VLOOKUP(L143,设备合同!$L$6:$CC$302,16,0)</f>
        <v>540000</v>
      </c>
      <c r="AB143" s="102">
        <f>VLOOKUP(L143,设备合同!$L$6:$CC$302,17,0)</f>
        <v>0</v>
      </c>
      <c r="AC143" s="102">
        <f>VLOOKUP(L143,设备合同!$L$6:$CC$302,18,0)</f>
        <v>0</v>
      </c>
      <c r="AD143" s="102" t="str">
        <f>VLOOKUP(L143,设备合同!$L$6:$CC$302,19,0)</f>
        <v>10%的货款作为质保金，验收合格后18个月后支付</v>
      </c>
      <c r="AE143" s="102">
        <f>VLOOKUP(L143,设备合同!$L$6:$CC$302,20,0)</f>
        <v>180000</v>
      </c>
      <c r="AF143" s="102">
        <f>VLOOKUP(L143,设备合同!$L$6:$CC$302,21,0)</f>
        <v>0</v>
      </c>
      <c r="AG143" s="102">
        <f>VLOOKUP(L143,设备合同!$L$6:$CC$302,22,0)</f>
        <v>0</v>
      </c>
      <c r="AH143" s="102">
        <f>VLOOKUP(L143,设备合同!$L$6:$CC$302,23,0)</f>
        <v>0</v>
      </c>
      <c r="AI143" s="102">
        <f>VLOOKUP(L143,设备合同!$L$6:$CC$302,24,0)</f>
        <v>0</v>
      </c>
      <c r="AJ143" s="102">
        <f>VLOOKUP(L143,设备合同!$L$6:$CC$302,25,0)</f>
        <v>0</v>
      </c>
      <c r="AK143" s="102">
        <f>VLOOKUP(L143,设备合同!$L$6:$CC$302,26,0)</f>
        <v>0</v>
      </c>
      <c r="AL143" s="102">
        <f>VLOOKUP(L143,设备合同!$L$6:$CC$302,27,0)</f>
        <v>0</v>
      </c>
      <c r="AM143" s="102">
        <f>VLOOKUP(L143,设备合同!$L$6:$CC$302,28,0)</f>
        <v>0</v>
      </c>
      <c r="AN143" s="102">
        <f>VLOOKUP(L143,设备合同!$L$6:$CC$302,29,0)</f>
        <v>0</v>
      </c>
      <c r="AO143" s="102">
        <f>VLOOKUP(L143,设备合同!$L$6:$CC$302,30,0)</f>
        <v>0</v>
      </c>
      <c r="AP143" s="102">
        <f>VLOOKUP(L143,设备合同!$L$6:$CC$302,31,0)</f>
        <v>0</v>
      </c>
      <c r="AQ143" s="102">
        <f>VLOOKUP(L143,设备合同!$L$6:$CC$302,32,0)</f>
        <v>0</v>
      </c>
      <c r="AR143" s="102">
        <f>VLOOKUP(L143,设备合同!$L$6:$CC$302,33,0)</f>
        <v>0</v>
      </c>
      <c r="AS143" s="102">
        <f>VLOOKUP(L143,设备合同!$L$6:$CC$302,34,0)</f>
        <v>0</v>
      </c>
      <c r="AT143" s="102">
        <f>VLOOKUP(L143,设备合同!$L$6:$CC$302,35,0)</f>
        <v>0</v>
      </c>
      <c r="AU143" s="102">
        <f>VLOOKUP(L143,设备合同!$L$6:$CC$302,36,0)</f>
        <v>0</v>
      </c>
      <c r="AV143" s="102">
        <f>VLOOKUP(L143,设备合同!$L$6:$CC$302,37,0)</f>
        <v>0</v>
      </c>
      <c r="AW143" s="102">
        <f>VLOOKUP(L143,设备合同!$L$6:$CC$302,38,0)</f>
        <v>0</v>
      </c>
      <c r="AX143" s="102">
        <f>VLOOKUP(L143,设备合同!$L$6:$CC$302,39,0)</f>
        <v>0</v>
      </c>
      <c r="AY143" s="102">
        <f>VLOOKUP(L143,设备合同!$L$6:$CC$302,40,0)</f>
        <v>0</v>
      </c>
      <c r="AZ143" s="102">
        <f>VLOOKUP(L143,设备合同!$L$6:$CC$302,41,0)</f>
        <v>0</v>
      </c>
      <c r="BA143" s="102">
        <f>VLOOKUP(L143,设备合同!$L$6:$CC$302,42,0)</f>
        <v>0</v>
      </c>
      <c r="BB143" s="102">
        <f>VLOOKUP(L143,设备合同!$L$6:$CC$302,43,0)</f>
        <v>0</v>
      </c>
      <c r="BC143" s="102">
        <f>VLOOKUP(L143,设备合同!$L$6:$CC$302,44,0)</f>
        <v>0</v>
      </c>
      <c r="BD143" s="102">
        <f>VLOOKUP(L143,设备合同!$L$6:$CC$302,45,0)</f>
        <v>0</v>
      </c>
      <c r="BE143" s="102">
        <f>VLOOKUP(L143,设备合同!$L$6:$CC$302,46,0)</f>
        <v>0</v>
      </c>
      <c r="BF143" s="102">
        <f>VLOOKUP(L143,设备合同!$L$6:$CC$302,47,0)</f>
        <v>0</v>
      </c>
      <c r="BG143" s="102">
        <f>VLOOKUP(L143,设备合同!$L$6:$CC$302,48,0)</f>
        <v>0</v>
      </c>
      <c r="BH143" s="102">
        <f>VLOOKUP(L143,设备合同!$L$6:$CC$302,49,0)</f>
        <v>0</v>
      </c>
      <c r="BI143" s="102">
        <f>VLOOKUP(L143,设备合同!$L$6:$CC$302,50,0)</f>
        <v>0</v>
      </c>
      <c r="BJ143" s="102">
        <f>VLOOKUP(L143,设备合同!$L$6:$CC$302,51,0)</f>
        <v>0</v>
      </c>
      <c r="BK143" s="102">
        <f>VLOOKUP(L143,设备合同!$L$6:$CC$302,52,0)</f>
        <v>0</v>
      </c>
      <c r="BL143" s="102">
        <f>VLOOKUP(L143,设备合同!$L$6:$CC$302,53,0)</f>
        <v>0</v>
      </c>
      <c r="BM143" s="102">
        <f>VLOOKUP(L143,设备合同!$L$6:$CC$302,54,0)</f>
        <v>0</v>
      </c>
      <c r="BN143" s="102">
        <f>VLOOKUP(L143,设备合同!$L$6:$CC$302,55,0)</f>
        <v>0</v>
      </c>
      <c r="BO143" s="102">
        <f>VLOOKUP(L143,设备合同!$L$6:$CC$302,56,0)</f>
        <v>0</v>
      </c>
      <c r="BP143" s="102">
        <f>VLOOKUP(L143,设备合同!$L$6:$CC$302,57,0)</f>
        <v>0</v>
      </c>
      <c r="BQ143" s="102">
        <f>VLOOKUP(L143,设备合同!$L$6:$CC$302,58,0)</f>
        <v>0</v>
      </c>
      <c r="BR143" s="102">
        <f>VLOOKUP(L143,设备合同!$L$6:$CC$302,59,0)</f>
        <v>0</v>
      </c>
      <c r="BS143" s="102">
        <f>VLOOKUP(L143,设备合同!$L$6:$CC$302,60,0)</f>
        <v>0</v>
      </c>
      <c r="BT143" s="102">
        <f>VLOOKUP(L143,设备合同!$L$6:$CC$302,61,0)</f>
        <v>0</v>
      </c>
      <c r="BU143" s="102">
        <f>VLOOKUP(L143,设备合同!$L$6:$CC$302,62,0)</f>
        <v>0</v>
      </c>
      <c r="BV143" s="102">
        <f>VLOOKUP(L143,设备合同!$L$6:$CC$302,63,0)</f>
        <v>0</v>
      </c>
      <c r="BW143" s="102">
        <f>VLOOKUP(L143,设备合同!$L$6:$CC$302,64,0)</f>
        <v>0</v>
      </c>
      <c r="BX143" s="102">
        <f>VLOOKUP(L143,设备合同!$L$6:$CC$302,65,0)</f>
        <v>0</v>
      </c>
      <c r="BY143" s="102">
        <f>VLOOKUP(L143,设备合同!$L$6:$CC$302,66,0)</f>
        <v>0</v>
      </c>
      <c r="BZ143" s="102">
        <f>VLOOKUP(L143,设备合同!$L$6:$CC$302,67,0)</f>
        <v>0</v>
      </c>
      <c r="CA143" s="102">
        <f>VLOOKUP(L143,设备合同!$L$6:$CC$302,68,0)</f>
        <v>0</v>
      </c>
      <c r="CB143" s="102">
        <f>VLOOKUP(L143,设备合同!$L$6:$CC$302,69,0)</f>
        <v>0</v>
      </c>
      <c r="CC143" s="102">
        <f>VLOOKUP(L143,设备合同!$L$6:$CC$302,70,0)</f>
        <v>0</v>
      </c>
      <c r="CD143" s="123">
        <f t="shared" si="44"/>
        <v>1800000</v>
      </c>
      <c r="CE143" s="102">
        <f t="shared" si="45"/>
        <v>0</v>
      </c>
      <c r="CF143" s="102">
        <f t="shared" si="46"/>
        <v>0</v>
      </c>
      <c r="CG143" s="102">
        <f t="shared" si="47"/>
        <v>0</v>
      </c>
      <c r="CH143" s="124">
        <f t="shared" si="48"/>
        <v>1800000</v>
      </c>
      <c r="CI143" s="125">
        <f t="shared" si="49"/>
        <v>0</v>
      </c>
      <c r="CJ143" s="126" t="str">
        <f t="shared" si="50"/>
        <v>数据正确</v>
      </c>
    </row>
    <row r="144" s="60" customFormat="1" customHeight="1" spans="2:88">
      <c r="B144" s="70" t="str">
        <f t="shared" si="40"/>
        <v>申请中</v>
      </c>
      <c r="C144" s="71" t="str">
        <f t="shared" si="41"/>
        <v>-</v>
      </c>
      <c r="D144" s="181">
        <f t="shared" si="42"/>
        <v>13749109.14</v>
      </c>
      <c r="E144" s="181">
        <f>SUMIF(工程合同!$L$6:$L$299,L144,工程合同!$E$6:$E$299)</f>
        <v>180000</v>
      </c>
      <c r="F144" s="181">
        <f>SUMIF(工程合同!$L$6:$L$299,L144,工程合同!$F$6:$F$299)</f>
        <v>104991</v>
      </c>
      <c r="G144" s="181">
        <f>SUMIF(工程合同!$L$6:$L$299,L144,工程合同!$G$6:$G$299)</f>
        <v>54847.8599999994</v>
      </c>
      <c r="H144" s="181">
        <f>SUMIF(工程合同!$L$6:$L$299,L144,工程合同!$H$6:$H$299)</f>
        <v>0</v>
      </c>
      <c r="I144" s="181">
        <f t="shared" si="43"/>
        <v>31573</v>
      </c>
      <c r="J144" s="86" t="s">
        <v>98</v>
      </c>
      <c r="K144" s="87"/>
      <c r="L144" s="88">
        <v>139</v>
      </c>
      <c r="M144" s="89" t="str">
        <f>VLOOKUP(L144,工程合同!$L$6:$CC$299,2,0)</f>
        <v>YRKJ-2017GC-SGHT001</v>
      </c>
      <c r="N144" s="90" t="str">
        <f>VLOOKUP(L144,工程合同!$L$6:$CC$299,3,0)</f>
        <v>工程合同</v>
      </c>
      <c r="O144" s="265" t="str">
        <f>VLOOKUP(L144,工程合同!$L$6:$CC$299,4,0)</f>
        <v>-</v>
      </c>
      <c r="P144" s="266">
        <f>VLOOKUP(L144,工程合同!$L$6:$CC$299,5,0)</f>
        <v>42758</v>
      </c>
      <c r="Q144" s="275">
        <f>VLOOKUP(L144,工程合同!$L$6:$CC$299,6,0)</f>
        <v>51560000</v>
      </c>
      <c r="R144" s="89" t="str">
        <f>VLOOKUP(L144,工程合同!$L$6:$CC$299,7,0)</f>
        <v>厂前区项目土建工程  合计</v>
      </c>
      <c r="S144" s="89" t="str">
        <f>VLOOKUP(L144,工程合同!$L$6:$CC$299,8,0)</f>
        <v>中国化学工程第三建设有限公司</v>
      </c>
      <c r="T144" s="107">
        <f>VLOOKUP(L144,工程合同!$L$6:$CC$299,9,0)</f>
        <v>0</v>
      </c>
      <c r="U144" s="103" t="str">
        <f>VLOOKUP(L144,工程合同!$L$6:$CC$299,10,0)</f>
        <v>6个月承兑汇票/电汇下浮3%</v>
      </c>
      <c r="V144" s="276" t="str">
        <f>VLOOKUP(L144,工程合同!$L$6:$CC$299,11,0)</f>
        <v>-</v>
      </c>
      <c r="W144" s="102">
        <f>VLOOKUP(L144,工程合同!$L$6:$CC$299,12,0)</f>
        <v>21507636</v>
      </c>
      <c r="X144" s="102">
        <f>VLOOKUP(L144,工程合同!$L$6:$CC$299,13,0)</f>
        <v>3600000</v>
      </c>
      <c r="Y144" s="102">
        <f>VLOOKUP(L144,工程合同!$L$6:$CC$299,14,0)</f>
        <v>3600000</v>
      </c>
      <c r="Z144" s="102">
        <f>VLOOKUP(L144,工程合同!$L$6:$CC$299,15,0)</f>
        <v>0</v>
      </c>
      <c r="AA144" s="102">
        <f>VLOOKUP(L144,工程合同!$L$6:$CC$299,16,0)</f>
        <v>5353216.6</v>
      </c>
      <c r="AB144" s="102">
        <f>VLOOKUP(L144,工程合同!$L$6:$CC$299,17,0)</f>
        <v>4282000</v>
      </c>
      <c r="AC144" s="102">
        <f>VLOOKUP(L144,工程合同!$L$6:$CC$299,18,0)</f>
        <v>4025695.08</v>
      </c>
      <c r="AD144" s="102">
        <f>VLOOKUP(L144,工程合同!$L$6:$CC$299,19,0)</f>
        <v>0</v>
      </c>
      <c r="AE144" s="102">
        <f>VLOOKUP(L144,工程合同!$L$6:$CC$299,20,0)</f>
        <v>2262297.2</v>
      </c>
      <c r="AF144" s="102">
        <f>VLOOKUP(L144,工程合同!$L$6:$CC$299,21,0)</f>
        <v>1809531</v>
      </c>
      <c r="AG144" s="102">
        <f>VLOOKUP(L144,工程合同!$L$6:$CC$299,22,0)</f>
        <v>1773414.06</v>
      </c>
      <c r="AH144" s="102">
        <f>VLOOKUP(L144,工程合同!$L$6:$CC$299,23,0)</f>
        <v>0</v>
      </c>
      <c r="AI144" s="102">
        <f>VLOOKUP(L144,工程合同!$L$6:$CC$299,24,0)</f>
        <v>5536237.8</v>
      </c>
      <c r="AJ144" s="102">
        <f>VLOOKUP(L144,工程合同!$L$6:$CC$299,25,0)</f>
        <v>4428990</v>
      </c>
      <c r="AK144" s="102">
        <f>VLOOKUP(L144,工程合同!$L$6:$CC$299,26,0)</f>
        <v>4350000</v>
      </c>
      <c r="AL144" s="102">
        <f>VLOOKUP(L144,工程合同!$L$6:$CC$299,27,0)</f>
        <v>0</v>
      </c>
      <c r="AM144" s="102">
        <f>VLOOKUP(L144,工程合同!$L$6:$CC$299,28,0)</f>
        <v>3376350.44</v>
      </c>
      <c r="AN144" s="102">
        <f>VLOOKUP(L144,工程合同!$L$6:$CC$299,29,0)</f>
        <v>0</v>
      </c>
      <c r="AO144" s="102">
        <f>VLOOKUP(L144,工程合同!$L$6:$CC$299,30,0)</f>
        <v>0</v>
      </c>
      <c r="AP144" s="102">
        <f>VLOOKUP(L144,工程合同!$L$6:$CC$299,31,0)</f>
        <v>0</v>
      </c>
      <c r="AQ144" s="102">
        <f>VLOOKUP(L144,工程合同!$L$6:$CC$299,32,0)</f>
        <v>3109533.14</v>
      </c>
      <c r="AR144" s="102">
        <f>VLOOKUP(L144,工程合同!$L$6:$CC$299,33,0)</f>
        <v>0</v>
      </c>
      <c r="AS144" s="102">
        <f>VLOOKUP(L144,工程合同!$L$6:$CC$299,34,0)</f>
        <v>0</v>
      </c>
      <c r="AT144" s="102">
        <f>VLOOKUP(L144,工程合同!$L$6:$CC$299,35,0)</f>
        <v>0</v>
      </c>
      <c r="AU144" s="102">
        <f>VLOOKUP(L144,工程合同!$L$6:$CC$299,36,0)</f>
        <v>2365039.27</v>
      </c>
      <c r="AV144" s="102">
        <f>VLOOKUP(L144,工程合同!$L$6:$CC$299,37,0)</f>
        <v>0</v>
      </c>
      <c r="AW144" s="102">
        <f>VLOOKUP(L144,工程合同!$L$6:$CC$299,38,0)</f>
        <v>0</v>
      </c>
      <c r="AX144" s="102">
        <f>VLOOKUP(L144,工程合同!$L$6:$CC$299,39,0)</f>
        <v>0</v>
      </c>
      <c r="AY144" s="102">
        <f>VLOOKUP(L144,工程合同!$L$6:$CC$299,40,0)</f>
        <v>2059337.63</v>
      </c>
      <c r="AZ144" s="102">
        <f>VLOOKUP(L144,工程合同!$L$6:$CC$299,41,0)</f>
        <v>0</v>
      </c>
      <c r="BA144" s="102">
        <f>VLOOKUP(L144,工程合同!$L$6:$CC$299,42,0)</f>
        <v>0</v>
      </c>
      <c r="BB144" s="102">
        <f>VLOOKUP(L144,工程合同!$L$6:$CC$299,43,0)</f>
        <v>0</v>
      </c>
      <c r="BC144" s="102">
        <f>VLOOKUP(L144,工程合同!$L$6:$CC$299,44,0)</f>
        <v>4925746.72</v>
      </c>
      <c r="BD144" s="102">
        <f>VLOOKUP(L144,工程合同!$L$6:$CC$299,45,0)</f>
        <v>0</v>
      </c>
      <c r="BE144" s="102">
        <f>VLOOKUP(L144,工程合同!$L$6:$CC$299,46,0)</f>
        <v>0</v>
      </c>
      <c r="BF144" s="102">
        <f>VLOOKUP(L144,工程合同!$L$6:$CC$299,47,0)</f>
        <v>0</v>
      </c>
      <c r="BG144" s="102">
        <f>VLOOKUP(L144,工程合同!$L$6:$CC$299,48,0)</f>
        <v>177434.2</v>
      </c>
      <c r="BH144" s="102">
        <f>VLOOKUP(L144,工程合同!$L$6:$CC$299,49,0)</f>
        <v>0</v>
      </c>
      <c r="BI144" s="102">
        <f>VLOOKUP(L144,工程合同!$L$6:$CC$299,50,0)</f>
        <v>0</v>
      </c>
      <c r="BJ144" s="102">
        <f>VLOOKUP(L144,工程合同!$L$6:$CC$299,51,0)</f>
        <v>0</v>
      </c>
      <c r="BK144" s="102">
        <f>VLOOKUP(L144,工程合同!$L$6:$CC$299,52,0)</f>
        <v>248407.88</v>
      </c>
      <c r="BL144" s="102">
        <f>VLOOKUP(L144,工程合同!$L$6:$CC$299,53,0)</f>
        <v>0</v>
      </c>
      <c r="BM144" s="102">
        <f>VLOOKUP(L144,工程合同!$L$6:$CC$299,54,0)</f>
        <v>0</v>
      </c>
      <c r="BN144" s="102">
        <f>VLOOKUP(L144,工程合同!$L$6:$CC$299,55,0)</f>
        <v>0</v>
      </c>
      <c r="BO144" s="102">
        <f>VLOOKUP(L144,工程合同!$L$6:$CC$299,56,0)</f>
        <v>638763.12</v>
      </c>
      <c r="BP144" s="102">
        <f>VLOOKUP(L144,工程合同!$L$6:$CC$299,57,0)</f>
        <v>0</v>
      </c>
      <c r="BQ144" s="102">
        <f>VLOOKUP(L144,工程合同!$L$6:$CC$299,58,0)</f>
        <v>0</v>
      </c>
      <c r="BR144" s="102">
        <f>VLOOKUP(L144,工程合同!$L$6:$CC$299,59,0)</f>
        <v>0</v>
      </c>
      <c r="BS144" s="102">
        <f>VLOOKUP(L144,工程合同!$L$6:$CC$299,60,0)</f>
        <v>0</v>
      </c>
      <c r="BT144" s="102">
        <f>VLOOKUP(L144,工程合同!$L$6:$CC$299,61,0)</f>
        <v>0</v>
      </c>
      <c r="BU144" s="102">
        <f>VLOOKUP(L144,工程合同!$L$6:$CC$299,62,0)</f>
        <v>0</v>
      </c>
      <c r="BV144" s="102">
        <f>VLOOKUP(L144,工程合同!$L$6:$CC$299,63,0)</f>
        <v>0</v>
      </c>
      <c r="BW144" s="102">
        <f>VLOOKUP(L144,工程合同!$L$6:$CC$299,64,0)</f>
        <v>0</v>
      </c>
      <c r="BX144" s="102">
        <f>VLOOKUP(L144,工程合同!$L$6:$CC$299,65,0)</f>
        <v>0</v>
      </c>
      <c r="BY144" s="102">
        <f>VLOOKUP(L144,工程合同!$L$6:$CC$299,66,0)</f>
        <v>0</v>
      </c>
      <c r="BZ144" s="102">
        <f>VLOOKUP(L144,工程合同!$L$6:$CC$299,67,0)</f>
        <v>0</v>
      </c>
      <c r="CA144" s="102">
        <f>VLOOKUP(L144,工程合同!$L$6:$CC$299,68,0)</f>
        <v>0</v>
      </c>
      <c r="CB144" s="102">
        <f>VLOOKUP(L144,工程合同!$L$6:$CC$299,69,0)</f>
        <v>0</v>
      </c>
      <c r="CC144" s="102">
        <f>VLOOKUP(L144,工程合同!$L$6:$CC$299,70,0)</f>
        <v>0</v>
      </c>
      <c r="CD144" s="123">
        <f t="shared" si="44"/>
        <v>51560000</v>
      </c>
      <c r="CE144" s="102">
        <f t="shared" si="45"/>
        <v>14120521</v>
      </c>
      <c r="CF144" s="102">
        <f t="shared" si="46"/>
        <v>13749109.14</v>
      </c>
      <c r="CG144" s="102">
        <f t="shared" si="47"/>
        <v>339838.859999999</v>
      </c>
      <c r="CH144" s="124">
        <f t="shared" si="48"/>
        <v>37471052</v>
      </c>
      <c r="CI144" s="125">
        <f t="shared" si="49"/>
        <v>0.273253452288596</v>
      </c>
      <c r="CJ144" s="126" t="str">
        <f t="shared" si="50"/>
        <v>数据正确</v>
      </c>
    </row>
    <row r="145" s="60" customFormat="1" customHeight="1" spans="2:88">
      <c r="B145" s="70" t="str">
        <f t="shared" si="40"/>
        <v>-</v>
      </c>
      <c r="C145" s="71" t="str">
        <f t="shared" si="41"/>
        <v>已付清</v>
      </c>
      <c r="D145" s="181">
        <f t="shared" si="42"/>
        <v>103000</v>
      </c>
      <c r="E145" s="181">
        <f>SUMIF(设备合同!$L$6:$L$302,L145,设备合同!$E$6:$E$302)</f>
        <v>0</v>
      </c>
      <c r="F145" s="181">
        <f>SUMIF(设备合同!$L$6:$L$302,L145,设备合同!$F$6:$F$302)</f>
        <v>0</v>
      </c>
      <c r="G145" s="181">
        <f>SUMIF(设备合同!$L$6:$L$302,L145,设备合同!$G$6:$G$302)</f>
        <v>0</v>
      </c>
      <c r="H145" s="181">
        <f>SUMIF(设备合同!$L$6:$L$302,L145,设备合同!$H$6:$H$302)</f>
        <v>0</v>
      </c>
      <c r="I145" s="181">
        <f t="shared" si="43"/>
        <v>0</v>
      </c>
      <c r="J145" s="86" t="s">
        <v>98</v>
      </c>
      <c r="K145" s="87"/>
      <c r="L145" s="88">
        <v>140</v>
      </c>
      <c r="M145" s="89" t="str">
        <f>VLOOKUP(L145,设备合同!$L$6:$CC$302,2,0)</f>
        <v>YRKJEQ-170045</v>
      </c>
      <c r="N145" s="90" t="str">
        <f>VLOOKUP(L145,设备合同!$L$6:$CC$302,3,0)</f>
        <v>设备合同</v>
      </c>
      <c r="O145" s="265">
        <f>VLOOKUP(L145,设备合同!$L$6:$CC$302,4,0)</f>
        <v>2017060003</v>
      </c>
      <c r="P145" s="266">
        <f>VLOOKUP(L145,设备合同!$L$6:$CC$302,5,0)</f>
        <v>42930</v>
      </c>
      <c r="Q145" s="275">
        <f>VLOOKUP(L145,设备合同!$L$6:$CC$302,6,0)</f>
        <v>103000</v>
      </c>
      <c r="R145" s="89" t="str">
        <f>VLOOKUP(L145,设备合同!$L$6:$CC$302,7,0)</f>
        <v>3T柴油叉车</v>
      </c>
      <c r="S145" s="89" t="str">
        <f>VLOOKUP(L145,设备合同!$L$6:$CC$302,8,0)</f>
        <v>林德（中国）叉车有限公司</v>
      </c>
      <c r="T145" s="107">
        <f>VLOOKUP(L145,设备合同!$L$6:$CC$302,9,0)</f>
        <v>0</v>
      </c>
      <c r="U145" s="103" t="str">
        <f>VLOOKUP(L145,设备合同!$L$6:$CC$302,10,0)</f>
        <v>电汇</v>
      </c>
      <c r="V145" s="276" t="str">
        <f>VLOOKUP(L145,设备合同!$L$6:$CC$302,11,0)</f>
        <v>合同签订后预付30%</v>
      </c>
      <c r="W145" s="102">
        <f>VLOOKUP(L145,设备合同!$L$6:$CC$302,12,0)</f>
        <v>30900</v>
      </c>
      <c r="X145" s="102">
        <f>VLOOKUP(L145,设备合同!$L$6:$CC$302,13,0)</f>
        <v>30900</v>
      </c>
      <c r="Y145" s="102">
        <f>VLOOKUP(L145,设备合同!$L$6:$CC$302,14,0)</f>
        <v>30900</v>
      </c>
      <c r="Z145" s="102" t="str">
        <f>VLOOKUP(L145,设备合同!$L$6:$CC$302,15,0)</f>
        <v>验收合格，收到全额专票，后15个工作日支付70%</v>
      </c>
      <c r="AA145" s="102">
        <f>VLOOKUP(L145,设备合同!$L$6:$CC$302,16,0)</f>
        <v>72100</v>
      </c>
      <c r="AB145" s="102">
        <f>VLOOKUP(L145,设备合同!$L$6:$CC$302,17,0)</f>
        <v>72100</v>
      </c>
      <c r="AC145" s="102">
        <f>VLOOKUP(L145,设备合同!$L$6:$CC$302,18,0)</f>
        <v>72100</v>
      </c>
      <c r="AD145" s="102">
        <f>VLOOKUP(L145,设备合同!$L$6:$CC$302,19,0)</f>
        <v>0</v>
      </c>
      <c r="AE145" s="102">
        <f>VLOOKUP(L145,设备合同!$L$6:$CC$302,20,0)</f>
        <v>0</v>
      </c>
      <c r="AF145" s="102">
        <f>VLOOKUP(L145,设备合同!$L$6:$CC$302,21,0)</f>
        <v>0</v>
      </c>
      <c r="AG145" s="102">
        <f>VLOOKUP(L145,设备合同!$L$6:$CC$302,22,0)</f>
        <v>0</v>
      </c>
      <c r="AH145" s="102">
        <f>VLOOKUP(L145,设备合同!$L$6:$CC$302,23,0)</f>
        <v>0</v>
      </c>
      <c r="AI145" s="102">
        <f>VLOOKUP(L145,设备合同!$L$6:$CC$302,24,0)</f>
        <v>0</v>
      </c>
      <c r="AJ145" s="102">
        <f>VLOOKUP(L145,设备合同!$L$6:$CC$302,25,0)</f>
        <v>0</v>
      </c>
      <c r="AK145" s="102">
        <f>VLOOKUP(L145,设备合同!$L$6:$CC$302,26,0)</f>
        <v>0</v>
      </c>
      <c r="AL145" s="102">
        <f>VLOOKUP(L145,设备合同!$L$6:$CC$302,27,0)</f>
        <v>0</v>
      </c>
      <c r="AM145" s="102">
        <f>VLOOKUP(L145,设备合同!$L$6:$CC$302,28,0)</f>
        <v>0</v>
      </c>
      <c r="AN145" s="102">
        <f>VLOOKUP(L145,设备合同!$L$6:$CC$302,29,0)</f>
        <v>0</v>
      </c>
      <c r="AO145" s="102">
        <f>VLOOKUP(L145,设备合同!$L$6:$CC$302,30,0)</f>
        <v>0</v>
      </c>
      <c r="AP145" s="102">
        <f>VLOOKUP(L145,设备合同!$L$6:$CC$302,31,0)</f>
        <v>0</v>
      </c>
      <c r="AQ145" s="102">
        <f>VLOOKUP(L145,设备合同!$L$6:$CC$302,32,0)</f>
        <v>0</v>
      </c>
      <c r="AR145" s="102">
        <f>VLOOKUP(L145,设备合同!$L$6:$CC$302,33,0)</f>
        <v>0</v>
      </c>
      <c r="AS145" s="102">
        <f>VLOOKUP(L145,设备合同!$L$6:$CC$302,34,0)</f>
        <v>0</v>
      </c>
      <c r="AT145" s="102">
        <f>VLOOKUP(L145,设备合同!$L$6:$CC$302,35,0)</f>
        <v>0</v>
      </c>
      <c r="AU145" s="102">
        <f>VLOOKUP(L145,设备合同!$L$6:$CC$302,36,0)</f>
        <v>0</v>
      </c>
      <c r="AV145" s="102">
        <f>VLOOKUP(L145,设备合同!$L$6:$CC$302,37,0)</f>
        <v>0</v>
      </c>
      <c r="AW145" s="102">
        <f>VLOOKUP(L145,设备合同!$L$6:$CC$302,38,0)</f>
        <v>0</v>
      </c>
      <c r="AX145" s="102">
        <f>VLOOKUP(L145,设备合同!$L$6:$CC$302,39,0)</f>
        <v>0</v>
      </c>
      <c r="AY145" s="102">
        <f>VLOOKUP(L145,设备合同!$L$6:$CC$302,40,0)</f>
        <v>0</v>
      </c>
      <c r="AZ145" s="102">
        <f>VLOOKUP(L145,设备合同!$L$6:$CC$302,41,0)</f>
        <v>0</v>
      </c>
      <c r="BA145" s="102">
        <f>VLOOKUP(L145,设备合同!$L$6:$CC$302,42,0)</f>
        <v>0</v>
      </c>
      <c r="BB145" s="102">
        <f>VLOOKUP(L145,设备合同!$L$6:$CC$302,43,0)</f>
        <v>0</v>
      </c>
      <c r="BC145" s="102">
        <f>VLOOKUP(L145,设备合同!$L$6:$CC$302,44,0)</f>
        <v>0</v>
      </c>
      <c r="BD145" s="102">
        <f>VLOOKUP(L145,设备合同!$L$6:$CC$302,45,0)</f>
        <v>0</v>
      </c>
      <c r="BE145" s="102">
        <f>VLOOKUP(L145,设备合同!$L$6:$CC$302,46,0)</f>
        <v>0</v>
      </c>
      <c r="BF145" s="102">
        <f>VLOOKUP(L145,设备合同!$L$6:$CC$302,47,0)</f>
        <v>0</v>
      </c>
      <c r="BG145" s="102">
        <f>VLOOKUP(L145,设备合同!$L$6:$CC$302,48,0)</f>
        <v>0</v>
      </c>
      <c r="BH145" s="102">
        <f>VLOOKUP(L145,设备合同!$L$6:$CC$302,49,0)</f>
        <v>0</v>
      </c>
      <c r="BI145" s="102">
        <f>VLOOKUP(L145,设备合同!$L$6:$CC$302,50,0)</f>
        <v>0</v>
      </c>
      <c r="BJ145" s="102">
        <f>VLOOKUP(L145,设备合同!$L$6:$CC$302,51,0)</f>
        <v>0</v>
      </c>
      <c r="BK145" s="102">
        <f>VLOOKUP(L145,设备合同!$L$6:$CC$302,52,0)</f>
        <v>0</v>
      </c>
      <c r="BL145" s="102">
        <f>VLOOKUP(L145,设备合同!$L$6:$CC$302,53,0)</f>
        <v>0</v>
      </c>
      <c r="BM145" s="102">
        <f>VLOOKUP(L145,设备合同!$L$6:$CC$302,54,0)</f>
        <v>0</v>
      </c>
      <c r="BN145" s="102">
        <f>VLOOKUP(L145,设备合同!$L$6:$CC$302,55,0)</f>
        <v>0</v>
      </c>
      <c r="BO145" s="102">
        <f>VLOOKUP(L145,设备合同!$L$6:$CC$302,56,0)</f>
        <v>0</v>
      </c>
      <c r="BP145" s="102">
        <f>VLOOKUP(L145,设备合同!$L$6:$CC$302,57,0)</f>
        <v>0</v>
      </c>
      <c r="BQ145" s="102">
        <f>VLOOKUP(L145,设备合同!$L$6:$CC$302,58,0)</f>
        <v>0</v>
      </c>
      <c r="BR145" s="102">
        <f>VLOOKUP(L145,设备合同!$L$6:$CC$302,59,0)</f>
        <v>0</v>
      </c>
      <c r="BS145" s="102">
        <f>VLOOKUP(L145,设备合同!$L$6:$CC$302,60,0)</f>
        <v>0</v>
      </c>
      <c r="BT145" s="102">
        <f>VLOOKUP(L145,设备合同!$L$6:$CC$302,61,0)</f>
        <v>0</v>
      </c>
      <c r="BU145" s="102">
        <f>VLOOKUP(L145,设备合同!$L$6:$CC$302,62,0)</f>
        <v>0</v>
      </c>
      <c r="BV145" s="102">
        <f>VLOOKUP(L145,设备合同!$L$6:$CC$302,63,0)</f>
        <v>0</v>
      </c>
      <c r="BW145" s="102">
        <f>VLOOKUP(L145,设备合同!$L$6:$CC$302,64,0)</f>
        <v>0</v>
      </c>
      <c r="BX145" s="102">
        <f>VLOOKUP(L145,设备合同!$L$6:$CC$302,65,0)</f>
        <v>0</v>
      </c>
      <c r="BY145" s="102">
        <f>VLOOKUP(L145,设备合同!$L$6:$CC$302,66,0)</f>
        <v>0</v>
      </c>
      <c r="BZ145" s="102">
        <f>VLOOKUP(L145,设备合同!$L$6:$CC$302,67,0)</f>
        <v>0</v>
      </c>
      <c r="CA145" s="102">
        <f>VLOOKUP(L145,设备合同!$L$6:$CC$302,68,0)</f>
        <v>0</v>
      </c>
      <c r="CB145" s="102">
        <f>VLOOKUP(L145,设备合同!$L$6:$CC$302,69,0)</f>
        <v>0</v>
      </c>
      <c r="CC145" s="102">
        <f>VLOOKUP(L145,设备合同!$L$6:$CC$302,70,0)</f>
        <v>0</v>
      </c>
      <c r="CD145" s="123">
        <f t="shared" si="44"/>
        <v>103000</v>
      </c>
      <c r="CE145" s="102">
        <f t="shared" si="45"/>
        <v>103000</v>
      </c>
      <c r="CF145" s="102">
        <f t="shared" si="46"/>
        <v>103000</v>
      </c>
      <c r="CG145" s="102">
        <f t="shared" si="47"/>
        <v>0</v>
      </c>
      <c r="CH145" s="124">
        <f t="shared" si="48"/>
        <v>0</v>
      </c>
      <c r="CI145" s="125">
        <f t="shared" si="49"/>
        <v>1</v>
      </c>
      <c r="CJ145" s="126" t="str">
        <f t="shared" si="50"/>
        <v>数据正确</v>
      </c>
    </row>
    <row r="146" s="60" customFormat="1" customHeight="1" spans="2:88">
      <c r="B146" s="70" t="str">
        <f t="shared" si="40"/>
        <v>-</v>
      </c>
      <c r="C146" s="71" t="str">
        <f t="shared" si="41"/>
        <v>-</v>
      </c>
      <c r="D146" s="181">
        <f t="shared" si="42"/>
        <v>2840000</v>
      </c>
      <c r="E146" s="181">
        <f>SUMIF(设备合同!$L$6:$L$302,L146,设备合同!$E$6:$E$302)</f>
        <v>0</v>
      </c>
      <c r="F146" s="181">
        <f>SUMIF(设备合同!$L$6:$L$302,L146,设备合同!$F$6:$F$302)</f>
        <v>0</v>
      </c>
      <c r="G146" s="181">
        <f>SUMIF(设备合同!$L$6:$L$302,L146,设备合同!$G$6:$G$302)</f>
        <v>0</v>
      </c>
      <c r="H146" s="181">
        <f>SUMIF(设备合同!$L$6:$L$302,L146,设备合同!$H$6:$H$302)</f>
        <v>0</v>
      </c>
      <c r="I146" s="181">
        <f t="shared" si="43"/>
        <v>0</v>
      </c>
      <c r="J146" s="86" t="s">
        <v>98</v>
      </c>
      <c r="K146" s="87"/>
      <c r="L146" s="88">
        <v>141</v>
      </c>
      <c r="M146" s="89" t="str">
        <f>VLOOKUP(L146,设备合同!$L$6:$CC$302,2,0)</f>
        <v>YRKJEQ-170022</v>
      </c>
      <c r="N146" s="90" t="str">
        <f>VLOOKUP(L146,设备合同!$L$6:$CC$302,3,0)</f>
        <v>设备合同</v>
      </c>
      <c r="O146" s="265">
        <f>VLOOKUP(L146,设备合同!$L$6:$CC$302,4,0)</f>
        <v>2017050011</v>
      </c>
      <c r="P146" s="266">
        <f>VLOOKUP(L146,设备合同!$L$6:$CC$302,5,0)</f>
        <v>42893</v>
      </c>
      <c r="Q146" s="275">
        <f>VLOOKUP(L146,设备合同!$L$6:$CC$302,6,0)</f>
        <v>14200000</v>
      </c>
      <c r="R146" s="89" t="str">
        <f>VLOOKUP(L146,设备合同!$L$6:$CC$302,7,0)</f>
        <v>氢气压缩机共4台</v>
      </c>
      <c r="S146" s="89" t="str">
        <f>VLOOKUP(L146,设备合同!$L$6:$CC$302,8,0)</f>
        <v>杭州杭氧压缩机有限公司</v>
      </c>
      <c r="T146" s="107" t="str">
        <f>VLOOKUP(L146,设备合同!$L$6:$CC$302,9,0)</f>
        <v>环己酮装置1420万元</v>
      </c>
      <c r="U146" s="103" t="str">
        <f>VLOOKUP(L146,设备合同!$L$6:$CC$302,10,0)</f>
        <v>承兑汇票</v>
      </c>
      <c r="V146" s="276" t="str">
        <f>VLOOKUP(L146,设备合同!$L$6:$CC$302,11,0)</f>
        <v>合同签订15个工作日，收到等额17%专票及预付保函后15个工作日，支付20%预付款。10%履约保证金</v>
      </c>
      <c r="W146" s="102">
        <f>VLOOKUP(L146,设备合同!$L$6:$CC$302,12,0)</f>
        <v>2840000</v>
      </c>
      <c r="X146" s="102">
        <f>VLOOKUP(L146,设备合同!$L$6:$CC$302,13,0)</f>
        <v>2840000</v>
      </c>
      <c r="Y146" s="102">
        <f>VLOOKUP(L146,设备合同!$L$6:$CC$302,14,0)</f>
        <v>2840000</v>
      </c>
      <c r="Z146" s="102" t="str">
        <f>VLOOKUP(L146,设备合同!$L$6:$CC$302,15,0)</f>
        <v>货到甲方现场，提供全额专票，一个月内支付40%货款，退回预付款保函</v>
      </c>
      <c r="AA146" s="102">
        <f>VLOOKUP(L146,设备合同!$L$6:$CC$302,16,0)</f>
        <v>5680000</v>
      </c>
      <c r="AB146" s="102">
        <f>VLOOKUP(L146,设备合同!$L$6:$CC$302,17,0)</f>
        <v>0</v>
      </c>
      <c r="AC146" s="102">
        <f>VLOOKUP(L146,设备合同!$L$6:$CC$302,18,0)</f>
        <v>0</v>
      </c>
      <c r="AD146" s="102" t="str">
        <f>VLOOKUP(L146,设备合同!$L$6:$CC$302,19,0)</f>
        <v>验收合格后，一个月内支付30%验收款</v>
      </c>
      <c r="AE146" s="102">
        <f>VLOOKUP(L146,设备合同!$L$6:$CC$302,20,0)</f>
        <v>4260000</v>
      </c>
      <c r="AF146" s="102">
        <f>VLOOKUP(L146,设备合同!$L$6:$CC$302,21,0)</f>
        <v>0</v>
      </c>
      <c r="AG146" s="102">
        <f>VLOOKUP(L146,设备合同!$L$6:$CC$302,22,0)</f>
        <v>0</v>
      </c>
      <c r="AH146" s="102" t="str">
        <f>VLOOKUP(L146,设备合同!$L$6:$CC$302,23,0)</f>
        <v>10%质保金，货到现场后满18个月付清</v>
      </c>
      <c r="AI146" s="102">
        <f>VLOOKUP(L146,设备合同!$L$6:$CC$302,24,0)</f>
        <v>1420000</v>
      </c>
      <c r="AJ146" s="102">
        <f>VLOOKUP(L146,设备合同!$L$6:$CC$302,25,0)</f>
        <v>0</v>
      </c>
      <c r="AK146" s="102">
        <f>VLOOKUP(L146,设备合同!$L$6:$CC$302,26,0)</f>
        <v>0</v>
      </c>
      <c r="AL146" s="102">
        <f>VLOOKUP(L146,设备合同!$L$6:$CC$302,27,0)</f>
        <v>0</v>
      </c>
      <c r="AM146" s="102">
        <f>VLOOKUP(L146,设备合同!$L$6:$CC$302,28,0)</f>
        <v>0</v>
      </c>
      <c r="AN146" s="102">
        <f>VLOOKUP(L146,设备合同!$L$6:$CC$302,29,0)</f>
        <v>0</v>
      </c>
      <c r="AO146" s="102">
        <f>VLOOKUP(L146,设备合同!$L$6:$CC$302,30,0)</f>
        <v>0</v>
      </c>
      <c r="AP146" s="102">
        <f>VLOOKUP(L146,设备合同!$L$6:$CC$302,31,0)</f>
        <v>0</v>
      </c>
      <c r="AQ146" s="102">
        <f>VLOOKUP(L146,设备合同!$L$6:$CC$302,32,0)</f>
        <v>0</v>
      </c>
      <c r="AR146" s="102">
        <f>VLOOKUP(L146,设备合同!$L$6:$CC$302,33,0)</f>
        <v>0</v>
      </c>
      <c r="AS146" s="102">
        <f>VLOOKUP(L146,设备合同!$L$6:$CC$302,34,0)</f>
        <v>0</v>
      </c>
      <c r="AT146" s="102">
        <f>VLOOKUP(L146,设备合同!$L$6:$CC$302,35,0)</f>
        <v>0</v>
      </c>
      <c r="AU146" s="102">
        <f>VLOOKUP(L146,设备合同!$L$6:$CC$302,36,0)</f>
        <v>0</v>
      </c>
      <c r="AV146" s="102">
        <f>VLOOKUP(L146,设备合同!$L$6:$CC$302,37,0)</f>
        <v>0</v>
      </c>
      <c r="AW146" s="102">
        <f>VLOOKUP(L146,设备合同!$L$6:$CC$302,38,0)</f>
        <v>0</v>
      </c>
      <c r="AX146" s="102">
        <f>VLOOKUP(L146,设备合同!$L$6:$CC$302,39,0)</f>
        <v>0</v>
      </c>
      <c r="AY146" s="102">
        <f>VLOOKUP(L146,设备合同!$L$6:$CC$302,40,0)</f>
        <v>0</v>
      </c>
      <c r="AZ146" s="102">
        <f>VLOOKUP(L146,设备合同!$L$6:$CC$302,41,0)</f>
        <v>0</v>
      </c>
      <c r="BA146" s="102">
        <f>VLOOKUP(L146,设备合同!$L$6:$CC$302,42,0)</f>
        <v>0</v>
      </c>
      <c r="BB146" s="102">
        <f>VLOOKUP(L146,设备合同!$L$6:$CC$302,43,0)</f>
        <v>0</v>
      </c>
      <c r="BC146" s="102">
        <f>VLOOKUP(L146,设备合同!$L$6:$CC$302,44,0)</f>
        <v>0</v>
      </c>
      <c r="BD146" s="102">
        <f>VLOOKUP(L146,设备合同!$L$6:$CC$302,45,0)</f>
        <v>0</v>
      </c>
      <c r="BE146" s="102">
        <f>VLOOKUP(L146,设备合同!$L$6:$CC$302,46,0)</f>
        <v>0</v>
      </c>
      <c r="BF146" s="102">
        <f>VLOOKUP(L146,设备合同!$L$6:$CC$302,47,0)</f>
        <v>0</v>
      </c>
      <c r="BG146" s="102">
        <f>VLOOKUP(L146,设备合同!$L$6:$CC$302,48,0)</f>
        <v>0</v>
      </c>
      <c r="BH146" s="102">
        <f>VLOOKUP(L146,设备合同!$L$6:$CC$302,49,0)</f>
        <v>0</v>
      </c>
      <c r="BI146" s="102">
        <f>VLOOKUP(L146,设备合同!$L$6:$CC$302,50,0)</f>
        <v>0</v>
      </c>
      <c r="BJ146" s="102">
        <f>VLOOKUP(L146,设备合同!$L$6:$CC$302,51,0)</f>
        <v>0</v>
      </c>
      <c r="BK146" s="102">
        <f>VLOOKUP(L146,设备合同!$L$6:$CC$302,52,0)</f>
        <v>0</v>
      </c>
      <c r="BL146" s="102">
        <f>VLOOKUP(L146,设备合同!$L$6:$CC$302,53,0)</f>
        <v>0</v>
      </c>
      <c r="BM146" s="102">
        <f>VLOOKUP(L146,设备合同!$L$6:$CC$302,54,0)</f>
        <v>0</v>
      </c>
      <c r="BN146" s="102">
        <f>VLOOKUP(L146,设备合同!$L$6:$CC$302,55,0)</f>
        <v>0</v>
      </c>
      <c r="BO146" s="102">
        <f>VLOOKUP(L146,设备合同!$L$6:$CC$302,56,0)</f>
        <v>0</v>
      </c>
      <c r="BP146" s="102">
        <f>VLOOKUP(L146,设备合同!$L$6:$CC$302,57,0)</f>
        <v>0</v>
      </c>
      <c r="BQ146" s="102">
        <f>VLOOKUP(L146,设备合同!$L$6:$CC$302,58,0)</f>
        <v>0</v>
      </c>
      <c r="BR146" s="102">
        <f>VLOOKUP(L146,设备合同!$L$6:$CC$302,59,0)</f>
        <v>0</v>
      </c>
      <c r="BS146" s="102">
        <f>VLOOKUP(L146,设备合同!$L$6:$CC$302,60,0)</f>
        <v>0</v>
      </c>
      <c r="BT146" s="102">
        <f>VLOOKUP(L146,设备合同!$L$6:$CC$302,61,0)</f>
        <v>0</v>
      </c>
      <c r="BU146" s="102">
        <f>VLOOKUP(L146,设备合同!$L$6:$CC$302,62,0)</f>
        <v>0</v>
      </c>
      <c r="BV146" s="102">
        <f>VLOOKUP(L146,设备合同!$L$6:$CC$302,63,0)</f>
        <v>0</v>
      </c>
      <c r="BW146" s="102">
        <f>VLOOKUP(L146,设备合同!$L$6:$CC$302,64,0)</f>
        <v>0</v>
      </c>
      <c r="BX146" s="102">
        <f>VLOOKUP(L146,设备合同!$L$6:$CC$302,65,0)</f>
        <v>0</v>
      </c>
      <c r="BY146" s="102">
        <f>VLOOKUP(L146,设备合同!$L$6:$CC$302,66,0)</f>
        <v>0</v>
      </c>
      <c r="BZ146" s="102">
        <f>VLOOKUP(L146,设备合同!$L$6:$CC$302,67,0)</f>
        <v>0</v>
      </c>
      <c r="CA146" s="102">
        <f>VLOOKUP(L146,设备合同!$L$6:$CC$302,68,0)</f>
        <v>0</v>
      </c>
      <c r="CB146" s="102">
        <f>VLOOKUP(L146,设备合同!$L$6:$CC$302,69,0)</f>
        <v>0</v>
      </c>
      <c r="CC146" s="102">
        <f>VLOOKUP(L146,设备合同!$L$6:$CC$302,70,0)</f>
        <v>0</v>
      </c>
      <c r="CD146" s="123">
        <f t="shared" si="44"/>
        <v>14200000</v>
      </c>
      <c r="CE146" s="102">
        <f t="shared" si="45"/>
        <v>2840000</v>
      </c>
      <c r="CF146" s="102">
        <f t="shared" si="46"/>
        <v>2840000</v>
      </c>
      <c r="CG146" s="102">
        <f t="shared" si="47"/>
        <v>0</v>
      </c>
      <c r="CH146" s="124">
        <f t="shared" si="48"/>
        <v>11360000</v>
      </c>
      <c r="CI146" s="125">
        <f t="shared" si="49"/>
        <v>0.2</v>
      </c>
      <c r="CJ146" s="126" t="str">
        <f t="shared" si="50"/>
        <v>数据正确</v>
      </c>
    </row>
    <row r="147" s="60" customFormat="1" customHeight="1" spans="2:88">
      <c r="B147" s="70" t="str">
        <f t="shared" si="40"/>
        <v>-</v>
      </c>
      <c r="C147" s="71" t="str">
        <f t="shared" si="41"/>
        <v>-</v>
      </c>
      <c r="D147" s="181">
        <f t="shared" si="42"/>
        <v>580000</v>
      </c>
      <c r="E147" s="181">
        <f>SUMIF(设备合同!$L$6:$L$302,L147,设备合同!$E$6:$E$302)</f>
        <v>0</v>
      </c>
      <c r="F147" s="181">
        <f>SUMIF(设备合同!$L$6:$L$302,L147,设备合同!$F$6:$F$302)</f>
        <v>0</v>
      </c>
      <c r="G147" s="181">
        <f>SUMIF(设备合同!$L$6:$L$302,L147,设备合同!$G$6:$G$302)</f>
        <v>0</v>
      </c>
      <c r="H147" s="181">
        <f>SUMIF(设备合同!$L$6:$L$302,L147,设备合同!$H$6:$H$302)</f>
        <v>0</v>
      </c>
      <c r="I147" s="181">
        <f t="shared" si="43"/>
        <v>0</v>
      </c>
      <c r="J147" s="86" t="s">
        <v>98</v>
      </c>
      <c r="K147" s="87"/>
      <c r="L147" s="88">
        <v>142</v>
      </c>
      <c r="M147" s="89" t="str">
        <f>VLOOKUP(L147,设备合同!$L$6:$CC$302,2,0)</f>
        <v>YRKJEQ-170023</v>
      </c>
      <c r="N147" s="90" t="str">
        <f>VLOOKUP(L147,设备合同!$L$6:$CC$302,3,0)</f>
        <v>设备合同</v>
      </c>
      <c r="O147" s="265">
        <f>VLOOKUP(L147,设备合同!$L$6:$CC$302,4,0)</f>
        <v>2017060065</v>
      </c>
      <c r="P147" s="266">
        <f>VLOOKUP(L147,设备合同!$L$6:$CC$302,5,0)</f>
        <v>42893</v>
      </c>
      <c r="Q147" s="275">
        <f>VLOOKUP(L147,设备合同!$L$6:$CC$302,6,0)</f>
        <v>2900000</v>
      </c>
      <c r="R147" s="89" t="str">
        <f>VLOOKUP(L147,设备合同!$L$6:$CC$302,7,0)</f>
        <v>循环水泵及配件P-85301D配套</v>
      </c>
      <c r="S147" s="89" t="str">
        <f>VLOOKUP(L147,设备合同!$L$6:$CC$302,8,0)</f>
        <v>湖南湘电长沙水泵有限公司</v>
      </c>
      <c r="T147" s="107" t="str">
        <f>VLOOKUP(L147,设备合同!$L$6:$CC$302,9,0)</f>
        <v>循环水场290万元</v>
      </c>
      <c r="U147" s="103" t="str">
        <f>VLOOKUP(L147,设备合同!$L$6:$CC$302,10,0)</f>
        <v>6个月承兑汇票</v>
      </c>
      <c r="V147" s="276" t="str">
        <f>VLOOKUP(L147,设备合同!$L$6:$CC$302,11,0)</f>
        <v>甲方接到货物后，收到乙方提供的20%预付款保函，并收到等额的专票后支付20%货款。乙方提供10%履约保函</v>
      </c>
      <c r="W147" s="102">
        <f>VLOOKUP(L147,设备合同!$L$6:$CC$302,12,0)</f>
        <v>580000</v>
      </c>
      <c r="X147" s="102">
        <f>VLOOKUP(L147,设备合同!$L$6:$CC$302,13,0)</f>
        <v>580000</v>
      </c>
      <c r="Y147" s="102">
        <f>VLOOKUP(L147,设备合同!$L$6:$CC$302,14,0)</f>
        <v>580000</v>
      </c>
      <c r="Z147" s="102" t="str">
        <f>VLOOKUP(L147,设备合同!$L$6:$CC$302,15,0)</f>
        <v>甲方到乙方现场确认无误后，收到17%等额专票，15个工作日内支付40%发货款</v>
      </c>
      <c r="AA147" s="102">
        <f>VLOOKUP(L147,设备合同!$L$6:$CC$302,16,0)</f>
        <v>1160000</v>
      </c>
      <c r="AB147" s="102">
        <f>VLOOKUP(L147,设备合同!$L$6:$CC$302,17,0)</f>
        <v>0</v>
      </c>
      <c r="AC147" s="102">
        <f>VLOOKUP(L147,设备合同!$L$6:$CC$302,18,0)</f>
        <v>0</v>
      </c>
      <c r="AD147" s="102" t="str">
        <f>VLOOKUP(L147,设备合同!$L$6:$CC$302,19,0)</f>
        <v>甲方收到货物，并验收合格后收到全额的专票后，支付30%的验收款</v>
      </c>
      <c r="AE147" s="102">
        <f>VLOOKUP(L147,设备合同!$L$6:$CC$302,20,0)</f>
        <v>870000</v>
      </c>
      <c r="AF147" s="102">
        <f>VLOOKUP(L147,设备合同!$L$6:$CC$302,21,0)</f>
        <v>0</v>
      </c>
      <c r="AG147" s="102">
        <f>VLOOKUP(L147,设备合同!$L$6:$CC$302,22,0)</f>
        <v>0</v>
      </c>
      <c r="AH147" s="102" t="str">
        <f>VLOOKUP(L147,设备合同!$L$6:$CC$302,23,0)</f>
        <v>10%质保金，质满期满后无息支付</v>
      </c>
      <c r="AI147" s="102">
        <f>VLOOKUP(L147,设备合同!$L$6:$CC$302,24,0)</f>
        <v>290000</v>
      </c>
      <c r="AJ147" s="102">
        <f>VLOOKUP(L147,设备合同!$L$6:$CC$302,25,0)</f>
        <v>0</v>
      </c>
      <c r="AK147" s="102">
        <f>VLOOKUP(L147,设备合同!$L$6:$CC$302,26,0)</f>
        <v>0</v>
      </c>
      <c r="AL147" s="102">
        <f>VLOOKUP(L147,设备合同!$L$6:$CC$302,27,0)</f>
        <v>0</v>
      </c>
      <c r="AM147" s="102">
        <f>VLOOKUP(L147,设备合同!$L$6:$CC$302,28,0)</f>
        <v>0</v>
      </c>
      <c r="AN147" s="102">
        <f>VLOOKUP(L147,设备合同!$L$6:$CC$302,29,0)</f>
        <v>0</v>
      </c>
      <c r="AO147" s="102">
        <f>VLOOKUP(L147,设备合同!$L$6:$CC$302,30,0)</f>
        <v>0</v>
      </c>
      <c r="AP147" s="102">
        <f>VLOOKUP(L147,设备合同!$L$6:$CC$302,31,0)</f>
        <v>0</v>
      </c>
      <c r="AQ147" s="102">
        <f>VLOOKUP(L147,设备合同!$L$6:$CC$302,32,0)</f>
        <v>0</v>
      </c>
      <c r="AR147" s="102">
        <f>VLOOKUP(L147,设备合同!$L$6:$CC$302,33,0)</f>
        <v>0</v>
      </c>
      <c r="AS147" s="102">
        <f>VLOOKUP(L147,设备合同!$L$6:$CC$302,34,0)</f>
        <v>0</v>
      </c>
      <c r="AT147" s="102">
        <f>VLOOKUP(L147,设备合同!$L$6:$CC$302,35,0)</f>
        <v>0</v>
      </c>
      <c r="AU147" s="102">
        <f>VLOOKUP(L147,设备合同!$L$6:$CC$302,36,0)</f>
        <v>0</v>
      </c>
      <c r="AV147" s="102">
        <f>VLOOKUP(L147,设备合同!$L$6:$CC$302,37,0)</f>
        <v>0</v>
      </c>
      <c r="AW147" s="102">
        <f>VLOOKUP(L147,设备合同!$L$6:$CC$302,38,0)</f>
        <v>0</v>
      </c>
      <c r="AX147" s="102">
        <f>VLOOKUP(L147,设备合同!$L$6:$CC$302,39,0)</f>
        <v>0</v>
      </c>
      <c r="AY147" s="102">
        <f>VLOOKUP(L147,设备合同!$L$6:$CC$302,40,0)</f>
        <v>0</v>
      </c>
      <c r="AZ147" s="102">
        <f>VLOOKUP(L147,设备合同!$L$6:$CC$302,41,0)</f>
        <v>0</v>
      </c>
      <c r="BA147" s="102">
        <f>VLOOKUP(L147,设备合同!$L$6:$CC$302,42,0)</f>
        <v>0</v>
      </c>
      <c r="BB147" s="102">
        <f>VLOOKUP(L147,设备合同!$L$6:$CC$302,43,0)</f>
        <v>0</v>
      </c>
      <c r="BC147" s="102">
        <f>VLOOKUP(L147,设备合同!$L$6:$CC$302,44,0)</f>
        <v>0</v>
      </c>
      <c r="BD147" s="102">
        <f>VLOOKUP(L147,设备合同!$L$6:$CC$302,45,0)</f>
        <v>0</v>
      </c>
      <c r="BE147" s="102">
        <f>VLOOKUP(L147,设备合同!$L$6:$CC$302,46,0)</f>
        <v>0</v>
      </c>
      <c r="BF147" s="102">
        <f>VLOOKUP(L147,设备合同!$L$6:$CC$302,47,0)</f>
        <v>0</v>
      </c>
      <c r="BG147" s="102">
        <f>VLOOKUP(L147,设备合同!$L$6:$CC$302,48,0)</f>
        <v>0</v>
      </c>
      <c r="BH147" s="102">
        <f>VLOOKUP(L147,设备合同!$L$6:$CC$302,49,0)</f>
        <v>0</v>
      </c>
      <c r="BI147" s="102">
        <f>VLOOKUP(L147,设备合同!$L$6:$CC$302,50,0)</f>
        <v>0</v>
      </c>
      <c r="BJ147" s="102">
        <f>VLOOKUP(L147,设备合同!$L$6:$CC$302,51,0)</f>
        <v>0</v>
      </c>
      <c r="BK147" s="102">
        <f>VLOOKUP(L147,设备合同!$L$6:$CC$302,52,0)</f>
        <v>0</v>
      </c>
      <c r="BL147" s="102">
        <f>VLOOKUP(L147,设备合同!$L$6:$CC$302,53,0)</f>
        <v>0</v>
      </c>
      <c r="BM147" s="102">
        <f>VLOOKUP(L147,设备合同!$L$6:$CC$302,54,0)</f>
        <v>0</v>
      </c>
      <c r="BN147" s="102">
        <f>VLOOKUP(L147,设备合同!$L$6:$CC$302,55,0)</f>
        <v>0</v>
      </c>
      <c r="BO147" s="102">
        <f>VLOOKUP(L147,设备合同!$L$6:$CC$302,56,0)</f>
        <v>0</v>
      </c>
      <c r="BP147" s="102">
        <f>VLOOKUP(L147,设备合同!$L$6:$CC$302,57,0)</f>
        <v>0</v>
      </c>
      <c r="BQ147" s="102">
        <f>VLOOKUP(L147,设备合同!$L$6:$CC$302,58,0)</f>
        <v>0</v>
      </c>
      <c r="BR147" s="102">
        <f>VLOOKUP(L147,设备合同!$L$6:$CC$302,59,0)</f>
        <v>0</v>
      </c>
      <c r="BS147" s="102">
        <f>VLOOKUP(L147,设备合同!$L$6:$CC$302,60,0)</f>
        <v>0</v>
      </c>
      <c r="BT147" s="102">
        <f>VLOOKUP(L147,设备合同!$L$6:$CC$302,61,0)</f>
        <v>0</v>
      </c>
      <c r="BU147" s="102">
        <f>VLOOKUP(L147,设备合同!$L$6:$CC$302,62,0)</f>
        <v>0</v>
      </c>
      <c r="BV147" s="102">
        <f>VLOOKUP(L147,设备合同!$L$6:$CC$302,63,0)</f>
        <v>0</v>
      </c>
      <c r="BW147" s="102">
        <f>VLOOKUP(L147,设备合同!$L$6:$CC$302,64,0)</f>
        <v>0</v>
      </c>
      <c r="BX147" s="102">
        <f>VLOOKUP(L147,设备合同!$L$6:$CC$302,65,0)</f>
        <v>0</v>
      </c>
      <c r="BY147" s="102">
        <f>VLOOKUP(L147,设备合同!$L$6:$CC$302,66,0)</f>
        <v>0</v>
      </c>
      <c r="BZ147" s="102">
        <f>VLOOKUP(L147,设备合同!$L$6:$CC$302,67,0)</f>
        <v>0</v>
      </c>
      <c r="CA147" s="102">
        <f>VLOOKUP(L147,设备合同!$L$6:$CC$302,68,0)</f>
        <v>0</v>
      </c>
      <c r="CB147" s="102">
        <f>VLOOKUP(L147,设备合同!$L$6:$CC$302,69,0)</f>
        <v>0</v>
      </c>
      <c r="CC147" s="102">
        <f>VLOOKUP(L147,设备合同!$L$6:$CC$302,70,0)</f>
        <v>0</v>
      </c>
      <c r="CD147" s="123">
        <f t="shared" si="44"/>
        <v>2900000</v>
      </c>
      <c r="CE147" s="102">
        <f t="shared" si="45"/>
        <v>580000</v>
      </c>
      <c r="CF147" s="102">
        <f t="shared" si="46"/>
        <v>580000</v>
      </c>
      <c r="CG147" s="102">
        <f t="shared" si="47"/>
        <v>0</v>
      </c>
      <c r="CH147" s="124">
        <f t="shared" si="48"/>
        <v>2320000</v>
      </c>
      <c r="CI147" s="125">
        <f t="shared" si="49"/>
        <v>0.2</v>
      </c>
      <c r="CJ147" s="126" t="str">
        <f t="shared" si="50"/>
        <v>数据正确</v>
      </c>
    </row>
    <row r="148" s="60" customFormat="1" customHeight="1" spans="2:88">
      <c r="B148" s="70" t="str">
        <f t="shared" si="40"/>
        <v>-</v>
      </c>
      <c r="C148" s="71" t="str">
        <f t="shared" si="41"/>
        <v>-</v>
      </c>
      <c r="D148" s="181">
        <f t="shared" si="42"/>
        <v>456000</v>
      </c>
      <c r="E148" s="181">
        <f>SUMIF(工程合同!$L$6:$L$299,L148,工程合同!$E$6:$E$299)</f>
        <v>8000</v>
      </c>
      <c r="F148" s="181">
        <f>SUMIF(工程合同!$L$6:$L$299,L148,工程合同!$F$6:$F$299)</f>
        <v>3180</v>
      </c>
      <c r="G148" s="181">
        <f>SUMIF(工程合同!$L$6:$L$299,L148,工程合同!$G$6:$G$299)</f>
        <v>0</v>
      </c>
      <c r="H148" s="181">
        <f>SUMIF(工程合同!$L$6:$L$299,L148,工程合同!$H$6:$H$299)</f>
        <v>4420</v>
      </c>
      <c r="I148" s="181">
        <f t="shared" si="43"/>
        <v>0</v>
      </c>
      <c r="J148" s="86" t="s">
        <v>98</v>
      </c>
      <c r="K148" s="87"/>
      <c r="L148" s="88">
        <v>143</v>
      </c>
      <c r="M148" s="89" t="str">
        <f>VLOOKUP(L148,工程合同!$L$6:$CC$299,2,0)</f>
        <v>YRKJ-2016GC-SGHT003</v>
      </c>
      <c r="N148" s="90" t="str">
        <f>VLOOKUP(L148,工程合同!$L$6:$CC$299,3,0)</f>
        <v>工程合同</v>
      </c>
      <c r="O148" s="265" t="str">
        <f>VLOOKUP(L148,工程合同!$L$6:$CC$299,4,0)</f>
        <v>-</v>
      </c>
      <c r="P148" s="266">
        <f>VLOOKUP(L148,工程合同!$L$6:$CC$299,5,0)</f>
        <v>42690</v>
      </c>
      <c r="Q148" s="275">
        <f>VLOOKUP(L148,工程合同!$L$6:$CC$299,6,0)</f>
        <v>660000</v>
      </c>
      <c r="R148" s="89" t="str">
        <f>VLOOKUP(L148,工程合同!$L$6:$CC$299,7,0)</f>
        <v>有机物料、苯罐组、液己罐、苯己罐桩基工程</v>
      </c>
      <c r="S148" s="89" t="str">
        <f>VLOOKUP(L148,工程合同!$L$6:$CC$299,8,0)</f>
        <v>福建勘察基础工程公司</v>
      </c>
      <c r="T148" s="107">
        <f>VLOOKUP(L148,工程合同!$L$6:$CC$299,9,0)</f>
        <v>0</v>
      </c>
      <c r="U148" s="103" t="str">
        <f>VLOOKUP(L148,工程合同!$L$6:$CC$299,10,0)</f>
        <v>6个月承兑汇票</v>
      </c>
      <c r="V148" s="276" t="str">
        <f>VLOOKUP(L148,工程合同!$L$6:$CC$299,11,0)</f>
        <v>按月结算，进度款的80%</v>
      </c>
      <c r="W148" s="102">
        <f>VLOOKUP(L148,工程合同!$L$6:$CC$299,12,0)</f>
        <v>528000</v>
      </c>
      <c r="X148" s="102">
        <f>VLOOKUP(L148,工程合同!$L$6:$CC$299,13,0)</f>
        <v>471600</v>
      </c>
      <c r="Y148" s="102">
        <f>VLOOKUP(L148,工程合同!$L$6:$CC$299,14,0)</f>
        <v>456000</v>
      </c>
      <c r="Z148" s="102" t="str">
        <f>VLOOKUP(L148,工程合同!$L$6:$CC$299,15,0)</f>
        <v>工程竣工验收合格后支付15%</v>
      </c>
      <c r="AA148" s="102">
        <f>VLOOKUP(L148,工程合同!$L$6:$CC$299,16,0)</f>
        <v>99000</v>
      </c>
      <c r="AB148" s="102">
        <f>VLOOKUP(L148,工程合同!$L$6:$CC$299,17,0)</f>
        <v>0</v>
      </c>
      <c r="AC148" s="102">
        <f>VLOOKUP(L148,工程合同!$L$6:$CC$299,18,0)</f>
        <v>0</v>
      </c>
      <c r="AD148" s="102" t="str">
        <f>VLOOKUP(L148,工程合同!$L$6:$CC$299,19,0)</f>
        <v>质保期1年后付5%</v>
      </c>
      <c r="AE148" s="102">
        <f>VLOOKUP(L148,工程合同!$L$6:$CC$299,20,0)</f>
        <v>33000</v>
      </c>
      <c r="AF148" s="102">
        <f>VLOOKUP(L148,工程合同!$L$6:$CC$299,21,0)</f>
        <v>0</v>
      </c>
      <c r="AG148" s="102">
        <f>VLOOKUP(L148,工程合同!$L$6:$CC$299,22,0)</f>
        <v>0</v>
      </c>
      <c r="AH148" s="102">
        <f>VLOOKUP(L148,工程合同!$L$6:$CC$299,23,0)</f>
        <v>0</v>
      </c>
      <c r="AI148" s="102">
        <f>VLOOKUP(L148,工程合同!$L$6:$CC$299,24,0)</f>
        <v>0</v>
      </c>
      <c r="AJ148" s="102">
        <f>VLOOKUP(L148,工程合同!$L$6:$CC$299,25,0)</f>
        <v>0</v>
      </c>
      <c r="AK148" s="102">
        <f>VLOOKUP(L148,工程合同!$L$6:$CC$299,26,0)</f>
        <v>0</v>
      </c>
      <c r="AL148" s="102">
        <f>VLOOKUP(L148,工程合同!$L$6:$CC$299,27,0)</f>
        <v>0</v>
      </c>
      <c r="AM148" s="102">
        <f>VLOOKUP(L148,工程合同!$L$6:$CC$299,28,0)</f>
        <v>0</v>
      </c>
      <c r="AN148" s="102">
        <f>VLOOKUP(L148,工程合同!$L$6:$CC$299,29,0)</f>
        <v>0</v>
      </c>
      <c r="AO148" s="102">
        <f>VLOOKUP(L148,工程合同!$L$6:$CC$299,30,0)</f>
        <v>0</v>
      </c>
      <c r="AP148" s="102">
        <f>VLOOKUP(L148,工程合同!$L$6:$CC$299,31,0)</f>
        <v>0</v>
      </c>
      <c r="AQ148" s="102">
        <f>VLOOKUP(L148,工程合同!$L$6:$CC$299,32,0)</f>
        <v>0</v>
      </c>
      <c r="AR148" s="102">
        <f>VLOOKUP(L148,工程合同!$L$6:$CC$299,33,0)</f>
        <v>0</v>
      </c>
      <c r="AS148" s="102">
        <f>VLOOKUP(L148,工程合同!$L$6:$CC$299,34,0)</f>
        <v>0</v>
      </c>
      <c r="AT148" s="102">
        <f>VLOOKUP(L148,工程合同!$L$6:$CC$299,35,0)</f>
        <v>0</v>
      </c>
      <c r="AU148" s="102">
        <f>VLOOKUP(L148,工程合同!$L$6:$CC$299,36,0)</f>
        <v>0</v>
      </c>
      <c r="AV148" s="102">
        <f>VLOOKUP(L148,工程合同!$L$6:$CC$299,37,0)</f>
        <v>0</v>
      </c>
      <c r="AW148" s="102">
        <f>VLOOKUP(L148,工程合同!$L$6:$CC$299,38,0)</f>
        <v>0</v>
      </c>
      <c r="AX148" s="102">
        <f>VLOOKUP(L148,工程合同!$L$6:$CC$299,39,0)</f>
        <v>0</v>
      </c>
      <c r="AY148" s="102">
        <f>VLOOKUP(L148,工程合同!$L$6:$CC$299,40,0)</f>
        <v>0</v>
      </c>
      <c r="AZ148" s="102">
        <f>VLOOKUP(L148,工程合同!$L$6:$CC$299,41,0)</f>
        <v>0</v>
      </c>
      <c r="BA148" s="102">
        <f>VLOOKUP(L148,工程合同!$L$6:$CC$299,42,0)</f>
        <v>0</v>
      </c>
      <c r="BB148" s="102">
        <f>VLOOKUP(L148,工程合同!$L$6:$CC$299,43,0)</f>
        <v>0</v>
      </c>
      <c r="BC148" s="102">
        <f>VLOOKUP(L148,工程合同!$L$6:$CC$299,44,0)</f>
        <v>0</v>
      </c>
      <c r="BD148" s="102">
        <f>VLOOKUP(L148,工程合同!$L$6:$CC$299,45,0)</f>
        <v>0</v>
      </c>
      <c r="BE148" s="102">
        <f>VLOOKUP(L148,工程合同!$L$6:$CC$299,46,0)</f>
        <v>0</v>
      </c>
      <c r="BF148" s="102">
        <f>VLOOKUP(L148,工程合同!$L$6:$CC$299,47,0)</f>
        <v>0</v>
      </c>
      <c r="BG148" s="102">
        <f>VLOOKUP(L148,工程合同!$L$6:$CC$299,48,0)</f>
        <v>0</v>
      </c>
      <c r="BH148" s="102">
        <f>VLOOKUP(L148,工程合同!$L$6:$CC$299,49,0)</f>
        <v>0</v>
      </c>
      <c r="BI148" s="102">
        <f>VLOOKUP(L148,工程合同!$L$6:$CC$299,50,0)</f>
        <v>0</v>
      </c>
      <c r="BJ148" s="102">
        <f>VLOOKUP(L148,工程合同!$L$6:$CC$299,51,0)</f>
        <v>0</v>
      </c>
      <c r="BK148" s="102">
        <f>VLOOKUP(L148,工程合同!$L$6:$CC$299,52,0)</f>
        <v>0</v>
      </c>
      <c r="BL148" s="102">
        <f>VLOOKUP(L148,工程合同!$L$6:$CC$299,53,0)</f>
        <v>0</v>
      </c>
      <c r="BM148" s="102">
        <f>VLOOKUP(L148,工程合同!$L$6:$CC$299,54,0)</f>
        <v>0</v>
      </c>
      <c r="BN148" s="102">
        <f>VLOOKUP(L148,工程合同!$L$6:$CC$299,55,0)</f>
        <v>0</v>
      </c>
      <c r="BO148" s="102">
        <f>VLOOKUP(L148,工程合同!$L$6:$CC$299,56,0)</f>
        <v>0</v>
      </c>
      <c r="BP148" s="102">
        <f>VLOOKUP(L148,工程合同!$L$6:$CC$299,57,0)</f>
        <v>0</v>
      </c>
      <c r="BQ148" s="102">
        <f>VLOOKUP(L148,工程合同!$L$6:$CC$299,58,0)</f>
        <v>0</v>
      </c>
      <c r="BR148" s="102">
        <f>VLOOKUP(L148,工程合同!$L$6:$CC$299,59,0)</f>
        <v>0</v>
      </c>
      <c r="BS148" s="102">
        <f>VLOOKUP(L148,工程合同!$L$6:$CC$299,60,0)</f>
        <v>0</v>
      </c>
      <c r="BT148" s="102">
        <f>VLOOKUP(L148,工程合同!$L$6:$CC$299,61,0)</f>
        <v>0</v>
      </c>
      <c r="BU148" s="102">
        <f>VLOOKUP(L148,工程合同!$L$6:$CC$299,62,0)</f>
        <v>0</v>
      </c>
      <c r="BV148" s="102">
        <f>VLOOKUP(L148,工程合同!$L$6:$CC$299,63,0)</f>
        <v>0</v>
      </c>
      <c r="BW148" s="102">
        <f>VLOOKUP(L148,工程合同!$L$6:$CC$299,64,0)</f>
        <v>0</v>
      </c>
      <c r="BX148" s="102">
        <f>VLOOKUP(L148,工程合同!$L$6:$CC$299,65,0)</f>
        <v>0</v>
      </c>
      <c r="BY148" s="102">
        <f>VLOOKUP(L148,工程合同!$L$6:$CC$299,66,0)</f>
        <v>0</v>
      </c>
      <c r="BZ148" s="102">
        <f>VLOOKUP(L148,工程合同!$L$6:$CC$299,67,0)</f>
        <v>0</v>
      </c>
      <c r="CA148" s="102">
        <f>VLOOKUP(L148,工程合同!$L$6:$CC$299,68,0)</f>
        <v>0</v>
      </c>
      <c r="CB148" s="102">
        <f>VLOOKUP(L148,工程合同!$L$6:$CC$299,69,0)</f>
        <v>0</v>
      </c>
      <c r="CC148" s="102">
        <f>VLOOKUP(L148,工程合同!$L$6:$CC$299,70,0)</f>
        <v>0</v>
      </c>
      <c r="CD148" s="123">
        <f t="shared" si="44"/>
        <v>660000</v>
      </c>
      <c r="CE148" s="102">
        <f t="shared" si="45"/>
        <v>471600</v>
      </c>
      <c r="CF148" s="102">
        <f t="shared" si="46"/>
        <v>456000</v>
      </c>
      <c r="CG148" s="102">
        <f t="shared" si="47"/>
        <v>15600</v>
      </c>
      <c r="CH148" s="124">
        <f t="shared" si="48"/>
        <v>188400</v>
      </c>
      <c r="CI148" s="125">
        <f t="shared" si="49"/>
        <v>0.714545454545455</v>
      </c>
      <c r="CJ148" s="126" t="str">
        <f t="shared" si="50"/>
        <v>数据正确</v>
      </c>
    </row>
    <row r="149" s="60" customFormat="1" customHeight="1" spans="2:88">
      <c r="B149" s="70" t="str">
        <f t="shared" si="40"/>
        <v>-</v>
      </c>
      <c r="C149" s="71" t="str">
        <f t="shared" si="41"/>
        <v>-</v>
      </c>
      <c r="D149" s="181">
        <f t="shared" si="42"/>
        <v>268000</v>
      </c>
      <c r="E149" s="181">
        <f>SUMIF(工程合同!$L$6:$L$299,L149,工程合同!$E$6:$E$299)</f>
        <v>30000</v>
      </c>
      <c r="F149" s="181">
        <f>SUMIF(工程合同!$L$6:$L$299,L149,工程合同!$F$6:$F$299)</f>
        <v>0</v>
      </c>
      <c r="G149" s="181">
        <f>SUMIF(工程合同!$L$6:$L$299,L149,工程合同!$G$6:$G$299)</f>
        <v>0</v>
      </c>
      <c r="H149" s="181">
        <f>SUMIF(工程合同!$L$6:$L$299,L149,工程合同!$H$6:$H$299)</f>
        <v>400</v>
      </c>
      <c r="I149" s="181">
        <f t="shared" si="43"/>
        <v>0</v>
      </c>
      <c r="J149" s="86" t="s">
        <v>98</v>
      </c>
      <c r="K149" s="87"/>
      <c r="L149" s="88">
        <v>144</v>
      </c>
      <c r="M149" s="89" t="str">
        <f>VLOOKUP(L149,工程合同!$L$6:$CC$299,2,0)</f>
        <v>YRKJ-2016GC-SGHT002</v>
      </c>
      <c r="N149" s="90" t="str">
        <f>VLOOKUP(L149,工程合同!$L$6:$CC$299,3,0)</f>
        <v>工程合同</v>
      </c>
      <c r="O149" s="265" t="str">
        <f>VLOOKUP(L149,工程合同!$L$6:$CC$299,4,0)</f>
        <v>-</v>
      </c>
      <c r="P149" s="266">
        <f>VLOOKUP(L149,工程合同!$L$6:$CC$299,5,0)</f>
        <v>42620</v>
      </c>
      <c r="Q149" s="275">
        <f>VLOOKUP(L149,工程合同!$L$6:$CC$299,6,0)</f>
        <v>506000</v>
      </c>
      <c r="R149" s="89" t="str">
        <f>VLOOKUP(L149,工程合同!$L$6:$CC$299,7,0)</f>
        <v>厂前区桩基工程</v>
      </c>
      <c r="S149" s="89" t="str">
        <f>VLOOKUP(L149,工程合同!$L$6:$CC$299,8,0)</f>
        <v>福建勘察基础工程公司</v>
      </c>
      <c r="T149" s="107">
        <f>VLOOKUP(L149,工程合同!$L$6:$CC$299,9,0)</f>
        <v>0</v>
      </c>
      <c r="U149" s="103" t="str">
        <f>VLOOKUP(L149,工程合同!$L$6:$CC$299,10,0)</f>
        <v>6个月承兑汇票</v>
      </c>
      <c r="V149" s="276" t="str">
        <f>VLOOKUP(L149,工程合同!$L$6:$CC$299,11,0)</f>
        <v>按月结算，进度款的80%</v>
      </c>
      <c r="W149" s="102">
        <f>VLOOKUP(L149,工程合同!$L$6:$CC$299,12,0)</f>
        <v>404800</v>
      </c>
      <c r="X149" s="102">
        <f>VLOOKUP(L149,工程合同!$L$6:$CC$299,13,0)</f>
        <v>298400</v>
      </c>
      <c r="Y149" s="102">
        <f>VLOOKUP(L149,工程合同!$L$6:$CC$299,14,0)</f>
        <v>268000</v>
      </c>
      <c r="Z149" s="102" t="str">
        <f>VLOOKUP(L149,工程合同!$L$6:$CC$299,15,0)</f>
        <v>工程竣工验收合格后支付15%</v>
      </c>
      <c r="AA149" s="102">
        <f>VLOOKUP(L149,工程合同!$L$6:$CC$299,16,0)</f>
        <v>75900</v>
      </c>
      <c r="AB149" s="102">
        <f>VLOOKUP(L149,工程合同!$L$6:$CC$299,17,0)</f>
        <v>0</v>
      </c>
      <c r="AC149" s="102">
        <f>VLOOKUP(L149,工程合同!$L$6:$CC$299,18,0)</f>
        <v>0</v>
      </c>
      <c r="AD149" s="102" t="str">
        <f>VLOOKUP(L149,工程合同!$L$6:$CC$299,19,0)</f>
        <v>质保期1年后付5%</v>
      </c>
      <c r="AE149" s="102">
        <f>VLOOKUP(L149,工程合同!$L$6:$CC$299,20,0)</f>
        <v>25300</v>
      </c>
      <c r="AF149" s="102">
        <f>VLOOKUP(L149,工程合同!$L$6:$CC$299,21,0)</f>
        <v>0</v>
      </c>
      <c r="AG149" s="102">
        <f>VLOOKUP(L149,工程合同!$L$6:$CC$299,22,0)</f>
        <v>0</v>
      </c>
      <c r="AH149" s="102">
        <f>VLOOKUP(L149,工程合同!$L$6:$CC$299,23,0)</f>
        <v>0</v>
      </c>
      <c r="AI149" s="102">
        <f>VLOOKUP(L149,工程合同!$L$6:$CC$299,24,0)</f>
        <v>0</v>
      </c>
      <c r="AJ149" s="102">
        <f>VLOOKUP(L149,工程合同!$L$6:$CC$299,25,0)</f>
        <v>0</v>
      </c>
      <c r="AK149" s="102">
        <f>VLOOKUP(L149,工程合同!$L$6:$CC$299,26,0)</f>
        <v>0</v>
      </c>
      <c r="AL149" s="102">
        <f>VLOOKUP(L149,工程合同!$L$6:$CC$299,27,0)</f>
        <v>0</v>
      </c>
      <c r="AM149" s="102">
        <f>VLOOKUP(L149,工程合同!$L$6:$CC$299,28,0)</f>
        <v>0</v>
      </c>
      <c r="AN149" s="102">
        <f>VLOOKUP(L149,工程合同!$L$6:$CC$299,29,0)</f>
        <v>0</v>
      </c>
      <c r="AO149" s="102">
        <f>VLOOKUP(L149,工程合同!$L$6:$CC$299,30,0)</f>
        <v>0</v>
      </c>
      <c r="AP149" s="102">
        <f>VLOOKUP(L149,工程合同!$L$6:$CC$299,31,0)</f>
        <v>0</v>
      </c>
      <c r="AQ149" s="102">
        <f>VLOOKUP(L149,工程合同!$L$6:$CC$299,32,0)</f>
        <v>0</v>
      </c>
      <c r="AR149" s="102">
        <f>VLOOKUP(L149,工程合同!$L$6:$CC$299,33,0)</f>
        <v>0</v>
      </c>
      <c r="AS149" s="102">
        <f>VLOOKUP(L149,工程合同!$L$6:$CC$299,34,0)</f>
        <v>0</v>
      </c>
      <c r="AT149" s="102">
        <f>VLOOKUP(L149,工程合同!$L$6:$CC$299,35,0)</f>
        <v>0</v>
      </c>
      <c r="AU149" s="102">
        <f>VLOOKUP(L149,工程合同!$L$6:$CC$299,36,0)</f>
        <v>0</v>
      </c>
      <c r="AV149" s="102">
        <f>VLOOKUP(L149,工程合同!$L$6:$CC$299,37,0)</f>
        <v>0</v>
      </c>
      <c r="AW149" s="102">
        <f>VLOOKUP(L149,工程合同!$L$6:$CC$299,38,0)</f>
        <v>0</v>
      </c>
      <c r="AX149" s="102">
        <f>VLOOKUP(L149,工程合同!$L$6:$CC$299,39,0)</f>
        <v>0</v>
      </c>
      <c r="AY149" s="102">
        <f>VLOOKUP(L149,工程合同!$L$6:$CC$299,40,0)</f>
        <v>0</v>
      </c>
      <c r="AZ149" s="102">
        <f>VLOOKUP(L149,工程合同!$L$6:$CC$299,41,0)</f>
        <v>0</v>
      </c>
      <c r="BA149" s="102">
        <f>VLOOKUP(L149,工程合同!$L$6:$CC$299,42,0)</f>
        <v>0</v>
      </c>
      <c r="BB149" s="102">
        <f>VLOOKUP(L149,工程合同!$L$6:$CC$299,43,0)</f>
        <v>0</v>
      </c>
      <c r="BC149" s="102">
        <f>VLOOKUP(L149,工程合同!$L$6:$CC$299,44,0)</f>
        <v>0</v>
      </c>
      <c r="BD149" s="102">
        <f>VLOOKUP(L149,工程合同!$L$6:$CC$299,45,0)</f>
        <v>0</v>
      </c>
      <c r="BE149" s="102">
        <f>VLOOKUP(L149,工程合同!$L$6:$CC$299,46,0)</f>
        <v>0</v>
      </c>
      <c r="BF149" s="102">
        <f>VLOOKUP(L149,工程合同!$L$6:$CC$299,47,0)</f>
        <v>0</v>
      </c>
      <c r="BG149" s="102">
        <f>VLOOKUP(L149,工程合同!$L$6:$CC$299,48,0)</f>
        <v>0</v>
      </c>
      <c r="BH149" s="102">
        <f>VLOOKUP(L149,工程合同!$L$6:$CC$299,49,0)</f>
        <v>0</v>
      </c>
      <c r="BI149" s="102">
        <f>VLOOKUP(L149,工程合同!$L$6:$CC$299,50,0)</f>
        <v>0</v>
      </c>
      <c r="BJ149" s="102">
        <f>VLOOKUP(L149,工程合同!$L$6:$CC$299,51,0)</f>
        <v>0</v>
      </c>
      <c r="BK149" s="102">
        <f>VLOOKUP(L149,工程合同!$L$6:$CC$299,52,0)</f>
        <v>0</v>
      </c>
      <c r="BL149" s="102">
        <f>VLOOKUP(L149,工程合同!$L$6:$CC$299,53,0)</f>
        <v>0</v>
      </c>
      <c r="BM149" s="102">
        <f>VLOOKUP(L149,工程合同!$L$6:$CC$299,54,0)</f>
        <v>0</v>
      </c>
      <c r="BN149" s="102">
        <f>VLOOKUP(L149,工程合同!$L$6:$CC$299,55,0)</f>
        <v>0</v>
      </c>
      <c r="BO149" s="102">
        <f>VLOOKUP(L149,工程合同!$L$6:$CC$299,56,0)</f>
        <v>0</v>
      </c>
      <c r="BP149" s="102">
        <f>VLOOKUP(L149,工程合同!$L$6:$CC$299,57,0)</f>
        <v>0</v>
      </c>
      <c r="BQ149" s="102">
        <f>VLOOKUP(L149,工程合同!$L$6:$CC$299,58,0)</f>
        <v>0</v>
      </c>
      <c r="BR149" s="102">
        <f>VLOOKUP(L149,工程合同!$L$6:$CC$299,59,0)</f>
        <v>0</v>
      </c>
      <c r="BS149" s="102">
        <f>VLOOKUP(L149,工程合同!$L$6:$CC$299,60,0)</f>
        <v>0</v>
      </c>
      <c r="BT149" s="102">
        <f>VLOOKUP(L149,工程合同!$L$6:$CC$299,61,0)</f>
        <v>0</v>
      </c>
      <c r="BU149" s="102">
        <f>VLOOKUP(L149,工程合同!$L$6:$CC$299,62,0)</f>
        <v>0</v>
      </c>
      <c r="BV149" s="102">
        <f>VLOOKUP(L149,工程合同!$L$6:$CC$299,63,0)</f>
        <v>0</v>
      </c>
      <c r="BW149" s="102">
        <f>VLOOKUP(L149,工程合同!$L$6:$CC$299,64,0)</f>
        <v>0</v>
      </c>
      <c r="BX149" s="102">
        <f>VLOOKUP(L149,工程合同!$L$6:$CC$299,65,0)</f>
        <v>0</v>
      </c>
      <c r="BY149" s="102">
        <f>VLOOKUP(L149,工程合同!$L$6:$CC$299,66,0)</f>
        <v>0</v>
      </c>
      <c r="BZ149" s="102">
        <f>VLOOKUP(L149,工程合同!$L$6:$CC$299,67,0)</f>
        <v>0</v>
      </c>
      <c r="CA149" s="102">
        <f>VLOOKUP(L149,工程合同!$L$6:$CC$299,68,0)</f>
        <v>0</v>
      </c>
      <c r="CB149" s="102">
        <f>VLOOKUP(L149,工程合同!$L$6:$CC$299,69,0)</f>
        <v>0</v>
      </c>
      <c r="CC149" s="102">
        <f>VLOOKUP(L149,工程合同!$L$6:$CC$299,70,0)</f>
        <v>0</v>
      </c>
      <c r="CD149" s="123">
        <f t="shared" si="44"/>
        <v>506000</v>
      </c>
      <c r="CE149" s="102">
        <f t="shared" si="45"/>
        <v>298400</v>
      </c>
      <c r="CF149" s="102">
        <f t="shared" si="46"/>
        <v>268000</v>
      </c>
      <c r="CG149" s="102">
        <f t="shared" si="47"/>
        <v>30400</v>
      </c>
      <c r="CH149" s="124">
        <f t="shared" si="48"/>
        <v>207600</v>
      </c>
      <c r="CI149" s="125">
        <f t="shared" si="49"/>
        <v>0.589723320158103</v>
      </c>
      <c r="CJ149" s="126" t="str">
        <f t="shared" si="50"/>
        <v>数据正确</v>
      </c>
    </row>
    <row r="150" s="60" customFormat="1" customHeight="1" spans="2:88">
      <c r="B150" s="70" t="str">
        <f t="shared" si="40"/>
        <v>-</v>
      </c>
      <c r="C150" s="71" t="str">
        <f t="shared" si="41"/>
        <v>-</v>
      </c>
      <c r="D150" s="181">
        <f t="shared" si="42"/>
        <v>135800</v>
      </c>
      <c r="E150" s="181">
        <f>SUMIF(工程合同!$L$6:$L$299,L150,工程合同!$E$6:$E$299)</f>
        <v>0</v>
      </c>
      <c r="F150" s="181">
        <f>SUMIF(工程合同!$L$6:$L$299,L150,工程合同!$F$6:$F$299)</f>
        <v>0</v>
      </c>
      <c r="G150" s="181">
        <f>SUMIF(工程合同!$L$6:$L$299,L150,工程合同!$G$6:$G$299)</f>
        <v>4200</v>
      </c>
      <c r="H150" s="181">
        <f>SUMIF(工程合同!$L$6:$L$299,L150,工程合同!$H$6:$H$299)</f>
        <v>0</v>
      </c>
      <c r="I150" s="181">
        <f t="shared" si="43"/>
        <v>0</v>
      </c>
      <c r="J150" s="86" t="s">
        <v>98</v>
      </c>
      <c r="K150" s="87"/>
      <c r="L150" s="88">
        <v>145</v>
      </c>
      <c r="M150" s="89" t="str">
        <f>VLOOKUP(L150,工程合同!$L$6:$CC$299,2,0)</f>
        <v>YRKJ-2017GC-SGHT002</v>
      </c>
      <c r="N150" s="90" t="str">
        <f>VLOOKUP(L150,工程合同!$L$6:$CC$299,3,0)</f>
        <v>工程合同</v>
      </c>
      <c r="O150" s="265" t="str">
        <f>VLOOKUP(L150,工程合同!$L$6:$CC$299,4,0)</f>
        <v>-</v>
      </c>
      <c r="P150" s="266">
        <f>VLOOKUP(L150,工程合同!$L$6:$CC$299,5,0)</f>
        <v>42745</v>
      </c>
      <c r="Q150" s="275">
        <f>VLOOKUP(L150,工程合同!$L$6:$CC$299,6,0)</f>
        <v>177693.95</v>
      </c>
      <c r="R150" s="89" t="str">
        <f>VLOOKUP(L150,工程合同!$L$6:$CC$299,7,0)</f>
        <v>三修车间等工程周边联锁块道路工程</v>
      </c>
      <c r="S150" s="89" t="str">
        <f>VLOOKUP(L150,工程合同!$L$6:$CC$299,8,0)</f>
        <v>福建省福清市嘉盛建设工程有限公司</v>
      </c>
      <c r="T150" s="107">
        <f>VLOOKUP(L150,工程合同!$L$6:$CC$299,9,0)</f>
        <v>0</v>
      </c>
      <c r="U150" s="103" t="str">
        <f>VLOOKUP(L150,工程合同!$L$6:$CC$299,10,0)</f>
        <v>6个月承兑汇票</v>
      </c>
      <c r="V150" s="276" t="str">
        <f>VLOOKUP(L150,工程合同!$L$6:$CC$299,11,0)</f>
        <v>按月支付工程进度款的80%</v>
      </c>
      <c r="W150" s="102">
        <f>VLOOKUP(L150,工程合同!$L$6:$CC$299,12,0)</f>
        <v>142155.16</v>
      </c>
      <c r="X150" s="102">
        <f>VLOOKUP(L150,工程合同!$L$6:$CC$299,13,0)</f>
        <v>140000</v>
      </c>
      <c r="Y150" s="102">
        <f>VLOOKUP(L150,工程合同!$L$6:$CC$299,14,0)</f>
        <v>135800</v>
      </c>
      <c r="Z150" s="102" t="str">
        <f>VLOOKUP(L150,工程合同!$L$6:$CC$299,15,0)</f>
        <v>工程竣工验收合格后支付15%</v>
      </c>
      <c r="AA150" s="102">
        <f>VLOOKUP(L150,工程合同!$L$6:$CC$299,16,0)</f>
        <v>26654.0925</v>
      </c>
      <c r="AB150" s="102">
        <f>VLOOKUP(L150,工程合同!$L$6:$CC$299,17,0)</f>
        <v>0</v>
      </c>
      <c r="AC150" s="102">
        <f>VLOOKUP(L150,工程合同!$L$6:$CC$299,18,0)</f>
        <v>0</v>
      </c>
      <c r="AD150" s="102" t="str">
        <f>VLOOKUP(L150,工程合同!$L$6:$CC$299,19,0)</f>
        <v>质量保证期6个月后支付5%</v>
      </c>
      <c r="AE150" s="102">
        <f>VLOOKUP(L150,工程合同!$L$6:$CC$299,20,0)</f>
        <v>8884.6975</v>
      </c>
      <c r="AF150" s="102">
        <f>VLOOKUP(L150,工程合同!$L$6:$CC$299,21,0)</f>
        <v>0</v>
      </c>
      <c r="AG150" s="102">
        <f>VLOOKUP(L150,工程合同!$L$6:$CC$299,22,0)</f>
        <v>0</v>
      </c>
      <c r="AH150" s="102">
        <f>VLOOKUP(L150,工程合同!$L$6:$CC$299,23,0)</f>
        <v>0</v>
      </c>
      <c r="AI150" s="102">
        <f>VLOOKUP(L150,工程合同!$L$6:$CC$299,24,0)</f>
        <v>0</v>
      </c>
      <c r="AJ150" s="102">
        <f>VLOOKUP(L150,工程合同!$L$6:$CC$299,25,0)</f>
        <v>0</v>
      </c>
      <c r="AK150" s="102">
        <f>VLOOKUP(L150,工程合同!$L$6:$CC$299,26,0)</f>
        <v>0</v>
      </c>
      <c r="AL150" s="102">
        <f>VLOOKUP(L150,工程合同!$L$6:$CC$299,27,0)</f>
        <v>0</v>
      </c>
      <c r="AM150" s="102">
        <f>VLOOKUP(L150,工程合同!$L$6:$CC$299,28,0)</f>
        <v>0</v>
      </c>
      <c r="AN150" s="102">
        <f>VLOOKUP(L150,工程合同!$L$6:$CC$299,29,0)</f>
        <v>0</v>
      </c>
      <c r="AO150" s="102">
        <f>VLOOKUP(L150,工程合同!$L$6:$CC$299,30,0)</f>
        <v>0</v>
      </c>
      <c r="AP150" s="102">
        <f>VLOOKUP(L150,工程合同!$L$6:$CC$299,31,0)</f>
        <v>0</v>
      </c>
      <c r="AQ150" s="102">
        <f>VLOOKUP(L150,工程合同!$L$6:$CC$299,32,0)</f>
        <v>0</v>
      </c>
      <c r="AR150" s="102">
        <f>VLOOKUP(L150,工程合同!$L$6:$CC$299,33,0)</f>
        <v>0</v>
      </c>
      <c r="AS150" s="102">
        <f>VLOOKUP(L150,工程合同!$L$6:$CC$299,34,0)</f>
        <v>0</v>
      </c>
      <c r="AT150" s="102">
        <f>VLOOKUP(L150,工程合同!$L$6:$CC$299,35,0)</f>
        <v>0</v>
      </c>
      <c r="AU150" s="102">
        <f>VLOOKUP(L150,工程合同!$L$6:$CC$299,36,0)</f>
        <v>0</v>
      </c>
      <c r="AV150" s="102">
        <f>VLOOKUP(L150,工程合同!$L$6:$CC$299,37,0)</f>
        <v>0</v>
      </c>
      <c r="AW150" s="102">
        <f>VLOOKUP(L150,工程合同!$L$6:$CC$299,38,0)</f>
        <v>0</v>
      </c>
      <c r="AX150" s="102">
        <f>VLOOKUP(L150,工程合同!$L$6:$CC$299,39,0)</f>
        <v>0</v>
      </c>
      <c r="AY150" s="102">
        <f>VLOOKUP(L150,工程合同!$L$6:$CC$299,40,0)</f>
        <v>0</v>
      </c>
      <c r="AZ150" s="102">
        <f>VLOOKUP(L150,工程合同!$L$6:$CC$299,41,0)</f>
        <v>0</v>
      </c>
      <c r="BA150" s="102">
        <f>VLOOKUP(L150,工程合同!$L$6:$CC$299,42,0)</f>
        <v>0</v>
      </c>
      <c r="BB150" s="102">
        <f>VLOOKUP(L150,工程合同!$L$6:$CC$299,43,0)</f>
        <v>0</v>
      </c>
      <c r="BC150" s="102">
        <f>VLOOKUP(L150,工程合同!$L$6:$CC$299,44,0)</f>
        <v>0</v>
      </c>
      <c r="BD150" s="102">
        <f>VLOOKUP(L150,工程合同!$L$6:$CC$299,45,0)</f>
        <v>0</v>
      </c>
      <c r="BE150" s="102">
        <f>VLOOKUP(L150,工程合同!$L$6:$CC$299,46,0)</f>
        <v>0</v>
      </c>
      <c r="BF150" s="102">
        <f>VLOOKUP(L150,工程合同!$L$6:$CC$299,47,0)</f>
        <v>0</v>
      </c>
      <c r="BG150" s="102">
        <f>VLOOKUP(L150,工程合同!$L$6:$CC$299,48,0)</f>
        <v>0</v>
      </c>
      <c r="BH150" s="102">
        <f>VLOOKUP(L150,工程合同!$L$6:$CC$299,49,0)</f>
        <v>0</v>
      </c>
      <c r="BI150" s="102">
        <f>VLOOKUP(L150,工程合同!$L$6:$CC$299,50,0)</f>
        <v>0</v>
      </c>
      <c r="BJ150" s="102">
        <f>VLOOKUP(L150,工程合同!$L$6:$CC$299,51,0)</f>
        <v>0</v>
      </c>
      <c r="BK150" s="102">
        <f>VLOOKUP(L150,工程合同!$L$6:$CC$299,52,0)</f>
        <v>0</v>
      </c>
      <c r="BL150" s="102">
        <f>VLOOKUP(L150,工程合同!$L$6:$CC$299,53,0)</f>
        <v>0</v>
      </c>
      <c r="BM150" s="102">
        <f>VLOOKUP(L150,工程合同!$L$6:$CC$299,54,0)</f>
        <v>0</v>
      </c>
      <c r="BN150" s="102">
        <f>VLOOKUP(L150,工程合同!$L$6:$CC$299,55,0)</f>
        <v>0</v>
      </c>
      <c r="BO150" s="102">
        <f>VLOOKUP(L150,工程合同!$L$6:$CC$299,56,0)</f>
        <v>0</v>
      </c>
      <c r="BP150" s="102">
        <f>VLOOKUP(L150,工程合同!$L$6:$CC$299,57,0)</f>
        <v>0</v>
      </c>
      <c r="BQ150" s="102">
        <f>VLOOKUP(L150,工程合同!$L$6:$CC$299,58,0)</f>
        <v>0</v>
      </c>
      <c r="BR150" s="102">
        <f>VLOOKUP(L150,工程合同!$L$6:$CC$299,59,0)</f>
        <v>0</v>
      </c>
      <c r="BS150" s="102">
        <f>VLOOKUP(L150,工程合同!$L$6:$CC$299,60,0)</f>
        <v>0</v>
      </c>
      <c r="BT150" s="102">
        <f>VLOOKUP(L150,工程合同!$L$6:$CC$299,61,0)</f>
        <v>0</v>
      </c>
      <c r="BU150" s="102">
        <f>VLOOKUP(L150,工程合同!$L$6:$CC$299,62,0)</f>
        <v>0</v>
      </c>
      <c r="BV150" s="102">
        <f>VLOOKUP(L150,工程合同!$L$6:$CC$299,63,0)</f>
        <v>0</v>
      </c>
      <c r="BW150" s="102">
        <f>VLOOKUP(L150,工程合同!$L$6:$CC$299,64,0)</f>
        <v>0</v>
      </c>
      <c r="BX150" s="102">
        <f>VLOOKUP(L150,工程合同!$L$6:$CC$299,65,0)</f>
        <v>0</v>
      </c>
      <c r="BY150" s="102">
        <f>VLOOKUP(L150,工程合同!$L$6:$CC$299,66,0)</f>
        <v>0</v>
      </c>
      <c r="BZ150" s="102">
        <f>VLOOKUP(L150,工程合同!$L$6:$CC$299,67,0)</f>
        <v>0</v>
      </c>
      <c r="CA150" s="102">
        <f>VLOOKUP(L150,工程合同!$L$6:$CC$299,68,0)</f>
        <v>0</v>
      </c>
      <c r="CB150" s="102">
        <f>VLOOKUP(L150,工程合同!$L$6:$CC$299,69,0)</f>
        <v>0</v>
      </c>
      <c r="CC150" s="102">
        <f>VLOOKUP(L150,工程合同!$L$6:$CC$299,70,0)</f>
        <v>0</v>
      </c>
      <c r="CD150" s="123">
        <f t="shared" si="44"/>
        <v>177693.95</v>
      </c>
      <c r="CE150" s="102">
        <f t="shared" si="45"/>
        <v>140000</v>
      </c>
      <c r="CF150" s="102">
        <f t="shared" si="46"/>
        <v>135800</v>
      </c>
      <c r="CG150" s="102">
        <f t="shared" si="47"/>
        <v>4200</v>
      </c>
      <c r="CH150" s="124">
        <f t="shared" si="48"/>
        <v>37693.95</v>
      </c>
      <c r="CI150" s="125">
        <f t="shared" si="49"/>
        <v>0.78787150603608</v>
      </c>
      <c r="CJ150" s="126" t="str">
        <f t="shared" si="50"/>
        <v>数据正确</v>
      </c>
    </row>
    <row r="151" s="60" customFormat="1" customHeight="1" spans="2:88">
      <c r="B151" s="70" t="str">
        <f t="shared" si="40"/>
        <v>-</v>
      </c>
      <c r="C151" s="71" t="str">
        <f t="shared" si="41"/>
        <v>-</v>
      </c>
      <c r="D151" s="181">
        <f t="shared" si="42"/>
        <v>0</v>
      </c>
      <c r="E151" s="181">
        <f>SUMIF(服务合同!$L$6:$L$300,L151,服务合同!$E$6:$E$300)</f>
        <v>0</v>
      </c>
      <c r="F151" s="181">
        <f>SUMIF(服务合同!$L$6:$L$300,L151,服务合同!$F$6:$F$300)</f>
        <v>0</v>
      </c>
      <c r="G151" s="181">
        <f>SUMIF(服务合同!$L$6:$L$300,L151,服务合同!$G$6:$G$300)</f>
        <v>0</v>
      </c>
      <c r="H151" s="181">
        <f>SUMIF(服务合同!$L$6:$L$300,L151,服务合同!$H$6:$H$300)</f>
        <v>0</v>
      </c>
      <c r="I151" s="181">
        <f t="shared" si="43"/>
        <v>0</v>
      </c>
      <c r="J151" s="86" t="s">
        <v>98</v>
      </c>
      <c r="K151" s="87"/>
      <c r="L151" s="88">
        <v>146</v>
      </c>
      <c r="M151" s="89" t="str">
        <f>VLOOKUP(L151,服务合同!$L$6:$CC$300,2,0)</f>
        <v>YRKJ-2017GC-SGHT007</v>
      </c>
      <c r="N151" s="90" t="str">
        <f>VLOOKUP(L151,服务合同!$L$6:$CC$300,3,0)</f>
        <v>服务合同</v>
      </c>
      <c r="O151" s="265" t="str">
        <f>VLOOKUP(L151,服务合同!$L$6:$CC$300,4,0)</f>
        <v>-</v>
      </c>
      <c r="P151" s="266">
        <f>VLOOKUP(L151,服务合同!$L$6:$CC$300,5,0)</f>
        <v>42838</v>
      </c>
      <c r="Q151" s="275">
        <f>VLOOKUP(L151,服务合同!$L$6:$CC$300,6,0)</f>
        <v>487605</v>
      </c>
      <c r="R151" s="89" t="str">
        <f>VLOOKUP(L151,服务合同!$L$6:$CC$300,7,0)</f>
        <v>桩基检测II标段工程</v>
      </c>
      <c r="S151" s="89" t="str">
        <f>VLOOKUP(L151,服务合同!$L$6:$CC$300,8,0)</f>
        <v>厦门市工程检测中心有限公司</v>
      </c>
      <c r="T151" s="107">
        <f>VLOOKUP(L151,服务合同!$L$6:$CC$300,9,0)</f>
        <v>0</v>
      </c>
      <c r="U151" s="103" t="str">
        <f>VLOOKUP(L151,服务合同!$L$6:$CC$300,10,0)</f>
        <v>6个月承兑汇票</v>
      </c>
      <c r="V151" s="276" t="str">
        <f>VLOOKUP(L151,服务合同!$L$6:$CC$300,11,0)</f>
        <v>检测工作结束，提交检测简报后，支付合同总价的60%</v>
      </c>
      <c r="W151" s="102">
        <f>VLOOKUP(L151,服务合同!$L$6:$CC$300,12,0)</f>
        <v>292563</v>
      </c>
      <c r="X151" s="102">
        <f>VLOOKUP(L151,服务合同!$L$6:$CC$300,13,0)</f>
        <v>0</v>
      </c>
      <c r="Y151" s="102">
        <f>VLOOKUP(L151,服务合同!$L$6:$CC$300,14,0)</f>
        <v>0</v>
      </c>
      <c r="Z151" s="102" t="str">
        <f>VLOOKUP(L151,服务合同!$L$6:$CC$300,15,0)</f>
        <v>提供正式检测报告后，支付至合同的80%</v>
      </c>
      <c r="AA151" s="102">
        <f>VLOOKUP(L151,服务合同!$L$6:$CC$300,16,0)</f>
        <v>97521</v>
      </c>
      <c r="AB151" s="102">
        <f>VLOOKUP(L151,服务合同!$L$6:$CC$300,17,0)</f>
        <v>0</v>
      </c>
      <c r="AC151" s="102">
        <f>VLOOKUP(L151,服务合同!$L$6:$CC$300,18,0)</f>
        <v>0</v>
      </c>
      <c r="AD151" s="102" t="str">
        <f>VLOOKUP(L151,服务合同!$L$6:$CC$300,19,0)</f>
        <v>经内部审计部门审计后，支付至95%</v>
      </c>
      <c r="AE151" s="102">
        <f>VLOOKUP(L151,服务合同!$L$6:$CC$300,20,0)</f>
        <v>73140.75</v>
      </c>
      <c r="AF151" s="102">
        <f>VLOOKUP(L151,服务合同!$L$6:$CC$300,21,0)</f>
        <v>0</v>
      </c>
      <c r="AG151" s="102">
        <f>VLOOKUP(L151,服务合同!$L$6:$CC$300,22,0)</f>
        <v>0</v>
      </c>
      <c r="AH151" s="102" t="str">
        <f>VLOOKUP(L151,服务合同!$L$6:$CC$300,23,0)</f>
        <v>项目竣工验收资料归档后支付尾款</v>
      </c>
      <c r="AI151" s="102">
        <f>VLOOKUP(L151,服务合同!$L$6:$CC$300,24,0)</f>
        <v>24380.25</v>
      </c>
      <c r="AJ151" s="102">
        <f>VLOOKUP(L151,服务合同!$L$6:$CC$300,25,0)</f>
        <v>0</v>
      </c>
      <c r="AK151" s="102">
        <f>VLOOKUP(L151,服务合同!$L$6:$CC$300,26,0)</f>
        <v>0</v>
      </c>
      <c r="AL151" s="102">
        <f>VLOOKUP(L151,服务合同!$L$6:$CC$300,27,0)</f>
        <v>0</v>
      </c>
      <c r="AM151" s="102">
        <f>VLOOKUP(L151,服务合同!$L$6:$CC$300,28,0)</f>
        <v>0</v>
      </c>
      <c r="AN151" s="102">
        <f>VLOOKUP(L151,服务合同!$L$6:$CC$300,29,0)</f>
        <v>0</v>
      </c>
      <c r="AO151" s="102">
        <f>VLOOKUP(L151,服务合同!$L$6:$CC$300,30,0)</f>
        <v>0</v>
      </c>
      <c r="AP151" s="102">
        <f>VLOOKUP(L151,服务合同!$L$6:$CC$300,31,0)</f>
        <v>0</v>
      </c>
      <c r="AQ151" s="102">
        <f>VLOOKUP(L151,服务合同!$L$6:$CC$300,32,0)</f>
        <v>0</v>
      </c>
      <c r="AR151" s="102">
        <f>VLOOKUP(L151,服务合同!$L$6:$CC$300,33,0)</f>
        <v>0</v>
      </c>
      <c r="AS151" s="102">
        <f>VLOOKUP(L151,服务合同!$L$6:$CC$300,34,0)</f>
        <v>0</v>
      </c>
      <c r="AT151" s="102">
        <f>VLOOKUP(L151,服务合同!$L$6:$CC$300,35,0)</f>
        <v>0</v>
      </c>
      <c r="AU151" s="102">
        <f>VLOOKUP(L151,服务合同!$L$6:$CC$300,36,0)</f>
        <v>0</v>
      </c>
      <c r="AV151" s="102">
        <f>VLOOKUP(L151,服务合同!$L$6:$CC$300,37,0)</f>
        <v>0</v>
      </c>
      <c r="AW151" s="102">
        <f>VLOOKUP(L151,服务合同!$L$6:$CC$300,38,0)</f>
        <v>0</v>
      </c>
      <c r="AX151" s="102">
        <f>VLOOKUP(L151,服务合同!$L$6:$CC$300,39,0)</f>
        <v>0</v>
      </c>
      <c r="AY151" s="102">
        <f>VLOOKUP(L151,服务合同!$L$6:$CC$300,40,0)</f>
        <v>0</v>
      </c>
      <c r="AZ151" s="102">
        <f>VLOOKUP(L151,服务合同!$L$6:$CC$300,41,0)</f>
        <v>0</v>
      </c>
      <c r="BA151" s="102">
        <f>VLOOKUP(L151,服务合同!$L$6:$CC$300,42,0)</f>
        <v>0</v>
      </c>
      <c r="BB151" s="102">
        <f>VLOOKUP(L151,服务合同!$L$6:$CC$300,43,0)</f>
        <v>0</v>
      </c>
      <c r="BC151" s="102">
        <f>VLOOKUP(L151,服务合同!$L$6:$CC$300,44,0)</f>
        <v>0</v>
      </c>
      <c r="BD151" s="102">
        <f>VLOOKUP(L151,服务合同!$L$6:$CC$300,45,0)</f>
        <v>0</v>
      </c>
      <c r="BE151" s="102">
        <f>VLOOKUP(L151,服务合同!$L$6:$CC$300,46,0)</f>
        <v>0</v>
      </c>
      <c r="BF151" s="102">
        <f>VLOOKUP(L151,服务合同!$L$6:$CC$300,47,0)</f>
        <v>0</v>
      </c>
      <c r="BG151" s="102">
        <f>VLOOKUP(L151,服务合同!$L$6:$CC$300,48,0)</f>
        <v>0</v>
      </c>
      <c r="BH151" s="102">
        <f>VLOOKUP(L151,服务合同!$L$6:$CC$300,49,0)</f>
        <v>0</v>
      </c>
      <c r="BI151" s="102">
        <f>VLOOKUP(L151,服务合同!$L$6:$CC$300,50,0)</f>
        <v>0</v>
      </c>
      <c r="BJ151" s="102">
        <f>VLOOKUP(L151,服务合同!$L$6:$CC$300,51,0)</f>
        <v>0</v>
      </c>
      <c r="BK151" s="102">
        <f>VLOOKUP(L151,服务合同!$L$6:$CC$300,52,0)</f>
        <v>0</v>
      </c>
      <c r="BL151" s="102">
        <f>VLOOKUP(L151,服务合同!$L$6:$CC$300,53,0)</f>
        <v>0</v>
      </c>
      <c r="BM151" s="102">
        <f>VLOOKUP(L151,服务合同!$L$6:$CC$300,54,0)</f>
        <v>0</v>
      </c>
      <c r="BN151" s="102">
        <f>VLOOKUP(L151,服务合同!$L$6:$CC$300,55,0)</f>
        <v>0</v>
      </c>
      <c r="BO151" s="102">
        <f>VLOOKUP(L151,服务合同!$L$6:$CC$300,56,0)</f>
        <v>0</v>
      </c>
      <c r="BP151" s="102">
        <f>VLOOKUP(L151,服务合同!$L$6:$CC$300,57,0)</f>
        <v>0</v>
      </c>
      <c r="BQ151" s="102">
        <f>VLOOKUP(L151,服务合同!$L$6:$CC$300,58,0)</f>
        <v>0</v>
      </c>
      <c r="BR151" s="102">
        <f>VLOOKUP(L151,服务合同!$L$6:$CC$300,59,0)</f>
        <v>0</v>
      </c>
      <c r="BS151" s="102">
        <f>VLOOKUP(L151,服务合同!$L$6:$CC$300,60,0)</f>
        <v>0</v>
      </c>
      <c r="BT151" s="102">
        <f>VLOOKUP(L151,服务合同!$L$6:$CC$300,61,0)</f>
        <v>0</v>
      </c>
      <c r="BU151" s="102">
        <f>VLOOKUP(L151,服务合同!$L$6:$CC$300,62,0)</f>
        <v>0</v>
      </c>
      <c r="BV151" s="102">
        <f>VLOOKUP(L151,服务合同!$L$6:$CC$300,63,0)</f>
        <v>0</v>
      </c>
      <c r="BW151" s="102">
        <f>VLOOKUP(L151,服务合同!$L$6:$CC$300,64,0)</f>
        <v>0</v>
      </c>
      <c r="BX151" s="102">
        <f>VLOOKUP(L151,服务合同!$L$6:$CC$300,65,0)</f>
        <v>0</v>
      </c>
      <c r="BY151" s="102">
        <f>VLOOKUP(L151,服务合同!$L$6:$CC$300,66,0)</f>
        <v>0</v>
      </c>
      <c r="BZ151" s="102">
        <f>VLOOKUP(L151,服务合同!$L$6:$CC$300,67,0)</f>
        <v>0</v>
      </c>
      <c r="CA151" s="102">
        <f>VLOOKUP(L151,服务合同!$L$6:$CC$300,68,0)</f>
        <v>0</v>
      </c>
      <c r="CB151" s="102">
        <f>VLOOKUP(L151,服务合同!$L$6:$CC$300,69,0)</f>
        <v>0</v>
      </c>
      <c r="CC151" s="102">
        <f>VLOOKUP(L151,服务合同!$L$6:$CC$300,70,0)</f>
        <v>0</v>
      </c>
      <c r="CD151" s="123">
        <f t="shared" si="44"/>
        <v>487605</v>
      </c>
      <c r="CE151" s="102">
        <f t="shared" si="45"/>
        <v>0</v>
      </c>
      <c r="CF151" s="102">
        <f t="shared" si="46"/>
        <v>0</v>
      </c>
      <c r="CG151" s="102">
        <f t="shared" si="47"/>
        <v>0</v>
      </c>
      <c r="CH151" s="124">
        <f t="shared" si="48"/>
        <v>487605</v>
      </c>
      <c r="CI151" s="125">
        <f t="shared" si="49"/>
        <v>0</v>
      </c>
      <c r="CJ151" s="126" t="str">
        <f t="shared" si="50"/>
        <v>数据正确</v>
      </c>
    </row>
    <row r="152" s="60" customFormat="1" customHeight="1" spans="2:88">
      <c r="B152" s="70" t="str">
        <f t="shared" si="40"/>
        <v>-</v>
      </c>
      <c r="C152" s="71" t="str">
        <f t="shared" si="41"/>
        <v>已付清</v>
      </c>
      <c r="D152" s="181">
        <f t="shared" si="42"/>
        <v>9999.6</v>
      </c>
      <c r="E152" s="181">
        <f>SUMIF(材料合同!$L$6:$L$305,L152,材料合同!$E$6:$E$305)</f>
        <v>0</v>
      </c>
      <c r="F152" s="181">
        <f>SUMIF(材料合同!$L$6:$L$305,L152,材料合同!$F$6:$F$305)</f>
        <v>0</v>
      </c>
      <c r="G152" s="181">
        <f>SUMIF(材料合同!$L$6:$L$305,L152,材料合同!$G$6:$G$305)</f>
        <v>0</v>
      </c>
      <c r="H152" s="181">
        <f>SUMIF(材料合同!$L$6:$L$305,L152,材料合同!$H$6:$H$305)</f>
        <v>0</v>
      </c>
      <c r="I152" s="181">
        <f t="shared" si="43"/>
        <v>0</v>
      </c>
      <c r="J152" s="86" t="s">
        <v>98</v>
      </c>
      <c r="K152" s="87"/>
      <c r="L152" s="88">
        <v>147</v>
      </c>
      <c r="M152" s="89" t="str">
        <f>VLOOKUP(L152,材料合同!$L$6:$CC$305,2,0)</f>
        <v>YRKJGC-170035</v>
      </c>
      <c r="N152" s="90" t="str">
        <f>VLOOKUP(L152,材料合同!$L$6:$CC$305,3,0)</f>
        <v>材料合同</v>
      </c>
      <c r="O152" s="265">
        <f>VLOOKUP(L152,材料合同!$L$6:$CC$305,4,0)</f>
        <v>2017060045</v>
      </c>
      <c r="P152" s="266">
        <f>VLOOKUP(L152,材料合同!$L$6:$CC$305,5,0)</f>
        <v>42917</v>
      </c>
      <c r="Q152" s="275">
        <f>VLOOKUP(L152,材料合同!$L$6:$CC$305,6,0)</f>
        <v>9999.6</v>
      </c>
      <c r="R152" s="89" t="str">
        <f>VLOOKUP(L152,材料合同!$L$6:$CC$305,7,0)</f>
        <v>地脚螺铨120套</v>
      </c>
      <c r="S152" s="89" t="str">
        <f>VLOOKUP(L152,材料合同!$L$6:$CC$305,8,0)</f>
        <v>福州同进机电设备有限公司</v>
      </c>
      <c r="T152" s="107">
        <f>VLOOKUP(L152,材料合同!$L$6:$CC$305,9,0)</f>
        <v>0</v>
      </c>
      <c r="U152" s="103" t="str">
        <f>VLOOKUP(L152,材料合同!$L$6:$CC$305,10,0)</f>
        <v>电汇</v>
      </c>
      <c r="V152" s="276" t="str">
        <f>VLOOKUP(L152,材料合同!$L$6:$CC$305,11,0)</f>
        <v>甲方收到核定验收合格报告及全额的发票后15日之内支付100%货款</v>
      </c>
      <c r="W152" s="102">
        <f>VLOOKUP(L152,材料合同!$L$6:$CC$305,12,0)</f>
        <v>6000</v>
      </c>
      <c r="X152" s="102">
        <f>VLOOKUP(L152,材料合同!$L$6:$CC$305,13,0)</f>
        <v>6000</v>
      </c>
      <c r="Y152" s="102">
        <f>VLOOKUP(L152,材料合同!$L$6:$CC$305,14,0)</f>
        <v>6000</v>
      </c>
      <c r="Z152" s="102">
        <f>VLOOKUP(L152,材料合同!$L$6:$CC$305,15,0)</f>
        <v>0</v>
      </c>
      <c r="AA152" s="102">
        <f>VLOOKUP(L152,材料合同!$L$6:$CC$305,16,0)</f>
        <v>3999.6</v>
      </c>
      <c r="AB152" s="102">
        <f>VLOOKUP(L152,材料合同!$L$6:$CC$305,17,0)</f>
        <v>3999.6</v>
      </c>
      <c r="AC152" s="102">
        <f>VLOOKUP(L152,材料合同!$L$6:$CC$305,18,0)</f>
        <v>3999.6</v>
      </c>
      <c r="AD152" s="102">
        <f>VLOOKUP(L152,材料合同!$L$6:$CC$305,19,0)</f>
        <v>0</v>
      </c>
      <c r="AE152" s="102">
        <f>VLOOKUP(L152,材料合同!$L$6:$CC$305,20,0)</f>
        <v>0</v>
      </c>
      <c r="AF152" s="102">
        <f>VLOOKUP(L152,材料合同!$L$6:$CC$305,21,0)</f>
        <v>0</v>
      </c>
      <c r="AG152" s="102">
        <f>VLOOKUP(L152,材料合同!$L$6:$CC$305,22,0)</f>
        <v>0</v>
      </c>
      <c r="AH152" s="102">
        <f>VLOOKUP(L152,材料合同!$L$6:$CC$305,23,0)</f>
        <v>0</v>
      </c>
      <c r="AI152" s="102">
        <f>VLOOKUP(L152,材料合同!$L$6:$CC$305,24,0)</f>
        <v>0</v>
      </c>
      <c r="AJ152" s="102">
        <f>VLOOKUP(L152,材料合同!$L$6:$CC$305,25,0)</f>
        <v>0</v>
      </c>
      <c r="AK152" s="102">
        <f>VLOOKUP(L152,材料合同!$L$6:$CC$305,26,0)</f>
        <v>0</v>
      </c>
      <c r="AL152" s="102">
        <f>VLOOKUP(L152,材料合同!$L$6:$CC$305,27,0)</f>
        <v>0</v>
      </c>
      <c r="AM152" s="102">
        <f>VLOOKUP(L152,材料合同!$L$6:$CC$305,28,0)</f>
        <v>0</v>
      </c>
      <c r="AN152" s="102">
        <f>VLOOKUP(L152,材料合同!$L$6:$CC$305,29,0)</f>
        <v>0</v>
      </c>
      <c r="AO152" s="102">
        <f>VLOOKUP(L152,材料合同!$L$6:$CC$305,30,0)</f>
        <v>0</v>
      </c>
      <c r="AP152" s="102">
        <f>VLOOKUP(L152,材料合同!$L$6:$CC$305,31,0)</f>
        <v>0</v>
      </c>
      <c r="AQ152" s="102">
        <f>VLOOKUP(L152,材料合同!$L$6:$CC$305,32,0)</f>
        <v>0</v>
      </c>
      <c r="AR152" s="102">
        <f>VLOOKUP(L152,材料合同!$L$6:$CC$305,33,0)</f>
        <v>0</v>
      </c>
      <c r="AS152" s="102">
        <f>VLOOKUP(L152,材料合同!$L$6:$CC$305,34,0)</f>
        <v>0</v>
      </c>
      <c r="AT152" s="102">
        <f>VLOOKUP(L152,材料合同!$L$6:$CC$305,35,0)</f>
        <v>0</v>
      </c>
      <c r="AU152" s="102">
        <f>VLOOKUP(L152,材料合同!$L$6:$CC$305,36,0)</f>
        <v>0</v>
      </c>
      <c r="AV152" s="102">
        <f>VLOOKUP(L152,材料合同!$L$6:$CC$305,37,0)</f>
        <v>0</v>
      </c>
      <c r="AW152" s="102">
        <f>VLOOKUP(L152,材料合同!$L$6:$CC$305,38,0)</f>
        <v>0</v>
      </c>
      <c r="AX152" s="102">
        <f>VLOOKUP(L152,材料合同!$L$6:$CC$305,39,0)</f>
        <v>0</v>
      </c>
      <c r="AY152" s="102">
        <f>VLOOKUP(L152,材料合同!$L$6:$CC$305,40,0)</f>
        <v>0</v>
      </c>
      <c r="AZ152" s="102">
        <f>VLOOKUP(L152,材料合同!$L$6:$CC$305,41,0)</f>
        <v>0</v>
      </c>
      <c r="BA152" s="102">
        <f>VLOOKUP(L152,材料合同!$L$6:$CC$305,42,0)</f>
        <v>0</v>
      </c>
      <c r="BB152" s="102">
        <f>VLOOKUP(L152,材料合同!$L$6:$CC$305,43,0)</f>
        <v>0</v>
      </c>
      <c r="BC152" s="102">
        <f>VLOOKUP(L152,材料合同!$L$6:$CC$305,44,0)</f>
        <v>0</v>
      </c>
      <c r="BD152" s="102">
        <f>VLOOKUP(L152,材料合同!$L$6:$CC$305,45,0)</f>
        <v>0</v>
      </c>
      <c r="BE152" s="102">
        <f>VLOOKUP(L152,材料合同!$L$6:$CC$305,46,0)</f>
        <v>0</v>
      </c>
      <c r="BF152" s="102">
        <f>VLOOKUP(L152,材料合同!$L$6:$CC$305,47,0)</f>
        <v>0</v>
      </c>
      <c r="BG152" s="102">
        <f>VLOOKUP(L152,材料合同!$L$6:$CC$305,48,0)</f>
        <v>0</v>
      </c>
      <c r="BH152" s="102">
        <f>VLOOKUP(L152,材料合同!$L$6:$CC$305,49,0)</f>
        <v>0</v>
      </c>
      <c r="BI152" s="102">
        <f>VLOOKUP(L152,材料合同!$L$6:$CC$305,50,0)</f>
        <v>0</v>
      </c>
      <c r="BJ152" s="102">
        <f>VLOOKUP(L152,材料合同!$L$6:$CC$305,51,0)</f>
        <v>0</v>
      </c>
      <c r="BK152" s="102">
        <f>VLOOKUP(L152,材料合同!$L$6:$CC$305,52,0)</f>
        <v>0</v>
      </c>
      <c r="BL152" s="102">
        <f>VLOOKUP(L152,材料合同!$L$6:$CC$305,53,0)</f>
        <v>0</v>
      </c>
      <c r="BM152" s="102">
        <f>VLOOKUP(L152,材料合同!$L$6:$CC$305,54,0)</f>
        <v>0</v>
      </c>
      <c r="BN152" s="102">
        <f>VLOOKUP(L152,材料合同!$L$6:$CC$305,55,0)</f>
        <v>0</v>
      </c>
      <c r="BO152" s="102">
        <f>VLOOKUP(L152,材料合同!$L$6:$CC$305,56,0)</f>
        <v>0</v>
      </c>
      <c r="BP152" s="102">
        <f>VLOOKUP(L152,材料合同!$L$6:$CC$305,57,0)</f>
        <v>0</v>
      </c>
      <c r="BQ152" s="102">
        <f>VLOOKUP(L152,材料合同!$L$6:$CC$305,58,0)</f>
        <v>0</v>
      </c>
      <c r="BR152" s="102">
        <f>VLOOKUP(L152,材料合同!$L$6:$CC$305,59,0)</f>
        <v>0</v>
      </c>
      <c r="BS152" s="102">
        <f>VLOOKUP(L152,材料合同!$L$6:$CC$305,60,0)</f>
        <v>0</v>
      </c>
      <c r="BT152" s="102">
        <f>VLOOKUP(L152,材料合同!$L$6:$CC$305,61,0)</f>
        <v>0</v>
      </c>
      <c r="BU152" s="102">
        <f>VLOOKUP(L152,材料合同!$L$6:$CC$305,62,0)</f>
        <v>0</v>
      </c>
      <c r="BV152" s="102">
        <f>VLOOKUP(L152,材料合同!$L$6:$CC$305,63,0)</f>
        <v>0</v>
      </c>
      <c r="BW152" s="102">
        <f>VLOOKUP(L152,材料合同!$L$6:$CC$305,64,0)</f>
        <v>0</v>
      </c>
      <c r="BX152" s="102">
        <f>VLOOKUP(L152,材料合同!$L$6:$CC$305,65,0)</f>
        <v>0</v>
      </c>
      <c r="BY152" s="102">
        <f>VLOOKUP(L152,材料合同!$L$6:$CC$305,66,0)</f>
        <v>0</v>
      </c>
      <c r="BZ152" s="102">
        <f>VLOOKUP(L152,材料合同!$L$6:$CC$305,67,0)</f>
        <v>0</v>
      </c>
      <c r="CA152" s="102">
        <f>VLOOKUP(L152,材料合同!$L$6:$CC$305,68,0)</f>
        <v>0</v>
      </c>
      <c r="CB152" s="102">
        <f>VLOOKUP(L152,材料合同!$L$6:$CC$305,69,0)</f>
        <v>0</v>
      </c>
      <c r="CC152" s="102">
        <f>VLOOKUP(L152,材料合同!$L$6:$CC$305,70,0)</f>
        <v>0</v>
      </c>
      <c r="CD152" s="123">
        <f t="shared" si="44"/>
        <v>9999.6</v>
      </c>
      <c r="CE152" s="102">
        <f t="shared" si="45"/>
        <v>9999.6</v>
      </c>
      <c r="CF152" s="102">
        <f t="shared" si="46"/>
        <v>9999.6</v>
      </c>
      <c r="CG152" s="102">
        <f t="shared" si="47"/>
        <v>0</v>
      </c>
      <c r="CH152" s="124">
        <f t="shared" si="48"/>
        <v>0</v>
      </c>
      <c r="CI152" s="125">
        <f t="shared" si="49"/>
        <v>1</v>
      </c>
      <c r="CJ152" s="126" t="str">
        <f t="shared" si="50"/>
        <v>数据正确</v>
      </c>
    </row>
    <row r="153" s="60" customFormat="1" customHeight="1" spans="2:88">
      <c r="B153" s="70" t="str">
        <f t="shared" si="40"/>
        <v>-</v>
      </c>
      <c r="C153" s="71" t="str">
        <f t="shared" si="41"/>
        <v>-</v>
      </c>
      <c r="D153" s="181">
        <f t="shared" si="42"/>
        <v>102600</v>
      </c>
      <c r="E153" s="181">
        <f>SUMIF(材料合同!$L$6:$L$305,L153,材料合同!$E$6:$E$305)</f>
        <v>0</v>
      </c>
      <c r="F153" s="181">
        <f>SUMIF(材料合同!$L$6:$L$305,L153,材料合同!$F$6:$F$305)</f>
        <v>0</v>
      </c>
      <c r="G153" s="181">
        <f>SUMIF(材料合同!$L$6:$L$305,L153,材料合同!$G$6:$G$305)</f>
        <v>0</v>
      </c>
      <c r="H153" s="181">
        <f>SUMIF(材料合同!$L$6:$L$305,L153,材料合同!$H$6:$H$305)</f>
        <v>0</v>
      </c>
      <c r="I153" s="181">
        <f t="shared" si="43"/>
        <v>0</v>
      </c>
      <c r="J153" s="86" t="s">
        <v>98</v>
      </c>
      <c r="K153" s="87"/>
      <c r="L153" s="88">
        <v>148</v>
      </c>
      <c r="M153" s="89" t="str">
        <f>VLOOKUP(L153,材料合同!$L$6:$CC$305,2,0)</f>
        <v>YRKJGC-160009</v>
      </c>
      <c r="N153" s="90" t="str">
        <f>VLOOKUP(L153,材料合同!$L$6:$CC$305,3,0)</f>
        <v>材料合同</v>
      </c>
      <c r="O153" s="265">
        <f>VLOOKUP(L153,材料合同!$L$6:$CC$305,4,0)</f>
        <v>0</v>
      </c>
      <c r="P153" s="266">
        <f>VLOOKUP(L153,材料合同!$L$6:$CC$305,5,0)</f>
        <v>42697</v>
      </c>
      <c r="Q153" s="275">
        <f>VLOOKUP(L153,材料合同!$L$6:$CC$305,6,0)</f>
        <v>108000</v>
      </c>
      <c r="R153" s="89" t="str">
        <f>VLOOKUP(L153,材料合同!$L$6:$CC$305,7,0)</f>
        <v>道闸1套（合同未拿，详见17年4月记88凭证）</v>
      </c>
      <c r="S153" s="89" t="str">
        <f>VLOOKUP(L153,材料合同!$L$6:$CC$305,8,0)</f>
        <v>福建聚众科技有限公司</v>
      </c>
      <c r="T153" s="107">
        <f>VLOOKUP(L153,材料合同!$L$6:$CC$305,9,0)</f>
        <v>0</v>
      </c>
      <c r="U153" s="103" t="str">
        <f>VLOOKUP(L153,材料合同!$L$6:$CC$305,10,0)</f>
        <v>6个月承兑汇票</v>
      </c>
      <c r="V153" s="276" t="str">
        <f>VLOOKUP(L153,材料合同!$L$6:$CC$305,11,0)</f>
        <v>甲方收到货款验收合格以及全额的发票后15个工作日支付90%的货款</v>
      </c>
      <c r="W153" s="102">
        <f>VLOOKUP(L153,材料合同!$L$6:$CC$305,12,0)</f>
        <v>102600</v>
      </c>
      <c r="X153" s="102">
        <f>VLOOKUP(L153,材料合同!$L$6:$CC$305,13,0)</f>
        <v>102600</v>
      </c>
      <c r="Y153" s="102">
        <f>VLOOKUP(L153,材料合同!$L$6:$CC$305,14,0)</f>
        <v>102600</v>
      </c>
      <c r="Z153" s="102" t="str">
        <f>VLOOKUP(L153,材料合同!$L$6:$CC$305,15,0)</f>
        <v>5%质保金，一年</v>
      </c>
      <c r="AA153" s="102">
        <f>VLOOKUP(L153,材料合同!$L$6:$CC$305,16,0)</f>
        <v>5400</v>
      </c>
      <c r="AB153" s="102">
        <f>VLOOKUP(L153,材料合同!$L$6:$CC$305,17,0)</f>
        <v>0</v>
      </c>
      <c r="AC153" s="102">
        <f>VLOOKUP(L153,材料合同!$L$6:$CC$305,18,0)</f>
        <v>0</v>
      </c>
      <c r="AD153" s="102">
        <f>VLOOKUP(L153,材料合同!$L$6:$CC$305,19,0)</f>
        <v>0</v>
      </c>
      <c r="AE153" s="102">
        <f>VLOOKUP(L153,材料合同!$L$6:$CC$305,20,0)</f>
        <v>0</v>
      </c>
      <c r="AF153" s="102">
        <f>VLOOKUP(L153,材料合同!$L$6:$CC$305,21,0)</f>
        <v>0</v>
      </c>
      <c r="AG153" s="102">
        <f>VLOOKUP(L153,材料合同!$L$6:$CC$305,22,0)</f>
        <v>0</v>
      </c>
      <c r="AH153" s="102">
        <f>VLOOKUP(L153,材料合同!$L$6:$CC$305,23,0)</f>
        <v>0</v>
      </c>
      <c r="AI153" s="102">
        <f>VLOOKUP(L153,材料合同!$L$6:$CC$305,24,0)</f>
        <v>0</v>
      </c>
      <c r="AJ153" s="102">
        <f>VLOOKUP(L153,材料合同!$L$6:$CC$305,25,0)</f>
        <v>0</v>
      </c>
      <c r="AK153" s="102">
        <f>VLOOKUP(L153,材料合同!$L$6:$CC$305,26,0)</f>
        <v>0</v>
      </c>
      <c r="AL153" s="102">
        <f>VLOOKUP(L153,材料合同!$L$6:$CC$305,27,0)</f>
        <v>0</v>
      </c>
      <c r="AM153" s="102">
        <f>VLOOKUP(L153,材料合同!$L$6:$CC$305,28,0)</f>
        <v>0</v>
      </c>
      <c r="AN153" s="102">
        <f>VLOOKUP(L153,材料合同!$L$6:$CC$305,29,0)</f>
        <v>0</v>
      </c>
      <c r="AO153" s="102">
        <f>VLOOKUP(L153,材料合同!$L$6:$CC$305,30,0)</f>
        <v>0</v>
      </c>
      <c r="AP153" s="102">
        <f>VLOOKUP(L153,材料合同!$L$6:$CC$305,31,0)</f>
        <v>0</v>
      </c>
      <c r="AQ153" s="102">
        <f>VLOOKUP(L153,材料合同!$L$6:$CC$305,32,0)</f>
        <v>0</v>
      </c>
      <c r="AR153" s="102">
        <f>VLOOKUP(L153,材料合同!$L$6:$CC$305,33,0)</f>
        <v>0</v>
      </c>
      <c r="AS153" s="102">
        <f>VLOOKUP(L153,材料合同!$L$6:$CC$305,34,0)</f>
        <v>0</v>
      </c>
      <c r="AT153" s="102">
        <f>VLOOKUP(L153,材料合同!$L$6:$CC$305,35,0)</f>
        <v>0</v>
      </c>
      <c r="AU153" s="102">
        <f>VLOOKUP(L153,材料合同!$L$6:$CC$305,36,0)</f>
        <v>0</v>
      </c>
      <c r="AV153" s="102">
        <f>VLOOKUP(L153,材料合同!$L$6:$CC$305,37,0)</f>
        <v>0</v>
      </c>
      <c r="AW153" s="102">
        <f>VLOOKUP(L153,材料合同!$L$6:$CC$305,38,0)</f>
        <v>0</v>
      </c>
      <c r="AX153" s="102">
        <f>VLOOKUP(L153,材料合同!$L$6:$CC$305,39,0)</f>
        <v>0</v>
      </c>
      <c r="AY153" s="102">
        <f>VLOOKUP(L153,材料合同!$L$6:$CC$305,40,0)</f>
        <v>0</v>
      </c>
      <c r="AZ153" s="102">
        <f>VLOOKUP(L153,材料合同!$L$6:$CC$305,41,0)</f>
        <v>0</v>
      </c>
      <c r="BA153" s="102">
        <f>VLOOKUP(L153,材料合同!$L$6:$CC$305,42,0)</f>
        <v>0</v>
      </c>
      <c r="BB153" s="102">
        <f>VLOOKUP(L153,材料合同!$L$6:$CC$305,43,0)</f>
        <v>0</v>
      </c>
      <c r="BC153" s="102">
        <f>VLOOKUP(L153,材料合同!$L$6:$CC$305,44,0)</f>
        <v>0</v>
      </c>
      <c r="BD153" s="102">
        <f>VLOOKUP(L153,材料合同!$L$6:$CC$305,45,0)</f>
        <v>0</v>
      </c>
      <c r="BE153" s="102">
        <f>VLOOKUP(L153,材料合同!$L$6:$CC$305,46,0)</f>
        <v>0</v>
      </c>
      <c r="BF153" s="102">
        <f>VLOOKUP(L153,材料合同!$L$6:$CC$305,47,0)</f>
        <v>0</v>
      </c>
      <c r="BG153" s="102">
        <f>VLOOKUP(L153,材料合同!$L$6:$CC$305,48,0)</f>
        <v>0</v>
      </c>
      <c r="BH153" s="102">
        <f>VLOOKUP(L153,材料合同!$L$6:$CC$305,49,0)</f>
        <v>0</v>
      </c>
      <c r="BI153" s="102">
        <f>VLOOKUP(L153,材料合同!$L$6:$CC$305,50,0)</f>
        <v>0</v>
      </c>
      <c r="BJ153" s="102">
        <f>VLOOKUP(L153,材料合同!$L$6:$CC$305,51,0)</f>
        <v>0</v>
      </c>
      <c r="BK153" s="102">
        <f>VLOOKUP(L153,材料合同!$L$6:$CC$305,52,0)</f>
        <v>0</v>
      </c>
      <c r="BL153" s="102">
        <f>VLOOKUP(L153,材料合同!$L$6:$CC$305,53,0)</f>
        <v>0</v>
      </c>
      <c r="BM153" s="102">
        <f>VLOOKUP(L153,材料合同!$L$6:$CC$305,54,0)</f>
        <v>0</v>
      </c>
      <c r="BN153" s="102">
        <f>VLOOKUP(L153,材料合同!$L$6:$CC$305,55,0)</f>
        <v>0</v>
      </c>
      <c r="BO153" s="102">
        <f>VLOOKUP(L153,材料合同!$L$6:$CC$305,56,0)</f>
        <v>0</v>
      </c>
      <c r="BP153" s="102">
        <f>VLOOKUP(L153,材料合同!$L$6:$CC$305,57,0)</f>
        <v>0</v>
      </c>
      <c r="BQ153" s="102">
        <f>VLOOKUP(L153,材料合同!$L$6:$CC$305,58,0)</f>
        <v>0</v>
      </c>
      <c r="BR153" s="102">
        <f>VLOOKUP(L153,材料合同!$L$6:$CC$305,59,0)</f>
        <v>0</v>
      </c>
      <c r="BS153" s="102">
        <f>VLOOKUP(L153,材料合同!$L$6:$CC$305,60,0)</f>
        <v>0</v>
      </c>
      <c r="BT153" s="102">
        <f>VLOOKUP(L153,材料合同!$L$6:$CC$305,61,0)</f>
        <v>0</v>
      </c>
      <c r="BU153" s="102">
        <f>VLOOKUP(L153,材料合同!$L$6:$CC$305,62,0)</f>
        <v>0</v>
      </c>
      <c r="BV153" s="102">
        <f>VLOOKUP(L153,材料合同!$L$6:$CC$305,63,0)</f>
        <v>0</v>
      </c>
      <c r="BW153" s="102">
        <f>VLOOKUP(L153,材料合同!$L$6:$CC$305,64,0)</f>
        <v>0</v>
      </c>
      <c r="BX153" s="102">
        <f>VLOOKUP(L153,材料合同!$L$6:$CC$305,65,0)</f>
        <v>0</v>
      </c>
      <c r="BY153" s="102">
        <f>VLOOKUP(L153,材料合同!$L$6:$CC$305,66,0)</f>
        <v>0</v>
      </c>
      <c r="BZ153" s="102">
        <f>VLOOKUP(L153,材料合同!$L$6:$CC$305,67,0)</f>
        <v>0</v>
      </c>
      <c r="CA153" s="102">
        <f>VLOOKUP(L153,材料合同!$L$6:$CC$305,68,0)</f>
        <v>0</v>
      </c>
      <c r="CB153" s="102">
        <f>VLOOKUP(L153,材料合同!$L$6:$CC$305,69,0)</f>
        <v>0</v>
      </c>
      <c r="CC153" s="102">
        <f>VLOOKUP(L153,材料合同!$L$6:$CC$305,70,0)</f>
        <v>0</v>
      </c>
      <c r="CD153" s="123">
        <f t="shared" si="44"/>
        <v>108000</v>
      </c>
      <c r="CE153" s="102">
        <f t="shared" si="45"/>
        <v>102600</v>
      </c>
      <c r="CF153" s="102">
        <f t="shared" si="46"/>
        <v>102600</v>
      </c>
      <c r="CG153" s="102">
        <f t="shared" si="47"/>
        <v>0</v>
      </c>
      <c r="CH153" s="124">
        <f t="shared" si="48"/>
        <v>5400</v>
      </c>
      <c r="CI153" s="125">
        <f t="shared" si="49"/>
        <v>0.95</v>
      </c>
      <c r="CJ153" s="126" t="str">
        <f t="shared" si="50"/>
        <v>数据正确</v>
      </c>
    </row>
    <row r="154" s="60" customFormat="1" customHeight="1" spans="2:88">
      <c r="B154" s="70" t="str">
        <f t="shared" si="40"/>
        <v>-</v>
      </c>
      <c r="C154" s="71" t="str">
        <f t="shared" si="41"/>
        <v>已付清</v>
      </c>
      <c r="D154" s="181">
        <f t="shared" si="42"/>
        <v>5592841.17</v>
      </c>
      <c r="E154" s="181">
        <f>SUMIF(服务合同!$L$6:$L$300,L154,服务合同!$E$6:$E$300)</f>
        <v>0</v>
      </c>
      <c r="F154" s="181">
        <f>SUMIF(服务合同!$L$6:$L$300,L154,服务合同!$F$6:$F$300)</f>
        <v>0</v>
      </c>
      <c r="G154" s="181">
        <f>SUMIF(服务合同!$L$6:$L$300,L154,服务合同!$G$6:$G$300)</f>
        <v>0</v>
      </c>
      <c r="H154" s="181">
        <f>SUMIF(服务合同!$L$6:$L$300,L154,服务合同!$H$6:$H$300)</f>
        <v>0</v>
      </c>
      <c r="I154" s="181">
        <f t="shared" si="43"/>
        <v>0</v>
      </c>
      <c r="J154" s="86" t="s">
        <v>98</v>
      </c>
      <c r="K154" s="87"/>
      <c r="L154" s="88">
        <v>149</v>
      </c>
      <c r="M154" s="89" t="str">
        <f>VLOOKUP(L154,服务合同!$L$6:$CC$300,2,0)</f>
        <v>无</v>
      </c>
      <c r="N154" s="90" t="str">
        <f>VLOOKUP(L154,服务合同!$L$6:$CC$300,3,0)</f>
        <v>服务合同</v>
      </c>
      <c r="O154" s="265" t="str">
        <f>VLOOKUP(L154,服务合同!$L$6:$CC$300,4,0)</f>
        <v>-</v>
      </c>
      <c r="P154" s="266">
        <f>VLOOKUP(L154,服务合同!$L$6:$CC$300,5,0)</f>
        <v>42370</v>
      </c>
      <c r="Q154" s="275">
        <f>VLOOKUP(L154,服务合同!$L$6:$CC$300,6,0)</f>
        <v>5592841.17</v>
      </c>
      <c r="R154" s="89" t="str">
        <f>VLOOKUP(L154,服务合同!$L$6:$CC$300,7,0)</f>
        <v>意大利专有技术费</v>
      </c>
      <c r="S154" s="89" t="str">
        <f>VLOOKUP(L154,服务合同!$L$6:$CC$300,8,0)</f>
        <v>意大利（IPT Srl)</v>
      </c>
      <c r="T154" s="107">
        <f>VLOOKUP(L154,服务合同!$L$6:$CC$300,9,0)</f>
        <v>0</v>
      </c>
      <c r="U154" s="103" t="str">
        <f>VLOOKUP(L154,服务合同!$L$6:$CC$300,10,0)</f>
        <v>电汇</v>
      </c>
      <c r="V154" s="276" t="str">
        <f>VLOOKUP(L154,服务合同!$L$6:$CC$300,11,0)</f>
        <v>合同签订且收到单据发票后100%支付</v>
      </c>
      <c r="W154" s="102">
        <f>VLOOKUP(L154,服务合同!$L$6:$CC$300,12,0)</f>
        <v>5592841.17</v>
      </c>
      <c r="X154" s="102">
        <f>VLOOKUP(L154,服务合同!$L$6:$CC$300,13,0)</f>
        <v>5592841.17</v>
      </c>
      <c r="Y154" s="102">
        <f>VLOOKUP(L154,服务合同!$L$6:$CC$300,14,0)</f>
        <v>5592841.17</v>
      </c>
      <c r="Z154" s="102">
        <f>VLOOKUP(L154,服务合同!$L$6:$CC$300,15,0)</f>
        <v>0</v>
      </c>
      <c r="AA154" s="102">
        <f>VLOOKUP(L154,服务合同!$L$6:$CC$300,16,0)</f>
        <v>0</v>
      </c>
      <c r="AB154" s="102">
        <f>VLOOKUP(L154,服务合同!$L$6:$CC$300,17,0)</f>
        <v>0</v>
      </c>
      <c r="AC154" s="102">
        <f>VLOOKUP(L154,服务合同!$L$6:$CC$300,18,0)</f>
        <v>0</v>
      </c>
      <c r="AD154" s="102">
        <f>VLOOKUP(L154,服务合同!$L$6:$CC$300,19,0)</f>
        <v>0</v>
      </c>
      <c r="AE154" s="102">
        <f>VLOOKUP(L154,服务合同!$L$6:$CC$300,20,0)</f>
        <v>0</v>
      </c>
      <c r="AF154" s="102">
        <f>VLOOKUP(L154,服务合同!$L$6:$CC$300,21,0)</f>
        <v>0</v>
      </c>
      <c r="AG154" s="102">
        <f>VLOOKUP(L154,服务合同!$L$6:$CC$300,22,0)</f>
        <v>0</v>
      </c>
      <c r="AH154" s="102">
        <f>VLOOKUP(L154,服务合同!$L$6:$CC$300,23,0)</f>
        <v>0</v>
      </c>
      <c r="AI154" s="102">
        <f>VLOOKUP(L154,服务合同!$L$6:$CC$300,24,0)</f>
        <v>0</v>
      </c>
      <c r="AJ154" s="102">
        <f>VLOOKUP(L154,服务合同!$L$6:$CC$300,25,0)</f>
        <v>0</v>
      </c>
      <c r="AK154" s="102">
        <f>VLOOKUP(L154,服务合同!$L$6:$CC$300,26,0)</f>
        <v>0</v>
      </c>
      <c r="AL154" s="102">
        <f>VLOOKUP(L154,服务合同!$L$6:$CC$300,27,0)</f>
        <v>0</v>
      </c>
      <c r="AM154" s="102">
        <f>VLOOKUP(L154,服务合同!$L$6:$CC$300,28,0)</f>
        <v>0</v>
      </c>
      <c r="AN154" s="102">
        <f>VLOOKUP(L154,服务合同!$L$6:$CC$300,29,0)</f>
        <v>0</v>
      </c>
      <c r="AO154" s="102">
        <f>VLOOKUP(L154,服务合同!$L$6:$CC$300,30,0)</f>
        <v>0</v>
      </c>
      <c r="AP154" s="102">
        <f>VLOOKUP(L154,服务合同!$L$6:$CC$300,31,0)</f>
        <v>0</v>
      </c>
      <c r="AQ154" s="102">
        <f>VLOOKUP(L154,服务合同!$L$6:$CC$300,32,0)</f>
        <v>0</v>
      </c>
      <c r="AR154" s="102">
        <f>VLOOKUP(L154,服务合同!$L$6:$CC$300,33,0)</f>
        <v>0</v>
      </c>
      <c r="AS154" s="102">
        <f>VLOOKUP(L154,服务合同!$L$6:$CC$300,34,0)</f>
        <v>0</v>
      </c>
      <c r="AT154" s="102">
        <f>VLOOKUP(L154,服务合同!$L$6:$CC$300,35,0)</f>
        <v>0</v>
      </c>
      <c r="AU154" s="102">
        <f>VLOOKUP(L154,服务合同!$L$6:$CC$300,36,0)</f>
        <v>0</v>
      </c>
      <c r="AV154" s="102">
        <f>VLOOKUP(L154,服务合同!$L$6:$CC$300,37,0)</f>
        <v>0</v>
      </c>
      <c r="AW154" s="102">
        <f>VLOOKUP(L154,服务合同!$L$6:$CC$300,38,0)</f>
        <v>0</v>
      </c>
      <c r="AX154" s="102">
        <f>VLOOKUP(L154,服务合同!$L$6:$CC$300,39,0)</f>
        <v>0</v>
      </c>
      <c r="AY154" s="102">
        <f>VLOOKUP(L154,服务合同!$L$6:$CC$300,40,0)</f>
        <v>0</v>
      </c>
      <c r="AZ154" s="102">
        <f>VLOOKUP(L154,服务合同!$L$6:$CC$300,41,0)</f>
        <v>0</v>
      </c>
      <c r="BA154" s="102">
        <f>VLOOKUP(L154,服务合同!$L$6:$CC$300,42,0)</f>
        <v>0</v>
      </c>
      <c r="BB154" s="102">
        <f>VLOOKUP(L154,服务合同!$L$6:$CC$300,43,0)</f>
        <v>0</v>
      </c>
      <c r="BC154" s="102">
        <f>VLOOKUP(L154,服务合同!$L$6:$CC$300,44,0)</f>
        <v>0</v>
      </c>
      <c r="BD154" s="102">
        <f>VLOOKUP(L154,服务合同!$L$6:$CC$300,45,0)</f>
        <v>0</v>
      </c>
      <c r="BE154" s="102">
        <f>VLOOKUP(L154,服务合同!$L$6:$CC$300,46,0)</f>
        <v>0</v>
      </c>
      <c r="BF154" s="102">
        <f>VLOOKUP(L154,服务合同!$L$6:$CC$300,47,0)</f>
        <v>0</v>
      </c>
      <c r="BG154" s="102">
        <f>VLOOKUP(L154,服务合同!$L$6:$CC$300,48,0)</f>
        <v>0</v>
      </c>
      <c r="BH154" s="102">
        <f>VLOOKUP(L154,服务合同!$L$6:$CC$300,49,0)</f>
        <v>0</v>
      </c>
      <c r="BI154" s="102">
        <f>VLOOKUP(L154,服务合同!$L$6:$CC$300,50,0)</f>
        <v>0</v>
      </c>
      <c r="BJ154" s="102">
        <f>VLOOKUP(L154,服务合同!$L$6:$CC$300,51,0)</f>
        <v>0</v>
      </c>
      <c r="BK154" s="102">
        <f>VLOOKUP(L154,服务合同!$L$6:$CC$300,52,0)</f>
        <v>0</v>
      </c>
      <c r="BL154" s="102">
        <f>VLOOKUP(L154,服务合同!$L$6:$CC$300,53,0)</f>
        <v>0</v>
      </c>
      <c r="BM154" s="102">
        <f>VLOOKUP(L154,服务合同!$L$6:$CC$300,54,0)</f>
        <v>0</v>
      </c>
      <c r="BN154" s="102">
        <f>VLOOKUP(L154,服务合同!$L$6:$CC$300,55,0)</f>
        <v>0</v>
      </c>
      <c r="BO154" s="102">
        <f>VLOOKUP(L154,服务合同!$L$6:$CC$300,56,0)</f>
        <v>0</v>
      </c>
      <c r="BP154" s="102">
        <f>VLOOKUP(L154,服务合同!$L$6:$CC$300,57,0)</f>
        <v>0</v>
      </c>
      <c r="BQ154" s="102">
        <f>VLOOKUP(L154,服务合同!$L$6:$CC$300,58,0)</f>
        <v>0</v>
      </c>
      <c r="BR154" s="102">
        <f>VLOOKUP(L154,服务合同!$L$6:$CC$300,59,0)</f>
        <v>0</v>
      </c>
      <c r="BS154" s="102">
        <f>VLOOKUP(L154,服务合同!$L$6:$CC$300,60,0)</f>
        <v>0</v>
      </c>
      <c r="BT154" s="102">
        <f>VLOOKUP(L154,服务合同!$L$6:$CC$300,61,0)</f>
        <v>0</v>
      </c>
      <c r="BU154" s="102">
        <f>VLOOKUP(L154,服务合同!$L$6:$CC$300,62,0)</f>
        <v>0</v>
      </c>
      <c r="BV154" s="102">
        <f>VLOOKUP(L154,服务合同!$L$6:$CC$300,63,0)</f>
        <v>0</v>
      </c>
      <c r="BW154" s="102">
        <f>VLOOKUP(L154,服务合同!$L$6:$CC$300,64,0)</f>
        <v>0</v>
      </c>
      <c r="BX154" s="102">
        <f>VLOOKUP(L154,服务合同!$L$6:$CC$300,65,0)</f>
        <v>0</v>
      </c>
      <c r="BY154" s="102">
        <f>VLOOKUP(L154,服务合同!$L$6:$CC$300,66,0)</f>
        <v>0</v>
      </c>
      <c r="BZ154" s="102">
        <f>VLOOKUP(L154,服务合同!$L$6:$CC$300,67,0)</f>
        <v>0</v>
      </c>
      <c r="CA154" s="102">
        <f>VLOOKUP(L154,服务合同!$L$6:$CC$300,68,0)</f>
        <v>0</v>
      </c>
      <c r="CB154" s="102">
        <f>VLOOKUP(L154,服务合同!$L$6:$CC$300,69,0)</f>
        <v>0</v>
      </c>
      <c r="CC154" s="102">
        <f>VLOOKUP(L154,服务合同!$L$6:$CC$300,70,0)</f>
        <v>0</v>
      </c>
      <c r="CD154" s="123">
        <f t="shared" si="44"/>
        <v>5592841.17</v>
      </c>
      <c r="CE154" s="102">
        <f t="shared" si="45"/>
        <v>5592841.17</v>
      </c>
      <c r="CF154" s="102">
        <f t="shared" si="46"/>
        <v>5592841.17</v>
      </c>
      <c r="CG154" s="102">
        <f t="shared" si="47"/>
        <v>0</v>
      </c>
      <c r="CH154" s="124">
        <f t="shared" si="48"/>
        <v>0</v>
      </c>
      <c r="CI154" s="125">
        <f t="shared" si="49"/>
        <v>1</v>
      </c>
      <c r="CJ154" s="126" t="str">
        <f t="shared" si="50"/>
        <v>数据正确</v>
      </c>
    </row>
    <row r="155" s="60" customFormat="1" customHeight="1" spans="2:88">
      <c r="B155" s="70" t="str">
        <f t="shared" si="40"/>
        <v>-</v>
      </c>
      <c r="C155" s="71" t="str">
        <f t="shared" si="41"/>
        <v>已付清</v>
      </c>
      <c r="D155" s="181">
        <f t="shared" si="42"/>
        <v>47934.25</v>
      </c>
      <c r="E155" s="181">
        <f>SUMIF(材料合同!$L$6:$L$305,L155,材料合同!$E$6:$E$305)</f>
        <v>0</v>
      </c>
      <c r="F155" s="181">
        <f>SUMIF(材料合同!$L$6:$L$305,L155,材料合同!$F$6:$F$305)</f>
        <v>0</v>
      </c>
      <c r="G155" s="181">
        <f>SUMIF(材料合同!$L$6:$L$305,L155,材料合同!$G$6:$G$305)</f>
        <v>1065.75</v>
      </c>
      <c r="H155" s="181">
        <f>SUMIF(材料合同!$L$6:$L$305,L155,材料合同!$H$6:$H$305)</f>
        <v>0</v>
      </c>
      <c r="I155" s="181">
        <f t="shared" si="43"/>
        <v>0</v>
      </c>
      <c r="J155" s="86" t="s">
        <v>98</v>
      </c>
      <c r="K155" s="87"/>
      <c r="L155" s="88">
        <v>150</v>
      </c>
      <c r="M155" s="89" t="str">
        <f>VLOOKUP(L155,材料合同!$L$6:$CC$305,2,0)</f>
        <v>YRKJGC-170032</v>
      </c>
      <c r="N155" s="90" t="str">
        <f>VLOOKUP(L155,材料合同!$L$6:$CC$305,3,0)</f>
        <v>材料合同</v>
      </c>
      <c r="O155" s="265">
        <f>VLOOKUP(L155,材料合同!$L$6:$CC$305,4,0)</f>
        <v>2017060075</v>
      </c>
      <c r="P155" s="266">
        <f>VLOOKUP(L155,材料合同!$L$6:$CC$305,5,0)</f>
        <v>42916</v>
      </c>
      <c r="Q155" s="275">
        <f>VLOOKUP(L155,材料合同!$L$6:$CC$305,6,0)</f>
        <v>49000</v>
      </c>
      <c r="R155" s="89" t="str">
        <f>VLOOKUP(L155,材料合同!$L$6:$CC$305,7,0)</f>
        <v>PRC管、管材等</v>
      </c>
      <c r="S155" s="89" t="str">
        <f>VLOOKUP(L155,材料合同!$L$6:$CC$305,8,0)</f>
        <v>福州望远机电设备有限公司</v>
      </c>
      <c r="T155" s="107">
        <f>VLOOKUP(L155,材料合同!$L$6:$CC$305,9,0)</f>
        <v>0</v>
      </c>
      <c r="U155" s="103" t="str">
        <f>VLOOKUP(L155,材料合同!$L$6:$CC$305,10,0)</f>
        <v>6个月承兑汇票</v>
      </c>
      <c r="V155" s="276" t="str">
        <f>VLOOKUP(L155,材料合同!$L$6:$CC$305,11,0)</f>
        <v>甲方收到货、发票后，10-15个工作日全额付清</v>
      </c>
      <c r="W155" s="102">
        <f>VLOOKUP(L155,材料合同!$L$6:$CC$305,12,0)</f>
        <v>49000</v>
      </c>
      <c r="X155" s="102">
        <f>VLOOKUP(L155,材料合同!$L$6:$CC$305,13,0)</f>
        <v>49000</v>
      </c>
      <c r="Y155" s="102">
        <f>VLOOKUP(L155,材料合同!$L$6:$CC$305,14,0)</f>
        <v>47934.25</v>
      </c>
      <c r="Z155" s="102">
        <f>VLOOKUP(L155,材料合同!$L$6:$CC$305,15,0)</f>
        <v>0</v>
      </c>
      <c r="AA155" s="102">
        <f>VLOOKUP(L155,材料合同!$L$6:$CC$305,16,0)</f>
        <v>0</v>
      </c>
      <c r="AB155" s="102">
        <f>VLOOKUP(L155,材料合同!$L$6:$CC$305,17,0)</f>
        <v>0</v>
      </c>
      <c r="AC155" s="102">
        <f>VLOOKUP(L155,材料合同!$L$6:$CC$305,18,0)</f>
        <v>0</v>
      </c>
      <c r="AD155" s="102">
        <f>VLOOKUP(L155,材料合同!$L$6:$CC$305,19,0)</f>
        <v>0</v>
      </c>
      <c r="AE155" s="102">
        <f>VLOOKUP(L155,材料合同!$L$6:$CC$305,20,0)</f>
        <v>0</v>
      </c>
      <c r="AF155" s="102">
        <f>VLOOKUP(L155,材料合同!$L$6:$CC$305,21,0)</f>
        <v>0</v>
      </c>
      <c r="AG155" s="102">
        <f>VLOOKUP(L155,材料合同!$L$6:$CC$305,22,0)</f>
        <v>0</v>
      </c>
      <c r="AH155" s="102">
        <f>VLOOKUP(L155,材料合同!$L$6:$CC$305,23,0)</f>
        <v>0</v>
      </c>
      <c r="AI155" s="102">
        <f>VLOOKUP(L155,材料合同!$L$6:$CC$305,24,0)</f>
        <v>0</v>
      </c>
      <c r="AJ155" s="102">
        <f>VLOOKUP(L155,材料合同!$L$6:$CC$305,25,0)</f>
        <v>0</v>
      </c>
      <c r="AK155" s="102">
        <f>VLOOKUP(L155,材料合同!$L$6:$CC$305,26,0)</f>
        <v>0</v>
      </c>
      <c r="AL155" s="102">
        <f>VLOOKUP(L155,材料合同!$L$6:$CC$305,27,0)</f>
        <v>0</v>
      </c>
      <c r="AM155" s="102">
        <f>VLOOKUP(L155,材料合同!$L$6:$CC$305,28,0)</f>
        <v>0</v>
      </c>
      <c r="AN155" s="102">
        <f>VLOOKUP(L155,材料合同!$L$6:$CC$305,29,0)</f>
        <v>0</v>
      </c>
      <c r="AO155" s="102">
        <f>VLOOKUP(L155,材料合同!$L$6:$CC$305,30,0)</f>
        <v>0</v>
      </c>
      <c r="AP155" s="102">
        <f>VLOOKUP(L155,材料合同!$L$6:$CC$305,31,0)</f>
        <v>0</v>
      </c>
      <c r="AQ155" s="102">
        <f>VLOOKUP(L155,材料合同!$L$6:$CC$305,32,0)</f>
        <v>0</v>
      </c>
      <c r="AR155" s="102">
        <f>VLOOKUP(L155,材料合同!$L$6:$CC$305,33,0)</f>
        <v>0</v>
      </c>
      <c r="AS155" s="102">
        <f>VLOOKUP(L155,材料合同!$L$6:$CC$305,34,0)</f>
        <v>0</v>
      </c>
      <c r="AT155" s="102">
        <f>VLOOKUP(L155,材料合同!$L$6:$CC$305,35,0)</f>
        <v>0</v>
      </c>
      <c r="AU155" s="102">
        <f>VLOOKUP(L155,材料合同!$L$6:$CC$305,36,0)</f>
        <v>0</v>
      </c>
      <c r="AV155" s="102">
        <f>VLOOKUP(L155,材料合同!$L$6:$CC$305,37,0)</f>
        <v>0</v>
      </c>
      <c r="AW155" s="102">
        <f>VLOOKUP(L155,材料合同!$L$6:$CC$305,38,0)</f>
        <v>0</v>
      </c>
      <c r="AX155" s="102">
        <f>VLOOKUP(L155,材料合同!$L$6:$CC$305,39,0)</f>
        <v>0</v>
      </c>
      <c r="AY155" s="102">
        <f>VLOOKUP(L155,材料合同!$L$6:$CC$305,40,0)</f>
        <v>0</v>
      </c>
      <c r="AZ155" s="102">
        <f>VLOOKUP(L155,材料合同!$L$6:$CC$305,41,0)</f>
        <v>0</v>
      </c>
      <c r="BA155" s="102">
        <f>VLOOKUP(L155,材料合同!$L$6:$CC$305,42,0)</f>
        <v>0</v>
      </c>
      <c r="BB155" s="102">
        <f>VLOOKUP(L155,材料合同!$L$6:$CC$305,43,0)</f>
        <v>0</v>
      </c>
      <c r="BC155" s="102">
        <f>VLOOKUP(L155,材料合同!$L$6:$CC$305,44,0)</f>
        <v>0</v>
      </c>
      <c r="BD155" s="102">
        <f>VLOOKUP(L155,材料合同!$L$6:$CC$305,45,0)</f>
        <v>0</v>
      </c>
      <c r="BE155" s="102">
        <f>VLOOKUP(L155,材料合同!$L$6:$CC$305,46,0)</f>
        <v>0</v>
      </c>
      <c r="BF155" s="102">
        <f>VLOOKUP(L155,材料合同!$L$6:$CC$305,47,0)</f>
        <v>0</v>
      </c>
      <c r="BG155" s="102">
        <f>VLOOKUP(L155,材料合同!$L$6:$CC$305,48,0)</f>
        <v>0</v>
      </c>
      <c r="BH155" s="102">
        <f>VLOOKUP(L155,材料合同!$L$6:$CC$305,49,0)</f>
        <v>0</v>
      </c>
      <c r="BI155" s="102">
        <f>VLOOKUP(L155,材料合同!$L$6:$CC$305,50,0)</f>
        <v>0</v>
      </c>
      <c r="BJ155" s="102">
        <f>VLOOKUP(L155,材料合同!$L$6:$CC$305,51,0)</f>
        <v>0</v>
      </c>
      <c r="BK155" s="102">
        <f>VLOOKUP(L155,材料合同!$L$6:$CC$305,52,0)</f>
        <v>0</v>
      </c>
      <c r="BL155" s="102">
        <f>VLOOKUP(L155,材料合同!$L$6:$CC$305,53,0)</f>
        <v>0</v>
      </c>
      <c r="BM155" s="102">
        <f>VLOOKUP(L155,材料合同!$L$6:$CC$305,54,0)</f>
        <v>0</v>
      </c>
      <c r="BN155" s="102">
        <f>VLOOKUP(L155,材料合同!$L$6:$CC$305,55,0)</f>
        <v>0</v>
      </c>
      <c r="BO155" s="102">
        <f>VLOOKUP(L155,材料合同!$L$6:$CC$305,56,0)</f>
        <v>0</v>
      </c>
      <c r="BP155" s="102">
        <f>VLOOKUP(L155,材料合同!$L$6:$CC$305,57,0)</f>
        <v>0</v>
      </c>
      <c r="BQ155" s="102">
        <f>VLOOKUP(L155,材料合同!$L$6:$CC$305,58,0)</f>
        <v>0</v>
      </c>
      <c r="BR155" s="102">
        <f>VLOOKUP(L155,材料合同!$L$6:$CC$305,59,0)</f>
        <v>0</v>
      </c>
      <c r="BS155" s="102">
        <f>VLOOKUP(L155,材料合同!$L$6:$CC$305,60,0)</f>
        <v>0</v>
      </c>
      <c r="BT155" s="102">
        <f>VLOOKUP(L155,材料合同!$L$6:$CC$305,61,0)</f>
        <v>0</v>
      </c>
      <c r="BU155" s="102">
        <f>VLOOKUP(L155,材料合同!$L$6:$CC$305,62,0)</f>
        <v>0</v>
      </c>
      <c r="BV155" s="102">
        <f>VLOOKUP(L155,材料合同!$L$6:$CC$305,63,0)</f>
        <v>0</v>
      </c>
      <c r="BW155" s="102">
        <f>VLOOKUP(L155,材料合同!$L$6:$CC$305,64,0)</f>
        <v>0</v>
      </c>
      <c r="BX155" s="102">
        <f>VLOOKUP(L155,材料合同!$L$6:$CC$305,65,0)</f>
        <v>0</v>
      </c>
      <c r="BY155" s="102">
        <f>VLOOKUP(L155,材料合同!$L$6:$CC$305,66,0)</f>
        <v>0</v>
      </c>
      <c r="BZ155" s="102">
        <f>VLOOKUP(L155,材料合同!$L$6:$CC$305,67,0)</f>
        <v>0</v>
      </c>
      <c r="CA155" s="102">
        <f>VLOOKUP(L155,材料合同!$L$6:$CC$305,68,0)</f>
        <v>0</v>
      </c>
      <c r="CB155" s="102">
        <f>VLOOKUP(L155,材料合同!$L$6:$CC$305,69,0)</f>
        <v>0</v>
      </c>
      <c r="CC155" s="102">
        <f>VLOOKUP(L155,材料合同!$L$6:$CC$305,70,0)</f>
        <v>0</v>
      </c>
      <c r="CD155" s="123">
        <f t="shared" si="44"/>
        <v>49000</v>
      </c>
      <c r="CE155" s="102">
        <f t="shared" si="45"/>
        <v>49000</v>
      </c>
      <c r="CF155" s="102">
        <f t="shared" si="46"/>
        <v>47934.25</v>
      </c>
      <c r="CG155" s="102">
        <f t="shared" si="47"/>
        <v>1065.75</v>
      </c>
      <c r="CH155" s="124">
        <f t="shared" si="48"/>
        <v>0</v>
      </c>
      <c r="CI155" s="125">
        <f t="shared" si="49"/>
        <v>1</v>
      </c>
      <c r="CJ155" s="126" t="str">
        <f t="shared" si="50"/>
        <v>数据正确</v>
      </c>
    </row>
    <row r="156" s="60" customFormat="1" customHeight="1" spans="2:88">
      <c r="B156" s="70" t="str">
        <f t="shared" si="40"/>
        <v>申请中</v>
      </c>
      <c r="C156" s="71" t="str">
        <f t="shared" si="41"/>
        <v>-</v>
      </c>
      <c r="D156" s="181">
        <f t="shared" si="42"/>
        <v>1344758.2</v>
      </c>
      <c r="E156" s="181">
        <f>SUMIF(材料合同!$L$6:$L$305,L156,材料合同!$E$6:$E$305)</f>
        <v>0</v>
      </c>
      <c r="F156" s="181">
        <f>SUMIF(材料合同!$L$6:$L$305,L156,材料合同!$F$6:$F$305)</f>
        <v>0</v>
      </c>
      <c r="G156" s="181">
        <f>SUMIF(材料合同!$L$6:$L$305,L156,材料合同!$G$6:$G$305)</f>
        <v>0</v>
      </c>
      <c r="H156" s="181">
        <f>SUMIF(材料合同!$L$6:$L$305,L156,材料合同!$H$6:$H$305)</f>
        <v>0</v>
      </c>
      <c r="I156" s="181">
        <f t="shared" si="43"/>
        <v>2714313.6</v>
      </c>
      <c r="J156" s="86" t="s">
        <v>98</v>
      </c>
      <c r="K156" s="87"/>
      <c r="L156" s="88">
        <v>151</v>
      </c>
      <c r="M156" s="89" t="str">
        <f>VLOOKUP(L156,材料合同!$L$6:$CC$305,2,0)</f>
        <v>YRKJGC-170037</v>
      </c>
      <c r="N156" s="90" t="str">
        <f>VLOOKUP(L156,材料合同!$L$6:$CC$305,3,0)</f>
        <v>材料合同</v>
      </c>
      <c r="O156" s="265">
        <f>VLOOKUP(L156,材料合同!$L$6:$CC$305,4,0)</f>
        <v>2017060075</v>
      </c>
      <c r="P156" s="266">
        <f>VLOOKUP(L156,材料合同!$L$6:$CC$305,5,0)</f>
        <v>42934</v>
      </c>
      <c r="Q156" s="275">
        <f>VLOOKUP(L156,材料合同!$L$6:$CC$305,6,0)</f>
        <v>13447582</v>
      </c>
      <c r="R156" s="89" t="str">
        <f>VLOOKUP(L156,材料合同!$L$6:$CC$305,7,0)</f>
        <v>B型结构壁管一批</v>
      </c>
      <c r="S156" s="89" t="str">
        <f>VLOOKUP(L156,材料合同!$L$6:$CC$305,8,0)</f>
        <v>福建纳川管材科技股份有限公司</v>
      </c>
      <c r="T156" s="107" t="str">
        <f>VLOOKUP(L156,材料合同!$L$6:$CC$305,9,0)</f>
        <v>全厂给排水管网</v>
      </c>
      <c r="U156" s="103" t="str">
        <f>VLOOKUP(L156,材料合同!$L$6:$CC$305,10,0)</f>
        <v>6个月承兑汇票</v>
      </c>
      <c r="V156" s="276" t="str">
        <f>VLOOKUP(L156,材料合同!$L$6:$CC$305,11,0)</f>
        <v>合同签署后15工作日内，乙方开具合同总价的10%履约保函，有效期1年；10%的预付款保函后的15天内，支付10%预付款</v>
      </c>
      <c r="W156" s="102">
        <f>VLOOKUP(L156,材料合同!$L$6:$CC$305,12,0)</f>
        <v>1344758.2</v>
      </c>
      <c r="X156" s="102">
        <f>VLOOKUP(L156,材料合同!$L$6:$CC$305,13,0)</f>
        <v>1344758.2</v>
      </c>
      <c r="Y156" s="102">
        <f>VLOOKUP(L156,材料合同!$L$6:$CC$305,14,0)</f>
        <v>1344758.2</v>
      </c>
      <c r="Z156" s="102" t="str">
        <f>VLOOKUP(L156,材料合同!$L$6:$CC$305,15,0)</f>
        <v>甲方收到货物，经验收合格，收到17%专票后支付当月实际货款的80%（每个月10号前支付）</v>
      </c>
      <c r="AA156" s="102">
        <f>VLOOKUP(L156,材料合同!$L$6:$CC$305,16,0)</f>
        <v>10758065.6</v>
      </c>
      <c r="AB156" s="102">
        <f>VLOOKUP(L156,材料合同!$L$6:$CC$305,17,0)</f>
        <v>2714313.6</v>
      </c>
      <c r="AC156" s="102">
        <f>VLOOKUP(L156,材料合同!$L$6:$CC$305,18,0)</f>
        <v>0</v>
      </c>
      <c r="AD156" s="102" t="str">
        <f>VLOOKUP(L156,材料合同!$L$6:$CC$305,19,0)</f>
        <v>10%质保金，自验收合格，满12月或货到现场18个月支付</v>
      </c>
      <c r="AE156" s="102">
        <f>VLOOKUP(L156,材料合同!$L$6:$CC$305,20,0)</f>
        <v>1344758.2</v>
      </c>
      <c r="AF156" s="102">
        <f>VLOOKUP(L156,材料合同!$L$6:$CC$305,21,0)</f>
        <v>0</v>
      </c>
      <c r="AG156" s="102">
        <f>VLOOKUP(L156,材料合同!$L$6:$CC$305,22,0)</f>
        <v>0</v>
      </c>
      <c r="AH156" s="102">
        <f>VLOOKUP(L156,材料合同!$L$6:$CC$305,23,0)</f>
        <v>0</v>
      </c>
      <c r="AI156" s="102">
        <f>VLOOKUP(L156,材料合同!$L$6:$CC$305,24,0)</f>
        <v>0</v>
      </c>
      <c r="AJ156" s="102">
        <f>VLOOKUP(L156,材料合同!$L$6:$CC$305,25,0)</f>
        <v>0</v>
      </c>
      <c r="AK156" s="102">
        <f>VLOOKUP(L156,材料合同!$L$6:$CC$305,26,0)</f>
        <v>0</v>
      </c>
      <c r="AL156" s="102">
        <f>VLOOKUP(L156,材料合同!$L$6:$CC$305,27,0)</f>
        <v>0</v>
      </c>
      <c r="AM156" s="102">
        <f>VLOOKUP(L156,材料合同!$L$6:$CC$305,28,0)</f>
        <v>0</v>
      </c>
      <c r="AN156" s="102">
        <f>VLOOKUP(L156,材料合同!$L$6:$CC$305,29,0)</f>
        <v>0</v>
      </c>
      <c r="AO156" s="102">
        <f>VLOOKUP(L156,材料合同!$L$6:$CC$305,30,0)</f>
        <v>0</v>
      </c>
      <c r="AP156" s="102">
        <f>VLOOKUP(L156,材料合同!$L$6:$CC$305,31,0)</f>
        <v>0</v>
      </c>
      <c r="AQ156" s="102">
        <f>VLOOKUP(L156,材料合同!$L$6:$CC$305,32,0)</f>
        <v>0</v>
      </c>
      <c r="AR156" s="102">
        <f>VLOOKUP(L156,材料合同!$L$6:$CC$305,33,0)</f>
        <v>0</v>
      </c>
      <c r="AS156" s="102">
        <f>VLOOKUP(L156,材料合同!$L$6:$CC$305,34,0)</f>
        <v>0</v>
      </c>
      <c r="AT156" s="102">
        <f>VLOOKUP(L156,材料合同!$L$6:$CC$305,35,0)</f>
        <v>0</v>
      </c>
      <c r="AU156" s="102">
        <f>VLOOKUP(L156,材料合同!$L$6:$CC$305,36,0)</f>
        <v>0</v>
      </c>
      <c r="AV156" s="102">
        <f>VLOOKUP(L156,材料合同!$L$6:$CC$305,37,0)</f>
        <v>0</v>
      </c>
      <c r="AW156" s="102">
        <f>VLOOKUP(L156,材料合同!$L$6:$CC$305,38,0)</f>
        <v>0</v>
      </c>
      <c r="AX156" s="102">
        <f>VLOOKUP(L156,材料合同!$L$6:$CC$305,39,0)</f>
        <v>0</v>
      </c>
      <c r="AY156" s="102">
        <f>VLOOKUP(L156,材料合同!$L$6:$CC$305,40,0)</f>
        <v>0</v>
      </c>
      <c r="AZ156" s="102">
        <f>VLOOKUP(L156,材料合同!$L$6:$CC$305,41,0)</f>
        <v>0</v>
      </c>
      <c r="BA156" s="102">
        <f>VLOOKUP(L156,材料合同!$L$6:$CC$305,42,0)</f>
        <v>0</v>
      </c>
      <c r="BB156" s="102">
        <f>VLOOKUP(L156,材料合同!$L$6:$CC$305,43,0)</f>
        <v>0</v>
      </c>
      <c r="BC156" s="102">
        <f>VLOOKUP(L156,材料合同!$L$6:$CC$305,44,0)</f>
        <v>0</v>
      </c>
      <c r="BD156" s="102">
        <f>VLOOKUP(L156,材料合同!$L$6:$CC$305,45,0)</f>
        <v>0</v>
      </c>
      <c r="BE156" s="102">
        <f>VLOOKUP(L156,材料合同!$L$6:$CC$305,46,0)</f>
        <v>0</v>
      </c>
      <c r="BF156" s="102">
        <f>VLOOKUP(L156,材料合同!$L$6:$CC$305,47,0)</f>
        <v>0</v>
      </c>
      <c r="BG156" s="102">
        <f>VLOOKUP(L156,材料合同!$L$6:$CC$305,48,0)</f>
        <v>0</v>
      </c>
      <c r="BH156" s="102">
        <f>VLOOKUP(L156,材料合同!$L$6:$CC$305,49,0)</f>
        <v>0</v>
      </c>
      <c r="BI156" s="102">
        <f>VLOOKUP(L156,材料合同!$L$6:$CC$305,50,0)</f>
        <v>0</v>
      </c>
      <c r="BJ156" s="102">
        <f>VLOOKUP(L156,材料合同!$L$6:$CC$305,51,0)</f>
        <v>0</v>
      </c>
      <c r="BK156" s="102">
        <f>VLOOKUP(L156,材料合同!$L$6:$CC$305,52,0)</f>
        <v>0</v>
      </c>
      <c r="BL156" s="102">
        <f>VLOOKUP(L156,材料合同!$L$6:$CC$305,53,0)</f>
        <v>0</v>
      </c>
      <c r="BM156" s="102">
        <f>VLOOKUP(L156,材料合同!$L$6:$CC$305,54,0)</f>
        <v>0</v>
      </c>
      <c r="BN156" s="102">
        <f>VLOOKUP(L156,材料合同!$L$6:$CC$305,55,0)</f>
        <v>0</v>
      </c>
      <c r="BO156" s="102">
        <f>VLOOKUP(L156,材料合同!$L$6:$CC$305,56,0)</f>
        <v>0</v>
      </c>
      <c r="BP156" s="102">
        <f>VLOOKUP(L156,材料合同!$L$6:$CC$305,57,0)</f>
        <v>0</v>
      </c>
      <c r="BQ156" s="102">
        <f>VLOOKUP(L156,材料合同!$L$6:$CC$305,58,0)</f>
        <v>0</v>
      </c>
      <c r="BR156" s="102">
        <f>VLOOKUP(L156,材料合同!$L$6:$CC$305,59,0)</f>
        <v>0</v>
      </c>
      <c r="BS156" s="102">
        <f>VLOOKUP(L156,材料合同!$L$6:$CC$305,60,0)</f>
        <v>0</v>
      </c>
      <c r="BT156" s="102">
        <f>VLOOKUP(L156,材料合同!$L$6:$CC$305,61,0)</f>
        <v>0</v>
      </c>
      <c r="BU156" s="102">
        <f>VLOOKUP(L156,材料合同!$L$6:$CC$305,62,0)</f>
        <v>0</v>
      </c>
      <c r="BV156" s="102">
        <f>VLOOKUP(L156,材料合同!$L$6:$CC$305,63,0)</f>
        <v>0</v>
      </c>
      <c r="BW156" s="102">
        <f>VLOOKUP(L156,材料合同!$L$6:$CC$305,64,0)</f>
        <v>0</v>
      </c>
      <c r="BX156" s="102">
        <f>VLOOKUP(L156,材料合同!$L$6:$CC$305,65,0)</f>
        <v>0</v>
      </c>
      <c r="BY156" s="102">
        <f>VLOOKUP(L156,材料合同!$L$6:$CC$305,66,0)</f>
        <v>0</v>
      </c>
      <c r="BZ156" s="102">
        <f>VLOOKUP(L156,材料合同!$L$6:$CC$305,67,0)</f>
        <v>0</v>
      </c>
      <c r="CA156" s="102">
        <f>VLOOKUP(L156,材料合同!$L$6:$CC$305,68,0)</f>
        <v>0</v>
      </c>
      <c r="CB156" s="102">
        <f>VLOOKUP(L156,材料合同!$L$6:$CC$305,69,0)</f>
        <v>0</v>
      </c>
      <c r="CC156" s="102">
        <f>VLOOKUP(L156,材料合同!$L$6:$CC$305,70,0)</f>
        <v>0</v>
      </c>
      <c r="CD156" s="123">
        <f t="shared" si="44"/>
        <v>13447582</v>
      </c>
      <c r="CE156" s="102">
        <f t="shared" si="45"/>
        <v>4059071.8</v>
      </c>
      <c r="CF156" s="102">
        <f t="shared" si="46"/>
        <v>1344758.2</v>
      </c>
      <c r="CG156" s="102">
        <f t="shared" si="47"/>
        <v>0</v>
      </c>
      <c r="CH156" s="124">
        <f t="shared" si="48"/>
        <v>12102823.8</v>
      </c>
      <c r="CI156" s="125">
        <f t="shared" si="49"/>
        <v>0.1</v>
      </c>
      <c r="CJ156" s="126" t="str">
        <f t="shared" si="50"/>
        <v>数据正确</v>
      </c>
    </row>
    <row r="157" s="60" customFormat="1" customHeight="1" spans="2:88">
      <c r="B157" s="70" t="str">
        <f t="shared" si="40"/>
        <v>-</v>
      </c>
      <c r="C157" s="71" t="str">
        <f t="shared" si="41"/>
        <v>已付清</v>
      </c>
      <c r="D157" s="181">
        <f t="shared" si="42"/>
        <v>0.001</v>
      </c>
      <c r="E157" s="181">
        <f>SUMIF(工程合同!$L$6:$L$299,L157,工程合同!$E$6:$E$299)</f>
        <v>0</v>
      </c>
      <c r="F157" s="181">
        <f>SUMIF(工程合同!$L$6:$L$299,L157,工程合同!$F$6:$F$299)</f>
        <v>0</v>
      </c>
      <c r="G157" s="181">
        <f>SUMIF(工程合同!$L$6:$L$299,L157,工程合同!$G$6:$G$299)</f>
        <v>0</v>
      </c>
      <c r="H157" s="181">
        <f>SUMIF(工程合同!$L$6:$L$299,L157,工程合同!$H$6:$H$299)</f>
        <v>0</v>
      </c>
      <c r="I157" s="181">
        <f t="shared" si="43"/>
        <v>0</v>
      </c>
      <c r="J157" s="86" t="s">
        <v>98</v>
      </c>
      <c r="K157" s="87"/>
      <c r="L157" s="88">
        <v>152</v>
      </c>
      <c r="M157" s="89" t="str">
        <f>VLOOKUP(L157,工程合同!$L$6:$CC$299,2,0)</f>
        <v>YRKJ-2017GC-SGHT003</v>
      </c>
      <c r="N157" s="90" t="str">
        <f>VLOOKUP(L157,工程合同!$L$6:$CC$299,3,0)</f>
        <v>工程合同</v>
      </c>
      <c r="O157" s="265" t="str">
        <f>VLOOKUP(L157,工程合同!$L$6:$CC$299,4,0)</f>
        <v>-</v>
      </c>
      <c r="P157" s="266">
        <f>VLOOKUP(L157,工程合同!$L$6:$CC$299,5,0)</f>
        <v>42824</v>
      </c>
      <c r="Q157" s="275">
        <f>VLOOKUP(L157,工程合同!$L$6:$CC$299,6,0)</f>
        <v>0.001</v>
      </c>
      <c r="R157" s="89" t="str">
        <f>VLOOKUP(L157,工程合同!$L$6:$CC$299,7,0)</f>
        <v>桩基工程第II标段（水泥搅拌桩）单价包干28元</v>
      </c>
      <c r="S157" s="89" t="str">
        <f>VLOOKUP(L157,工程合同!$L$6:$CC$299,8,0)</f>
        <v>福建省岩田基础工程技术有限公司</v>
      </c>
      <c r="T157" s="107">
        <f>VLOOKUP(L157,工程合同!$L$6:$CC$299,9,0)</f>
        <v>0</v>
      </c>
      <c r="U157" s="103" t="str">
        <f>VLOOKUP(L157,工程合同!$L$6:$CC$299,10,0)</f>
        <v>6个月承兑汇票，费率1.5%</v>
      </c>
      <c r="V157" s="276" t="str">
        <f>VLOOKUP(L157,工程合同!$L$6:$CC$299,11,0)</f>
        <v>无预付款，按月支付进度款，支付至验收完成工程对应价的80%，履约保证金9万，验收合格后3个月退还</v>
      </c>
      <c r="W157" s="102">
        <f>VLOOKUP(L157,工程合同!$L$6:$CC$299,12,0)</f>
        <v>0.001</v>
      </c>
      <c r="X157" s="102">
        <f>VLOOKUP(L157,工程合同!$L$6:$CC$299,13,0)</f>
        <v>0.001</v>
      </c>
      <c r="Y157" s="102">
        <f>VLOOKUP(L157,工程合同!$L$6:$CC$299,14,0)</f>
        <v>0.001</v>
      </c>
      <c r="Z157" s="102">
        <f>VLOOKUP(L157,工程合同!$L$6:$CC$299,15,0)</f>
        <v>0</v>
      </c>
      <c r="AA157" s="102">
        <f>VLOOKUP(L157,工程合同!$L$6:$CC$299,16,0)</f>
        <v>0</v>
      </c>
      <c r="AB157" s="102">
        <f>VLOOKUP(L157,工程合同!$L$6:$CC$299,17,0)</f>
        <v>0</v>
      </c>
      <c r="AC157" s="102">
        <f>VLOOKUP(L157,工程合同!$L$6:$CC$299,18,0)</f>
        <v>0</v>
      </c>
      <c r="AD157" s="102">
        <f>VLOOKUP(L157,工程合同!$L$6:$CC$299,19,0)</f>
        <v>0</v>
      </c>
      <c r="AE157" s="102">
        <f>VLOOKUP(L157,工程合同!$L$6:$CC$299,20,0)</f>
        <v>0</v>
      </c>
      <c r="AF157" s="102">
        <f>VLOOKUP(L157,工程合同!$L$6:$CC$299,21,0)</f>
        <v>0</v>
      </c>
      <c r="AG157" s="102">
        <f>VLOOKUP(L157,工程合同!$L$6:$CC$299,22,0)</f>
        <v>0</v>
      </c>
      <c r="AH157" s="102">
        <f>VLOOKUP(L157,工程合同!$L$6:$CC$299,23,0)</f>
        <v>0</v>
      </c>
      <c r="AI157" s="102">
        <f>VLOOKUP(L157,工程合同!$L$6:$CC$299,24,0)</f>
        <v>0</v>
      </c>
      <c r="AJ157" s="102">
        <f>VLOOKUP(L157,工程合同!$L$6:$CC$299,25,0)</f>
        <v>0</v>
      </c>
      <c r="AK157" s="102">
        <f>VLOOKUP(L157,工程合同!$L$6:$CC$299,26,0)</f>
        <v>0</v>
      </c>
      <c r="AL157" s="102">
        <f>VLOOKUP(L157,工程合同!$L$6:$CC$299,27,0)</f>
        <v>0</v>
      </c>
      <c r="AM157" s="102">
        <f>VLOOKUP(L157,工程合同!$L$6:$CC$299,28,0)</f>
        <v>0</v>
      </c>
      <c r="AN157" s="102">
        <f>VLOOKUP(L157,工程合同!$L$6:$CC$299,29,0)</f>
        <v>0</v>
      </c>
      <c r="AO157" s="102">
        <f>VLOOKUP(L157,工程合同!$L$6:$CC$299,30,0)</f>
        <v>0</v>
      </c>
      <c r="AP157" s="102">
        <f>VLOOKUP(L157,工程合同!$L$6:$CC$299,31,0)</f>
        <v>0</v>
      </c>
      <c r="AQ157" s="102">
        <f>VLOOKUP(L157,工程合同!$L$6:$CC$299,32,0)</f>
        <v>0</v>
      </c>
      <c r="AR157" s="102">
        <f>VLOOKUP(L157,工程合同!$L$6:$CC$299,33,0)</f>
        <v>0</v>
      </c>
      <c r="AS157" s="102">
        <f>VLOOKUP(L157,工程合同!$L$6:$CC$299,34,0)</f>
        <v>0</v>
      </c>
      <c r="AT157" s="102">
        <f>VLOOKUP(L157,工程合同!$L$6:$CC$299,35,0)</f>
        <v>0</v>
      </c>
      <c r="AU157" s="102">
        <f>VLOOKUP(L157,工程合同!$L$6:$CC$299,36,0)</f>
        <v>0</v>
      </c>
      <c r="AV157" s="102">
        <f>VLOOKUP(L157,工程合同!$L$6:$CC$299,37,0)</f>
        <v>0</v>
      </c>
      <c r="AW157" s="102">
        <f>VLOOKUP(L157,工程合同!$L$6:$CC$299,38,0)</f>
        <v>0</v>
      </c>
      <c r="AX157" s="102">
        <f>VLOOKUP(L157,工程合同!$L$6:$CC$299,39,0)</f>
        <v>0</v>
      </c>
      <c r="AY157" s="102">
        <f>VLOOKUP(L157,工程合同!$L$6:$CC$299,40,0)</f>
        <v>0</v>
      </c>
      <c r="AZ157" s="102">
        <f>VLOOKUP(L157,工程合同!$L$6:$CC$299,41,0)</f>
        <v>0</v>
      </c>
      <c r="BA157" s="102">
        <f>VLOOKUP(L157,工程合同!$L$6:$CC$299,42,0)</f>
        <v>0</v>
      </c>
      <c r="BB157" s="102">
        <f>VLOOKUP(L157,工程合同!$L$6:$CC$299,43,0)</f>
        <v>0</v>
      </c>
      <c r="BC157" s="102">
        <f>VLOOKUP(L157,工程合同!$L$6:$CC$299,44,0)</f>
        <v>0</v>
      </c>
      <c r="BD157" s="102">
        <f>VLOOKUP(L157,工程合同!$L$6:$CC$299,45,0)</f>
        <v>0</v>
      </c>
      <c r="BE157" s="102">
        <f>VLOOKUP(L157,工程合同!$L$6:$CC$299,46,0)</f>
        <v>0</v>
      </c>
      <c r="BF157" s="102">
        <f>VLOOKUP(L157,工程合同!$L$6:$CC$299,47,0)</f>
        <v>0</v>
      </c>
      <c r="BG157" s="102">
        <f>VLOOKUP(L157,工程合同!$L$6:$CC$299,48,0)</f>
        <v>0</v>
      </c>
      <c r="BH157" s="102">
        <f>VLOOKUP(L157,工程合同!$L$6:$CC$299,49,0)</f>
        <v>0</v>
      </c>
      <c r="BI157" s="102">
        <f>VLOOKUP(L157,工程合同!$L$6:$CC$299,50,0)</f>
        <v>0</v>
      </c>
      <c r="BJ157" s="102">
        <f>VLOOKUP(L157,工程合同!$L$6:$CC$299,51,0)</f>
        <v>0</v>
      </c>
      <c r="BK157" s="102">
        <f>VLOOKUP(L157,工程合同!$L$6:$CC$299,52,0)</f>
        <v>0</v>
      </c>
      <c r="BL157" s="102">
        <f>VLOOKUP(L157,工程合同!$L$6:$CC$299,53,0)</f>
        <v>0</v>
      </c>
      <c r="BM157" s="102">
        <f>VLOOKUP(L157,工程合同!$L$6:$CC$299,54,0)</f>
        <v>0</v>
      </c>
      <c r="BN157" s="102">
        <f>VLOOKUP(L157,工程合同!$L$6:$CC$299,55,0)</f>
        <v>0</v>
      </c>
      <c r="BO157" s="102">
        <f>VLOOKUP(L157,工程合同!$L$6:$CC$299,56,0)</f>
        <v>0</v>
      </c>
      <c r="BP157" s="102">
        <f>VLOOKUP(L157,工程合同!$L$6:$CC$299,57,0)</f>
        <v>0</v>
      </c>
      <c r="BQ157" s="102">
        <f>VLOOKUP(L157,工程合同!$L$6:$CC$299,58,0)</f>
        <v>0</v>
      </c>
      <c r="BR157" s="102">
        <f>VLOOKUP(L157,工程合同!$L$6:$CC$299,59,0)</f>
        <v>0</v>
      </c>
      <c r="BS157" s="102">
        <f>VLOOKUP(L157,工程合同!$L$6:$CC$299,60,0)</f>
        <v>0</v>
      </c>
      <c r="BT157" s="102">
        <f>VLOOKUP(L157,工程合同!$L$6:$CC$299,61,0)</f>
        <v>0</v>
      </c>
      <c r="BU157" s="102">
        <f>VLOOKUP(L157,工程合同!$L$6:$CC$299,62,0)</f>
        <v>0</v>
      </c>
      <c r="BV157" s="102">
        <f>VLOOKUP(L157,工程合同!$L$6:$CC$299,63,0)</f>
        <v>0</v>
      </c>
      <c r="BW157" s="102">
        <f>VLOOKUP(L157,工程合同!$L$6:$CC$299,64,0)</f>
        <v>0</v>
      </c>
      <c r="BX157" s="102">
        <f>VLOOKUP(L157,工程合同!$L$6:$CC$299,65,0)</f>
        <v>0</v>
      </c>
      <c r="BY157" s="102">
        <f>VLOOKUP(L157,工程合同!$L$6:$CC$299,66,0)</f>
        <v>0</v>
      </c>
      <c r="BZ157" s="102">
        <f>VLOOKUP(L157,工程合同!$L$6:$CC$299,67,0)</f>
        <v>0</v>
      </c>
      <c r="CA157" s="102">
        <f>VLOOKUP(L157,工程合同!$L$6:$CC$299,68,0)</f>
        <v>0</v>
      </c>
      <c r="CB157" s="102">
        <f>VLOOKUP(L157,工程合同!$L$6:$CC$299,69,0)</f>
        <v>0</v>
      </c>
      <c r="CC157" s="102">
        <f>VLOOKUP(L157,工程合同!$L$6:$CC$299,70,0)</f>
        <v>0</v>
      </c>
      <c r="CD157" s="123">
        <f t="shared" si="44"/>
        <v>0.001</v>
      </c>
      <c r="CE157" s="102">
        <f t="shared" si="45"/>
        <v>0.001</v>
      </c>
      <c r="CF157" s="102">
        <f t="shared" si="46"/>
        <v>0.001</v>
      </c>
      <c r="CG157" s="102">
        <f t="shared" si="47"/>
        <v>0</v>
      </c>
      <c r="CH157" s="124">
        <f t="shared" si="48"/>
        <v>0</v>
      </c>
      <c r="CI157" s="125">
        <f t="shared" si="49"/>
        <v>1</v>
      </c>
      <c r="CJ157" s="126" t="str">
        <f t="shared" si="50"/>
        <v>数据正确</v>
      </c>
    </row>
    <row r="158" s="60" customFormat="1" customHeight="1" spans="2:88">
      <c r="B158" s="70" t="str">
        <f t="shared" si="40"/>
        <v>-</v>
      </c>
      <c r="C158" s="71" t="str">
        <f t="shared" si="41"/>
        <v>-</v>
      </c>
      <c r="D158" s="181">
        <f t="shared" si="42"/>
        <v>239762.66</v>
      </c>
      <c r="E158" s="181">
        <f>SUMIF(服务合同!$L$6:$L$300,L158,服务合同!$E$6:$E$300)</f>
        <v>14628</v>
      </c>
      <c r="F158" s="181">
        <f>SUMIF(服务合同!$L$6:$L$300,L158,服务合同!$F$6:$F$300)</f>
        <v>0</v>
      </c>
      <c r="G158" s="181">
        <f>SUMIF(服务合同!$L$6:$L$300,L158,服务合同!$G$6:$G$300)</f>
        <v>7415.34</v>
      </c>
      <c r="H158" s="181">
        <f>SUMIF(服务合同!$L$6:$L$300,L158,服务合同!$H$6:$H$300)</f>
        <v>2000</v>
      </c>
      <c r="I158" s="181">
        <f t="shared" si="43"/>
        <v>0</v>
      </c>
      <c r="J158" s="86" t="s">
        <v>98</v>
      </c>
      <c r="K158" s="87"/>
      <c r="L158" s="88">
        <v>153</v>
      </c>
      <c r="M158" s="89" t="str">
        <f>VLOOKUP(L158,服务合同!$L$6:$CC$300,2,0)</f>
        <v>YRKJ-2017GC-SGHT006</v>
      </c>
      <c r="N158" s="90" t="str">
        <f>VLOOKUP(L158,服务合同!$L$6:$CC$300,3,0)</f>
        <v>服务合同</v>
      </c>
      <c r="O158" s="265" t="str">
        <f>VLOOKUP(L158,服务合同!$L$6:$CC$300,4,0)</f>
        <v>-</v>
      </c>
      <c r="P158" s="266">
        <f>VLOOKUP(L158,服务合同!$L$6:$CC$300,5,0)</f>
        <v>42838</v>
      </c>
      <c r="Q158" s="275">
        <f>VLOOKUP(L158,服务合同!$L$6:$CC$300,6,0)</f>
        <v>487605</v>
      </c>
      <c r="R158" s="89" t="str">
        <f>VLOOKUP(L158,服务合同!$L$6:$CC$300,7,0)</f>
        <v>桩基检测I标段工程</v>
      </c>
      <c r="S158" s="89" t="str">
        <f>VLOOKUP(L158,服务合同!$L$6:$CC$300,8,0)</f>
        <v>福建省永正工程质量检测有限公司</v>
      </c>
      <c r="T158" s="107">
        <f>VLOOKUP(L158,服务合同!$L$6:$CC$300,9,0)</f>
        <v>0</v>
      </c>
      <c r="U158" s="103" t="str">
        <f>VLOOKUP(L158,服务合同!$L$6:$CC$300,10,0)</f>
        <v>6个月承兑汇票</v>
      </c>
      <c r="V158" s="276" t="str">
        <f>VLOOKUP(L158,服务合同!$L$6:$CC$300,11,0)</f>
        <v>无预付款，按月支付进度款，支付至验收完成工程对应价的80%，履约保证金9万，验收合格后3个月退还</v>
      </c>
      <c r="W158" s="102">
        <f>VLOOKUP(L158,服务合同!$L$6:$CC$300,12,0)</f>
        <v>292563</v>
      </c>
      <c r="X158" s="102">
        <f>VLOOKUP(L158,服务合同!$L$6:$CC$300,13,0)</f>
        <v>263806</v>
      </c>
      <c r="Y158" s="102">
        <f>VLOOKUP(L158,服务合同!$L$6:$CC$300,14,0)</f>
        <v>239762.66</v>
      </c>
      <c r="Z158" s="102" t="str">
        <f>VLOOKUP(L158,服务合同!$L$6:$CC$300,15,0)</f>
        <v>提供正式的检测报告后，支付至合同的80%</v>
      </c>
      <c r="AA158" s="102">
        <f>VLOOKUP(L158,服务合同!$L$6:$CC$300,16,0)</f>
        <v>97521</v>
      </c>
      <c r="AB158" s="102">
        <f>VLOOKUP(L158,服务合同!$L$6:$CC$300,17,0)</f>
        <v>0</v>
      </c>
      <c r="AC158" s="102">
        <f>VLOOKUP(L158,服务合同!$L$6:$CC$300,18,0)</f>
        <v>0</v>
      </c>
      <c r="AD158" s="102" t="str">
        <f>VLOOKUP(L158,服务合同!$L$6:$CC$300,19,0)</f>
        <v>经招标人内部审计后，支付至95%</v>
      </c>
      <c r="AE158" s="102">
        <f>VLOOKUP(L158,服务合同!$L$6:$CC$300,20,0)</f>
        <v>73140.75</v>
      </c>
      <c r="AF158" s="102">
        <f>VLOOKUP(L158,服务合同!$L$6:$CC$300,21,0)</f>
        <v>0</v>
      </c>
      <c r="AG158" s="102">
        <f>VLOOKUP(L158,服务合同!$L$6:$CC$300,22,0)</f>
        <v>0</v>
      </c>
      <c r="AH158" s="102" t="str">
        <f>VLOOKUP(L158,服务合同!$L$6:$CC$300,23,0)</f>
        <v>项目竣工验收资料归档后支付尾款</v>
      </c>
      <c r="AI158" s="102">
        <f>VLOOKUP(L158,服务合同!$L$6:$CC$300,24,0)</f>
        <v>24380.25</v>
      </c>
      <c r="AJ158" s="102">
        <f>VLOOKUP(L158,服务合同!$L$6:$CC$300,25,0)</f>
        <v>0</v>
      </c>
      <c r="AK158" s="102">
        <f>VLOOKUP(L158,服务合同!$L$6:$CC$300,26,0)</f>
        <v>0</v>
      </c>
      <c r="AL158" s="102">
        <f>VLOOKUP(L158,服务合同!$L$6:$CC$300,27,0)</f>
        <v>0</v>
      </c>
      <c r="AM158" s="102">
        <f>VLOOKUP(L158,服务合同!$L$6:$CC$300,28,0)</f>
        <v>0</v>
      </c>
      <c r="AN158" s="102">
        <f>VLOOKUP(L158,服务合同!$L$6:$CC$300,29,0)</f>
        <v>0</v>
      </c>
      <c r="AO158" s="102">
        <f>VLOOKUP(L158,服务合同!$L$6:$CC$300,30,0)</f>
        <v>0</v>
      </c>
      <c r="AP158" s="102">
        <f>VLOOKUP(L158,服务合同!$L$6:$CC$300,31,0)</f>
        <v>0</v>
      </c>
      <c r="AQ158" s="102">
        <f>VLOOKUP(L158,服务合同!$L$6:$CC$300,32,0)</f>
        <v>0</v>
      </c>
      <c r="AR158" s="102">
        <f>VLOOKUP(L158,服务合同!$L$6:$CC$300,33,0)</f>
        <v>0</v>
      </c>
      <c r="AS158" s="102">
        <f>VLOOKUP(L158,服务合同!$L$6:$CC$300,34,0)</f>
        <v>0</v>
      </c>
      <c r="AT158" s="102">
        <f>VLOOKUP(L158,服务合同!$L$6:$CC$300,35,0)</f>
        <v>0</v>
      </c>
      <c r="AU158" s="102">
        <f>VLOOKUP(L158,服务合同!$L$6:$CC$300,36,0)</f>
        <v>0</v>
      </c>
      <c r="AV158" s="102">
        <f>VLOOKUP(L158,服务合同!$L$6:$CC$300,37,0)</f>
        <v>0</v>
      </c>
      <c r="AW158" s="102">
        <f>VLOOKUP(L158,服务合同!$L$6:$CC$300,38,0)</f>
        <v>0</v>
      </c>
      <c r="AX158" s="102">
        <f>VLOOKUP(L158,服务合同!$L$6:$CC$300,39,0)</f>
        <v>0</v>
      </c>
      <c r="AY158" s="102">
        <f>VLOOKUP(L158,服务合同!$L$6:$CC$300,40,0)</f>
        <v>0</v>
      </c>
      <c r="AZ158" s="102">
        <f>VLOOKUP(L158,服务合同!$L$6:$CC$300,41,0)</f>
        <v>0</v>
      </c>
      <c r="BA158" s="102">
        <f>VLOOKUP(L158,服务合同!$L$6:$CC$300,42,0)</f>
        <v>0</v>
      </c>
      <c r="BB158" s="102">
        <f>VLOOKUP(L158,服务合同!$L$6:$CC$300,43,0)</f>
        <v>0</v>
      </c>
      <c r="BC158" s="102">
        <f>VLOOKUP(L158,服务合同!$L$6:$CC$300,44,0)</f>
        <v>0</v>
      </c>
      <c r="BD158" s="102">
        <f>VLOOKUP(L158,服务合同!$L$6:$CC$300,45,0)</f>
        <v>0</v>
      </c>
      <c r="BE158" s="102">
        <f>VLOOKUP(L158,服务合同!$L$6:$CC$300,46,0)</f>
        <v>0</v>
      </c>
      <c r="BF158" s="102">
        <f>VLOOKUP(L158,服务合同!$L$6:$CC$300,47,0)</f>
        <v>0</v>
      </c>
      <c r="BG158" s="102">
        <f>VLOOKUP(L158,服务合同!$L$6:$CC$300,48,0)</f>
        <v>0</v>
      </c>
      <c r="BH158" s="102">
        <f>VLOOKUP(L158,服务合同!$L$6:$CC$300,49,0)</f>
        <v>0</v>
      </c>
      <c r="BI158" s="102">
        <f>VLOOKUP(L158,服务合同!$L$6:$CC$300,50,0)</f>
        <v>0</v>
      </c>
      <c r="BJ158" s="102">
        <f>VLOOKUP(L158,服务合同!$L$6:$CC$300,51,0)</f>
        <v>0</v>
      </c>
      <c r="BK158" s="102">
        <f>VLOOKUP(L158,服务合同!$L$6:$CC$300,52,0)</f>
        <v>0</v>
      </c>
      <c r="BL158" s="102">
        <f>VLOOKUP(L158,服务合同!$L$6:$CC$300,53,0)</f>
        <v>0</v>
      </c>
      <c r="BM158" s="102">
        <f>VLOOKUP(L158,服务合同!$L$6:$CC$300,54,0)</f>
        <v>0</v>
      </c>
      <c r="BN158" s="102">
        <f>VLOOKUP(L158,服务合同!$L$6:$CC$300,55,0)</f>
        <v>0</v>
      </c>
      <c r="BO158" s="102">
        <f>VLOOKUP(L158,服务合同!$L$6:$CC$300,56,0)</f>
        <v>0</v>
      </c>
      <c r="BP158" s="102">
        <f>VLOOKUP(L158,服务合同!$L$6:$CC$300,57,0)</f>
        <v>0</v>
      </c>
      <c r="BQ158" s="102">
        <f>VLOOKUP(L158,服务合同!$L$6:$CC$300,58,0)</f>
        <v>0</v>
      </c>
      <c r="BR158" s="102">
        <f>VLOOKUP(L158,服务合同!$L$6:$CC$300,59,0)</f>
        <v>0</v>
      </c>
      <c r="BS158" s="102">
        <f>VLOOKUP(L158,服务合同!$L$6:$CC$300,60,0)</f>
        <v>0</v>
      </c>
      <c r="BT158" s="102">
        <f>VLOOKUP(L158,服务合同!$L$6:$CC$300,61,0)</f>
        <v>0</v>
      </c>
      <c r="BU158" s="102">
        <f>VLOOKUP(L158,服务合同!$L$6:$CC$300,62,0)</f>
        <v>0</v>
      </c>
      <c r="BV158" s="102">
        <f>VLOOKUP(L158,服务合同!$L$6:$CC$300,63,0)</f>
        <v>0</v>
      </c>
      <c r="BW158" s="102">
        <f>VLOOKUP(L158,服务合同!$L$6:$CC$300,64,0)</f>
        <v>0</v>
      </c>
      <c r="BX158" s="102">
        <f>VLOOKUP(L158,服务合同!$L$6:$CC$300,65,0)</f>
        <v>0</v>
      </c>
      <c r="BY158" s="102">
        <f>VLOOKUP(L158,服务合同!$L$6:$CC$300,66,0)</f>
        <v>0</v>
      </c>
      <c r="BZ158" s="102">
        <f>VLOOKUP(L158,服务合同!$L$6:$CC$300,67,0)</f>
        <v>0</v>
      </c>
      <c r="CA158" s="102">
        <f>VLOOKUP(L158,服务合同!$L$6:$CC$300,68,0)</f>
        <v>0</v>
      </c>
      <c r="CB158" s="102">
        <f>VLOOKUP(L158,服务合同!$L$6:$CC$300,69,0)</f>
        <v>0</v>
      </c>
      <c r="CC158" s="102">
        <f>VLOOKUP(L158,服务合同!$L$6:$CC$300,70,0)</f>
        <v>0</v>
      </c>
      <c r="CD158" s="123">
        <f t="shared" si="44"/>
        <v>487605</v>
      </c>
      <c r="CE158" s="102">
        <f t="shared" si="45"/>
        <v>263806</v>
      </c>
      <c r="CF158" s="102">
        <f t="shared" si="46"/>
        <v>239762.66</v>
      </c>
      <c r="CG158" s="102">
        <f t="shared" si="47"/>
        <v>24043.34</v>
      </c>
      <c r="CH158" s="124">
        <f t="shared" si="48"/>
        <v>223799</v>
      </c>
      <c r="CI158" s="125">
        <f t="shared" si="49"/>
        <v>0.541023984577681</v>
      </c>
      <c r="CJ158" s="126" t="str">
        <f t="shared" si="50"/>
        <v>数据正确</v>
      </c>
    </row>
    <row r="159" s="60" customFormat="1" customHeight="1" spans="2:88">
      <c r="B159" s="70" t="str">
        <f t="shared" si="40"/>
        <v>申请中</v>
      </c>
      <c r="C159" s="71" t="str">
        <f t="shared" si="41"/>
        <v>-</v>
      </c>
      <c r="D159" s="181">
        <f t="shared" si="42"/>
        <v>8166533</v>
      </c>
      <c r="E159" s="181">
        <f>SUMIF(工程合同!$L$6:$L$299,L159,工程合同!$E$6:$E$299)</f>
        <v>170000</v>
      </c>
      <c r="F159" s="181">
        <f>SUMIF(工程合同!$L$6:$L$299,L159,工程合同!$F$6:$F$299)</f>
        <v>109464</v>
      </c>
      <c r="G159" s="181">
        <f>SUMIF(工程合同!$L$6:$L$299,L159,工程合同!$G$6:$G$299)</f>
        <v>0</v>
      </c>
      <c r="H159" s="181">
        <f>SUMIF(工程合同!$L$6:$L$299,L159,工程合同!$H$6:$H$299)</f>
        <v>0</v>
      </c>
      <c r="I159" s="181">
        <f t="shared" si="43"/>
        <v>46003</v>
      </c>
      <c r="J159" s="86" t="s">
        <v>98</v>
      </c>
      <c r="K159" s="87"/>
      <c r="L159" s="88">
        <v>154</v>
      </c>
      <c r="M159" s="89" t="str">
        <f>VLOOKUP(L159,工程合同!$L$6:$CC$299,2,0)</f>
        <v>YRKJ-2017GC-SGHT008</v>
      </c>
      <c r="N159" s="90" t="str">
        <f>VLOOKUP(L159,工程合同!$L$6:$CC$299,3,0)</f>
        <v>工程合同</v>
      </c>
      <c r="O159" s="265" t="str">
        <f>VLOOKUP(L159,工程合同!$L$6:$CC$299,4,0)</f>
        <v>-</v>
      </c>
      <c r="P159" s="266">
        <f>VLOOKUP(L159,工程合同!$L$6:$CC$299,5,0)</f>
        <v>42896</v>
      </c>
      <c r="Q159" s="275">
        <f>VLOOKUP(L159,工程合同!$L$6:$CC$299,6,0)</f>
        <v>57000000</v>
      </c>
      <c r="R159" s="89" t="str">
        <f>VLOOKUP(L159,工程合同!$L$6:$CC$299,7,0)</f>
        <v>厂前区土建工程施工(I标段） 合计</v>
      </c>
      <c r="S159" s="89" t="str">
        <f>VLOOKUP(L159,工程合同!$L$6:$CC$299,8,0)</f>
        <v>中国化学工程第三建设有限公司</v>
      </c>
      <c r="T159" s="107">
        <f>VLOOKUP(L159,工程合同!$L$6:$CC$299,9,0)</f>
        <v>0</v>
      </c>
      <c r="U159" s="103" t="str">
        <f>VLOOKUP(L159,工程合同!$L$6:$CC$299,10,0)</f>
        <v>6个月承兑汇票</v>
      </c>
      <c r="V159" s="276" t="str">
        <f>VLOOKUP(L159,工程合同!$L$6:$CC$299,11,0)</f>
        <v>按工程进度款支付80%</v>
      </c>
      <c r="W159" s="102">
        <f>VLOOKUP(L159,工程合同!$L$6:$CC$299,12,0)</f>
        <v>1954393</v>
      </c>
      <c r="X159" s="102">
        <f>VLOOKUP(L159,工程合同!$L$6:$CC$299,13,0)</f>
        <v>1563000</v>
      </c>
      <c r="Y159" s="102">
        <f>VLOOKUP(L159,工程合同!$L$6:$CC$299,14,0)</f>
        <v>1385398</v>
      </c>
      <c r="Z159" s="102">
        <f>VLOOKUP(L159,工程合同!$L$6:$CC$299,15,0)</f>
        <v>0</v>
      </c>
      <c r="AA159" s="102">
        <f>VLOOKUP(L159,工程合同!$L$6:$CC$299,16,0)</f>
        <v>3919004</v>
      </c>
      <c r="AB159" s="102">
        <f>VLOOKUP(L159,工程合同!$L$6:$CC$299,17,0)</f>
        <v>3135000</v>
      </c>
      <c r="AC159" s="102">
        <f>VLOOKUP(L159,工程合同!$L$6:$CC$299,18,0)</f>
        <v>3081135</v>
      </c>
      <c r="AD159" s="102">
        <f>VLOOKUP(L159,工程合同!$L$6:$CC$299,19,0)</f>
        <v>0</v>
      </c>
      <c r="AE159" s="102">
        <f>VLOOKUP(L159,工程合同!$L$6:$CC$299,20,0)</f>
        <v>4742916</v>
      </c>
      <c r="AF159" s="102">
        <f>VLOOKUP(L159,工程合同!$L$6:$CC$299,21,0)</f>
        <v>3794000</v>
      </c>
      <c r="AG159" s="102">
        <f>VLOOKUP(L159,工程合同!$L$6:$CC$299,22,0)</f>
        <v>3700000</v>
      </c>
      <c r="AH159" s="102">
        <f>VLOOKUP(L159,工程合同!$L$6:$CC$299,23,0)</f>
        <v>0</v>
      </c>
      <c r="AI159" s="102">
        <f>VLOOKUP(L159,工程合同!$L$6:$CC$299,24,0)</f>
        <v>0</v>
      </c>
      <c r="AJ159" s="102">
        <f>VLOOKUP(L159,工程合同!$L$6:$CC$299,25,0)</f>
        <v>0</v>
      </c>
      <c r="AK159" s="102">
        <f>VLOOKUP(L159,工程合同!$L$6:$CC$299,26,0)</f>
        <v>0</v>
      </c>
      <c r="AL159" s="102">
        <f>VLOOKUP(L159,工程合同!$L$6:$CC$299,27,0)</f>
        <v>0</v>
      </c>
      <c r="AM159" s="102">
        <f>VLOOKUP(L159,工程合同!$L$6:$CC$299,28,0)</f>
        <v>0</v>
      </c>
      <c r="AN159" s="102">
        <f>VLOOKUP(L159,工程合同!$L$6:$CC$299,29,0)</f>
        <v>0</v>
      </c>
      <c r="AO159" s="102">
        <f>VLOOKUP(L159,工程合同!$L$6:$CC$299,30,0)</f>
        <v>0</v>
      </c>
      <c r="AP159" s="102">
        <f>VLOOKUP(L159,工程合同!$L$6:$CC$299,31,0)</f>
        <v>0</v>
      </c>
      <c r="AQ159" s="102">
        <f>VLOOKUP(L159,工程合同!$L$6:$CC$299,32,0)</f>
        <v>0</v>
      </c>
      <c r="AR159" s="102">
        <f>VLOOKUP(L159,工程合同!$L$6:$CC$299,33,0)</f>
        <v>0</v>
      </c>
      <c r="AS159" s="102">
        <f>VLOOKUP(L159,工程合同!$L$6:$CC$299,34,0)</f>
        <v>0</v>
      </c>
      <c r="AT159" s="102">
        <f>VLOOKUP(L159,工程合同!$L$6:$CC$299,35,0)</f>
        <v>0</v>
      </c>
      <c r="AU159" s="102">
        <f>VLOOKUP(L159,工程合同!$L$6:$CC$299,36,0)</f>
        <v>0</v>
      </c>
      <c r="AV159" s="102">
        <f>VLOOKUP(L159,工程合同!$L$6:$CC$299,37,0)</f>
        <v>0</v>
      </c>
      <c r="AW159" s="102">
        <f>VLOOKUP(L159,工程合同!$L$6:$CC$299,38,0)</f>
        <v>0</v>
      </c>
      <c r="AX159" s="102">
        <f>VLOOKUP(L159,工程合同!$L$6:$CC$299,39,0)</f>
        <v>0</v>
      </c>
      <c r="AY159" s="102">
        <f>VLOOKUP(L159,工程合同!$L$6:$CC$299,40,0)</f>
        <v>46383687</v>
      </c>
      <c r="AZ159" s="102">
        <f>VLOOKUP(L159,工程合同!$L$6:$CC$299,41,0)</f>
        <v>0</v>
      </c>
      <c r="BA159" s="102">
        <f>VLOOKUP(L159,工程合同!$L$6:$CC$299,42,0)</f>
        <v>0</v>
      </c>
      <c r="BB159" s="102">
        <f>VLOOKUP(L159,工程合同!$L$6:$CC$299,43,0)</f>
        <v>0</v>
      </c>
      <c r="BC159" s="102">
        <f>VLOOKUP(L159,工程合同!$L$6:$CC$299,44,0)</f>
        <v>0</v>
      </c>
      <c r="BD159" s="102">
        <f>VLOOKUP(L159,工程合同!$L$6:$CC$299,45,0)</f>
        <v>0</v>
      </c>
      <c r="BE159" s="102">
        <f>VLOOKUP(L159,工程合同!$L$6:$CC$299,46,0)</f>
        <v>0</v>
      </c>
      <c r="BF159" s="102">
        <f>VLOOKUP(L159,工程合同!$L$6:$CC$299,47,0)</f>
        <v>0</v>
      </c>
      <c r="BG159" s="102">
        <f>VLOOKUP(L159,工程合同!$L$6:$CC$299,48,0)</f>
        <v>0</v>
      </c>
      <c r="BH159" s="102">
        <f>VLOOKUP(L159,工程合同!$L$6:$CC$299,49,0)</f>
        <v>0</v>
      </c>
      <c r="BI159" s="102">
        <f>VLOOKUP(L159,工程合同!$L$6:$CC$299,50,0)</f>
        <v>0</v>
      </c>
      <c r="BJ159" s="102">
        <f>VLOOKUP(L159,工程合同!$L$6:$CC$299,51,0)</f>
        <v>0</v>
      </c>
      <c r="BK159" s="102">
        <f>VLOOKUP(L159,工程合同!$L$6:$CC$299,52,0)</f>
        <v>0</v>
      </c>
      <c r="BL159" s="102">
        <f>VLOOKUP(L159,工程合同!$L$6:$CC$299,53,0)</f>
        <v>0</v>
      </c>
      <c r="BM159" s="102">
        <f>VLOOKUP(L159,工程合同!$L$6:$CC$299,54,0)</f>
        <v>0</v>
      </c>
      <c r="BN159" s="102">
        <f>VLOOKUP(L159,工程合同!$L$6:$CC$299,55,0)</f>
        <v>0</v>
      </c>
      <c r="BO159" s="102">
        <f>VLOOKUP(L159,工程合同!$L$6:$CC$299,56,0)</f>
        <v>0</v>
      </c>
      <c r="BP159" s="102">
        <f>VLOOKUP(L159,工程合同!$L$6:$CC$299,57,0)</f>
        <v>0</v>
      </c>
      <c r="BQ159" s="102">
        <f>VLOOKUP(L159,工程合同!$L$6:$CC$299,58,0)</f>
        <v>0</v>
      </c>
      <c r="BR159" s="102">
        <f>VLOOKUP(L159,工程合同!$L$6:$CC$299,59,0)</f>
        <v>0</v>
      </c>
      <c r="BS159" s="102">
        <f>VLOOKUP(L159,工程合同!$L$6:$CC$299,60,0)</f>
        <v>0</v>
      </c>
      <c r="BT159" s="102">
        <f>VLOOKUP(L159,工程合同!$L$6:$CC$299,61,0)</f>
        <v>0</v>
      </c>
      <c r="BU159" s="102">
        <f>VLOOKUP(L159,工程合同!$L$6:$CC$299,62,0)</f>
        <v>0</v>
      </c>
      <c r="BV159" s="102">
        <f>VLOOKUP(L159,工程合同!$L$6:$CC$299,63,0)</f>
        <v>0</v>
      </c>
      <c r="BW159" s="102">
        <f>VLOOKUP(L159,工程合同!$L$6:$CC$299,64,0)</f>
        <v>0</v>
      </c>
      <c r="BX159" s="102">
        <f>VLOOKUP(L159,工程合同!$L$6:$CC$299,65,0)</f>
        <v>0</v>
      </c>
      <c r="BY159" s="102">
        <f>VLOOKUP(L159,工程合同!$L$6:$CC$299,66,0)</f>
        <v>0</v>
      </c>
      <c r="BZ159" s="102">
        <f>VLOOKUP(L159,工程合同!$L$6:$CC$299,67,0)</f>
        <v>0</v>
      </c>
      <c r="CA159" s="102">
        <f>VLOOKUP(L159,工程合同!$L$6:$CC$299,68,0)</f>
        <v>0</v>
      </c>
      <c r="CB159" s="102">
        <f>VLOOKUP(L159,工程合同!$L$6:$CC$299,69,0)</f>
        <v>0</v>
      </c>
      <c r="CC159" s="102">
        <f>VLOOKUP(L159,工程合同!$L$6:$CC$299,70,0)</f>
        <v>0</v>
      </c>
      <c r="CD159" s="123">
        <f t="shared" si="44"/>
        <v>57000000</v>
      </c>
      <c r="CE159" s="102">
        <f t="shared" si="45"/>
        <v>8492000</v>
      </c>
      <c r="CF159" s="102">
        <f t="shared" si="46"/>
        <v>8166533</v>
      </c>
      <c r="CG159" s="102">
        <f t="shared" si="47"/>
        <v>279464</v>
      </c>
      <c r="CH159" s="124">
        <f t="shared" si="48"/>
        <v>48554003</v>
      </c>
      <c r="CI159" s="125">
        <f t="shared" si="49"/>
        <v>0.148175385964912</v>
      </c>
      <c r="CJ159" s="126" t="str">
        <f t="shared" si="50"/>
        <v>数据正确</v>
      </c>
    </row>
    <row r="160" s="60" customFormat="1" customHeight="1" spans="2:88">
      <c r="B160" s="70" t="str">
        <f t="shared" si="40"/>
        <v>-</v>
      </c>
      <c r="C160" s="71" t="str">
        <f t="shared" si="41"/>
        <v>已付清</v>
      </c>
      <c r="D160" s="181">
        <f t="shared" si="42"/>
        <v>44560</v>
      </c>
      <c r="E160" s="181">
        <f>SUMIF(材料合同!$L$6:$L$305,L160,材料合同!$E$6:$E$305)</f>
        <v>0</v>
      </c>
      <c r="F160" s="181">
        <f>SUMIF(材料合同!$L$6:$L$305,L160,材料合同!$F$6:$F$305)</f>
        <v>0</v>
      </c>
      <c r="G160" s="181">
        <f>SUMIF(材料合同!$L$6:$L$305,L160,材料合同!$G$6:$G$305)</f>
        <v>0</v>
      </c>
      <c r="H160" s="181">
        <f>SUMIF(材料合同!$L$6:$L$305,L160,材料合同!$H$6:$H$305)</f>
        <v>0</v>
      </c>
      <c r="I160" s="181">
        <f t="shared" si="43"/>
        <v>0</v>
      </c>
      <c r="J160" s="86" t="s">
        <v>98</v>
      </c>
      <c r="K160" s="87"/>
      <c r="L160" s="88">
        <v>155</v>
      </c>
      <c r="M160" s="89" t="str">
        <f>VLOOKUP(L160,材料合同!$L$6:$CC$305,2,0)</f>
        <v>YRKJGC-170031</v>
      </c>
      <c r="N160" s="90" t="str">
        <f>VLOOKUP(L160,材料合同!$L$6:$CC$305,3,0)</f>
        <v>材料合同</v>
      </c>
      <c r="O160" s="265">
        <f>VLOOKUP(L160,材料合同!$L$6:$CC$305,4,0)</f>
        <v>2017060075</v>
      </c>
      <c r="P160" s="266">
        <f>VLOOKUP(L160,材料合同!$L$6:$CC$305,5,0)</f>
        <v>42921</v>
      </c>
      <c r="Q160" s="275">
        <f>VLOOKUP(L160,材料合同!$L$6:$CC$305,6,0)</f>
        <v>44560</v>
      </c>
      <c r="R160" s="89" t="str">
        <f>VLOOKUP(L160,材料合同!$L$6:$CC$305,7,0)</f>
        <v>玻璃钢管（44米*1012.73元/米）</v>
      </c>
      <c r="S160" s="89" t="str">
        <f>VLOOKUP(L160,材料合同!$L$6:$CC$305,8,0)</f>
        <v>山东金光集团有限公司</v>
      </c>
      <c r="T160" s="107">
        <f>VLOOKUP(L160,材料合同!$L$6:$CC$305,9,0)</f>
        <v>0</v>
      </c>
      <c r="U160" s="103" t="str">
        <f>VLOOKUP(L160,材料合同!$L$6:$CC$305,10,0)</f>
        <v>电汇</v>
      </c>
      <c r="V160" s="276" t="str">
        <f>VLOOKUP(L160,材料合同!$L$6:$CC$305,11,0)</f>
        <v>甲方收到货、发票后，10-15个工作日全额付清</v>
      </c>
      <c r="W160" s="102">
        <f>VLOOKUP(L160,材料合同!$L$6:$CC$305,12,0)</f>
        <v>44560</v>
      </c>
      <c r="X160" s="102">
        <f>VLOOKUP(L160,材料合同!$L$6:$CC$305,13,0)</f>
        <v>44560</v>
      </c>
      <c r="Y160" s="102">
        <f>VLOOKUP(L160,材料合同!$L$6:$CC$305,14,0)</f>
        <v>44560</v>
      </c>
      <c r="Z160" s="102">
        <f>VLOOKUP(L160,材料合同!$L$6:$CC$305,15,0)</f>
        <v>0</v>
      </c>
      <c r="AA160" s="102">
        <f>VLOOKUP(L160,材料合同!$L$6:$CC$305,16,0)</f>
        <v>0</v>
      </c>
      <c r="AB160" s="102">
        <f>VLOOKUP(L160,材料合同!$L$6:$CC$305,17,0)</f>
        <v>0</v>
      </c>
      <c r="AC160" s="102">
        <f>VLOOKUP(L160,材料合同!$L$6:$CC$305,18,0)</f>
        <v>0</v>
      </c>
      <c r="AD160" s="102">
        <f>VLOOKUP(L160,材料合同!$L$6:$CC$305,19,0)</f>
        <v>0</v>
      </c>
      <c r="AE160" s="102">
        <f>VLOOKUP(L160,材料合同!$L$6:$CC$305,20,0)</f>
        <v>0</v>
      </c>
      <c r="AF160" s="102">
        <f>VLOOKUP(L160,材料合同!$L$6:$CC$305,21,0)</f>
        <v>0</v>
      </c>
      <c r="AG160" s="102">
        <f>VLOOKUP(L160,材料合同!$L$6:$CC$305,22,0)</f>
        <v>0</v>
      </c>
      <c r="AH160" s="102">
        <f>VLOOKUP(L160,材料合同!$L$6:$CC$305,23,0)</f>
        <v>0</v>
      </c>
      <c r="AI160" s="102">
        <f>VLOOKUP(L160,材料合同!$L$6:$CC$305,24,0)</f>
        <v>0</v>
      </c>
      <c r="AJ160" s="102">
        <f>VLOOKUP(L160,材料合同!$L$6:$CC$305,25,0)</f>
        <v>0</v>
      </c>
      <c r="AK160" s="102">
        <f>VLOOKUP(L160,材料合同!$L$6:$CC$305,26,0)</f>
        <v>0</v>
      </c>
      <c r="AL160" s="102">
        <f>VLOOKUP(L160,材料合同!$L$6:$CC$305,27,0)</f>
        <v>0</v>
      </c>
      <c r="AM160" s="102">
        <f>VLOOKUP(L160,材料合同!$L$6:$CC$305,28,0)</f>
        <v>0</v>
      </c>
      <c r="AN160" s="102">
        <f>VLOOKUP(L160,材料合同!$L$6:$CC$305,29,0)</f>
        <v>0</v>
      </c>
      <c r="AO160" s="102">
        <f>VLOOKUP(L160,材料合同!$L$6:$CC$305,30,0)</f>
        <v>0</v>
      </c>
      <c r="AP160" s="102">
        <f>VLOOKUP(L160,材料合同!$L$6:$CC$305,31,0)</f>
        <v>0</v>
      </c>
      <c r="AQ160" s="102">
        <f>VLOOKUP(L160,材料合同!$L$6:$CC$305,32,0)</f>
        <v>0</v>
      </c>
      <c r="AR160" s="102">
        <f>VLOOKUP(L160,材料合同!$L$6:$CC$305,33,0)</f>
        <v>0</v>
      </c>
      <c r="AS160" s="102">
        <f>VLOOKUP(L160,材料合同!$L$6:$CC$305,34,0)</f>
        <v>0</v>
      </c>
      <c r="AT160" s="102">
        <f>VLOOKUP(L160,材料合同!$L$6:$CC$305,35,0)</f>
        <v>0</v>
      </c>
      <c r="AU160" s="102">
        <f>VLOOKUP(L160,材料合同!$L$6:$CC$305,36,0)</f>
        <v>0</v>
      </c>
      <c r="AV160" s="102">
        <f>VLOOKUP(L160,材料合同!$L$6:$CC$305,37,0)</f>
        <v>0</v>
      </c>
      <c r="AW160" s="102">
        <f>VLOOKUP(L160,材料合同!$L$6:$CC$305,38,0)</f>
        <v>0</v>
      </c>
      <c r="AX160" s="102">
        <f>VLOOKUP(L160,材料合同!$L$6:$CC$305,39,0)</f>
        <v>0</v>
      </c>
      <c r="AY160" s="102">
        <f>VLOOKUP(L160,材料合同!$L$6:$CC$305,40,0)</f>
        <v>0</v>
      </c>
      <c r="AZ160" s="102">
        <f>VLOOKUP(L160,材料合同!$L$6:$CC$305,41,0)</f>
        <v>0</v>
      </c>
      <c r="BA160" s="102">
        <f>VLOOKUP(L160,材料合同!$L$6:$CC$305,42,0)</f>
        <v>0</v>
      </c>
      <c r="BB160" s="102">
        <f>VLOOKUP(L160,材料合同!$L$6:$CC$305,43,0)</f>
        <v>0</v>
      </c>
      <c r="BC160" s="102">
        <f>VLOOKUP(L160,材料合同!$L$6:$CC$305,44,0)</f>
        <v>0</v>
      </c>
      <c r="BD160" s="102">
        <f>VLOOKUP(L160,材料合同!$L$6:$CC$305,45,0)</f>
        <v>0</v>
      </c>
      <c r="BE160" s="102">
        <f>VLOOKUP(L160,材料合同!$L$6:$CC$305,46,0)</f>
        <v>0</v>
      </c>
      <c r="BF160" s="102">
        <f>VLOOKUP(L160,材料合同!$L$6:$CC$305,47,0)</f>
        <v>0</v>
      </c>
      <c r="BG160" s="102">
        <f>VLOOKUP(L160,材料合同!$L$6:$CC$305,48,0)</f>
        <v>0</v>
      </c>
      <c r="BH160" s="102">
        <f>VLOOKUP(L160,材料合同!$L$6:$CC$305,49,0)</f>
        <v>0</v>
      </c>
      <c r="BI160" s="102">
        <f>VLOOKUP(L160,材料合同!$L$6:$CC$305,50,0)</f>
        <v>0</v>
      </c>
      <c r="BJ160" s="102">
        <f>VLOOKUP(L160,材料合同!$L$6:$CC$305,51,0)</f>
        <v>0</v>
      </c>
      <c r="BK160" s="102">
        <f>VLOOKUP(L160,材料合同!$L$6:$CC$305,52,0)</f>
        <v>0</v>
      </c>
      <c r="BL160" s="102">
        <f>VLOOKUP(L160,材料合同!$L$6:$CC$305,53,0)</f>
        <v>0</v>
      </c>
      <c r="BM160" s="102">
        <f>VLOOKUP(L160,材料合同!$L$6:$CC$305,54,0)</f>
        <v>0</v>
      </c>
      <c r="BN160" s="102">
        <f>VLOOKUP(L160,材料合同!$L$6:$CC$305,55,0)</f>
        <v>0</v>
      </c>
      <c r="BO160" s="102">
        <f>VLOOKUP(L160,材料合同!$L$6:$CC$305,56,0)</f>
        <v>0</v>
      </c>
      <c r="BP160" s="102">
        <f>VLOOKUP(L160,材料合同!$L$6:$CC$305,57,0)</f>
        <v>0</v>
      </c>
      <c r="BQ160" s="102">
        <f>VLOOKUP(L160,材料合同!$L$6:$CC$305,58,0)</f>
        <v>0</v>
      </c>
      <c r="BR160" s="102">
        <f>VLOOKUP(L160,材料合同!$L$6:$CC$305,59,0)</f>
        <v>0</v>
      </c>
      <c r="BS160" s="102">
        <f>VLOOKUP(L160,材料合同!$L$6:$CC$305,60,0)</f>
        <v>0</v>
      </c>
      <c r="BT160" s="102">
        <f>VLOOKUP(L160,材料合同!$L$6:$CC$305,61,0)</f>
        <v>0</v>
      </c>
      <c r="BU160" s="102">
        <f>VLOOKUP(L160,材料合同!$L$6:$CC$305,62,0)</f>
        <v>0</v>
      </c>
      <c r="BV160" s="102">
        <f>VLOOKUP(L160,材料合同!$L$6:$CC$305,63,0)</f>
        <v>0</v>
      </c>
      <c r="BW160" s="102">
        <f>VLOOKUP(L160,材料合同!$L$6:$CC$305,64,0)</f>
        <v>0</v>
      </c>
      <c r="BX160" s="102">
        <f>VLOOKUP(L160,材料合同!$L$6:$CC$305,65,0)</f>
        <v>0</v>
      </c>
      <c r="BY160" s="102">
        <f>VLOOKUP(L160,材料合同!$L$6:$CC$305,66,0)</f>
        <v>0</v>
      </c>
      <c r="BZ160" s="102">
        <f>VLOOKUP(L160,材料合同!$L$6:$CC$305,67,0)</f>
        <v>0</v>
      </c>
      <c r="CA160" s="102">
        <f>VLOOKUP(L160,材料合同!$L$6:$CC$305,68,0)</f>
        <v>0</v>
      </c>
      <c r="CB160" s="102">
        <f>VLOOKUP(L160,材料合同!$L$6:$CC$305,69,0)</f>
        <v>0</v>
      </c>
      <c r="CC160" s="102">
        <f>VLOOKUP(L160,材料合同!$L$6:$CC$305,70,0)</f>
        <v>0</v>
      </c>
      <c r="CD160" s="123">
        <f t="shared" si="44"/>
        <v>44560</v>
      </c>
      <c r="CE160" s="102">
        <f t="shared" si="45"/>
        <v>44560</v>
      </c>
      <c r="CF160" s="102">
        <f t="shared" si="46"/>
        <v>44560</v>
      </c>
      <c r="CG160" s="102">
        <f t="shared" si="47"/>
        <v>0</v>
      </c>
      <c r="CH160" s="124">
        <f t="shared" si="48"/>
        <v>0</v>
      </c>
      <c r="CI160" s="125">
        <f t="shared" si="49"/>
        <v>1</v>
      </c>
      <c r="CJ160" s="126" t="str">
        <f t="shared" si="50"/>
        <v>数据正确</v>
      </c>
    </row>
    <row r="161" s="60" customFormat="1" customHeight="1" spans="2:88">
      <c r="B161" s="70" t="str">
        <f t="shared" si="40"/>
        <v>申请中</v>
      </c>
      <c r="C161" s="71" t="str">
        <f t="shared" si="41"/>
        <v>-</v>
      </c>
      <c r="D161" s="181">
        <f t="shared" si="42"/>
        <v>2484000.002</v>
      </c>
      <c r="E161" s="181">
        <f>SUMIF(工程合同!$L$6:$L$299,L161,工程合同!$E$6:$E$299)</f>
        <v>0</v>
      </c>
      <c r="F161" s="181">
        <f>SUMIF(工程合同!$L$6:$L$299,L161,工程合同!$F$6:$F$299)</f>
        <v>0</v>
      </c>
      <c r="G161" s="181">
        <f>SUMIF(工程合同!$L$6:$L$299,L161,工程合同!$G$6:$G$299)</f>
        <v>0</v>
      </c>
      <c r="H161" s="181">
        <f>SUMIF(工程合同!$L$6:$L$299,L161,工程合同!$H$6:$H$299)</f>
        <v>0</v>
      </c>
      <c r="I161" s="181">
        <f t="shared" si="43"/>
        <v>3572000</v>
      </c>
      <c r="J161" s="86" t="s">
        <v>98</v>
      </c>
      <c r="K161" s="87"/>
      <c r="L161" s="88">
        <v>156</v>
      </c>
      <c r="M161" s="89" t="str">
        <f>VLOOKUP(L161,工程合同!$L$6:$CC$299,2,0)</f>
        <v>YRKJ-2017GC-SGHT008SGHT009</v>
      </c>
      <c r="N161" s="90" t="str">
        <f>VLOOKUP(L161,工程合同!$L$6:$CC$299,3,0)</f>
        <v>工程合同</v>
      </c>
      <c r="O161" s="265" t="str">
        <f>VLOOKUP(L161,工程合同!$L$6:$CC$299,4,0)</f>
        <v>-</v>
      </c>
      <c r="P161" s="266">
        <f>VLOOKUP(L161,工程合同!$L$6:$CC$299,5,0)</f>
        <v>42886</v>
      </c>
      <c r="Q161" s="275">
        <f>VLOOKUP(L161,工程合同!$L$6:$CC$299,6,0)</f>
        <v>57000000</v>
      </c>
      <c r="R161" s="89" t="str">
        <f>VLOOKUP(L161,工程合同!$L$6:$CC$299,7,0)</f>
        <v>厂前区土建工程施工(II标段） 合计</v>
      </c>
      <c r="S161" s="89" t="str">
        <f>VLOOKUP(L161,工程合同!$L$6:$CC$299,8,0)</f>
        <v>中国化学工程第十一建设有限公司</v>
      </c>
      <c r="T161" s="107">
        <f>VLOOKUP(L161,工程合同!$L$6:$CC$299,9,0)</f>
        <v>0</v>
      </c>
      <c r="U161" s="103" t="str">
        <f>VLOOKUP(L161,工程合同!$L$6:$CC$299,10,0)</f>
        <v>6个月承兑汇票</v>
      </c>
      <c r="V161" s="276" t="str">
        <f>VLOOKUP(L161,工程合同!$L$6:$CC$299,11,0)</f>
        <v>按工程进度款支付80%</v>
      </c>
      <c r="W161" s="102">
        <f>VLOOKUP(L161,工程合同!$L$6:$CC$299,12,0)</f>
        <v>3105356.04</v>
      </c>
      <c r="X161" s="102">
        <f>VLOOKUP(L161,工程合同!$L$6:$CC$299,13,0)</f>
        <v>2484000.002</v>
      </c>
      <c r="Y161" s="102">
        <f>VLOOKUP(L161,工程合同!$L$6:$CC$299,14,0)</f>
        <v>2484000.002</v>
      </c>
      <c r="Z161" s="102">
        <f>VLOOKUP(L161,工程合同!$L$6:$CC$299,15,0)</f>
        <v>0</v>
      </c>
      <c r="AA161" s="102">
        <f>VLOOKUP(L161,工程合同!$L$6:$CC$299,16,0)</f>
        <v>4465994</v>
      </c>
      <c r="AB161" s="102">
        <f>VLOOKUP(L161,工程合同!$L$6:$CC$299,17,0)</f>
        <v>3572000</v>
      </c>
      <c r="AC161" s="102">
        <f>VLOOKUP(L161,工程合同!$L$6:$CC$299,18,0)</f>
        <v>0</v>
      </c>
      <c r="AD161" s="102">
        <f>VLOOKUP(L161,工程合同!$L$6:$CC$299,19,0)</f>
        <v>0</v>
      </c>
      <c r="AE161" s="102">
        <f>VLOOKUP(L161,工程合同!$L$6:$CC$299,20,0)</f>
        <v>0</v>
      </c>
      <c r="AF161" s="102">
        <f>VLOOKUP(L161,工程合同!$L$6:$CC$299,21,0)</f>
        <v>0</v>
      </c>
      <c r="AG161" s="102">
        <f>VLOOKUP(L161,工程合同!$L$6:$CC$299,22,0)</f>
        <v>0</v>
      </c>
      <c r="AH161" s="102">
        <f>VLOOKUP(L161,工程合同!$L$6:$CC$299,23,0)</f>
        <v>0</v>
      </c>
      <c r="AI161" s="102">
        <f>VLOOKUP(L161,工程合同!$L$6:$CC$299,24,0)</f>
        <v>0</v>
      </c>
      <c r="AJ161" s="102">
        <f>VLOOKUP(L161,工程合同!$L$6:$CC$299,25,0)</f>
        <v>0</v>
      </c>
      <c r="AK161" s="102">
        <f>VLOOKUP(L161,工程合同!$L$6:$CC$299,26,0)</f>
        <v>0</v>
      </c>
      <c r="AL161" s="102">
        <f>VLOOKUP(L161,工程合同!$L$6:$CC$299,27,0)</f>
        <v>0</v>
      </c>
      <c r="AM161" s="102">
        <f>VLOOKUP(L161,工程合同!$L$6:$CC$299,28,0)</f>
        <v>0</v>
      </c>
      <c r="AN161" s="102">
        <f>VLOOKUP(L161,工程合同!$L$6:$CC$299,29,0)</f>
        <v>0</v>
      </c>
      <c r="AO161" s="102">
        <f>VLOOKUP(L161,工程合同!$L$6:$CC$299,30,0)</f>
        <v>0</v>
      </c>
      <c r="AP161" s="102">
        <f>VLOOKUP(L161,工程合同!$L$6:$CC$299,31,0)</f>
        <v>0</v>
      </c>
      <c r="AQ161" s="102">
        <f>VLOOKUP(L161,工程合同!$L$6:$CC$299,32,0)</f>
        <v>0</v>
      </c>
      <c r="AR161" s="102">
        <f>VLOOKUP(L161,工程合同!$L$6:$CC$299,33,0)</f>
        <v>0</v>
      </c>
      <c r="AS161" s="102">
        <f>VLOOKUP(L161,工程合同!$L$6:$CC$299,34,0)</f>
        <v>0</v>
      </c>
      <c r="AT161" s="102">
        <f>VLOOKUP(L161,工程合同!$L$6:$CC$299,35,0)</f>
        <v>0</v>
      </c>
      <c r="AU161" s="102">
        <f>VLOOKUP(L161,工程合同!$L$6:$CC$299,36,0)</f>
        <v>0</v>
      </c>
      <c r="AV161" s="102">
        <f>VLOOKUP(L161,工程合同!$L$6:$CC$299,37,0)</f>
        <v>0</v>
      </c>
      <c r="AW161" s="102">
        <f>VLOOKUP(L161,工程合同!$L$6:$CC$299,38,0)</f>
        <v>0</v>
      </c>
      <c r="AX161" s="102">
        <f>VLOOKUP(L161,工程合同!$L$6:$CC$299,39,0)</f>
        <v>0</v>
      </c>
      <c r="AY161" s="102">
        <f>VLOOKUP(L161,工程合同!$L$6:$CC$299,40,0)</f>
        <v>49428649.96</v>
      </c>
      <c r="AZ161" s="102">
        <f>VLOOKUP(L161,工程合同!$L$6:$CC$299,41,0)</f>
        <v>0</v>
      </c>
      <c r="BA161" s="102">
        <f>VLOOKUP(L161,工程合同!$L$6:$CC$299,42,0)</f>
        <v>0</v>
      </c>
      <c r="BB161" s="102">
        <f>VLOOKUP(L161,工程合同!$L$6:$CC$299,43,0)</f>
        <v>0</v>
      </c>
      <c r="BC161" s="102">
        <f>VLOOKUP(L161,工程合同!$L$6:$CC$299,44,0)</f>
        <v>0</v>
      </c>
      <c r="BD161" s="102">
        <f>VLOOKUP(L161,工程合同!$L$6:$CC$299,45,0)</f>
        <v>0</v>
      </c>
      <c r="BE161" s="102">
        <f>VLOOKUP(L161,工程合同!$L$6:$CC$299,46,0)</f>
        <v>0</v>
      </c>
      <c r="BF161" s="102">
        <f>VLOOKUP(L161,工程合同!$L$6:$CC$299,47,0)</f>
        <v>0</v>
      </c>
      <c r="BG161" s="102">
        <f>VLOOKUP(L161,工程合同!$L$6:$CC$299,48,0)</f>
        <v>0</v>
      </c>
      <c r="BH161" s="102">
        <f>VLOOKUP(L161,工程合同!$L$6:$CC$299,49,0)</f>
        <v>0</v>
      </c>
      <c r="BI161" s="102">
        <f>VLOOKUP(L161,工程合同!$L$6:$CC$299,50,0)</f>
        <v>0</v>
      </c>
      <c r="BJ161" s="102">
        <f>VLOOKUP(L161,工程合同!$L$6:$CC$299,51,0)</f>
        <v>0</v>
      </c>
      <c r="BK161" s="102">
        <f>VLOOKUP(L161,工程合同!$L$6:$CC$299,52,0)</f>
        <v>0</v>
      </c>
      <c r="BL161" s="102">
        <f>VLOOKUP(L161,工程合同!$L$6:$CC$299,53,0)</f>
        <v>0</v>
      </c>
      <c r="BM161" s="102">
        <f>VLOOKUP(L161,工程合同!$L$6:$CC$299,54,0)</f>
        <v>0</v>
      </c>
      <c r="BN161" s="102">
        <f>VLOOKUP(L161,工程合同!$L$6:$CC$299,55,0)</f>
        <v>0</v>
      </c>
      <c r="BO161" s="102">
        <f>VLOOKUP(L161,工程合同!$L$6:$CC$299,56,0)</f>
        <v>0</v>
      </c>
      <c r="BP161" s="102">
        <f>VLOOKUP(L161,工程合同!$L$6:$CC$299,57,0)</f>
        <v>0</v>
      </c>
      <c r="BQ161" s="102">
        <f>VLOOKUP(L161,工程合同!$L$6:$CC$299,58,0)</f>
        <v>0</v>
      </c>
      <c r="BR161" s="102">
        <f>VLOOKUP(L161,工程合同!$L$6:$CC$299,59,0)</f>
        <v>0</v>
      </c>
      <c r="BS161" s="102">
        <f>VLOOKUP(L161,工程合同!$L$6:$CC$299,60,0)</f>
        <v>0</v>
      </c>
      <c r="BT161" s="102">
        <f>VLOOKUP(L161,工程合同!$L$6:$CC$299,61,0)</f>
        <v>0</v>
      </c>
      <c r="BU161" s="102">
        <f>VLOOKUP(L161,工程合同!$L$6:$CC$299,62,0)</f>
        <v>0</v>
      </c>
      <c r="BV161" s="102">
        <f>VLOOKUP(L161,工程合同!$L$6:$CC$299,63,0)</f>
        <v>0</v>
      </c>
      <c r="BW161" s="102">
        <f>VLOOKUP(L161,工程合同!$L$6:$CC$299,64,0)</f>
        <v>0</v>
      </c>
      <c r="BX161" s="102">
        <f>VLOOKUP(L161,工程合同!$L$6:$CC$299,65,0)</f>
        <v>0</v>
      </c>
      <c r="BY161" s="102">
        <f>VLOOKUP(L161,工程合同!$L$6:$CC$299,66,0)</f>
        <v>0</v>
      </c>
      <c r="BZ161" s="102">
        <f>VLOOKUP(L161,工程合同!$L$6:$CC$299,67,0)</f>
        <v>0</v>
      </c>
      <c r="CA161" s="102">
        <f>VLOOKUP(L161,工程合同!$L$6:$CC$299,68,0)</f>
        <v>0</v>
      </c>
      <c r="CB161" s="102">
        <f>VLOOKUP(L161,工程合同!$L$6:$CC$299,69,0)</f>
        <v>0</v>
      </c>
      <c r="CC161" s="102">
        <f>VLOOKUP(L161,工程合同!$L$6:$CC$299,70,0)</f>
        <v>0</v>
      </c>
      <c r="CD161" s="123">
        <f t="shared" si="44"/>
        <v>57000000</v>
      </c>
      <c r="CE161" s="102">
        <f t="shared" si="45"/>
        <v>6056000.002</v>
      </c>
      <c r="CF161" s="102">
        <f t="shared" si="46"/>
        <v>2484000.002</v>
      </c>
      <c r="CG161" s="102">
        <f t="shared" si="47"/>
        <v>0</v>
      </c>
      <c r="CH161" s="124">
        <f t="shared" si="48"/>
        <v>54515999.998</v>
      </c>
      <c r="CI161" s="125">
        <f t="shared" si="49"/>
        <v>0.0435789474035088</v>
      </c>
      <c r="CJ161" s="126" t="str">
        <f t="shared" si="50"/>
        <v>数据正确</v>
      </c>
    </row>
    <row r="162" s="60" customFormat="1" customHeight="1" spans="2:88">
      <c r="B162" s="70" t="str">
        <f t="shared" si="40"/>
        <v>-</v>
      </c>
      <c r="C162" s="71" t="str">
        <f t="shared" si="41"/>
        <v>-</v>
      </c>
      <c r="D162" s="181">
        <f t="shared" si="42"/>
        <v>0</v>
      </c>
      <c r="E162" s="181">
        <f>SUMIF(工程合同!$L$6:$L$299,L162,工程合同!$E$6:$E$299)</f>
        <v>0</v>
      </c>
      <c r="F162" s="181">
        <f>SUMIF(工程合同!$L$6:$L$299,L162,工程合同!$F$6:$F$299)</f>
        <v>0</v>
      </c>
      <c r="G162" s="181">
        <f>SUMIF(工程合同!$L$6:$L$299,L162,工程合同!$G$6:$G$299)</f>
        <v>0</v>
      </c>
      <c r="H162" s="181">
        <f>SUMIF(工程合同!$L$6:$L$299,L162,工程合同!$H$6:$H$299)</f>
        <v>0</v>
      </c>
      <c r="I162" s="181">
        <f t="shared" si="43"/>
        <v>0</v>
      </c>
      <c r="J162" s="86" t="s">
        <v>98</v>
      </c>
      <c r="K162" s="87"/>
      <c r="L162" s="88">
        <v>157</v>
      </c>
      <c r="M162" s="89" t="str">
        <f>VLOOKUP(L162,工程合同!$L$6:$CC$299,2,0)</f>
        <v>YRKJ-2017GC-SGHT010</v>
      </c>
      <c r="N162" s="90" t="str">
        <f>VLOOKUP(L162,工程合同!$L$6:$CC$299,3,0)</f>
        <v>工程合同</v>
      </c>
      <c r="O162" s="265" t="str">
        <f>VLOOKUP(L162,工程合同!$L$6:$CC$299,4,0)</f>
        <v>-</v>
      </c>
      <c r="P162" s="266">
        <f>VLOOKUP(L162,工程合同!$L$6:$CC$299,5,0)</f>
        <v>42901</v>
      </c>
      <c r="Q162" s="275">
        <f>VLOOKUP(L162,工程合同!$L$6:$CC$299,6,0)</f>
        <v>200000</v>
      </c>
      <c r="R162" s="89" t="str">
        <f>VLOOKUP(L162,工程合同!$L$6:$CC$299,7,0)</f>
        <v>零星临时道路工程(工程施工框架协议）</v>
      </c>
      <c r="S162" s="89" t="str">
        <f>VLOOKUP(L162,工程合同!$L$6:$CC$299,8,0)</f>
        <v>福建省福清市嘉盛建设工程有限公司</v>
      </c>
      <c r="T162" s="107">
        <f>VLOOKUP(L162,工程合同!$L$6:$CC$299,9,0)</f>
        <v>0</v>
      </c>
      <c r="U162" s="103" t="str">
        <f>VLOOKUP(L162,工程合同!$L$6:$CC$299,10,0)</f>
        <v>电汇</v>
      </c>
      <c r="V162" s="276" t="str">
        <f>VLOOKUP(L162,工程合同!$L$6:$CC$299,11,0)</f>
        <v>工程竣工验收合格后经一审和二审审核完成后，提供11%发屁后付工程款95%</v>
      </c>
      <c r="W162" s="102">
        <f>VLOOKUP(L162,工程合同!$L$6:$CC$299,12,0)</f>
        <v>190000</v>
      </c>
      <c r="X162" s="102">
        <f>VLOOKUP(L162,工程合同!$L$6:$CC$299,13,0)</f>
        <v>0</v>
      </c>
      <c r="Y162" s="102">
        <f>VLOOKUP(L162,工程合同!$L$6:$CC$299,14,0)</f>
        <v>0</v>
      </c>
      <c r="Z162" s="102" t="str">
        <f>VLOOKUP(L162,工程合同!$L$6:$CC$299,15,0)</f>
        <v>5%质保金，6个月后工程无质量问题退还</v>
      </c>
      <c r="AA162" s="102">
        <f>VLOOKUP(L162,工程合同!$L$6:$CC$299,16,0)</f>
        <v>10000</v>
      </c>
      <c r="AB162" s="102">
        <f>VLOOKUP(L162,工程合同!$L$6:$CC$299,17,0)</f>
        <v>0</v>
      </c>
      <c r="AC162" s="102">
        <f>VLOOKUP(L162,工程合同!$L$6:$CC$299,18,0)</f>
        <v>0</v>
      </c>
      <c r="AD162" s="102">
        <f>VLOOKUP(L162,工程合同!$L$6:$CC$299,19,0)</f>
        <v>0</v>
      </c>
      <c r="AE162" s="102">
        <f>VLOOKUP(L162,工程合同!$L$6:$CC$299,20,0)</f>
        <v>0</v>
      </c>
      <c r="AF162" s="102">
        <f>VLOOKUP(L162,工程合同!$L$6:$CC$299,21,0)</f>
        <v>0</v>
      </c>
      <c r="AG162" s="102">
        <f>VLOOKUP(L162,工程合同!$L$6:$CC$299,22,0)</f>
        <v>0</v>
      </c>
      <c r="AH162" s="102">
        <f>VLOOKUP(L162,工程合同!$L$6:$CC$299,23,0)</f>
        <v>0</v>
      </c>
      <c r="AI162" s="102">
        <f>VLOOKUP(L162,工程合同!$L$6:$CC$299,24,0)</f>
        <v>0</v>
      </c>
      <c r="AJ162" s="102">
        <f>VLOOKUP(L162,工程合同!$L$6:$CC$299,25,0)</f>
        <v>0</v>
      </c>
      <c r="AK162" s="102">
        <f>VLOOKUP(L162,工程合同!$L$6:$CC$299,26,0)</f>
        <v>0</v>
      </c>
      <c r="AL162" s="102">
        <f>VLOOKUP(L162,工程合同!$L$6:$CC$299,27,0)</f>
        <v>0</v>
      </c>
      <c r="AM162" s="102">
        <f>VLOOKUP(L162,工程合同!$L$6:$CC$299,28,0)</f>
        <v>0</v>
      </c>
      <c r="AN162" s="102">
        <f>VLOOKUP(L162,工程合同!$L$6:$CC$299,29,0)</f>
        <v>0</v>
      </c>
      <c r="AO162" s="102">
        <f>VLOOKUP(L162,工程合同!$L$6:$CC$299,30,0)</f>
        <v>0</v>
      </c>
      <c r="AP162" s="102">
        <f>VLOOKUP(L162,工程合同!$L$6:$CC$299,31,0)</f>
        <v>0</v>
      </c>
      <c r="AQ162" s="102">
        <f>VLOOKUP(L162,工程合同!$L$6:$CC$299,32,0)</f>
        <v>0</v>
      </c>
      <c r="AR162" s="102">
        <f>VLOOKUP(L162,工程合同!$L$6:$CC$299,33,0)</f>
        <v>0</v>
      </c>
      <c r="AS162" s="102">
        <f>VLOOKUP(L162,工程合同!$L$6:$CC$299,34,0)</f>
        <v>0</v>
      </c>
      <c r="AT162" s="102">
        <f>VLOOKUP(L162,工程合同!$L$6:$CC$299,35,0)</f>
        <v>0</v>
      </c>
      <c r="AU162" s="102">
        <f>VLOOKUP(L162,工程合同!$L$6:$CC$299,36,0)</f>
        <v>0</v>
      </c>
      <c r="AV162" s="102">
        <f>VLOOKUP(L162,工程合同!$L$6:$CC$299,37,0)</f>
        <v>0</v>
      </c>
      <c r="AW162" s="102">
        <f>VLOOKUP(L162,工程合同!$L$6:$CC$299,38,0)</f>
        <v>0</v>
      </c>
      <c r="AX162" s="102">
        <f>VLOOKUP(L162,工程合同!$L$6:$CC$299,39,0)</f>
        <v>0</v>
      </c>
      <c r="AY162" s="102">
        <f>VLOOKUP(L162,工程合同!$L$6:$CC$299,40,0)</f>
        <v>0</v>
      </c>
      <c r="AZ162" s="102">
        <f>VLOOKUP(L162,工程合同!$L$6:$CC$299,41,0)</f>
        <v>0</v>
      </c>
      <c r="BA162" s="102">
        <f>VLOOKUP(L162,工程合同!$L$6:$CC$299,42,0)</f>
        <v>0</v>
      </c>
      <c r="BB162" s="102">
        <f>VLOOKUP(L162,工程合同!$L$6:$CC$299,43,0)</f>
        <v>0</v>
      </c>
      <c r="BC162" s="102">
        <f>VLOOKUP(L162,工程合同!$L$6:$CC$299,44,0)</f>
        <v>0</v>
      </c>
      <c r="BD162" s="102">
        <f>VLOOKUP(L162,工程合同!$L$6:$CC$299,45,0)</f>
        <v>0</v>
      </c>
      <c r="BE162" s="102">
        <f>VLOOKUP(L162,工程合同!$L$6:$CC$299,46,0)</f>
        <v>0</v>
      </c>
      <c r="BF162" s="102">
        <f>VLOOKUP(L162,工程合同!$L$6:$CC$299,47,0)</f>
        <v>0</v>
      </c>
      <c r="BG162" s="102">
        <f>VLOOKUP(L162,工程合同!$L$6:$CC$299,48,0)</f>
        <v>0</v>
      </c>
      <c r="BH162" s="102">
        <f>VLOOKUP(L162,工程合同!$L$6:$CC$299,49,0)</f>
        <v>0</v>
      </c>
      <c r="BI162" s="102">
        <f>VLOOKUP(L162,工程合同!$L$6:$CC$299,50,0)</f>
        <v>0</v>
      </c>
      <c r="BJ162" s="102">
        <f>VLOOKUP(L162,工程合同!$L$6:$CC$299,51,0)</f>
        <v>0</v>
      </c>
      <c r="BK162" s="102">
        <f>VLOOKUP(L162,工程合同!$L$6:$CC$299,52,0)</f>
        <v>0</v>
      </c>
      <c r="BL162" s="102">
        <f>VLOOKUP(L162,工程合同!$L$6:$CC$299,53,0)</f>
        <v>0</v>
      </c>
      <c r="BM162" s="102">
        <f>VLOOKUP(L162,工程合同!$L$6:$CC$299,54,0)</f>
        <v>0</v>
      </c>
      <c r="BN162" s="102">
        <f>VLOOKUP(L162,工程合同!$L$6:$CC$299,55,0)</f>
        <v>0</v>
      </c>
      <c r="BO162" s="102">
        <f>VLOOKUP(L162,工程合同!$L$6:$CC$299,56,0)</f>
        <v>0</v>
      </c>
      <c r="BP162" s="102">
        <f>VLOOKUP(L162,工程合同!$L$6:$CC$299,57,0)</f>
        <v>0</v>
      </c>
      <c r="BQ162" s="102">
        <f>VLOOKUP(L162,工程合同!$L$6:$CC$299,58,0)</f>
        <v>0</v>
      </c>
      <c r="BR162" s="102">
        <f>VLOOKUP(L162,工程合同!$L$6:$CC$299,59,0)</f>
        <v>0</v>
      </c>
      <c r="BS162" s="102">
        <f>VLOOKUP(L162,工程合同!$L$6:$CC$299,60,0)</f>
        <v>0</v>
      </c>
      <c r="BT162" s="102">
        <f>VLOOKUP(L162,工程合同!$L$6:$CC$299,61,0)</f>
        <v>0</v>
      </c>
      <c r="BU162" s="102">
        <f>VLOOKUP(L162,工程合同!$L$6:$CC$299,62,0)</f>
        <v>0</v>
      </c>
      <c r="BV162" s="102">
        <f>VLOOKUP(L162,工程合同!$L$6:$CC$299,63,0)</f>
        <v>0</v>
      </c>
      <c r="BW162" s="102">
        <f>VLOOKUP(L162,工程合同!$L$6:$CC$299,64,0)</f>
        <v>0</v>
      </c>
      <c r="BX162" s="102">
        <f>VLOOKUP(L162,工程合同!$L$6:$CC$299,65,0)</f>
        <v>0</v>
      </c>
      <c r="BY162" s="102">
        <f>VLOOKUP(L162,工程合同!$L$6:$CC$299,66,0)</f>
        <v>0</v>
      </c>
      <c r="BZ162" s="102">
        <f>VLOOKUP(L162,工程合同!$L$6:$CC$299,67,0)</f>
        <v>0</v>
      </c>
      <c r="CA162" s="102">
        <f>VLOOKUP(L162,工程合同!$L$6:$CC$299,68,0)</f>
        <v>0</v>
      </c>
      <c r="CB162" s="102">
        <f>VLOOKUP(L162,工程合同!$L$6:$CC$299,69,0)</f>
        <v>0</v>
      </c>
      <c r="CC162" s="102">
        <f>VLOOKUP(L162,工程合同!$L$6:$CC$299,70,0)</f>
        <v>0</v>
      </c>
      <c r="CD162" s="123">
        <f t="shared" si="44"/>
        <v>200000</v>
      </c>
      <c r="CE162" s="102">
        <f t="shared" si="45"/>
        <v>0</v>
      </c>
      <c r="CF162" s="102">
        <f t="shared" si="46"/>
        <v>0</v>
      </c>
      <c r="CG162" s="102">
        <f t="shared" si="47"/>
        <v>0</v>
      </c>
      <c r="CH162" s="124">
        <f t="shared" si="48"/>
        <v>200000</v>
      </c>
      <c r="CI162" s="125">
        <f t="shared" si="49"/>
        <v>0</v>
      </c>
      <c r="CJ162" s="126" t="str">
        <f t="shared" si="50"/>
        <v>数据正确</v>
      </c>
    </row>
    <row r="163" s="60" customFormat="1" customHeight="1" spans="2:88">
      <c r="B163" s="70" t="str">
        <f t="shared" si="40"/>
        <v>-</v>
      </c>
      <c r="C163" s="71" t="str">
        <f t="shared" si="41"/>
        <v>已付清</v>
      </c>
      <c r="D163" s="181">
        <f t="shared" si="42"/>
        <v>60000</v>
      </c>
      <c r="E163" s="181">
        <f>SUMIF(服务合同!$L$6:$L$300,L163,服务合同!$E$6:$E$300)</f>
        <v>0</v>
      </c>
      <c r="F163" s="181">
        <f>SUMIF(服务合同!$L$6:$L$300,L163,服务合同!$F$6:$F$300)</f>
        <v>0</v>
      </c>
      <c r="G163" s="181">
        <f>SUMIF(服务合同!$L$6:$L$300,L163,服务合同!$G$6:$G$300)</f>
        <v>0</v>
      </c>
      <c r="H163" s="181">
        <f>SUMIF(服务合同!$L$6:$L$300,L163,服务合同!$H$6:$H$300)</f>
        <v>0</v>
      </c>
      <c r="I163" s="181">
        <f t="shared" si="43"/>
        <v>0</v>
      </c>
      <c r="J163" s="86" t="s">
        <v>98</v>
      </c>
      <c r="K163" s="87"/>
      <c r="L163" s="88">
        <v>158</v>
      </c>
      <c r="M163" s="89" t="str">
        <f>VLOOKUP(L163,服务合同!$L$6:$CC$300,2,0)</f>
        <v>YRKJ-2017GC-SGHT011</v>
      </c>
      <c r="N163" s="90" t="str">
        <f>VLOOKUP(L163,服务合同!$L$6:$CC$300,3,0)</f>
        <v>服务合同</v>
      </c>
      <c r="O163" s="265" t="str">
        <f>VLOOKUP(L163,服务合同!$L$6:$CC$300,4,0)</f>
        <v>-</v>
      </c>
      <c r="P163" s="266">
        <f>VLOOKUP(L163,服务合同!$L$6:$CC$300,5,0)</f>
        <v>42896</v>
      </c>
      <c r="Q163" s="275">
        <f>VLOOKUP(L163,服务合同!$L$6:$CC$300,6,0)</f>
        <v>60000</v>
      </c>
      <c r="R163" s="89" t="str">
        <f>VLOOKUP(L163,服务合同!$L$6:$CC$300,7,0)</f>
        <v>租赁一台履带式液压单斗挖掘机施工</v>
      </c>
      <c r="S163" s="89" t="str">
        <f>VLOOKUP(L163,服务合同!$L$6:$CC$300,8,0)</f>
        <v>泉州宏福工程机械租赁有限公司</v>
      </c>
      <c r="T163" s="107">
        <f>VLOOKUP(L163,服务合同!$L$6:$CC$300,9,0)</f>
        <v>0</v>
      </c>
      <c r="U163" s="103" t="str">
        <f>VLOOKUP(L163,服务合同!$L$6:$CC$300,10,0)</f>
        <v>电汇</v>
      </c>
      <c r="V163" s="276" t="str">
        <f>VLOOKUP(L163,服务合同!$L$6:$CC$300,11,0)</f>
        <v>完成施工任务后，收到3%专票，15个工作日后一次性支付</v>
      </c>
      <c r="W163" s="102">
        <f>VLOOKUP(L163,服务合同!$L$6:$CC$300,12,0)</f>
        <v>60000</v>
      </c>
      <c r="X163" s="102">
        <f>VLOOKUP(L163,服务合同!$L$6:$CC$300,13,0)</f>
        <v>60000</v>
      </c>
      <c r="Y163" s="102">
        <f>VLOOKUP(L163,服务合同!$L$6:$CC$300,14,0)</f>
        <v>60000</v>
      </c>
      <c r="Z163" s="102">
        <f>VLOOKUP(L163,服务合同!$L$6:$CC$300,15,0)</f>
        <v>0</v>
      </c>
      <c r="AA163" s="102">
        <f>VLOOKUP(L163,服务合同!$L$6:$CC$300,16,0)</f>
        <v>0</v>
      </c>
      <c r="AB163" s="102">
        <f>VLOOKUP(L163,服务合同!$L$6:$CC$300,17,0)</f>
        <v>0</v>
      </c>
      <c r="AC163" s="102">
        <f>VLOOKUP(L163,服务合同!$L$6:$CC$300,18,0)</f>
        <v>0</v>
      </c>
      <c r="AD163" s="102">
        <f>VLOOKUP(L163,服务合同!$L$6:$CC$300,19,0)</f>
        <v>0</v>
      </c>
      <c r="AE163" s="102">
        <f>VLOOKUP(L163,服务合同!$L$6:$CC$300,20,0)</f>
        <v>0</v>
      </c>
      <c r="AF163" s="102">
        <f>VLOOKUP(L163,服务合同!$L$6:$CC$300,21,0)</f>
        <v>0</v>
      </c>
      <c r="AG163" s="102">
        <f>VLOOKUP(L163,服务合同!$L$6:$CC$300,22,0)</f>
        <v>0</v>
      </c>
      <c r="AH163" s="102">
        <f>VLOOKUP(L163,服务合同!$L$6:$CC$300,23,0)</f>
        <v>0</v>
      </c>
      <c r="AI163" s="102">
        <f>VLOOKUP(L163,服务合同!$L$6:$CC$300,24,0)</f>
        <v>0</v>
      </c>
      <c r="AJ163" s="102">
        <f>VLOOKUP(L163,服务合同!$L$6:$CC$300,25,0)</f>
        <v>0</v>
      </c>
      <c r="AK163" s="102">
        <f>VLOOKUP(L163,服务合同!$L$6:$CC$300,26,0)</f>
        <v>0</v>
      </c>
      <c r="AL163" s="102">
        <f>VLOOKUP(L163,服务合同!$L$6:$CC$300,27,0)</f>
        <v>0</v>
      </c>
      <c r="AM163" s="102">
        <f>VLOOKUP(L163,服务合同!$L$6:$CC$300,28,0)</f>
        <v>0</v>
      </c>
      <c r="AN163" s="102">
        <f>VLOOKUP(L163,服务合同!$L$6:$CC$300,29,0)</f>
        <v>0</v>
      </c>
      <c r="AO163" s="102">
        <f>VLOOKUP(L163,服务合同!$L$6:$CC$300,30,0)</f>
        <v>0</v>
      </c>
      <c r="AP163" s="102">
        <f>VLOOKUP(L163,服务合同!$L$6:$CC$300,31,0)</f>
        <v>0</v>
      </c>
      <c r="AQ163" s="102">
        <f>VLOOKUP(L163,服务合同!$L$6:$CC$300,32,0)</f>
        <v>0</v>
      </c>
      <c r="AR163" s="102">
        <f>VLOOKUP(L163,服务合同!$L$6:$CC$300,33,0)</f>
        <v>0</v>
      </c>
      <c r="AS163" s="102">
        <f>VLOOKUP(L163,服务合同!$L$6:$CC$300,34,0)</f>
        <v>0</v>
      </c>
      <c r="AT163" s="102">
        <f>VLOOKUP(L163,服务合同!$L$6:$CC$300,35,0)</f>
        <v>0</v>
      </c>
      <c r="AU163" s="102">
        <f>VLOOKUP(L163,服务合同!$L$6:$CC$300,36,0)</f>
        <v>0</v>
      </c>
      <c r="AV163" s="102">
        <f>VLOOKUP(L163,服务合同!$L$6:$CC$300,37,0)</f>
        <v>0</v>
      </c>
      <c r="AW163" s="102">
        <f>VLOOKUP(L163,服务合同!$L$6:$CC$300,38,0)</f>
        <v>0</v>
      </c>
      <c r="AX163" s="102">
        <f>VLOOKUP(L163,服务合同!$L$6:$CC$300,39,0)</f>
        <v>0</v>
      </c>
      <c r="AY163" s="102">
        <f>VLOOKUP(L163,服务合同!$L$6:$CC$300,40,0)</f>
        <v>0</v>
      </c>
      <c r="AZ163" s="102">
        <f>VLOOKUP(L163,服务合同!$L$6:$CC$300,41,0)</f>
        <v>0</v>
      </c>
      <c r="BA163" s="102">
        <f>VLOOKUP(L163,服务合同!$L$6:$CC$300,42,0)</f>
        <v>0</v>
      </c>
      <c r="BB163" s="102">
        <f>VLOOKUP(L163,服务合同!$L$6:$CC$300,43,0)</f>
        <v>0</v>
      </c>
      <c r="BC163" s="102">
        <f>VLOOKUP(L163,服务合同!$L$6:$CC$300,44,0)</f>
        <v>0</v>
      </c>
      <c r="BD163" s="102">
        <f>VLOOKUP(L163,服务合同!$L$6:$CC$300,45,0)</f>
        <v>0</v>
      </c>
      <c r="BE163" s="102">
        <f>VLOOKUP(L163,服务合同!$L$6:$CC$300,46,0)</f>
        <v>0</v>
      </c>
      <c r="BF163" s="102">
        <f>VLOOKUP(L163,服务合同!$L$6:$CC$300,47,0)</f>
        <v>0</v>
      </c>
      <c r="BG163" s="102">
        <f>VLOOKUP(L163,服务合同!$L$6:$CC$300,48,0)</f>
        <v>0</v>
      </c>
      <c r="BH163" s="102">
        <f>VLOOKUP(L163,服务合同!$L$6:$CC$300,49,0)</f>
        <v>0</v>
      </c>
      <c r="BI163" s="102">
        <f>VLOOKUP(L163,服务合同!$L$6:$CC$300,50,0)</f>
        <v>0</v>
      </c>
      <c r="BJ163" s="102">
        <f>VLOOKUP(L163,服务合同!$L$6:$CC$300,51,0)</f>
        <v>0</v>
      </c>
      <c r="BK163" s="102">
        <f>VLOOKUP(L163,服务合同!$L$6:$CC$300,52,0)</f>
        <v>0</v>
      </c>
      <c r="BL163" s="102">
        <f>VLOOKUP(L163,服务合同!$L$6:$CC$300,53,0)</f>
        <v>0</v>
      </c>
      <c r="BM163" s="102">
        <f>VLOOKUP(L163,服务合同!$L$6:$CC$300,54,0)</f>
        <v>0</v>
      </c>
      <c r="BN163" s="102">
        <f>VLOOKUP(L163,服务合同!$L$6:$CC$300,55,0)</f>
        <v>0</v>
      </c>
      <c r="BO163" s="102">
        <f>VLOOKUP(L163,服务合同!$L$6:$CC$300,56,0)</f>
        <v>0</v>
      </c>
      <c r="BP163" s="102">
        <f>VLOOKUP(L163,服务合同!$L$6:$CC$300,57,0)</f>
        <v>0</v>
      </c>
      <c r="BQ163" s="102">
        <f>VLOOKUP(L163,服务合同!$L$6:$CC$300,58,0)</f>
        <v>0</v>
      </c>
      <c r="BR163" s="102">
        <f>VLOOKUP(L163,服务合同!$L$6:$CC$300,59,0)</f>
        <v>0</v>
      </c>
      <c r="BS163" s="102">
        <f>VLOOKUP(L163,服务合同!$L$6:$CC$300,60,0)</f>
        <v>0</v>
      </c>
      <c r="BT163" s="102">
        <f>VLOOKUP(L163,服务合同!$L$6:$CC$300,61,0)</f>
        <v>0</v>
      </c>
      <c r="BU163" s="102">
        <f>VLOOKUP(L163,服务合同!$L$6:$CC$300,62,0)</f>
        <v>0</v>
      </c>
      <c r="BV163" s="102">
        <f>VLOOKUP(L163,服务合同!$L$6:$CC$300,63,0)</f>
        <v>0</v>
      </c>
      <c r="BW163" s="102">
        <f>VLOOKUP(L163,服务合同!$L$6:$CC$300,64,0)</f>
        <v>0</v>
      </c>
      <c r="BX163" s="102">
        <f>VLOOKUP(L163,服务合同!$L$6:$CC$300,65,0)</f>
        <v>0</v>
      </c>
      <c r="BY163" s="102">
        <f>VLOOKUP(L163,服务合同!$L$6:$CC$300,66,0)</f>
        <v>0</v>
      </c>
      <c r="BZ163" s="102">
        <f>VLOOKUP(L163,服务合同!$L$6:$CC$300,67,0)</f>
        <v>0</v>
      </c>
      <c r="CA163" s="102">
        <f>VLOOKUP(L163,服务合同!$L$6:$CC$300,68,0)</f>
        <v>0</v>
      </c>
      <c r="CB163" s="102">
        <f>VLOOKUP(L163,服务合同!$L$6:$CC$300,69,0)</f>
        <v>0</v>
      </c>
      <c r="CC163" s="102">
        <f>VLOOKUP(L163,服务合同!$L$6:$CC$300,70,0)</f>
        <v>0</v>
      </c>
      <c r="CD163" s="123">
        <f t="shared" si="44"/>
        <v>60000</v>
      </c>
      <c r="CE163" s="102">
        <f t="shared" si="45"/>
        <v>60000</v>
      </c>
      <c r="CF163" s="102">
        <f t="shared" si="46"/>
        <v>60000</v>
      </c>
      <c r="CG163" s="102">
        <f t="shared" si="47"/>
        <v>0</v>
      </c>
      <c r="CH163" s="124">
        <f t="shared" si="48"/>
        <v>0</v>
      </c>
      <c r="CI163" s="125">
        <f t="shared" si="49"/>
        <v>1</v>
      </c>
      <c r="CJ163" s="126" t="str">
        <f t="shared" si="50"/>
        <v>数据正确</v>
      </c>
    </row>
    <row r="164" s="60" customFormat="1" customHeight="1" spans="2:88">
      <c r="B164" s="70" t="str">
        <f t="shared" si="40"/>
        <v>申请中</v>
      </c>
      <c r="C164" s="71" t="str">
        <f t="shared" si="41"/>
        <v>-</v>
      </c>
      <c r="D164" s="181">
        <f t="shared" si="42"/>
        <v>700483.52</v>
      </c>
      <c r="E164" s="181">
        <f>SUMIF(设备合同!$L$6:$L$302,L164,设备合同!$E$6:$E$302)</f>
        <v>0</v>
      </c>
      <c r="F164" s="181">
        <f>SUMIF(设备合同!$L$6:$L$302,L164,设备合同!$F$6:$F$302)</f>
        <v>0</v>
      </c>
      <c r="G164" s="181">
        <f>SUMIF(设备合同!$L$6:$L$302,L164,设备合同!$G$6:$G$302)</f>
        <v>0</v>
      </c>
      <c r="H164" s="181">
        <f>SUMIF(设备合同!$L$6:$L$302,L164,设备合同!$H$6:$H$302)</f>
        <v>0</v>
      </c>
      <c r="I164" s="181">
        <f t="shared" si="43"/>
        <v>2946856.6384</v>
      </c>
      <c r="J164" s="86" t="s">
        <v>98</v>
      </c>
      <c r="K164" s="87"/>
      <c r="L164" s="88">
        <v>159</v>
      </c>
      <c r="M164" s="89" t="str">
        <f>VLOOKUP(L164,设备合同!$L$6:$CC$302,2,0)</f>
        <v>YRKJEQ-170002-1</v>
      </c>
      <c r="N164" s="90" t="str">
        <f>VLOOKUP(L164,设备合同!$L$6:$CC$302,3,0)</f>
        <v>设备合同</v>
      </c>
      <c r="O164" s="265">
        <f>VLOOKUP(L164,设备合同!$L$6:$CC$302,4,0)</f>
        <v>2016070031</v>
      </c>
      <c r="P164" s="266">
        <f>VLOOKUP(L164,设备合同!$L$6:$CC$302,5,0)</f>
        <v>42750</v>
      </c>
      <c r="Q164" s="275">
        <f>VLOOKUP(L164,设备合同!$L$6:$CC$302,6,0)</f>
        <v>3683570.798</v>
      </c>
      <c r="R164" s="89" t="str">
        <f>VLOOKUP(L164,设备合同!$L$6:$CC$302,7,0)</f>
        <v>2台离心机</v>
      </c>
      <c r="S164" s="89" t="str">
        <f>VLOOKUP(L164,设备合同!$L$6:$CC$302,8,0)</f>
        <v>锦江（香港）有限公司</v>
      </c>
      <c r="T164" s="107">
        <f>VLOOKUP(L164,设备合同!$L$6:$CC$302,9,0)</f>
        <v>0</v>
      </c>
      <c r="U164" s="103" t="str">
        <f>VLOOKUP(L164,设备合同!$L$6:$CC$302,10,0)</f>
        <v>电汇/信用证</v>
      </c>
      <c r="V164" s="276" t="str">
        <f>VLOOKUP(L164,设备合同!$L$6:$CC$302,11,0)</f>
        <v>合同签署2个工作周内，支付20%预付款，电汇</v>
      </c>
      <c r="W164" s="102">
        <f>VLOOKUP(L164,设备合同!$L$6:$CC$302,12,0)</f>
        <v>736714.1596</v>
      </c>
      <c r="X164" s="102">
        <f>VLOOKUP(L164,设备合同!$L$6:$CC$302,13,0)</f>
        <v>700483.52</v>
      </c>
      <c r="Y164" s="102">
        <f>VLOOKUP(L164,设备合同!$L$6:$CC$302,14,0)</f>
        <v>700483.52</v>
      </c>
      <c r="Z164" s="102" t="str">
        <f>VLOOKUP(L164,设备合同!$L$6:$CC$302,15,0)</f>
        <v>开出货运单据后支付80%，信用证</v>
      </c>
      <c r="AA164" s="102">
        <f>VLOOKUP(L164,设备合同!$L$6:$CC$302,16,0)</f>
        <v>2946856.6384</v>
      </c>
      <c r="AB164" s="102">
        <f>VLOOKUP(L164,设备合同!$L$6:$CC$302,17,0)</f>
        <v>2946856.6384</v>
      </c>
      <c r="AC164" s="102">
        <f>VLOOKUP(L164,设备合同!$L$6:$CC$302,18,0)</f>
        <v>0</v>
      </c>
      <c r="AD164" s="102">
        <f>VLOOKUP(L164,设备合同!$L$6:$CC$302,19,0)</f>
        <v>0</v>
      </c>
      <c r="AE164" s="102">
        <f>VLOOKUP(L164,设备合同!$L$6:$CC$302,20,0)</f>
        <v>0</v>
      </c>
      <c r="AF164" s="102">
        <f>VLOOKUP(L164,设备合同!$L$6:$CC$302,21,0)</f>
        <v>0</v>
      </c>
      <c r="AG164" s="102">
        <f>VLOOKUP(L164,设备合同!$L$6:$CC$302,22,0)</f>
        <v>0</v>
      </c>
      <c r="AH164" s="102">
        <f>VLOOKUP(L164,设备合同!$L$6:$CC$302,23,0)</f>
        <v>0</v>
      </c>
      <c r="AI164" s="102">
        <f>VLOOKUP(L164,设备合同!$L$6:$CC$302,24,0)</f>
        <v>0</v>
      </c>
      <c r="AJ164" s="102">
        <f>VLOOKUP(L164,设备合同!$L$6:$CC$302,25,0)</f>
        <v>0</v>
      </c>
      <c r="AK164" s="102">
        <f>VLOOKUP(L164,设备合同!$L$6:$CC$302,26,0)</f>
        <v>0</v>
      </c>
      <c r="AL164" s="102">
        <f>VLOOKUP(L164,设备合同!$L$6:$CC$302,27,0)</f>
        <v>0</v>
      </c>
      <c r="AM164" s="102">
        <f>VLOOKUP(L164,设备合同!$L$6:$CC$302,28,0)</f>
        <v>0</v>
      </c>
      <c r="AN164" s="102">
        <f>VLOOKUP(L164,设备合同!$L$6:$CC$302,29,0)</f>
        <v>0</v>
      </c>
      <c r="AO164" s="102">
        <f>VLOOKUP(L164,设备合同!$L$6:$CC$302,30,0)</f>
        <v>0</v>
      </c>
      <c r="AP164" s="102">
        <f>VLOOKUP(L164,设备合同!$L$6:$CC$302,31,0)</f>
        <v>0</v>
      </c>
      <c r="AQ164" s="102">
        <f>VLOOKUP(L164,设备合同!$L$6:$CC$302,32,0)</f>
        <v>0</v>
      </c>
      <c r="AR164" s="102">
        <f>VLOOKUP(L164,设备合同!$L$6:$CC$302,33,0)</f>
        <v>0</v>
      </c>
      <c r="AS164" s="102">
        <f>VLOOKUP(L164,设备合同!$L$6:$CC$302,34,0)</f>
        <v>0</v>
      </c>
      <c r="AT164" s="102">
        <f>VLOOKUP(L164,设备合同!$L$6:$CC$302,35,0)</f>
        <v>0</v>
      </c>
      <c r="AU164" s="102">
        <f>VLOOKUP(L164,设备合同!$L$6:$CC$302,36,0)</f>
        <v>0</v>
      </c>
      <c r="AV164" s="102">
        <f>VLOOKUP(L164,设备合同!$L$6:$CC$302,37,0)</f>
        <v>0</v>
      </c>
      <c r="AW164" s="102">
        <f>VLOOKUP(L164,设备合同!$L$6:$CC$302,38,0)</f>
        <v>0</v>
      </c>
      <c r="AX164" s="102">
        <f>VLOOKUP(L164,设备合同!$L$6:$CC$302,39,0)</f>
        <v>0</v>
      </c>
      <c r="AY164" s="102">
        <f>VLOOKUP(L164,设备合同!$L$6:$CC$302,40,0)</f>
        <v>0</v>
      </c>
      <c r="AZ164" s="102">
        <f>VLOOKUP(L164,设备合同!$L$6:$CC$302,41,0)</f>
        <v>0</v>
      </c>
      <c r="BA164" s="102">
        <f>VLOOKUP(L164,设备合同!$L$6:$CC$302,42,0)</f>
        <v>0</v>
      </c>
      <c r="BB164" s="102">
        <f>VLOOKUP(L164,设备合同!$L$6:$CC$302,43,0)</f>
        <v>0</v>
      </c>
      <c r="BC164" s="102">
        <f>VLOOKUP(L164,设备合同!$L$6:$CC$302,44,0)</f>
        <v>0</v>
      </c>
      <c r="BD164" s="102">
        <f>VLOOKUP(L164,设备合同!$L$6:$CC$302,45,0)</f>
        <v>0</v>
      </c>
      <c r="BE164" s="102">
        <f>VLOOKUP(L164,设备合同!$L$6:$CC$302,46,0)</f>
        <v>0</v>
      </c>
      <c r="BF164" s="102">
        <f>VLOOKUP(L164,设备合同!$L$6:$CC$302,47,0)</f>
        <v>0</v>
      </c>
      <c r="BG164" s="102">
        <f>VLOOKUP(L164,设备合同!$L$6:$CC$302,48,0)</f>
        <v>0</v>
      </c>
      <c r="BH164" s="102">
        <f>VLOOKUP(L164,设备合同!$L$6:$CC$302,49,0)</f>
        <v>0</v>
      </c>
      <c r="BI164" s="102">
        <f>VLOOKUP(L164,设备合同!$L$6:$CC$302,50,0)</f>
        <v>0</v>
      </c>
      <c r="BJ164" s="102">
        <f>VLOOKUP(L164,设备合同!$L$6:$CC$302,51,0)</f>
        <v>0</v>
      </c>
      <c r="BK164" s="102">
        <f>VLOOKUP(L164,设备合同!$L$6:$CC$302,52,0)</f>
        <v>0</v>
      </c>
      <c r="BL164" s="102">
        <f>VLOOKUP(L164,设备合同!$L$6:$CC$302,53,0)</f>
        <v>0</v>
      </c>
      <c r="BM164" s="102">
        <f>VLOOKUP(L164,设备合同!$L$6:$CC$302,54,0)</f>
        <v>0</v>
      </c>
      <c r="BN164" s="102">
        <f>VLOOKUP(L164,设备合同!$L$6:$CC$302,55,0)</f>
        <v>0</v>
      </c>
      <c r="BO164" s="102">
        <f>VLOOKUP(L164,设备合同!$L$6:$CC$302,56,0)</f>
        <v>0</v>
      </c>
      <c r="BP164" s="102">
        <f>VLOOKUP(L164,设备合同!$L$6:$CC$302,57,0)</f>
        <v>0</v>
      </c>
      <c r="BQ164" s="102">
        <f>VLOOKUP(L164,设备合同!$L$6:$CC$302,58,0)</f>
        <v>0</v>
      </c>
      <c r="BR164" s="102">
        <f>VLOOKUP(L164,设备合同!$L$6:$CC$302,59,0)</f>
        <v>0</v>
      </c>
      <c r="BS164" s="102">
        <f>VLOOKUP(L164,设备合同!$L$6:$CC$302,60,0)</f>
        <v>0</v>
      </c>
      <c r="BT164" s="102">
        <f>VLOOKUP(L164,设备合同!$L$6:$CC$302,61,0)</f>
        <v>0</v>
      </c>
      <c r="BU164" s="102">
        <f>VLOOKUP(L164,设备合同!$L$6:$CC$302,62,0)</f>
        <v>0</v>
      </c>
      <c r="BV164" s="102">
        <f>VLOOKUP(L164,设备合同!$L$6:$CC$302,63,0)</f>
        <v>0</v>
      </c>
      <c r="BW164" s="102">
        <f>VLOOKUP(L164,设备合同!$L$6:$CC$302,64,0)</f>
        <v>0</v>
      </c>
      <c r="BX164" s="102">
        <f>VLOOKUP(L164,设备合同!$L$6:$CC$302,65,0)</f>
        <v>0</v>
      </c>
      <c r="BY164" s="102">
        <f>VLOOKUP(L164,设备合同!$L$6:$CC$302,66,0)</f>
        <v>0</v>
      </c>
      <c r="BZ164" s="102">
        <f>VLOOKUP(L164,设备合同!$L$6:$CC$302,67,0)</f>
        <v>0</v>
      </c>
      <c r="CA164" s="102">
        <f>VLOOKUP(L164,设备合同!$L$6:$CC$302,68,0)</f>
        <v>0</v>
      </c>
      <c r="CB164" s="102">
        <f>VLOOKUP(L164,设备合同!$L$6:$CC$302,69,0)</f>
        <v>0</v>
      </c>
      <c r="CC164" s="102">
        <f>VLOOKUP(L164,设备合同!$L$6:$CC$302,70,0)</f>
        <v>0</v>
      </c>
      <c r="CD164" s="123">
        <f t="shared" si="44"/>
        <v>3683570.798</v>
      </c>
      <c r="CE164" s="102">
        <f t="shared" si="45"/>
        <v>3647340.1584</v>
      </c>
      <c r="CF164" s="102">
        <f t="shared" si="46"/>
        <v>700483.52</v>
      </c>
      <c r="CG164" s="102">
        <f t="shared" si="47"/>
        <v>0</v>
      </c>
      <c r="CH164" s="124">
        <f t="shared" si="48"/>
        <v>2983087.278</v>
      </c>
      <c r="CI164" s="125">
        <f t="shared" si="49"/>
        <v>0.190164261368433</v>
      </c>
      <c r="CJ164" s="126" t="str">
        <f t="shared" si="50"/>
        <v>数据正确</v>
      </c>
    </row>
    <row r="165" s="60" customFormat="1" customHeight="1" spans="2:88">
      <c r="B165" s="70" t="str">
        <f t="shared" si="40"/>
        <v>-</v>
      </c>
      <c r="C165" s="71" t="str">
        <f t="shared" si="41"/>
        <v>-</v>
      </c>
      <c r="D165" s="181">
        <f t="shared" si="42"/>
        <v>25089189.15</v>
      </c>
      <c r="E165" s="181">
        <f>SUMIF(设备合同!$L$6:$L$302,L165,设备合同!$E$6:$E$302)</f>
        <v>0</v>
      </c>
      <c r="F165" s="181">
        <f>SUMIF(设备合同!$L$6:$L$302,L165,设备合同!$F$6:$F$302)</f>
        <v>0</v>
      </c>
      <c r="G165" s="181">
        <f>SUMIF(设备合同!$L$6:$L$302,L165,设备合同!$G$6:$G$302)</f>
        <v>0</v>
      </c>
      <c r="H165" s="181">
        <f>SUMIF(设备合同!$L$6:$L$302,L165,设备合同!$H$6:$H$302)</f>
        <v>0</v>
      </c>
      <c r="I165" s="181">
        <f t="shared" si="43"/>
        <v>0</v>
      </c>
      <c r="J165" s="86" t="s">
        <v>98</v>
      </c>
      <c r="K165" s="87"/>
      <c r="L165" s="88">
        <v>160</v>
      </c>
      <c r="M165" s="89" t="str">
        <f>VLOOKUP(L165,设备合同!$L$6:$CC$302,2,0)</f>
        <v>JMFJYR20170707</v>
      </c>
      <c r="N165" s="90" t="str">
        <f>VLOOKUP(L165,设备合同!$L$6:$CC$302,3,0)</f>
        <v>设备合同</v>
      </c>
      <c r="O165" s="265">
        <f>VLOOKUP(L165,设备合同!$L$6:$CC$302,4,0)</f>
        <v>0</v>
      </c>
      <c r="P165" s="266">
        <f>VLOOKUP(L165,设备合同!$L$6:$CC$302,5,0)</f>
        <v>42923</v>
      </c>
      <c r="Q165" s="275">
        <f>VLOOKUP(L165,设备合同!$L$6:$CC$302,6,0)</f>
        <v>60000000</v>
      </c>
      <c r="R165" s="89" t="str">
        <f>VLOOKUP(L165,设备合同!$L$6:$CC$302,7,0)</f>
        <v>贵金属海绵钯300KG</v>
      </c>
      <c r="S165" s="89" t="str">
        <f>VLOOKUP(L165,设备合同!$L$6:$CC$302,8,0)</f>
        <v>庄信万丰（上海）催化剂有限公司</v>
      </c>
      <c r="T165" s="107">
        <f>VLOOKUP(L165,设备合同!$L$6:$CC$302,9,0)</f>
        <v>0</v>
      </c>
      <c r="U165" s="103" t="str">
        <f>VLOOKUP(L165,设备合同!$L$6:$CC$302,10,0)</f>
        <v>电汇</v>
      </c>
      <c r="V165" s="276" t="str">
        <f>VLOOKUP(L165,设备合同!$L$6:$CC$302,11,0)</f>
        <v>首个定价日前支付200万元定金</v>
      </c>
      <c r="W165" s="102">
        <f>VLOOKUP(L165,设备合同!$L$6:$CC$302,12,0)</f>
        <v>2000000</v>
      </c>
      <c r="X165" s="102">
        <f>VLOOKUP(L165,设备合同!$L$6:$CC$302,13,0)</f>
        <v>2000000</v>
      </c>
      <c r="Y165" s="102">
        <f>VLOOKUP(L165,设备合同!$L$6:$CC$302,14,0)</f>
        <v>2000000</v>
      </c>
      <c r="Z165" s="102" t="str">
        <f>VLOOKUP(L165,设备合同!$L$6:$CC$302,15,0)</f>
        <v>按期间支付货款</v>
      </c>
      <c r="AA165" s="102">
        <f>VLOOKUP(L165,设备合同!$L$6:$CC$302,16,0)</f>
        <v>58000000</v>
      </c>
      <c r="AB165" s="102">
        <f>VLOOKUP(L165,设备合同!$L$6:$CC$302,17,0)</f>
        <v>23089189.15</v>
      </c>
      <c r="AC165" s="102">
        <f>VLOOKUP(L165,设备合同!$L$6:$CC$302,18,0)</f>
        <v>23089189.15</v>
      </c>
      <c r="AD165" s="102">
        <f>VLOOKUP(L165,设备合同!$L$6:$CC$302,19,0)</f>
        <v>0</v>
      </c>
      <c r="AE165" s="102">
        <f>VLOOKUP(L165,设备合同!$L$6:$CC$302,20,0)</f>
        <v>0</v>
      </c>
      <c r="AF165" s="102">
        <f>VLOOKUP(L165,设备合同!$L$6:$CC$302,21,0)</f>
        <v>0</v>
      </c>
      <c r="AG165" s="102">
        <f>VLOOKUP(L165,设备合同!$L$6:$CC$302,22,0)</f>
        <v>0</v>
      </c>
      <c r="AH165" s="102">
        <f>VLOOKUP(L165,设备合同!$L$6:$CC$302,23,0)</f>
        <v>0</v>
      </c>
      <c r="AI165" s="102">
        <f>VLOOKUP(L165,设备合同!$L$6:$CC$302,24,0)</f>
        <v>0</v>
      </c>
      <c r="AJ165" s="102">
        <f>VLOOKUP(L165,设备合同!$L$6:$CC$302,25,0)</f>
        <v>0</v>
      </c>
      <c r="AK165" s="102">
        <f>VLOOKUP(L165,设备合同!$L$6:$CC$302,26,0)</f>
        <v>0</v>
      </c>
      <c r="AL165" s="102">
        <f>VLOOKUP(L165,设备合同!$L$6:$CC$302,27,0)</f>
        <v>0</v>
      </c>
      <c r="AM165" s="102">
        <f>VLOOKUP(L165,设备合同!$L$6:$CC$302,28,0)</f>
        <v>0</v>
      </c>
      <c r="AN165" s="102">
        <f>VLOOKUP(L165,设备合同!$L$6:$CC$302,29,0)</f>
        <v>0</v>
      </c>
      <c r="AO165" s="102">
        <f>VLOOKUP(L165,设备合同!$L$6:$CC$302,30,0)</f>
        <v>0</v>
      </c>
      <c r="AP165" s="102">
        <f>VLOOKUP(L165,设备合同!$L$6:$CC$302,31,0)</f>
        <v>0</v>
      </c>
      <c r="AQ165" s="102">
        <f>VLOOKUP(L165,设备合同!$L$6:$CC$302,32,0)</f>
        <v>0</v>
      </c>
      <c r="AR165" s="102">
        <f>VLOOKUP(L165,设备合同!$L$6:$CC$302,33,0)</f>
        <v>0</v>
      </c>
      <c r="AS165" s="102">
        <f>VLOOKUP(L165,设备合同!$L$6:$CC$302,34,0)</f>
        <v>0</v>
      </c>
      <c r="AT165" s="102">
        <f>VLOOKUP(L165,设备合同!$L$6:$CC$302,35,0)</f>
        <v>0</v>
      </c>
      <c r="AU165" s="102">
        <f>VLOOKUP(L165,设备合同!$L$6:$CC$302,36,0)</f>
        <v>0</v>
      </c>
      <c r="AV165" s="102">
        <f>VLOOKUP(L165,设备合同!$L$6:$CC$302,37,0)</f>
        <v>0</v>
      </c>
      <c r="AW165" s="102">
        <f>VLOOKUP(L165,设备合同!$L$6:$CC$302,38,0)</f>
        <v>0</v>
      </c>
      <c r="AX165" s="102">
        <f>VLOOKUP(L165,设备合同!$L$6:$CC$302,39,0)</f>
        <v>0</v>
      </c>
      <c r="AY165" s="102">
        <f>VLOOKUP(L165,设备合同!$L$6:$CC$302,40,0)</f>
        <v>0</v>
      </c>
      <c r="AZ165" s="102">
        <f>VLOOKUP(L165,设备合同!$L$6:$CC$302,41,0)</f>
        <v>0</v>
      </c>
      <c r="BA165" s="102">
        <f>VLOOKUP(L165,设备合同!$L$6:$CC$302,42,0)</f>
        <v>0</v>
      </c>
      <c r="BB165" s="102">
        <f>VLOOKUP(L165,设备合同!$L$6:$CC$302,43,0)</f>
        <v>0</v>
      </c>
      <c r="BC165" s="102">
        <f>VLOOKUP(L165,设备合同!$L$6:$CC$302,44,0)</f>
        <v>0</v>
      </c>
      <c r="BD165" s="102">
        <f>VLOOKUP(L165,设备合同!$L$6:$CC$302,45,0)</f>
        <v>0</v>
      </c>
      <c r="BE165" s="102">
        <f>VLOOKUP(L165,设备合同!$L$6:$CC$302,46,0)</f>
        <v>0</v>
      </c>
      <c r="BF165" s="102">
        <f>VLOOKUP(L165,设备合同!$L$6:$CC$302,47,0)</f>
        <v>0</v>
      </c>
      <c r="BG165" s="102">
        <f>VLOOKUP(L165,设备合同!$L$6:$CC$302,48,0)</f>
        <v>0</v>
      </c>
      <c r="BH165" s="102">
        <f>VLOOKUP(L165,设备合同!$L$6:$CC$302,49,0)</f>
        <v>0</v>
      </c>
      <c r="BI165" s="102">
        <f>VLOOKUP(L165,设备合同!$L$6:$CC$302,50,0)</f>
        <v>0</v>
      </c>
      <c r="BJ165" s="102">
        <f>VLOOKUP(L165,设备合同!$L$6:$CC$302,51,0)</f>
        <v>0</v>
      </c>
      <c r="BK165" s="102">
        <f>VLOOKUP(L165,设备合同!$L$6:$CC$302,52,0)</f>
        <v>0</v>
      </c>
      <c r="BL165" s="102">
        <f>VLOOKUP(L165,设备合同!$L$6:$CC$302,53,0)</f>
        <v>0</v>
      </c>
      <c r="BM165" s="102">
        <f>VLOOKUP(L165,设备合同!$L$6:$CC$302,54,0)</f>
        <v>0</v>
      </c>
      <c r="BN165" s="102">
        <f>VLOOKUP(L165,设备合同!$L$6:$CC$302,55,0)</f>
        <v>0</v>
      </c>
      <c r="BO165" s="102">
        <f>VLOOKUP(L165,设备合同!$L$6:$CC$302,56,0)</f>
        <v>0</v>
      </c>
      <c r="BP165" s="102">
        <f>VLOOKUP(L165,设备合同!$L$6:$CC$302,57,0)</f>
        <v>0</v>
      </c>
      <c r="BQ165" s="102">
        <f>VLOOKUP(L165,设备合同!$L$6:$CC$302,58,0)</f>
        <v>0</v>
      </c>
      <c r="BR165" s="102">
        <f>VLOOKUP(L165,设备合同!$L$6:$CC$302,59,0)</f>
        <v>0</v>
      </c>
      <c r="BS165" s="102">
        <f>VLOOKUP(L165,设备合同!$L$6:$CC$302,60,0)</f>
        <v>0</v>
      </c>
      <c r="BT165" s="102">
        <f>VLOOKUP(L165,设备合同!$L$6:$CC$302,61,0)</f>
        <v>0</v>
      </c>
      <c r="BU165" s="102">
        <f>VLOOKUP(L165,设备合同!$L$6:$CC$302,62,0)</f>
        <v>0</v>
      </c>
      <c r="BV165" s="102">
        <f>VLOOKUP(L165,设备合同!$L$6:$CC$302,63,0)</f>
        <v>0</v>
      </c>
      <c r="BW165" s="102">
        <f>VLOOKUP(L165,设备合同!$L$6:$CC$302,64,0)</f>
        <v>0</v>
      </c>
      <c r="BX165" s="102">
        <f>VLOOKUP(L165,设备合同!$L$6:$CC$302,65,0)</f>
        <v>0</v>
      </c>
      <c r="BY165" s="102">
        <f>VLOOKUP(L165,设备合同!$L$6:$CC$302,66,0)</f>
        <v>0</v>
      </c>
      <c r="BZ165" s="102">
        <f>VLOOKUP(L165,设备合同!$L$6:$CC$302,67,0)</f>
        <v>0</v>
      </c>
      <c r="CA165" s="102">
        <f>VLOOKUP(L165,设备合同!$L$6:$CC$302,68,0)</f>
        <v>0</v>
      </c>
      <c r="CB165" s="102">
        <f>VLOOKUP(L165,设备合同!$L$6:$CC$302,69,0)</f>
        <v>0</v>
      </c>
      <c r="CC165" s="102">
        <f>VLOOKUP(L165,设备合同!$L$6:$CC$302,70,0)</f>
        <v>0</v>
      </c>
      <c r="CD165" s="123">
        <f t="shared" si="44"/>
        <v>60000000</v>
      </c>
      <c r="CE165" s="102">
        <f t="shared" si="45"/>
        <v>25089189.15</v>
      </c>
      <c r="CF165" s="102">
        <f t="shared" si="46"/>
        <v>25089189.15</v>
      </c>
      <c r="CG165" s="102">
        <f t="shared" si="47"/>
        <v>0</v>
      </c>
      <c r="CH165" s="124">
        <f t="shared" si="48"/>
        <v>34910810.85</v>
      </c>
      <c r="CI165" s="125">
        <f t="shared" si="49"/>
        <v>0.4181531525</v>
      </c>
      <c r="CJ165" s="126" t="str">
        <f t="shared" si="50"/>
        <v>数据正确</v>
      </c>
    </row>
    <row r="166" s="60" customFormat="1" customHeight="1" spans="2:88">
      <c r="B166" s="70" t="str">
        <f t="shared" si="40"/>
        <v>-</v>
      </c>
      <c r="C166" s="71" t="str">
        <f t="shared" si="41"/>
        <v>已付清</v>
      </c>
      <c r="D166" s="181">
        <f t="shared" si="42"/>
        <v>0.001</v>
      </c>
      <c r="E166" s="181">
        <f>SUMIF(服务合同!$L$6:$L$300,L166,服务合同!$E$6:$E$300)</f>
        <v>0</v>
      </c>
      <c r="F166" s="181">
        <f>SUMIF(服务合同!$L$6:$L$300,L166,服务合同!$F$6:$F$300)</f>
        <v>0</v>
      </c>
      <c r="G166" s="181">
        <f>SUMIF(服务合同!$L$6:$L$300,L166,服务合同!$G$6:$G$300)</f>
        <v>0</v>
      </c>
      <c r="H166" s="181">
        <f>SUMIF(服务合同!$L$6:$L$300,L166,服务合同!$H$6:$H$300)</f>
        <v>0</v>
      </c>
      <c r="I166" s="181">
        <f t="shared" si="43"/>
        <v>0</v>
      </c>
      <c r="J166" s="86" t="s">
        <v>98</v>
      </c>
      <c r="K166" s="87"/>
      <c r="L166" s="88">
        <v>161</v>
      </c>
      <c r="M166" s="89" t="str">
        <f>VLOOKUP(L166,服务合同!$L$6:$CC$300,2,0)</f>
        <v>YRKJGC-170017</v>
      </c>
      <c r="N166" s="90" t="str">
        <f>VLOOKUP(L166,服务合同!$L$6:$CC$300,3,0)</f>
        <v>服务合同</v>
      </c>
      <c r="O166" s="265">
        <f>VLOOKUP(L166,服务合同!$L$6:$CC$300,4,0)</f>
        <v>0</v>
      </c>
      <c r="P166" s="266">
        <f>VLOOKUP(L166,服务合同!$L$6:$CC$300,5,0)</f>
        <v>42854</v>
      </c>
      <c r="Q166" s="275">
        <f>VLOOKUP(L166,服务合同!$L$6:$CC$300,6,0)</f>
        <v>0.001</v>
      </c>
      <c r="R166" s="89" t="str">
        <f>VLOOKUP(L166,服务合同!$L$6:$CC$300,7,0)</f>
        <v>工程报装和供气合同</v>
      </c>
      <c r="S166" s="89" t="str">
        <f>VLOOKUP(L166,服务合同!$L$6:$CC$300,8,0)</f>
        <v>旷远能源股份有限公司</v>
      </c>
      <c r="T166" s="107">
        <f>VLOOKUP(L166,服务合同!$L$6:$CC$300,9,0)</f>
        <v>0</v>
      </c>
      <c r="U166" s="103" t="str">
        <f>VLOOKUP(L166,服务合同!$L$6:$CC$300,10,0)</f>
        <v>电汇</v>
      </c>
      <c r="V166" s="276" t="str">
        <f>VLOOKUP(L166,服务合同!$L$6:$CC$300,11,0)</f>
        <v>-</v>
      </c>
      <c r="W166" s="102">
        <f>VLOOKUP(L166,服务合同!$L$6:$CC$300,12,0)</f>
        <v>0.001</v>
      </c>
      <c r="X166" s="102">
        <f>VLOOKUP(L166,服务合同!$L$6:$CC$300,13,0)</f>
        <v>0.001</v>
      </c>
      <c r="Y166" s="102">
        <f>VLOOKUP(L166,服务合同!$L$6:$CC$300,14,0)</f>
        <v>0.001</v>
      </c>
      <c r="Z166" s="102">
        <f>VLOOKUP(L166,服务合同!$L$6:$CC$300,15,0)</f>
        <v>0</v>
      </c>
      <c r="AA166" s="102">
        <f>VLOOKUP(L166,服务合同!$L$6:$CC$300,16,0)</f>
        <v>0</v>
      </c>
      <c r="AB166" s="102">
        <f>VLOOKUP(L166,服务合同!$L$6:$CC$300,17,0)</f>
        <v>0</v>
      </c>
      <c r="AC166" s="102">
        <f>VLOOKUP(L166,服务合同!$L$6:$CC$300,18,0)</f>
        <v>0</v>
      </c>
      <c r="AD166" s="102">
        <f>VLOOKUP(L166,服务合同!$L$6:$CC$300,19,0)</f>
        <v>0</v>
      </c>
      <c r="AE166" s="102">
        <f>VLOOKUP(L166,服务合同!$L$6:$CC$300,20,0)</f>
        <v>0</v>
      </c>
      <c r="AF166" s="102">
        <f>VLOOKUP(L166,服务合同!$L$6:$CC$300,21,0)</f>
        <v>0</v>
      </c>
      <c r="AG166" s="102">
        <f>VLOOKUP(L166,服务合同!$L$6:$CC$300,22,0)</f>
        <v>0</v>
      </c>
      <c r="AH166" s="102">
        <f>VLOOKUP(L166,服务合同!$L$6:$CC$300,23,0)</f>
        <v>0</v>
      </c>
      <c r="AI166" s="102">
        <f>VLOOKUP(L166,服务合同!$L$6:$CC$300,24,0)</f>
        <v>0</v>
      </c>
      <c r="AJ166" s="102">
        <f>VLOOKUP(L166,服务合同!$L$6:$CC$300,25,0)</f>
        <v>0</v>
      </c>
      <c r="AK166" s="102">
        <f>VLOOKUP(L166,服务合同!$L$6:$CC$300,26,0)</f>
        <v>0</v>
      </c>
      <c r="AL166" s="102">
        <f>VLOOKUP(L166,服务合同!$L$6:$CC$300,27,0)</f>
        <v>0</v>
      </c>
      <c r="AM166" s="102">
        <f>VLOOKUP(L166,服务合同!$L$6:$CC$300,28,0)</f>
        <v>0</v>
      </c>
      <c r="AN166" s="102">
        <f>VLOOKUP(L166,服务合同!$L$6:$CC$300,29,0)</f>
        <v>0</v>
      </c>
      <c r="AO166" s="102">
        <f>VLOOKUP(L166,服务合同!$L$6:$CC$300,30,0)</f>
        <v>0</v>
      </c>
      <c r="AP166" s="102">
        <f>VLOOKUP(L166,服务合同!$L$6:$CC$300,31,0)</f>
        <v>0</v>
      </c>
      <c r="AQ166" s="102">
        <f>VLOOKUP(L166,服务合同!$L$6:$CC$300,32,0)</f>
        <v>0</v>
      </c>
      <c r="AR166" s="102">
        <f>VLOOKUP(L166,服务合同!$L$6:$CC$300,33,0)</f>
        <v>0</v>
      </c>
      <c r="AS166" s="102">
        <f>VLOOKUP(L166,服务合同!$L$6:$CC$300,34,0)</f>
        <v>0</v>
      </c>
      <c r="AT166" s="102">
        <f>VLOOKUP(L166,服务合同!$L$6:$CC$300,35,0)</f>
        <v>0</v>
      </c>
      <c r="AU166" s="102">
        <f>VLOOKUP(L166,服务合同!$L$6:$CC$300,36,0)</f>
        <v>0</v>
      </c>
      <c r="AV166" s="102">
        <f>VLOOKUP(L166,服务合同!$L$6:$CC$300,37,0)</f>
        <v>0</v>
      </c>
      <c r="AW166" s="102">
        <f>VLOOKUP(L166,服务合同!$L$6:$CC$300,38,0)</f>
        <v>0</v>
      </c>
      <c r="AX166" s="102">
        <f>VLOOKUP(L166,服务合同!$L$6:$CC$300,39,0)</f>
        <v>0</v>
      </c>
      <c r="AY166" s="102">
        <f>VLOOKUP(L166,服务合同!$L$6:$CC$300,40,0)</f>
        <v>0</v>
      </c>
      <c r="AZ166" s="102">
        <f>VLOOKUP(L166,服务合同!$L$6:$CC$300,41,0)</f>
        <v>0</v>
      </c>
      <c r="BA166" s="102">
        <f>VLOOKUP(L166,服务合同!$L$6:$CC$300,42,0)</f>
        <v>0</v>
      </c>
      <c r="BB166" s="102">
        <f>VLOOKUP(L166,服务合同!$L$6:$CC$300,43,0)</f>
        <v>0</v>
      </c>
      <c r="BC166" s="102">
        <f>VLOOKUP(L166,服务合同!$L$6:$CC$300,44,0)</f>
        <v>0</v>
      </c>
      <c r="BD166" s="102">
        <f>VLOOKUP(L166,服务合同!$L$6:$CC$300,45,0)</f>
        <v>0</v>
      </c>
      <c r="BE166" s="102">
        <f>VLOOKUP(L166,服务合同!$L$6:$CC$300,46,0)</f>
        <v>0</v>
      </c>
      <c r="BF166" s="102">
        <f>VLOOKUP(L166,服务合同!$L$6:$CC$300,47,0)</f>
        <v>0</v>
      </c>
      <c r="BG166" s="102">
        <f>VLOOKUP(L166,服务合同!$L$6:$CC$300,48,0)</f>
        <v>0</v>
      </c>
      <c r="BH166" s="102">
        <f>VLOOKUP(L166,服务合同!$L$6:$CC$300,49,0)</f>
        <v>0</v>
      </c>
      <c r="BI166" s="102">
        <f>VLOOKUP(L166,服务合同!$L$6:$CC$300,50,0)</f>
        <v>0</v>
      </c>
      <c r="BJ166" s="102">
        <f>VLOOKUP(L166,服务合同!$L$6:$CC$300,51,0)</f>
        <v>0</v>
      </c>
      <c r="BK166" s="102">
        <f>VLOOKUP(L166,服务合同!$L$6:$CC$300,52,0)</f>
        <v>0</v>
      </c>
      <c r="BL166" s="102">
        <f>VLOOKUP(L166,服务合同!$L$6:$CC$300,53,0)</f>
        <v>0</v>
      </c>
      <c r="BM166" s="102">
        <f>VLOOKUP(L166,服务合同!$L$6:$CC$300,54,0)</f>
        <v>0</v>
      </c>
      <c r="BN166" s="102">
        <f>VLOOKUP(L166,服务合同!$L$6:$CC$300,55,0)</f>
        <v>0</v>
      </c>
      <c r="BO166" s="102">
        <f>VLOOKUP(L166,服务合同!$L$6:$CC$300,56,0)</f>
        <v>0</v>
      </c>
      <c r="BP166" s="102">
        <f>VLOOKUP(L166,服务合同!$L$6:$CC$300,57,0)</f>
        <v>0</v>
      </c>
      <c r="BQ166" s="102">
        <f>VLOOKUP(L166,服务合同!$L$6:$CC$300,58,0)</f>
        <v>0</v>
      </c>
      <c r="BR166" s="102">
        <f>VLOOKUP(L166,服务合同!$L$6:$CC$300,59,0)</f>
        <v>0</v>
      </c>
      <c r="BS166" s="102">
        <f>VLOOKUP(L166,服务合同!$L$6:$CC$300,60,0)</f>
        <v>0</v>
      </c>
      <c r="BT166" s="102">
        <f>VLOOKUP(L166,服务合同!$L$6:$CC$300,61,0)</f>
        <v>0</v>
      </c>
      <c r="BU166" s="102">
        <f>VLOOKUP(L166,服务合同!$L$6:$CC$300,62,0)</f>
        <v>0</v>
      </c>
      <c r="BV166" s="102">
        <f>VLOOKUP(L166,服务合同!$L$6:$CC$300,63,0)</f>
        <v>0</v>
      </c>
      <c r="BW166" s="102">
        <f>VLOOKUP(L166,服务合同!$L$6:$CC$300,64,0)</f>
        <v>0</v>
      </c>
      <c r="BX166" s="102">
        <f>VLOOKUP(L166,服务合同!$L$6:$CC$300,65,0)</f>
        <v>0</v>
      </c>
      <c r="BY166" s="102">
        <f>VLOOKUP(L166,服务合同!$L$6:$CC$300,66,0)</f>
        <v>0</v>
      </c>
      <c r="BZ166" s="102">
        <f>VLOOKUP(L166,服务合同!$L$6:$CC$300,67,0)</f>
        <v>0</v>
      </c>
      <c r="CA166" s="102">
        <f>VLOOKUP(L166,服务合同!$L$6:$CC$300,68,0)</f>
        <v>0</v>
      </c>
      <c r="CB166" s="102">
        <f>VLOOKUP(L166,服务合同!$L$6:$CC$300,69,0)</f>
        <v>0</v>
      </c>
      <c r="CC166" s="102">
        <f>VLOOKUP(L166,服务合同!$L$6:$CC$300,70,0)</f>
        <v>0</v>
      </c>
      <c r="CD166" s="123">
        <f t="shared" si="44"/>
        <v>0.001</v>
      </c>
      <c r="CE166" s="102">
        <f t="shared" si="45"/>
        <v>0.001</v>
      </c>
      <c r="CF166" s="102">
        <f t="shared" si="46"/>
        <v>0.001</v>
      </c>
      <c r="CG166" s="102">
        <f t="shared" si="47"/>
        <v>0</v>
      </c>
      <c r="CH166" s="124">
        <f t="shared" si="48"/>
        <v>0</v>
      </c>
      <c r="CI166" s="125">
        <f t="shared" si="49"/>
        <v>1</v>
      </c>
      <c r="CJ166" s="126" t="str">
        <f t="shared" si="50"/>
        <v>数据正确</v>
      </c>
    </row>
    <row r="167" s="60" customFormat="1" customHeight="1" spans="2:88">
      <c r="B167" s="70" t="str">
        <f t="shared" si="40"/>
        <v>申请中</v>
      </c>
      <c r="C167" s="71" t="str">
        <f t="shared" si="41"/>
        <v>-</v>
      </c>
      <c r="D167" s="181">
        <f t="shared" si="42"/>
        <v>0</v>
      </c>
      <c r="E167" s="181">
        <f>SUMIF(服务合同!$L$6:$L$300,L167,服务合同!$E$6:$E$300)</f>
        <v>0</v>
      </c>
      <c r="F167" s="181">
        <f>SUMIF(服务合同!$L$6:$L$300,L167,服务合同!$F$6:$F$300)</f>
        <v>0</v>
      </c>
      <c r="G167" s="181">
        <f>SUMIF(服务合同!$L$6:$L$300,L167,服务合同!$G$6:$G$300)</f>
        <v>0</v>
      </c>
      <c r="H167" s="181">
        <f>SUMIF(服务合同!$L$6:$L$300,L167,服务合同!$H$6:$H$300)</f>
        <v>0</v>
      </c>
      <c r="I167" s="181">
        <f t="shared" si="43"/>
        <v>106400</v>
      </c>
      <c r="J167" s="86" t="s">
        <v>98</v>
      </c>
      <c r="K167" s="87"/>
      <c r="L167" s="88">
        <v>162</v>
      </c>
      <c r="M167" s="89" t="str">
        <f>VLOOKUP(L167,服务合同!$L$6:$CC$300,2,0)</f>
        <v>YRKJ-2017GC-JLHT0001</v>
      </c>
      <c r="N167" s="90" t="str">
        <f>VLOOKUP(L167,服务合同!$L$6:$CC$300,3,0)</f>
        <v>服务合同</v>
      </c>
      <c r="O167" s="265">
        <f>VLOOKUP(L167,服务合同!$L$6:$CC$300,4,0)</f>
        <v>0</v>
      </c>
      <c r="P167" s="266">
        <f>VLOOKUP(L167,服务合同!$L$6:$CC$300,5,0)</f>
        <v>42795</v>
      </c>
      <c r="Q167" s="275">
        <f>VLOOKUP(L167,服务合同!$L$6:$CC$300,6,0)</f>
        <v>665000</v>
      </c>
      <c r="R167" s="89" t="str">
        <f>VLOOKUP(L167,服务合同!$L$6:$CC$300,7,0)</f>
        <v>厂前区项目土建工程监理</v>
      </c>
      <c r="S167" s="89" t="str">
        <f>VLOOKUP(L167,服务合同!$L$6:$CC$300,8,0)</f>
        <v>上海协同工程咨询有限公司</v>
      </c>
      <c r="T167" s="107">
        <f>VLOOKUP(L167,服务合同!$L$6:$CC$300,9,0)</f>
        <v>0</v>
      </c>
      <c r="U167" s="103" t="str">
        <f>VLOOKUP(L167,服务合同!$L$6:$CC$300,10,0)</f>
        <v>6个月承兑汇票/电汇下浮3%</v>
      </c>
      <c r="V167" s="276" t="str">
        <f>VLOOKUP(L167,服务合同!$L$6:$CC$300,11,0)</f>
        <v>建筑物基础承台完20%</v>
      </c>
      <c r="W167" s="102">
        <f>VLOOKUP(L167,服务合同!$L$6:$CC$300,12,0)</f>
        <v>106400</v>
      </c>
      <c r="X167" s="102">
        <f>VLOOKUP(L167,服务合同!$L$6:$CC$300,13,0)</f>
        <v>106400</v>
      </c>
      <c r="Y167" s="102">
        <f>VLOOKUP(L167,服务合同!$L$6:$CC$300,14,0)</f>
        <v>0</v>
      </c>
      <c r="Z167" s="102" t="str">
        <f>VLOOKUP(L167,服务合同!$L$6:$CC$300,15,0)</f>
        <v>建筑物主体结构施工完20%</v>
      </c>
      <c r="AA167" s="102">
        <f>VLOOKUP(L167,服务合同!$L$6:$CC$300,16,0)</f>
        <v>106400</v>
      </c>
      <c r="AB167" s="102">
        <f>VLOOKUP(L167,服务合同!$L$6:$CC$300,17,0)</f>
        <v>0</v>
      </c>
      <c r="AC167" s="102">
        <f>VLOOKUP(L167,服务合同!$L$6:$CC$300,18,0)</f>
        <v>0</v>
      </c>
      <c r="AD167" s="102" t="str">
        <f>VLOOKUP(L167,服务合同!$L$6:$CC$300,19,0)</f>
        <v>建筑物装饰工程施工完20%</v>
      </c>
      <c r="AE167" s="102">
        <f>VLOOKUP(L167,服务合同!$L$6:$CC$300,20,0)</f>
        <v>106400</v>
      </c>
      <c r="AF167" s="102">
        <f>VLOOKUP(L167,服务合同!$L$6:$CC$300,21,0)</f>
        <v>0</v>
      </c>
      <c r="AG167" s="102">
        <f>VLOOKUP(L167,服务合同!$L$6:$CC$300,22,0)</f>
        <v>0</v>
      </c>
      <c r="AH167" s="102" t="str">
        <f>VLOOKUP(L167,服务合同!$L$6:$CC$300,23,0)</f>
        <v>公用工程、配套工程及总图工程完20%</v>
      </c>
      <c r="AI167" s="102">
        <f>VLOOKUP(L167,服务合同!$L$6:$CC$300,24,0)</f>
        <v>106400</v>
      </c>
      <c r="AJ167" s="102">
        <f>VLOOKUP(L167,服务合同!$L$6:$CC$300,25,0)</f>
        <v>0</v>
      </c>
      <c r="AK167" s="102">
        <f>VLOOKUP(L167,服务合同!$L$6:$CC$300,26,0)</f>
        <v>0</v>
      </c>
      <c r="AL167" s="102" t="str">
        <f>VLOOKUP(L167,服务合同!$L$6:$CC$300,27,0)</f>
        <v>建筑物中间交接验收完20%</v>
      </c>
      <c r="AM167" s="102">
        <f>VLOOKUP(L167,服务合同!$L$6:$CC$300,28,0)</f>
        <v>53200</v>
      </c>
      <c r="AN167" s="102">
        <f>VLOOKUP(L167,服务合同!$L$6:$CC$300,29,0)</f>
        <v>0</v>
      </c>
      <c r="AO167" s="102">
        <f>VLOOKUP(L167,服务合同!$L$6:$CC$300,30,0)</f>
        <v>0</v>
      </c>
      <c r="AP167" s="102" t="str">
        <f>VLOOKUP(L167,服务合同!$L$6:$CC$300,31,0)</f>
        <v>竣工完成（保函竣工资料完成）</v>
      </c>
      <c r="AQ167" s="102">
        <f>VLOOKUP(L167,服务合同!$L$6:$CC$300,32,0)</f>
        <v>53200</v>
      </c>
      <c r="AR167" s="102">
        <f>VLOOKUP(L167,服务合同!$L$6:$CC$300,33,0)</f>
        <v>0</v>
      </c>
      <c r="AS167" s="102">
        <f>VLOOKUP(L167,服务合同!$L$6:$CC$300,34,0)</f>
        <v>0</v>
      </c>
      <c r="AT167" s="102" t="str">
        <f>VLOOKUP(L167,服务合同!$L$6:$CC$300,35,0)</f>
        <v>工程竣工验收合格并完成交接手续后支付尾款</v>
      </c>
      <c r="AU167" s="102">
        <f>VLOOKUP(L167,服务合同!$L$6:$CC$300,36,0)</f>
        <v>133000</v>
      </c>
      <c r="AV167" s="102">
        <f>VLOOKUP(L167,服务合同!$L$6:$CC$300,37,0)</f>
        <v>0</v>
      </c>
      <c r="AW167" s="102">
        <f>VLOOKUP(L167,服务合同!$L$6:$CC$300,38,0)</f>
        <v>0</v>
      </c>
      <c r="AX167" s="102">
        <f>VLOOKUP(L167,服务合同!$L$6:$CC$300,39,0)</f>
        <v>0</v>
      </c>
      <c r="AY167" s="102">
        <f>VLOOKUP(L167,服务合同!$L$6:$CC$300,40,0)</f>
        <v>0</v>
      </c>
      <c r="AZ167" s="102">
        <f>VLOOKUP(L167,服务合同!$L$6:$CC$300,41,0)</f>
        <v>0</v>
      </c>
      <c r="BA167" s="102">
        <f>VLOOKUP(L167,服务合同!$L$6:$CC$300,42,0)</f>
        <v>0</v>
      </c>
      <c r="BB167" s="102">
        <f>VLOOKUP(L167,服务合同!$L$6:$CC$300,43,0)</f>
        <v>0</v>
      </c>
      <c r="BC167" s="102">
        <f>VLOOKUP(L167,服务合同!$L$6:$CC$300,44,0)</f>
        <v>0</v>
      </c>
      <c r="BD167" s="102">
        <f>VLOOKUP(L167,服务合同!$L$6:$CC$300,45,0)</f>
        <v>0</v>
      </c>
      <c r="BE167" s="102">
        <f>VLOOKUP(L167,服务合同!$L$6:$CC$300,46,0)</f>
        <v>0</v>
      </c>
      <c r="BF167" s="102">
        <f>VLOOKUP(L167,服务合同!$L$6:$CC$300,47,0)</f>
        <v>0</v>
      </c>
      <c r="BG167" s="102">
        <f>VLOOKUP(L167,服务合同!$L$6:$CC$300,48,0)</f>
        <v>0</v>
      </c>
      <c r="BH167" s="102">
        <f>VLOOKUP(L167,服务合同!$L$6:$CC$300,49,0)</f>
        <v>0</v>
      </c>
      <c r="BI167" s="102">
        <f>VLOOKUP(L167,服务合同!$L$6:$CC$300,50,0)</f>
        <v>0</v>
      </c>
      <c r="BJ167" s="102">
        <f>VLOOKUP(L167,服务合同!$L$6:$CC$300,51,0)</f>
        <v>0</v>
      </c>
      <c r="BK167" s="102">
        <f>VLOOKUP(L167,服务合同!$L$6:$CC$300,52,0)</f>
        <v>0</v>
      </c>
      <c r="BL167" s="102">
        <f>VLOOKUP(L167,服务合同!$L$6:$CC$300,53,0)</f>
        <v>0</v>
      </c>
      <c r="BM167" s="102">
        <f>VLOOKUP(L167,服务合同!$L$6:$CC$300,54,0)</f>
        <v>0</v>
      </c>
      <c r="BN167" s="102">
        <f>VLOOKUP(L167,服务合同!$L$6:$CC$300,55,0)</f>
        <v>0</v>
      </c>
      <c r="BO167" s="102">
        <f>VLOOKUP(L167,服务合同!$L$6:$CC$300,56,0)</f>
        <v>0</v>
      </c>
      <c r="BP167" s="102">
        <f>VLOOKUP(L167,服务合同!$L$6:$CC$300,57,0)</f>
        <v>0</v>
      </c>
      <c r="BQ167" s="102">
        <f>VLOOKUP(L167,服务合同!$L$6:$CC$300,58,0)</f>
        <v>0</v>
      </c>
      <c r="BR167" s="102">
        <f>VLOOKUP(L167,服务合同!$L$6:$CC$300,59,0)</f>
        <v>0</v>
      </c>
      <c r="BS167" s="102">
        <f>VLOOKUP(L167,服务合同!$L$6:$CC$300,60,0)</f>
        <v>0</v>
      </c>
      <c r="BT167" s="102">
        <f>VLOOKUP(L167,服务合同!$L$6:$CC$300,61,0)</f>
        <v>0</v>
      </c>
      <c r="BU167" s="102">
        <f>VLOOKUP(L167,服务合同!$L$6:$CC$300,62,0)</f>
        <v>0</v>
      </c>
      <c r="BV167" s="102">
        <f>VLOOKUP(L167,服务合同!$L$6:$CC$300,63,0)</f>
        <v>0</v>
      </c>
      <c r="BW167" s="102">
        <f>VLOOKUP(L167,服务合同!$L$6:$CC$300,64,0)</f>
        <v>0</v>
      </c>
      <c r="BX167" s="102">
        <f>VLOOKUP(L167,服务合同!$L$6:$CC$300,65,0)</f>
        <v>0</v>
      </c>
      <c r="BY167" s="102">
        <f>VLOOKUP(L167,服务合同!$L$6:$CC$300,66,0)</f>
        <v>0</v>
      </c>
      <c r="BZ167" s="102">
        <f>VLOOKUP(L167,服务合同!$L$6:$CC$300,67,0)</f>
        <v>0</v>
      </c>
      <c r="CA167" s="102">
        <f>VLOOKUP(L167,服务合同!$L$6:$CC$300,68,0)</f>
        <v>0</v>
      </c>
      <c r="CB167" s="102">
        <f>VLOOKUP(L167,服务合同!$L$6:$CC$300,69,0)</f>
        <v>0</v>
      </c>
      <c r="CC167" s="102">
        <f>VLOOKUP(L167,服务合同!$L$6:$CC$300,70,0)</f>
        <v>0</v>
      </c>
      <c r="CD167" s="123">
        <f t="shared" si="44"/>
        <v>665000</v>
      </c>
      <c r="CE167" s="102">
        <f t="shared" si="45"/>
        <v>106400</v>
      </c>
      <c r="CF167" s="102">
        <f t="shared" si="46"/>
        <v>0</v>
      </c>
      <c r="CG167" s="102">
        <f t="shared" si="47"/>
        <v>0</v>
      </c>
      <c r="CH167" s="124">
        <f t="shared" si="48"/>
        <v>665000</v>
      </c>
      <c r="CI167" s="125">
        <f t="shared" si="49"/>
        <v>0</v>
      </c>
      <c r="CJ167" s="126" t="str">
        <f t="shared" si="50"/>
        <v>数据正确</v>
      </c>
    </row>
    <row r="168" s="60" customFormat="1" customHeight="1" spans="2:88">
      <c r="B168" s="70" t="str">
        <f t="shared" si="40"/>
        <v>-</v>
      </c>
      <c r="C168" s="71" t="str">
        <f t="shared" si="41"/>
        <v>-</v>
      </c>
      <c r="D168" s="181">
        <f t="shared" si="42"/>
        <v>0</v>
      </c>
      <c r="E168" s="181">
        <f>SUMIF(EPC合同!$L$6:$L$300,L168,EPC合同!$E$6:$E$300)</f>
        <v>0</v>
      </c>
      <c r="F168" s="181">
        <f>SUMIF(EPC合同!$L$6:$L$300,L168,EPC合同!$F$6:$F$300)</f>
        <v>0</v>
      </c>
      <c r="G168" s="181">
        <f>SUMIF(EPC合同!$L$6:$L$300,L168,EPC合同!$G$6:$G$300)</f>
        <v>0</v>
      </c>
      <c r="H168" s="181">
        <f>SUMIF(EPC合同!$L$6:$L$300,L168,EPC合同!$H$6:$H$300)</f>
        <v>0</v>
      </c>
      <c r="I168" s="181">
        <f t="shared" si="43"/>
        <v>0</v>
      </c>
      <c r="J168" s="86" t="s">
        <v>98</v>
      </c>
      <c r="K168" s="87"/>
      <c r="L168" s="88">
        <v>163</v>
      </c>
      <c r="M168" s="89" t="str">
        <f>VLOOKUP(L168,EPC合同!$L$6:$CC$300,2,0)</f>
        <v>YRKJEPC-170005</v>
      </c>
      <c r="N168" s="90" t="str">
        <f>VLOOKUP(L168,EPC合同!$L$6:$CC$300,3,0)</f>
        <v>EPC合同</v>
      </c>
      <c r="O168" s="265">
        <f>VLOOKUP(L168,EPC合同!$L$6:$CC$300,4,0)</f>
        <v>2017010039</v>
      </c>
      <c r="P168" s="266">
        <f>VLOOKUP(L168,EPC合同!$L$6:$CC$300,5,0)</f>
        <v>42849</v>
      </c>
      <c r="Q168" s="275">
        <f>VLOOKUP(L168,EPC合同!$L$6:$CC$300,6,0)</f>
        <v>35900000</v>
      </c>
      <c r="R168" s="89" t="str">
        <f>VLOOKUP(L168,EPC合同!$L$6:$CC$300,7,0)</f>
        <v>甲醇制氢装置EPC   合计</v>
      </c>
      <c r="S168" s="89" t="str">
        <f>VLOOKUP(L168,EPC合同!$L$6:$CC$300,8,0)</f>
        <v>长岭炼化岳阳工程设计有限公司/四川同盛科技有限责任公司/中国化学工程第四建设有限公司</v>
      </c>
      <c r="T168" s="107" t="str">
        <f>VLOOKUP(L168,EPC合同!$L$6:$CC$300,9,0)</f>
        <v>甲醇制氢装置</v>
      </c>
      <c r="U168" s="103" t="str">
        <f>VLOOKUP(L168,EPC合同!$L$6:$CC$300,10,0)</f>
        <v>6个月承兑汇汇票</v>
      </c>
      <c r="V168" s="276" t="str">
        <f>VLOOKUP(L168,EPC合同!$L$6:$CC$300,11,0)</f>
        <v>-</v>
      </c>
      <c r="W168" s="102">
        <f>VLOOKUP(L168,EPC合同!$L$6:$CC$300,12,0)</f>
        <v>2954746.3</v>
      </c>
      <c r="X168" s="102">
        <f>VLOOKUP(L168,EPC合同!$L$6:$CC$300,13,0)</f>
        <v>0</v>
      </c>
      <c r="Y168" s="102">
        <f>VLOOKUP(L168,EPC合同!$L$6:$CC$300,14,0)</f>
        <v>0</v>
      </c>
      <c r="Z168" s="102">
        <f>VLOOKUP(L168,EPC合同!$L$6:$CC$300,15,0)</f>
        <v>0</v>
      </c>
      <c r="AA168" s="102">
        <f>VLOOKUP(L168,EPC合同!$L$6:$CC$300,16,0)</f>
        <v>8864238.9</v>
      </c>
      <c r="AB168" s="102">
        <f>VLOOKUP(L168,EPC合同!$L$6:$CC$300,17,0)</f>
        <v>0</v>
      </c>
      <c r="AC168" s="102">
        <f>VLOOKUP(L168,EPC合同!$L$6:$CC$300,18,0)</f>
        <v>0</v>
      </c>
      <c r="AD168" s="102">
        <f>VLOOKUP(L168,EPC合同!$L$6:$CC$300,19,0)</f>
        <v>0</v>
      </c>
      <c r="AE168" s="102">
        <f>VLOOKUP(L168,EPC合同!$L$6:$CC$300,20,0)</f>
        <v>11165267.95</v>
      </c>
      <c r="AF168" s="102">
        <f>VLOOKUP(L168,EPC合同!$L$6:$CC$300,21,0)</f>
        <v>0</v>
      </c>
      <c r="AG168" s="102">
        <f>VLOOKUP(L168,EPC合同!$L$6:$CC$300,22,0)</f>
        <v>0</v>
      </c>
      <c r="AH168" s="102">
        <f>VLOOKUP(L168,EPC合同!$L$6:$CC$300,23,0)</f>
        <v>0</v>
      </c>
      <c r="AI168" s="102">
        <f>VLOOKUP(L168,EPC合同!$L$6:$CC$300,24,0)</f>
        <v>2145746.85</v>
      </c>
      <c r="AJ168" s="102">
        <f>VLOOKUP(L168,EPC合同!$L$6:$CC$300,25,0)</f>
        <v>0</v>
      </c>
      <c r="AK168" s="102">
        <f>VLOOKUP(L168,EPC合同!$L$6:$CC$300,26,0)</f>
        <v>0</v>
      </c>
      <c r="AL168" s="102">
        <f>VLOOKUP(L168,EPC合同!$L$6:$CC$300,27,0)</f>
        <v>0</v>
      </c>
      <c r="AM168" s="102">
        <f>VLOOKUP(L168,EPC合同!$L$6:$CC$300,28,0)</f>
        <v>3590000</v>
      </c>
      <c r="AN168" s="102">
        <f>VLOOKUP(L168,EPC合同!$L$6:$CC$300,29,0)</f>
        <v>0</v>
      </c>
      <c r="AO168" s="102">
        <f>VLOOKUP(L168,EPC合同!$L$6:$CC$300,30,0)</f>
        <v>0</v>
      </c>
      <c r="AP168" s="102">
        <f>VLOOKUP(L168,EPC合同!$L$6:$CC$300,31,0)</f>
        <v>0</v>
      </c>
      <c r="AQ168" s="102">
        <f>VLOOKUP(L168,EPC合同!$L$6:$CC$300,32,0)</f>
        <v>3590000</v>
      </c>
      <c r="AR168" s="102">
        <f>VLOOKUP(L168,EPC合同!$L$6:$CC$300,33,0)</f>
        <v>0</v>
      </c>
      <c r="AS168" s="102">
        <f>VLOOKUP(L168,EPC合同!$L$6:$CC$300,34,0)</f>
        <v>0</v>
      </c>
      <c r="AT168" s="102">
        <f>VLOOKUP(L168,EPC合同!$L$6:$CC$300,35,0)</f>
        <v>0</v>
      </c>
      <c r="AU168" s="102">
        <f>VLOOKUP(L168,EPC合同!$L$6:$CC$300,36,0)</f>
        <v>1795000</v>
      </c>
      <c r="AV168" s="102">
        <f>VLOOKUP(L168,EPC合同!$L$6:$CC$300,37,0)</f>
        <v>0</v>
      </c>
      <c r="AW168" s="102">
        <f>VLOOKUP(L168,EPC合同!$L$6:$CC$300,38,0)</f>
        <v>0</v>
      </c>
      <c r="AX168" s="102">
        <f>VLOOKUP(L168,EPC合同!$L$6:$CC$300,39,0)</f>
        <v>0</v>
      </c>
      <c r="AY168" s="102">
        <f>VLOOKUP(L168,EPC合同!$L$6:$CC$300,40,0)</f>
        <v>1795000</v>
      </c>
      <c r="AZ168" s="102">
        <f>VLOOKUP(L168,EPC合同!$L$6:$CC$300,41,0)</f>
        <v>0</v>
      </c>
      <c r="BA168" s="102">
        <f>VLOOKUP(L168,EPC合同!$L$6:$CC$300,42,0)</f>
        <v>0</v>
      </c>
      <c r="BB168" s="102">
        <f>VLOOKUP(L168,EPC合同!$L$6:$CC$300,43,0)</f>
        <v>0</v>
      </c>
      <c r="BC168" s="102">
        <f>VLOOKUP(L168,EPC合同!$L$6:$CC$300,44,0)</f>
        <v>0</v>
      </c>
      <c r="BD168" s="102">
        <f>VLOOKUP(L168,EPC合同!$L$6:$CC$300,45,0)</f>
        <v>0</v>
      </c>
      <c r="BE168" s="102">
        <f>VLOOKUP(L168,EPC合同!$L$6:$CC$300,46,0)</f>
        <v>0</v>
      </c>
      <c r="BF168" s="102">
        <f>VLOOKUP(L168,EPC合同!$L$6:$CC$300,47,0)</f>
        <v>0</v>
      </c>
      <c r="BG168" s="102">
        <f>VLOOKUP(L168,EPC合同!$L$6:$CC$300,48,0)</f>
        <v>0</v>
      </c>
      <c r="BH168" s="102">
        <f>VLOOKUP(L168,EPC合同!$L$6:$CC$300,49,0)</f>
        <v>0</v>
      </c>
      <c r="BI168" s="102">
        <f>VLOOKUP(L168,EPC合同!$L$6:$CC$300,50,0)</f>
        <v>0</v>
      </c>
      <c r="BJ168" s="102">
        <f>VLOOKUP(L168,EPC合同!$L$6:$CC$300,51,0)</f>
        <v>0</v>
      </c>
      <c r="BK168" s="102">
        <f>VLOOKUP(L168,EPC合同!$L$6:$CC$300,52,0)</f>
        <v>0</v>
      </c>
      <c r="BL168" s="102">
        <f>VLOOKUP(L168,EPC合同!$L$6:$CC$300,53,0)</f>
        <v>0</v>
      </c>
      <c r="BM168" s="102">
        <f>VLOOKUP(L168,EPC合同!$L$6:$CC$300,54,0)</f>
        <v>0</v>
      </c>
      <c r="BN168" s="102">
        <f>VLOOKUP(L168,EPC合同!$L$6:$CC$300,55,0)</f>
        <v>0</v>
      </c>
      <c r="BO168" s="102">
        <f>VLOOKUP(L168,EPC合同!$L$6:$CC$300,56,0)</f>
        <v>0</v>
      </c>
      <c r="BP168" s="102">
        <f>VLOOKUP(L168,EPC合同!$L$6:$CC$300,57,0)</f>
        <v>0</v>
      </c>
      <c r="BQ168" s="102">
        <f>VLOOKUP(L168,EPC合同!$L$6:$CC$300,58,0)</f>
        <v>0</v>
      </c>
      <c r="BR168" s="102">
        <f>VLOOKUP(L168,EPC合同!$L$6:$CC$300,59,0)</f>
        <v>0</v>
      </c>
      <c r="BS168" s="102">
        <f>VLOOKUP(L168,EPC合同!$L$6:$CC$300,60,0)</f>
        <v>0</v>
      </c>
      <c r="BT168" s="102">
        <f>VLOOKUP(L168,EPC合同!$L$6:$CC$300,61,0)</f>
        <v>0</v>
      </c>
      <c r="BU168" s="102">
        <f>VLOOKUP(L168,EPC合同!$L$6:$CC$300,62,0)</f>
        <v>0</v>
      </c>
      <c r="BV168" s="102">
        <f>VLOOKUP(L168,EPC合同!$L$6:$CC$300,63,0)</f>
        <v>0</v>
      </c>
      <c r="BW168" s="102">
        <f>VLOOKUP(L168,EPC合同!$L$6:$CC$300,64,0)</f>
        <v>0</v>
      </c>
      <c r="BX168" s="102">
        <f>VLOOKUP(L168,EPC合同!$L$6:$CC$300,65,0)</f>
        <v>0</v>
      </c>
      <c r="BY168" s="102">
        <f>VLOOKUP(L168,EPC合同!$L$6:$CC$300,66,0)</f>
        <v>0</v>
      </c>
      <c r="BZ168" s="102">
        <f>VLOOKUP(L168,EPC合同!$L$6:$CC$300,67,0)</f>
        <v>0</v>
      </c>
      <c r="CA168" s="102">
        <f>VLOOKUP(L168,EPC合同!$L$6:$CC$300,68,0)</f>
        <v>0</v>
      </c>
      <c r="CB168" s="102">
        <f>VLOOKUP(L168,EPC合同!$L$6:$CC$300,69,0)</f>
        <v>0</v>
      </c>
      <c r="CC168" s="102">
        <f>VLOOKUP(L168,EPC合同!$L$6:$CC$300,70,0)</f>
        <v>0</v>
      </c>
      <c r="CD168" s="123">
        <f t="shared" si="44"/>
        <v>35900000</v>
      </c>
      <c r="CE168" s="102">
        <f t="shared" si="45"/>
        <v>0</v>
      </c>
      <c r="CF168" s="102">
        <f t="shared" si="46"/>
        <v>0</v>
      </c>
      <c r="CG168" s="102">
        <f t="shared" si="47"/>
        <v>0</v>
      </c>
      <c r="CH168" s="124">
        <f t="shared" si="48"/>
        <v>35900000</v>
      </c>
      <c r="CI168" s="125">
        <f t="shared" si="49"/>
        <v>0</v>
      </c>
      <c r="CJ168" s="126" t="str">
        <f t="shared" si="50"/>
        <v>数据正确</v>
      </c>
    </row>
    <row r="169" s="60" customFormat="1" customHeight="1" spans="2:88">
      <c r="B169" s="70" t="str">
        <f t="shared" si="40"/>
        <v>-</v>
      </c>
      <c r="C169" s="71" t="str">
        <f t="shared" si="41"/>
        <v>-</v>
      </c>
      <c r="D169" s="181">
        <f t="shared" si="42"/>
        <v>1586000</v>
      </c>
      <c r="E169" s="181">
        <f>SUMIF(设备合同!$L$6:$L$302,L169,设备合同!$E$6:$E$302)</f>
        <v>0</v>
      </c>
      <c r="F169" s="181">
        <f>SUMIF(设备合同!$L$6:$L$302,L169,设备合同!$F$6:$F$302)</f>
        <v>0</v>
      </c>
      <c r="G169" s="181">
        <f>SUMIF(设备合同!$L$6:$L$302,L169,设备合同!$G$6:$G$302)</f>
        <v>0</v>
      </c>
      <c r="H169" s="181">
        <f>SUMIF(设备合同!$L$6:$L$302,L169,设备合同!$H$6:$H$302)</f>
        <v>0</v>
      </c>
      <c r="I169" s="181">
        <f t="shared" si="43"/>
        <v>0</v>
      </c>
      <c r="J169" s="86" t="s">
        <v>98</v>
      </c>
      <c r="K169" s="87"/>
      <c r="L169" s="88">
        <v>164</v>
      </c>
      <c r="M169" s="89" t="str">
        <f>VLOOKUP(L169,设备合同!$L$6:$CC$302,2,0)</f>
        <v>YRKJEQ-170061</v>
      </c>
      <c r="N169" s="90" t="str">
        <f>VLOOKUP(L169,设备合同!$L$6:$CC$302,3,0)</f>
        <v>设备合同</v>
      </c>
      <c r="O169" s="265">
        <f>VLOOKUP(L169,设备合同!$L$6:$CC$302,4,0)</f>
        <v>2017060050</v>
      </c>
      <c r="P169" s="266">
        <f>VLOOKUP(L169,设备合同!$L$6:$CC$302,5,0)</f>
        <v>42944</v>
      </c>
      <c r="Q169" s="275">
        <f>VLOOKUP(L169,设备合同!$L$6:$CC$302,6,0)</f>
        <v>7930000</v>
      </c>
      <c r="R169" s="89" t="str">
        <f>VLOOKUP(L169,设备合同!$L$6:$CC$302,7,0)</f>
        <v>4台水合反应器 环己醇第一第二反应器</v>
      </c>
      <c r="S169" s="89" t="str">
        <f>VLOOKUP(L169,设备合同!$L$6:$CC$302,8,0)</f>
        <v>龙杰机械装备（太仓）有限公司</v>
      </c>
      <c r="T169" s="107" t="str">
        <f>VLOOKUP(L169,设备合同!$L$6:$CC$302,9,0)</f>
        <v>环己酮装置</v>
      </c>
      <c r="U169" s="103" t="str">
        <f>VLOOKUP(L169,设备合同!$L$6:$CC$302,10,0)</f>
        <v>6个月承兑汇票/电汇下浮3%</v>
      </c>
      <c r="V169" s="276" t="str">
        <f>VLOOKUP(L169,设备合同!$L$6:$CC$302,11,0)</f>
        <v>甲方收到乙方合同的20%预付款保函以及本合同20%的财务收据后15个工作日，支付20%货款。</v>
      </c>
      <c r="W169" s="102">
        <f>VLOOKUP(L169,设备合同!$L$6:$CC$302,12,0)</f>
        <v>1586000</v>
      </c>
      <c r="X169" s="102">
        <f>VLOOKUP(L169,设备合同!$L$6:$CC$302,13,0)</f>
        <v>1586000</v>
      </c>
      <c r="Y169" s="102">
        <f>VLOOKUP(L169,设备合同!$L$6:$CC$302,14,0)</f>
        <v>1586000</v>
      </c>
      <c r="Z169" s="102" t="str">
        <f>VLOOKUP(L169,设备合同!$L$6:$CC$302,15,0)</f>
        <v>甲方到乙方现场确认无误后，收到17%等额专票，15个工作日内支付40%发货款</v>
      </c>
      <c r="AA169" s="102">
        <f>VLOOKUP(L169,设备合同!$L$6:$CC$302,16,0)</f>
        <v>3172000</v>
      </c>
      <c r="AB169" s="102">
        <f>VLOOKUP(L169,设备合同!$L$6:$CC$302,17,0)</f>
        <v>0</v>
      </c>
      <c r="AC169" s="102">
        <f>VLOOKUP(L169,设备合同!$L$6:$CC$302,18,0)</f>
        <v>0</v>
      </c>
      <c r="AD169" s="102" t="str">
        <f>VLOOKUP(L169,设备合同!$L$6:$CC$302,19,0)</f>
        <v>甲方收到核定的调试合格报告及全额的专票后15个工作日，支付30%调试款</v>
      </c>
      <c r="AE169" s="102">
        <f>VLOOKUP(L169,设备合同!$L$6:$CC$302,20,0)</f>
        <v>2379000</v>
      </c>
      <c r="AF169" s="102">
        <f>VLOOKUP(L169,设备合同!$L$6:$CC$302,21,0)</f>
        <v>0</v>
      </c>
      <c r="AG169" s="102">
        <f>VLOOKUP(L169,设备合同!$L$6:$CC$302,22,0)</f>
        <v>0</v>
      </c>
      <c r="AH169" s="102" t="str">
        <f>VLOOKUP(L169,设备合同!$L$6:$CC$302,23,0)</f>
        <v>本合同的10%为质量保函，验收合格后18个月或货到现场24个月后，甲方退还乙方</v>
      </c>
      <c r="AI169" s="102">
        <f>VLOOKUP(L169,设备合同!$L$6:$CC$302,24,0)</f>
        <v>793000</v>
      </c>
      <c r="AJ169" s="102">
        <f>VLOOKUP(L169,设备合同!$L$6:$CC$302,25,0)</f>
        <v>0</v>
      </c>
      <c r="AK169" s="102">
        <f>VLOOKUP(L169,设备合同!$L$6:$CC$302,26,0)</f>
        <v>0</v>
      </c>
      <c r="AL169" s="102">
        <f>VLOOKUP(L169,设备合同!$L$6:$CC$302,27,0)</f>
        <v>0</v>
      </c>
      <c r="AM169" s="102">
        <f>VLOOKUP(L169,设备合同!$L$6:$CC$302,28,0)</f>
        <v>0</v>
      </c>
      <c r="AN169" s="102">
        <f>VLOOKUP(L169,设备合同!$L$6:$CC$302,29,0)</f>
        <v>0</v>
      </c>
      <c r="AO169" s="102">
        <f>VLOOKUP(L169,设备合同!$L$6:$CC$302,30,0)</f>
        <v>0</v>
      </c>
      <c r="AP169" s="102">
        <f>VLOOKUP(L169,设备合同!$L$6:$CC$302,31,0)</f>
        <v>0</v>
      </c>
      <c r="AQ169" s="102">
        <f>VLOOKUP(L169,设备合同!$L$6:$CC$302,32,0)</f>
        <v>0</v>
      </c>
      <c r="AR169" s="102">
        <f>VLOOKUP(L169,设备合同!$L$6:$CC$302,33,0)</f>
        <v>0</v>
      </c>
      <c r="AS169" s="102">
        <f>VLOOKUP(L169,设备合同!$L$6:$CC$302,34,0)</f>
        <v>0</v>
      </c>
      <c r="AT169" s="102">
        <f>VLOOKUP(L169,设备合同!$L$6:$CC$302,35,0)</f>
        <v>0</v>
      </c>
      <c r="AU169" s="102">
        <f>VLOOKUP(L169,设备合同!$L$6:$CC$302,36,0)</f>
        <v>0</v>
      </c>
      <c r="AV169" s="102">
        <f>VLOOKUP(L169,设备合同!$L$6:$CC$302,37,0)</f>
        <v>0</v>
      </c>
      <c r="AW169" s="102">
        <f>VLOOKUP(L169,设备合同!$L$6:$CC$302,38,0)</f>
        <v>0</v>
      </c>
      <c r="AX169" s="102">
        <f>VLOOKUP(L169,设备合同!$L$6:$CC$302,39,0)</f>
        <v>0</v>
      </c>
      <c r="AY169" s="102">
        <f>VLOOKUP(L169,设备合同!$L$6:$CC$302,40,0)</f>
        <v>0</v>
      </c>
      <c r="AZ169" s="102">
        <f>VLOOKUP(L169,设备合同!$L$6:$CC$302,41,0)</f>
        <v>0</v>
      </c>
      <c r="BA169" s="102">
        <f>VLOOKUP(L169,设备合同!$L$6:$CC$302,42,0)</f>
        <v>0</v>
      </c>
      <c r="BB169" s="102">
        <f>VLOOKUP(L169,设备合同!$L$6:$CC$302,43,0)</f>
        <v>0</v>
      </c>
      <c r="BC169" s="102">
        <f>VLOOKUP(L169,设备合同!$L$6:$CC$302,44,0)</f>
        <v>0</v>
      </c>
      <c r="BD169" s="102">
        <f>VLOOKUP(L169,设备合同!$L$6:$CC$302,45,0)</f>
        <v>0</v>
      </c>
      <c r="BE169" s="102">
        <f>VLOOKUP(L169,设备合同!$L$6:$CC$302,46,0)</f>
        <v>0</v>
      </c>
      <c r="BF169" s="102">
        <f>VLOOKUP(L169,设备合同!$L$6:$CC$302,47,0)</f>
        <v>0</v>
      </c>
      <c r="BG169" s="102">
        <f>VLOOKUP(L169,设备合同!$L$6:$CC$302,48,0)</f>
        <v>0</v>
      </c>
      <c r="BH169" s="102">
        <f>VLOOKUP(L169,设备合同!$L$6:$CC$302,49,0)</f>
        <v>0</v>
      </c>
      <c r="BI169" s="102">
        <f>VLOOKUP(L169,设备合同!$L$6:$CC$302,50,0)</f>
        <v>0</v>
      </c>
      <c r="BJ169" s="102">
        <f>VLOOKUP(L169,设备合同!$L$6:$CC$302,51,0)</f>
        <v>0</v>
      </c>
      <c r="BK169" s="102">
        <f>VLOOKUP(L169,设备合同!$L$6:$CC$302,52,0)</f>
        <v>0</v>
      </c>
      <c r="BL169" s="102">
        <f>VLOOKUP(L169,设备合同!$L$6:$CC$302,53,0)</f>
        <v>0</v>
      </c>
      <c r="BM169" s="102">
        <f>VLOOKUP(L169,设备合同!$L$6:$CC$302,54,0)</f>
        <v>0</v>
      </c>
      <c r="BN169" s="102">
        <f>VLOOKUP(L169,设备合同!$L$6:$CC$302,55,0)</f>
        <v>0</v>
      </c>
      <c r="BO169" s="102">
        <f>VLOOKUP(L169,设备合同!$L$6:$CC$302,56,0)</f>
        <v>0</v>
      </c>
      <c r="BP169" s="102">
        <f>VLOOKUP(L169,设备合同!$L$6:$CC$302,57,0)</f>
        <v>0</v>
      </c>
      <c r="BQ169" s="102">
        <f>VLOOKUP(L169,设备合同!$L$6:$CC$302,58,0)</f>
        <v>0</v>
      </c>
      <c r="BR169" s="102">
        <f>VLOOKUP(L169,设备合同!$L$6:$CC$302,59,0)</f>
        <v>0</v>
      </c>
      <c r="BS169" s="102">
        <f>VLOOKUP(L169,设备合同!$L$6:$CC$302,60,0)</f>
        <v>0</v>
      </c>
      <c r="BT169" s="102">
        <f>VLOOKUP(L169,设备合同!$L$6:$CC$302,61,0)</f>
        <v>0</v>
      </c>
      <c r="BU169" s="102">
        <f>VLOOKUP(L169,设备合同!$L$6:$CC$302,62,0)</f>
        <v>0</v>
      </c>
      <c r="BV169" s="102">
        <f>VLOOKUP(L169,设备合同!$L$6:$CC$302,63,0)</f>
        <v>0</v>
      </c>
      <c r="BW169" s="102">
        <f>VLOOKUP(L169,设备合同!$L$6:$CC$302,64,0)</f>
        <v>0</v>
      </c>
      <c r="BX169" s="102">
        <f>VLOOKUP(L169,设备合同!$L$6:$CC$302,65,0)</f>
        <v>0</v>
      </c>
      <c r="BY169" s="102">
        <f>VLOOKUP(L169,设备合同!$L$6:$CC$302,66,0)</f>
        <v>0</v>
      </c>
      <c r="BZ169" s="102">
        <f>VLOOKUP(L169,设备合同!$L$6:$CC$302,67,0)</f>
        <v>0</v>
      </c>
      <c r="CA169" s="102">
        <f>VLOOKUP(L169,设备合同!$L$6:$CC$302,68,0)</f>
        <v>0</v>
      </c>
      <c r="CB169" s="102">
        <f>VLOOKUP(L169,设备合同!$L$6:$CC$302,69,0)</f>
        <v>0</v>
      </c>
      <c r="CC169" s="102">
        <f>VLOOKUP(L169,设备合同!$L$6:$CC$302,70,0)</f>
        <v>0</v>
      </c>
      <c r="CD169" s="123">
        <f t="shared" si="44"/>
        <v>7930000</v>
      </c>
      <c r="CE169" s="102">
        <f t="shared" si="45"/>
        <v>1586000</v>
      </c>
      <c r="CF169" s="102">
        <f t="shared" si="46"/>
        <v>1586000</v>
      </c>
      <c r="CG169" s="102">
        <f t="shared" si="47"/>
        <v>0</v>
      </c>
      <c r="CH169" s="124">
        <f t="shared" si="48"/>
        <v>6344000</v>
      </c>
      <c r="CI169" s="125">
        <f t="shared" si="49"/>
        <v>0.2</v>
      </c>
      <c r="CJ169" s="126" t="str">
        <f t="shared" si="50"/>
        <v>数据正确</v>
      </c>
    </row>
    <row r="170" s="60" customFormat="1" customHeight="1" spans="2:88">
      <c r="B170" s="70" t="str">
        <f t="shared" si="40"/>
        <v>-</v>
      </c>
      <c r="C170" s="71" t="str">
        <f t="shared" si="41"/>
        <v>-</v>
      </c>
      <c r="D170" s="181">
        <f t="shared" si="42"/>
        <v>2352420</v>
      </c>
      <c r="E170" s="181">
        <f>SUMIF(设备合同!$L$6:$L$302,L170,设备合同!$E$6:$E$302)</f>
        <v>0</v>
      </c>
      <c r="F170" s="181">
        <f>SUMIF(设备合同!$L$6:$L$302,L170,设备合同!$F$6:$F$302)</f>
        <v>0</v>
      </c>
      <c r="G170" s="181">
        <f>SUMIF(设备合同!$L$6:$L$302,L170,设备合同!$G$6:$G$302)</f>
        <v>117580</v>
      </c>
      <c r="H170" s="181">
        <f>SUMIF(设备合同!$L$6:$L$302,L170,设备合同!$H$6:$H$302)</f>
        <v>0</v>
      </c>
      <c r="I170" s="181">
        <f t="shared" si="43"/>
        <v>0</v>
      </c>
      <c r="J170" s="86" t="s">
        <v>98</v>
      </c>
      <c r="K170" s="87"/>
      <c r="L170" s="88">
        <v>165</v>
      </c>
      <c r="M170" s="89" t="str">
        <f>VLOOKUP(L170,设备合同!$L$6:$CC$302,2,0)</f>
        <v>YRKJEQ-170060</v>
      </c>
      <c r="N170" s="90" t="str">
        <f>VLOOKUP(L170,设备合同!$L$6:$CC$302,3,0)</f>
        <v>设备合同</v>
      </c>
      <c r="O170" s="265">
        <f>VLOOKUP(L170,设备合同!$L$6:$CC$302,4,0)</f>
        <v>2017060049</v>
      </c>
      <c r="P170" s="266">
        <f>VLOOKUP(L170,设备合同!$L$6:$CC$302,5,0)</f>
        <v>42944</v>
      </c>
      <c r="Q170" s="275">
        <f>VLOOKUP(L170,设备合同!$L$6:$CC$302,6,0)</f>
        <v>12350000</v>
      </c>
      <c r="R170" s="89" t="str">
        <f>VLOOKUP(L170,设备合同!$L$6:$CC$302,7,0)</f>
        <v>18台非标容器（蒸发塔、再沸塔）</v>
      </c>
      <c r="S170" s="89" t="str">
        <f>VLOOKUP(L170,设备合同!$L$6:$CC$302,8,0)</f>
        <v>龙杰机械装备（太仓）有限公司</v>
      </c>
      <c r="T170" s="107" t="str">
        <f>VLOOKUP(L170,设备合同!$L$6:$CC$302,9,0)</f>
        <v>己内酰胺装置</v>
      </c>
      <c r="U170" s="103" t="str">
        <f>VLOOKUP(L170,设备合同!$L$6:$CC$302,10,0)</f>
        <v>6个月承兑汇票/电汇金额1200万元</v>
      </c>
      <c r="V170" s="276" t="str">
        <f>VLOOKUP(L170,设备合同!$L$6:$CC$302,11,0)</f>
        <v>甲方收到乙方合同的20%预付款保函以及本合同20%的财务收据后15个工作日，支付20%货款。</v>
      </c>
      <c r="W170" s="102">
        <f>VLOOKUP(L170,设备合同!$L$6:$CC$302,12,0)</f>
        <v>2470000</v>
      </c>
      <c r="X170" s="102">
        <f>VLOOKUP(L170,设备合同!$L$6:$CC$302,13,0)</f>
        <v>2470000</v>
      </c>
      <c r="Y170" s="102">
        <f>VLOOKUP(L170,设备合同!$L$6:$CC$302,14,0)</f>
        <v>2352420</v>
      </c>
      <c r="Z170" s="102" t="str">
        <f>VLOOKUP(L170,设备合同!$L$6:$CC$302,15,0)</f>
        <v>甲方到乙方现场确认无误后，收到17%等额专票，15个工作日内支付40%发货款</v>
      </c>
      <c r="AA170" s="102">
        <f>VLOOKUP(L170,设备合同!$L$6:$CC$302,16,0)</f>
        <v>4940000</v>
      </c>
      <c r="AB170" s="102">
        <f>VLOOKUP(L170,设备合同!$L$6:$CC$302,17,0)</f>
        <v>0</v>
      </c>
      <c r="AC170" s="102">
        <f>VLOOKUP(L170,设备合同!$L$6:$CC$302,18,0)</f>
        <v>0</v>
      </c>
      <c r="AD170" s="102" t="str">
        <f>VLOOKUP(L170,设备合同!$L$6:$CC$302,19,0)</f>
        <v>甲方收到核定的调试合格报告及全额的专票后15个工作日，支付30%调试款</v>
      </c>
      <c r="AE170" s="102">
        <f>VLOOKUP(L170,设备合同!$L$6:$CC$302,20,0)</f>
        <v>3705000</v>
      </c>
      <c r="AF170" s="102">
        <f>VLOOKUP(L170,设备合同!$L$6:$CC$302,21,0)</f>
        <v>0</v>
      </c>
      <c r="AG170" s="102">
        <f>VLOOKUP(L170,设备合同!$L$6:$CC$302,22,0)</f>
        <v>0</v>
      </c>
      <c r="AH170" s="102" t="str">
        <f>VLOOKUP(L170,设备合同!$L$6:$CC$302,23,0)</f>
        <v>本合同的10%为质量保函，验收合格后18个月或货到现场24个月后，甲方退还乙方</v>
      </c>
      <c r="AI170" s="102">
        <f>VLOOKUP(L170,设备合同!$L$6:$CC$302,24,0)</f>
        <v>1235000</v>
      </c>
      <c r="AJ170" s="102">
        <f>VLOOKUP(L170,设备合同!$L$6:$CC$302,25,0)</f>
        <v>0</v>
      </c>
      <c r="AK170" s="102">
        <f>VLOOKUP(L170,设备合同!$L$6:$CC$302,26,0)</f>
        <v>0</v>
      </c>
      <c r="AL170" s="102">
        <f>VLOOKUP(L170,设备合同!$L$6:$CC$302,27,0)</f>
        <v>0</v>
      </c>
      <c r="AM170" s="102">
        <f>VLOOKUP(L170,设备合同!$L$6:$CC$302,28,0)</f>
        <v>0</v>
      </c>
      <c r="AN170" s="102">
        <f>VLOOKUP(L170,设备合同!$L$6:$CC$302,29,0)</f>
        <v>0</v>
      </c>
      <c r="AO170" s="102">
        <f>VLOOKUP(L170,设备合同!$L$6:$CC$302,30,0)</f>
        <v>0</v>
      </c>
      <c r="AP170" s="102">
        <f>VLOOKUP(L170,设备合同!$L$6:$CC$302,31,0)</f>
        <v>0</v>
      </c>
      <c r="AQ170" s="102">
        <f>VLOOKUP(L170,设备合同!$L$6:$CC$302,32,0)</f>
        <v>0</v>
      </c>
      <c r="AR170" s="102">
        <f>VLOOKUP(L170,设备合同!$L$6:$CC$302,33,0)</f>
        <v>0</v>
      </c>
      <c r="AS170" s="102">
        <f>VLOOKUP(L170,设备合同!$L$6:$CC$302,34,0)</f>
        <v>0</v>
      </c>
      <c r="AT170" s="102">
        <f>VLOOKUP(L170,设备合同!$L$6:$CC$302,35,0)</f>
        <v>0</v>
      </c>
      <c r="AU170" s="102">
        <f>VLOOKUP(L170,设备合同!$L$6:$CC$302,36,0)</f>
        <v>0</v>
      </c>
      <c r="AV170" s="102">
        <f>VLOOKUP(L170,设备合同!$L$6:$CC$302,37,0)</f>
        <v>0</v>
      </c>
      <c r="AW170" s="102">
        <f>VLOOKUP(L170,设备合同!$L$6:$CC$302,38,0)</f>
        <v>0</v>
      </c>
      <c r="AX170" s="102">
        <f>VLOOKUP(L170,设备合同!$L$6:$CC$302,39,0)</f>
        <v>0</v>
      </c>
      <c r="AY170" s="102">
        <f>VLOOKUP(L170,设备合同!$L$6:$CC$302,40,0)</f>
        <v>0</v>
      </c>
      <c r="AZ170" s="102">
        <f>VLOOKUP(L170,设备合同!$L$6:$CC$302,41,0)</f>
        <v>0</v>
      </c>
      <c r="BA170" s="102">
        <f>VLOOKUP(L170,设备合同!$L$6:$CC$302,42,0)</f>
        <v>0</v>
      </c>
      <c r="BB170" s="102">
        <f>VLOOKUP(L170,设备合同!$L$6:$CC$302,43,0)</f>
        <v>0</v>
      </c>
      <c r="BC170" s="102">
        <f>VLOOKUP(L170,设备合同!$L$6:$CC$302,44,0)</f>
        <v>0</v>
      </c>
      <c r="BD170" s="102">
        <f>VLOOKUP(L170,设备合同!$L$6:$CC$302,45,0)</f>
        <v>0</v>
      </c>
      <c r="BE170" s="102">
        <f>VLOOKUP(L170,设备合同!$L$6:$CC$302,46,0)</f>
        <v>0</v>
      </c>
      <c r="BF170" s="102">
        <f>VLOOKUP(L170,设备合同!$L$6:$CC$302,47,0)</f>
        <v>0</v>
      </c>
      <c r="BG170" s="102">
        <f>VLOOKUP(L170,设备合同!$L$6:$CC$302,48,0)</f>
        <v>0</v>
      </c>
      <c r="BH170" s="102">
        <f>VLOOKUP(L170,设备合同!$L$6:$CC$302,49,0)</f>
        <v>0</v>
      </c>
      <c r="BI170" s="102">
        <f>VLOOKUP(L170,设备合同!$L$6:$CC$302,50,0)</f>
        <v>0</v>
      </c>
      <c r="BJ170" s="102">
        <f>VLOOKUP(L170,设备合同!$L$6:$CC$302,51,0)</f>
        <v>0</v>
      </c>
      <c r="BK170" s="102">
        <f>VLOOKUP(L170,设备合同!$L$6:$CC$302,52,0)</f>
        <v>0</v>
      </c>
      <c r="BL170" s="102">
        <f>VLOOKUP(L170,设备合同!$L$6:$CC$302,53,0)</f>
        <v>0</v>
      </c>
      <c r="BM170" s="102">
        <f>VLOOKUP(L170,设备合同!$L$6:$CC$302,54,0)</f>
        <v>0</v>
      </c>
      <c r="BN170" s="102">
        <f>VLOOKUP(L170,设备合同!$L$6:$CC$302,55,0)</f>
        <v>0</v>
      </c>
      <c r="BO170" s="102">
        <f>VLOOKUP(L170,设备合同!$L$6:$CC$302,56,0)</f>
        <v>0</v>
      </c>
      <c r="BP170" s="102">
        <f>VLOOKUP(L170,设备合同!$L$6:$CC$302,57,0)</f>
        <v>0</v>
      </c>
      <c r="BQ170" s="102">
        <f>VLOOKUP(L170,设备合同!$L$6:$CC$302,58,0)</f>
        <v>0</v>
      </c>
      <c r="BR170" s="102">
        <f>VLOOKUP(L170,设备合同!$L$6:$CC$302,59,0)</f>
        <v>0</v>
      </c>
      <c r="BS170" s="102">
        <f>VLOOKUP(L170,设备合同!$L$6:$CC$302,60,0)</f>
        <v>0</v>
      </c>
      <c r="BT170" s="102">
        <f>VLOOKUP(L170,设备合同!$L$6:$CC$302,61,0)</f>
        <v>0</v>
      </c>
      <c r="BU170" s="102">
        <f>VLOOKUP(L170,设备合同!$L$6:$CC$302,62,0)</f>
        <v>0</v>
      </c>
      <c r="BV170" s="102">
        <f>VLOOKUP(L170,设备合同!$L$6:$CC$302,63,0)</f>
        <v>0</v>
      </c>
      <c r="BW170" s="102">
        <f>VLOOKUP(L170,设备合同!$L$6:$CC$302,64,0)</f>
        <v>0</v>
      </c>
      <c r="BX170" s="102">
        <f>VLOOKUP(L170,设备合同!$L$6:$CC$302,65,0)</f>
        <v>0</v>
      </c>
      <c r="BY170" s="102">
        <f>VLOOKUP(L170,设备合同!$L$6:$CC$302,66,0)</f>
        <v>0</v>
      </c>
      <c r="BZ170" s="102">
        <f>VLOOKUP(L170,设备合同!$L$6:$CC$302,67,0)</f>
        <v>0</v>
      </c>
      <c r="CA170" s="102">
        <f>VLOOKUP(L170,设备合同!$L$6:$CC$302,68,0)</f>
        <v>0</v>
      </c>
      <c r="CB170" s="102">
        <f>VLOOKUP(L170,设备合同!$L$6:$CC$302,69,0)</f>
        <v>0</v>
      </c>
      <c r="CC170" s="102">
        <f>VLOOKUP(L170,设备合同!$L$6:$CC$302,70,0)</f>
        <v>0</v>
      </c>
      <c r="CD170" s="123">
        <f t="shared" si="44"/>
        <v>12350000</v>
      </c>
      <c r="CE170" s="102">
        <f t="shared" si="45"/>
        <v>2470000</v>
      </c>
      <c r="CF170" s="102">
        <f t="shared" si="46"/>
        <v>2352420</v>
      </c>
      <c r="CG170" s="102">
        <f t="shared" si="47"/>
        <v>117580</v>
      </c>
      <c r="CH170" s="124">
        <f t="shared" si="48"/>
        <v>9880000</v>
      </c>
      <c r="CI170" s="125">
        <f t="shared" si="49"/>
        <v>0.2</v>
      </c>
      <c r="CJ170" s="126" t="str">
        <f t="shared" si="50"/>
        <v>数据正确</v>
      </c>
    </row>
    <row r="171" s="60" customFormat="1" customHeight="1" spans="2:88">
      <c r="B171" s="70" t="str">
        <f t="shared" si="40"/>
        <v>-</v>
      </c>
      <c r="C171" s="71" t="str">
        <f t="shared" si="41"/>
        <v>-</v>
      </c>
      <c r="D171" s="181">
        <f t="shared" si="42"/>
        <v>141934.5</v>
      </c>
      <c r="E171" s="181">
        <f>SUMIF(工程合同!$L$6:$L$299,L171,工程合同!$E$6:$E$299)</f>
        <v>0</v>
      </c>
      <c r="F171" s="181">
        <f>SUMIF(工程合同!$L$6:$L$299,L171,工程合同!$F$6:$F$299)</f>
        <v>0</v>
      </c>
      <c r="G171" s="181">
        <f>SUMIF(工程合同!$L$6:$L$299,L171,工程合同!$G$6:$G$299)</f>
        <v>0</v>
      </c>
      <c r="H171" s="181">
        <f>SUMIF(工程合同!$L$6:$L$299,L171,工程合同!$H$6:$H$299)</f>
        <v>0</v>
      </c>
      <c r="I171" s="181">
        <f t="shared" si="43"/>
        <v>0</v>
      </c>
      <c r="J171" s="86" t="s">
        <v>98</v>
      </c>
      <c r="K171" s="87"/>
      <c r="L171" s="88">
        <v>166</v>
      </c>
      <c r="M171" s="89" t="str">
        <f>VLOOKUP(L171,工程合同!$L$6:$CC$299,2,0)</f>
        <v>YRKJGC-160007</v>
      </c>
      <c r="N171" s="90" t="str">
        <f>VLOOKUP(L171,工程合同!$L$6:$CC$299,3,0)</f>
        <v>工程合同</v>
      </c>
      <c r="O171" s="265">
        <f>VLOOKUP(L171,工程合同!$L$6:$CC$299,4,0)</f>
        <v>0</v>
      </c>
      <c r="P171" s="266">
        <f>VLOOKUP(L171,工程合同!$L$6:$CC$299,5,0)</f>
        <v>42679</v>
      </c>
      <c r="Q171" s="275">
        <f>VLOOKUP(L171,工程合同!$L$6:$CC$299,6,0)</f>
        <v>157705</v>
      </c>
      <c r="R171" s="89" t="str">
        <f>VLOOKUP(L171,工程合同!$L$6:$CC$299,7,0)</f>
        <v>三修车间智能化系统工程承揽</v>
      </c>
      <c r="S171" s="89" t="str">
        <f>VLOOKUP(L171,工程合同!$L$6:$CC$299,8,0)</f>
        <v>莆田市广汇电脑有限公司</v>
      </c>
      <c r="T171" s="107">
        <f>VLOOKUP(L171,工程合同!$L$6:$CC$299,9,0)</f>
        <v>0</v>
      </c>
      <c r="U171" s="103" t="str">
        <f>VLOOKUP(L171,工程合同!$L$6:$CC$299,10,0)</f>
        <v>6个月承兑汇票/电汇按中国银行贷款利率下浮</v>
      </c>
      <c r="V171" s="276" t="str">
        <f>VLOOKUP(L171,工程合同!$L$6:$CC$299,11,0)</f>
        <v>甲方验收合格后，收到100%的增值税发票后支付合同80%的价款</v>
      </c>
      <c r="W171" s="102">
        <f>VLOOKUP(L171,工程合同!$L$6:$CC$299,12,0)</f>
        <v>126164</v>
      </c>
      <c r="X171" s="102">
        <f>VLOOKUP(L171,工程合同!$L$6:$CC$299,13,0)</f>
        <v>126164</v>
      </c>
      <c r="Y171" s="102">
        <f>VLOOKUP(L171,工程合同!$L$6:$CC$299,14,0)</f>
        <v>126164</v>
      </c>
      <c r="Z171" s="102" t="str">
        <f>VLOOKUP(L171,工程合同!$L$6:$CC$299,15,0)</f>
        <v>甲方收到竣工图纸，办理交接手续30日内支付10%</v>
      </c>
      <c r="AA171" s="102">
        <f>VLOOKUP(L171,工程合同!$L$6:$CC$299,16,0)</f>
        <v>15770.5</v>
      </c>
      <c r="AB171" s="102">
        <f>VLOOKUP(L171,工程合同!$L$6:$CC$299,17,0)</f>
        <v>15770.5</v>
      </c>
      <c r="AC171" s="102">
        <f>VLOOKUP(L171,工程合同!$L$6:$CC$299,18,0)</f>
        <v>15770.5</v>
      </c>
      <c r="AD171" s="102" t="str">
        <f>VLOOKUP(L171,工程合同!$L$6:$CC$299,19,0)</f>
        <v>质量保证金10%，验收合格1年后退还</v>
      </c>
      <c r="AE171" s="102">
        <f>VLOOKUP(L171,工程合同!$L$6:$CC$299,20,0)</f>
        <v>15770.5</v>
      </c>
      <c r="AF171" s="102">
        <f>VLOOKUP(L171,工程合同!$L$6:$CC$299,21,0)</f>
        <v>0</v>
      </c>
      <c r="AG171" s="102">
        <f>VLOOKUP(L171,工程合同!$L$6:$CC$299,22,0)</f>
        <v>0</v>
      </c>
      <c r="AH171" s="102">
        <f>VLOOKUP(L171,工程合同!$L$6:$CC$299,23,0)</f>
        <v>0</v>
      </c>
      <c r="AI171" s="102">
        <f>VLOOKUP(L171,工程合同!$L$6:$CC$299,24,0)</f>
        <v>0</v>
      </c>
      <c r="AJ171" s="102">
        <f>VLOOKUP(L171,工程合同!$L$6:$CC$299,25,0)</f>
        <v>0</v>
      </c>
      <c r="AK171" s="102">
        <f>VLOOKUP(L171,工程合同!$L$6:$CC$299,26,0)</f>
        <v>0</v>
      </c>
      <c r="AL171" s="102">
        <f>VLOOKUP(L171,工程合同!$L$6:$CC$299,27,0)</f>
        <v>0</v>
      </c>
      <c r="AM171" s="102">
        <f>VLOOKUP(L171,工程合同!$L$6:$CC$299,28,0)</f>
        <v>0</v>
      </c>
      <c r="AN171" s="102">
        <f>VLOOKUP(L171,工程合同!$L$6:$CC$299,29,0)</f>
        <v>0</v>
      </c>
      <c r="AO171" s="102">
        <f>VLOOKUP(L171,工程合同!$L$6:$CC$299,30,0)</f>
        <v>0</v>
      </c>
      <c r="AP171" s="102">
        <f>VLOOKUP(L171,工程合同!$L$6:$CC$299,31,0)</f>
        <v>0</v>
      </c>
      <c r="AQ171" s="102">
        <f>VLOOKUP(L171,工程合同!$L$6:$CC$299,32,0)</f>
        <v>0</v>
      </c>
      <c r="AR171" s="102">
        <f>VLOOKUP(L171,工程合同!$L$6:$CC$299,33,0)</f>
        <v>0</v>
      </c>
      <c r="AS171" s="102">
        <f>VLOOKUP(L171,工程合同!$L$6:$CC$299,34,0)</f>
        <v>0</v>
      </c>
      <c r="AT171" s="102">
        <f>VLOOKUP(L171,工程合同!$L$6:$CC$299,35,0)</f>
        <v>0</v>
      </c>
      <c r="AU171" s="102">
        <f>VLOOKUP(L171,工程合同!$L$6:$CC$299,36,0)</f>
        <v>0</v>
      </c>
      <c r="AV171" s="102">
        <f>VLOOKUP(L171,工程合同!$L$6:$CC$299,37,0)</f>
        <v>0</v>
      </c>
      <c r="AW171" s="102">
        <f>VLOOKUP(L171,工程合同!$L$6:$CC$299,38,0)</f>
        <v>0</v>
      </c>
      <c r="AX171" s="102">
        <f>VLOOKUP(L171,工程合同!$L$6:$CC$299,39,0)</f>
        <v>0</v>
      </c>
      <c r="AY171" s="102">
        <f>VLOOKUP(L171,工程合同!$L$6:$CC$299,40,0)</f>
        <v>0</v>
      </c>
      <c r="AZ171" s="102">
        <f>VLOOKUP(L171,工程合同!$L$6:$CC$299,41,0)</f>
        <v>0</v>
      </c>
      <c r="BA171" s="102">
        <f>VLOOKUP(L171,工程合同!$L$6:$CC$299,42,0)</f>
        <v>0</v>
      </c>
      <c r="BB171" s="102">
        <f>VLOOKUP(L171,工程合同!$L$6:$CC$299,43,0)</f>
        <v>0</v>
      </c>
      <c r="BC171" s="102">
        <f>VLOOKUP(L171,工程合同!$L$6:$CC$299,44,0)</f>
        <v>0</v>
      </c>
      <c r="BD171" s="102">
        <f>VLOOKUP(L171,工程合同!$L$6:$CC$299,45,0)</f>
        <v>0</v>
      </c>
      <c r="BE171" s="102">
        <f>VLOOKUP(L171,工程合同!$L$6:$CC$299,46,0)</f>
        <v>0</v>
      </c>
      <c r="BF171" s="102">
        <f>VLOOKUP(L171,工程合同!$L$6:$CC$299,47,0)</f>
        <v>0</v>
      </c>
      <c r="BG171" s="102">
        <f>VLOOKUP(L171,工程合同!$L$6:$CC$299,48,0)</f>
        <v>0</v>
      </c>
      <c r="BH171" s="102">
        <f>VLOOKUP(L171,工程合同!$L$6:$CC$299,49,0)</f>
        <v>0</v>
      </c>
      <c r="BI171" s="102">
        <f>VLOOKUP(L171,工程合同!$L$6:$CC$299,50,0)</f>
        <v>0</v>
      </c>
      <c r="BJ171" s="102">
        <f>VLOOKUP(L171,工程合同!$L$6:$CC$299,51,0)</f>
        <v>0</v>
      </c>
      <c r="BK171" s="102">
        <f>VLOOKUP(L171,工程合同!$L$6:$CC$299,52,0)</f>
        <v>0</v>
      </c>
      <c r="BL171" s="102">
        <f>VLOOKUP(L171,工程合同!$L$6:$CC$299,53,0)</f>
        <v>0</v>
      </c>
      <c r="BM171" s="102">
        <f>VLOOKUP(L171,工程合同!$L$6:$CC$299,54,0)</f>
        <v>0</v>
      </c>
      <c r="BN171" s="102">
        <f>VLOOKUP(L171,工程合同!$L$6:$CC$299,55,0)</f>
        <v>0</v>
      </c>
      <c r="BO171" s="102">
        <f>VLOOKUP(L171,工程合同!$L$6:$CC$299,56,0)</f>
        <v>0</v>
      </c>
      <c r="BP171" s="102">
        <f>VLOOKUP(L171,工程合同!$L$6:$CC$299,57,0)</f>
        <v>0</v>
      </c>
      <c r="BQ171" s="102">
        <f>VLOOKUP(L171,工程合同!$L$6:$CC$299,58,0)</f>
        <v>0</v>
      </c>
      <c r="BR171" s="102">
        <f>VLOOKUP(L171,工程合同!$L$6:$CC$299,59,0)</f>
        <v>0</v>
      </c>
      <c r="BS171" s="102">
        <f>VLOOKUP(L171,工程合同!$L$6:$CC$299,60,0)</f>
        <v>0</v>
      </c>
      <c r="BT171" s="102">
        <f>VLOOKUP(L171,工程合同!$L$6:$CC$299,61,0)</f>
        <v>0</v>
      </c>
      <c r="BU171" s="102">
        <f>VLOOKUP(L171,工程合同!$L$6:$CC$299,62,0)</f>
        <v>0</v>
      </c>
      <c r="BV171" s="102">
        <f>VLOOKUP(L171,工程合同!$L$6:$CC$299,63,0)</f>
        <v>0</v>
      </c>
      <c r="BW171" s="102">
        <f>VLOOKUP(L171,工程合同!$L$6:$CC$299,64,0)</f>
        <v>0</v>
      </c>
      <c r="BX171" s="102">
        <f>VLOOKUP(L171,工程合同!$L$6:$CC$299,65,0)</f>
        <v>0</v>
      </c>
      <c r="BY171" s="102">
        <f>VLOOKUP(L171,工程合同!$L$6:$CC$299,66,0)</f>
        <v>0</v>
      </c>
      <c r="BZ171" s="102">
        <f>VLOOKUP(L171,工程合同!$L$6:$CC$299,67,0)</f>
        <v>0</v>
      </c>
      <c r="CA171" s="102">
        <f>VLOOKUP(L171,工程合同!$L$6:$CC$299,68,0)</f>
        <v>0</v>
      </c>
      <c r="CB171" s="102">
        <f>VLOOKUP(L171,工程合同!$L$6:$CC$299,69,0)</f>
        <v>0</v>
      </c>
      <c r="CC171" s="102">
        <f>VLOOKUP(L171,工程合同!$L$6:$CC$299,70,0)</f>
        <v>0</v>
      </c>
      <c r="CD171" s="123">
        <f t="shared" si="44"/>
        <v>157705</v>
      </c>
      <c r="CE171" s="102">
        <f t="shared" si="45"/>
        <v>141934.5</v>
      </c>
      <c r="CF171" s="102">
        <f t="shared" si="46"/>
        <v>141934.5</v>
      </c>
      <c r="CG171" s="102">
        <f t="shared" si="47"/>
        <v>0</v>
      </c>
      <c r="CH171" s="124">
        <f t="shared" si="48"/>
        <v>15770.5</v>
      </c>
      <c r="CI171" s="125">
        <f t="shared" si="49"/>
        <v>0.9</v>
      </c>
      <c r="CJ171" s="126" t="str">
        <f t="shared" si="50"/>
        <v>数据正确</v>
      </c>
    </row>
    <row r="172" s="60" customFormat="1" customHeight="1" spans="2:88">
      <c r="B172" s="70" t="str">
        <f t="shared" si="40"/>
        <v>-</v>
      </c>
      <c r="C172" s="71" t="str">
        <f t="shared" si="41"/>
        <v>-</v>
      </c>
      <c r="D172" s="181">
        <f t="shared" si="42"/>
        <v>0</v>
      </c>
      <c r="E172" s="181">
        <f>SUMIF(设备合同!$L$6:$L$302,L172,设备合同!$E$6:$E$302)</f>
        <v>0</v>
      </c>
      <c r="F172" s="181">
        <f>SUMIF(设备合同!$L$6:$L$302,L172,设备合同!$F$6:$F$302)</f>
        <v>0</v>
      </c>
      <c r="G172" s="181">
        <f>SUMIF(设备合同!$L$6:$L$302,L172,设备合同!$G$6:$G$302)</f>
        <v>0</v>
      </c>
      <c r="H172" s="181">
        <f>SUMIF(设备合同!$L$6:$L$302,L172,设备合同!$H$6:$H$302)</f>
        <v>0</v>
      </c>
      <c r="I172" s="181">
        <f t="shared" si="43"/>
        <v>0</v>
      </c>
      <c r="J172" s="86" t="s">
        <v>98</v>
      </c>
      <c r="K172" s="87"/>
      <c r="L172" s="88">
        <v>167</v>
      </c>
      <c r="M172" s="89" t="str">
        <f>VLOOKUP(L172,设备合同!$L$6:$CC$302,2,0)</f>
        <v>YRKJEQ-170020</v>
      </c>
      <c r="N172" s="90" t="str">
        <f>VLOOKUP(L172,设备合同!$L$6:$CC$302,3,0)</f>
        <v>设备合同</v>
      </c>
      <c r="O172" s="265">
        <f>VLOOKUP(L172,设备合同!$L$6:$CC$302,4,0)</f>
        <v>2017040024</v>
      </c>
      <c r="P172" s="266">
        <f>VLOOKUP(L172,设备合同!$L$6:$CC$302,5,0)</f>
        <v>42870</v>
      </c>
      <c r="Q172" s="275">
        <f>VLOOKUP(L172,设备合同!$L$6:$CC$302,6,0)</f>
        <v>110000</v>
      </c>
      <c r="R172" s="89" t="str">
        <f>VLOOKUP(L172,设备合同!$L$6:$CC$302,7,0)</f>
        <v>1台不可拆螺旋板式换热器</v>
      </c>
      <c r="S172" s="89" t="str">
        <f>VLOOKUP(L172,设备合同!$L$6:$CC$302,8,0)</f>
        <v>兰州兰洛炼化高新装备股份有限公司</v>
      </c>
      <c r="T172" s="107">
        <f>VLOOKUP(L172,设备合同!$L$6:$CC$302,9,0)</f>
        <v>0</v>
      </c>
      <c r="U172" s="103" t="str">
        <f>VLOOKUP(L172,设备合同!$L$6:$CC$302,10,0)</f>
        <v>6个月承兑汇票/电汇不下浮</v>
      </c>
      <c r="V172" s="276" t="str">
        <f>VLOOKUP(L172,设备合同!$L$6:$CC$302,11,0)</f>
        <v>甲方收到乙方100%专票，初步到货验收合格后15个工作日，支付70%货款（乙方支付的1万元保证金退回）</v>
      </c>
      <c r="W172" s="102">
        <f>VLOOKUP(L172,设备合同!$L$6:$CC$302,12,0)</f>
        <v>77000</v>
      </c>
      <c r="X172" s="102">
        <f>VLOOKUP(L172,设备合同!$L$6:$CC$302,13,0)</f>
        <v>0</v>
      </c>
      <c r="Y172" s="102">
        <f>VLOOKUP(L172,设备合同!$L$6:$CC$302,14,0)</f>
        <v>0</v>
      </c>
      <c r="Z172" s="102" t="str">
        <f>VLOOKUP(L172,设备合同!$L$6:$CC$302,15,0)</f>
        <v>甲方在开车验收合格后支付20%验收合格款</v>
      </c>
      <c r="AA172" s="102">
        <f>VLOOKUP(L172,设备合同!$L$6:$CC$302,16,0)</f>
        <v>22000</v>
      </c>
      <c r="AB172" s="102">
        <f>VLOOKUP(L172,设备合同!$L$6:$CC$302,17,0)</f>
        <v>0</v>
      </c>
      <c r="AC172" s="102">
        <f>VLOOKUP(L172,设备合同!$L$6:$CC$302,18,0)</f>
        <v>0</v>
      </c>
      <c r="AD172" s="102" t="str">
        <f>VLOOKUP(L172,设备合同!$L$6:$CC$302,19,0)</f>
        <v>质量保证金10%，验收合格12个月或到货现场18个月支付</v>
      </c>
      <c r="AE172" s="102">
        <f>VLOOKUP(L172,设备合同!$L$6:$CC$302,20,0)</f>
        <v>11000</v>
      </c>
      <c r="AF172" s="102">
        <f>VLOOKUP(L172,设备合同!$L$6:$CC$302,21,0)</f>
        <v>0</v>
      </c>
      <c r="AG172" s="102">
        <f>VLOOKUP(L172,设备合同!$L$6:$CC$302,22,0)</f>
        <v>0</v>
      </c>
      <c r="AH172" s="102">
        <f>VLOOKUP(L172,设备合同!$L$6:$CC$302,23,0)</f>
        <v>0</v>
      </c>
      <c r="AI172" s="102">
        <f>VLOOKUP(L172,设备合同!$L$6:$CC$302,24,0)</f>
        <v>0</v>
      </c>
      <c r="AJ172" s="102">
        <f>VLOOKUP(L172,设备合同!$L$6:$CC$302,25,0)</f>
        <v>0</v>
      </c>
      <c r="AK172" s="102">
        <f>VLOOKUP(L172,设备合同!$L$6:$CC$302,26,0)</f>
        <v>0</v>
      </c>
      <c r="AL172" s="102">
        <f>VLOOKUP(L172,设备合同!$L$6:$CC$302,27,0)</f>
        <v>0</v>
      </c>
      <c r="AM172" s="102">
        <f>VLOOKUP(L172,设备合同!$L$6:$CC$302,28,0)</f>
        <v>0</v>
      </c>
      <c r="AN172" s="102">
        <f>VLOOKUP(L172,设备合同!$L$6:$CC$302,29,0)</f>
        <v>0</v>
      </c>
      <c r="AO172" s="102">
        <f>VLOOKUP(L172,设备合同!$L$6:$CC$302,30,0)</f>
        <v>0</v>
      </c>
      <c r="AP172" s="102">
        <f>VLOOKUP(L172,设备合同!$L$6:$CC$302,31,0)</f>
        <v>0</v>
      </c>
      <c r="AQ172" s="102">
        <f>VLOOKUP(L172,设备合同!$L$6:$CC$302,32,0)</f>
        <v>0</v>
      </c>
      <c r="AR172" s="102">
        <f>VLOOKUP(L172,设备合同!$L$6:$CC$302,33,0)</f>
        <v>0</v>
      </c>
      <c r="AS172" s="102">
        <f>VLOOKUP(L172,设备合同!$L$6:$CC$302,34,0)</f>
        <v>0</v>
      </c>
      <c r="AT172" s="102">
        <f>VLOOKUP(L172,设备合同!$L$6:$CC$302,35,0)</f>
        <v>0</v>
      </c>
      <c r="AU172" s="102">
        <f>VLOOKUP(L172,设备合同!$L$6:$CC$302,36,0)</f>
        <v>0</v>
      </c>
      <c r="AV172" s="102">
        <f>VLOOKUP(L172,设备合同!$L$6:$CC$302,37,0)</f>
        <v>0</v>
      </c>
      <c r="AW172" s="102">
        <f>VLOOKUP(L172,设备合同!$L$6:$CC$302,38,0)</f>
        <v>0</v>
      </c>
      <c r="AX172" s="102">
        <f>VLOOKUP(L172,设备合同!$L$6:$CC$302,39,0)</f>
        <v>0</v>
      </c>
      <c r="AY172" s="102">
        <f>VLOOKUP(L172,设备合同!$L$6:$CC$302,40,0)</f>
        <v>0</v>
      </c>
      <c r="AZ172" s="102">
        <f>VLOOKUP(L172,设备合同!$L$6:$CC$302,41,0)</f>
        <v>0</v>
      </c>
      <c r="BA172" s="102">
        <f>VLOOKUP(L172,设备合同!$L$6:$CC$302,42,0)</f>
        <v>0</v>
      </c>
      <c r="BB172" s="102">
        <f>VLOOKUP(L172,设备合同!$L$6:$CC$302,43,0)</f>
        <v>0</v>
      </c>
      <c r="BC172" s="102">
        <f>VLOOKUP(L172,设备合同!$L$6:$CC$302,44,0)</f>
        <v>0</v>
      </c>
      <c r="BD172" s="102">
        <f>VLOOKUP(L172,设备合同!$L$6:$CC$302,45,0)</f>
        <v>0</v>
      </c>
      <c r="BE172" s="102">
        <f>VLOOKUP(L172,设备合同!$L$6:$CC$302,46,0)</f>
        <v>0</v>
      </c>
      <c r="BF172" s="102">
        <f>VLOOKUP(L172,设备合同!$L$6:$CC$302,47,0)</f>
        <v>0</v>
      </c>
      <c r="BG172" s="102">
        <f>VLOOKUP(L172,设备合同!$L$6:$CC$302,48,0)</f>
        <v>0</v>
      </c>
      <c r="BH172" s="102">
        <f>VLOOKUP(L172,设备合同!$L$6:$CC$302,49,0)</f>
        <v>0</v>
      </c>
      <c r="BI172" s="102">
        <f>VLOOKUP(L172,设备合同!$L$6:$CC$302,50,0)</f>
        <v>0</v>
      </c>
      <c r="BJ172" s="102">
        <f>VLOOKUP(L172,设备合同!$L$6:$CC$302,51,0)</f>
        <v>0</v>
      </c>
      <c r="BK172" s="102">
        <f>VLOOKUP(L172,设备合同!$L$6:$CC$302,52,0)</f>
        <v>0</v>
      </c>
      <c r="BL172" s="102">
        <f>VLOOKUP(L172,设备合同!$L$6:$CC$302,53,0)</f>
        <v>0</v>
      </c>
      <c r="BM172" s="102">
        <f>VLOOKUP(L172,设备合同!$L$6:$CC$302,54,0)</f>
        <v>0</v>
      </c>
      <c r="BN172" s="102">
        <f>VLOOKUP(L172,设备合同!$L$6:$CC$302,55,0)</f>
        <v>0</v>
      </c>
      <c r="BO172" s="102">
        <f>VLOOKUP(L172,设备合同!$L$6:$CC$302,56,0)</f>
        <v>0</v>
      </c>
      <c r="BP172" s="102">
        <f>VLOOKUP(L172,设备合同!$L$6:$CC$302,57,0)</f>
        <v>0</v>
      </c>
      <c r="BQ172" s="102">
        <f>VLOOKUP(L172,设备合同!$L$6:$CC$302,58,0)</f>
        <v>0</v>
      </c>
      <c r="BR172" s="102">
        <f>VLOOKUP(L172,设备合同!$L$6:$CC$302,59,0)</f>
        <v>0</v>
      </c>
      <c r="BS172" s="102">
        <f>VLOOKUP(L172,设备合同!$L$6:$CC$302,60,0)</f>
        <v>0</v>
      </c>
      <c r="BT172" s="102">
        <f>VLOOKUP(L172,设备合同!$L$6:$CC$302,61,0)</f>
        <v>0</v>
      </c>
      <c r="BU172" s="102">
        <f>VLOOKUP(L172,设备合同!$L$6:$CC$302,62,0)</f>
        <v>0</v>
      </c>
      <c r="BV172" s="102">
        <f>VLOOKUP(L172,设备合同!$L$6:$CC$302,63,0)</f>
        <v>0</v>
      </c>
      <c r="BW172" s="102">
        <f>VLOOKUP(L172,设备合同!$L$6:$CC$302,64,0)</f>
        <v>0</v>
      </c>
      <c r="BX172" s="102">
        <f>VLOOKUP(L172,设备合同!$L$6:$CC$302,65,0)</f>
        <v>0</v>
      </c>
      <c r="BY172" s="102">
        <f>VLOOKUP(L172,设备合同!$L$6:$CC$302,66,0)</f>
        <v>0</v>
      </c>
      <c r="BZ172" s="102">
        <f>VLOOKUP(L172,设备合同!$L$6:$CC$302,67,0)</f>
        <v>0</v>
      </c>
      <c r="CA172" s="102">
        <f>VLOOKUP(L172,设备合同!$L$6:$CC$302,68,0)</f>
        <v>0</v>
      </c>
      <c r="CB172" s="102">
        <f>VLOOKUP(L172,设备合同!$L$6:$CC$302,69,0)</f>
        <v>0</v>
      </c>
      <c r="CC172" s="102">
        <f>VLOOKUP(L172,设备合同!$L$6:$CC$302,70,0)</f>
        <v>0</v>
      </c>
      <c r="CD172" s="123">
        <f t="shared" si="44"/>
        <v>110000</v>
      </c>
      <c r="CE172" s="102">
        <f t="shared" si="45"/>
        <v>0</v>
      </c>
      <c r="CF172" s="102">
        <f t="shared" si="46"/>
        <v>0</v>
      </c>
      <c r="CG172" s="102">
        <f t="shared" si="47"/>
        <v>0</v>
      </c>
      <c r="CH172" s="124">
        <f t="shared" si="48"/>
        <v>110000</v>
      </c>
      <c r="CI172" s="125">
        <f t="shared" si="49"/>
        <v>0</v>
      </c>
      <c r="CJ172" s="126" t="str">
        <f t="shared" si="50"/>
        <v>数据正确</v>
      </c>
    </row>
    <row r="173" s="60" customFormat="1" customHeight="1" spans="2:88">
      <c r="B173" s="70" t="str">
        <f t="shared" si="40"/>
        <v>-</v>
      </c>
      <c r="C173" s="71" t="str">
        <f t="shared" si="41"/>
        <v>-</v>
      </c>
      <c r="D173" s="181">
        <f t="shared" si="42"/>
        <v>0</v>
      </c>
      <c r="E173" s="181">
        <f>SUMIF(设备合同!$L$6:$L$302,L173,设备合同!$E$6:$E$302)</f>
        <v>0</v>
      </c>
      <c r="F173" s="181">
        <f>SUMIF(设备合同!$L$6:$L$302,L173,设备合同!$F$6:$F$302)</f>
        <v>0</v>
      </c>
      <c r="G173" s="181">
        <f>SUMIF(设备合同!$L$6:$L$302,L173,设备合同!$G$6:$G$302)</f>
        <v>0</v>
      </c>
      <c r="H173" s="181">
        <f>SUMIF(设备合同!$L$6:$L$302,L173,设备合同!$H$6:$H$302)</f>
        <v>0</v>
      </c>
      <c r="I173" s="181">
        <f t="shared" si="43"/>
        <v>0</v>
      </c>
      <c r="J173" s="86" t="s">
        <v>98</v>
      </c>
      <c r="K173" s="87"/>
      <c r="L173" s="88">
        <v>168</v>
      </c>
      <c r="M173" s="89" t="str">
        <f>VLOOKUP(L173,设备合同!$L$6:$CC$302,2,0)</f>
        <v>YRKJEQ-170039</v>
      </c>
      <c r="N173" s="90" t="str">
        <f>VLOOKUP(L173,设备合同!$L$6:$CC$302,3,0)</f>
        <v>设备合同</v>
      </c>
      <c r="O173" s="265">
        <f>VLOOKUP(L173,设备合同!$L$6:$CC$302,4,0)</f>
        <v>2017050048</v>
      </c>
      <c r="P173" s="266">
        <f>VLOOKUP(L173,设备合同!$L$6:$CC$302,5,0)</f>
        <v>42913</v>
      </c>
      <c r="Q173" s="275">
        <f>VLOOKUP(L173,设备合同!$L$6:$CC$302,6,0)</f>
        <v>3650000</v>
      </c>
      <c r="R173" s="89" t="str">
        <f>VLOOKUP(L173,设备合同!$L$6:$CC$302,7,0)</f>
        <v>93台离心泵</v>
      </c>
      <c r="S173" s="89" t="str">
        <f>VLOOKUP(L173,设备合同!$L$6:$CC$302,8,0)</f>
        <v>昆明嘉和科技股份有限公司</v>
      </c>
      <c r="T173" s="107">
        <f>VLOOKUP(L173,设备合同!$L$6:$CC$302,9,0)</f>
        <v>0</v>
      </c>
      <c r="U173" s="103" t="str">
        <f>VLOOKUP(L173,设备合同!$L$6:$CC$302,10,0)</f>
        <v>6个月承兑汇票/电汇按358万元算</v>
      </c>
      <c r="V173" s="276" t="str">
        <f>VLOOKUP(L173,设备合同!$L$6:$CC$302,11,0)</f>
        <v>甲方接到货物后，收到乙方提供的20%预付款保函，并收到等额的专票后支付20%货款。乙方提供10%履约保函</v>
      </c>
      <c r="W173" s="102">
        <f>VLOOKUP(L173,设备合同!$L$6:$CC$302,12,0)</f>
        <v>730000</v>
      </c>
      <c r="X173" s="102">
        <f>VLOOKUP(L173,设备合同!$L$6:$CC$302,13,0)</f>
        <v>0</v>
      </c>
      <c r="Y173" s="102">
        <f>VLOOKUP(L173,设备合同!$L$6:$CC$302,14,0)</f>
        <v>0</v>
      </c>
      <c r="Z173" s="102" t="str">
        <f>VLOOKUP(L173,设备合同!$L$6:$CC$302,15,0)</f>
        <v>甲方到乙方现场确认无误后，收到17%等额专票，15个工作日内支付40%发货款</v>
      </c>
      <c r="AA173" s="102">
        <f>VLOOKUP(L173,设备合同!$L$6:$CC$302,16,0)</f>
        <v>1460000</v>
      </c>
      <c r="AB173" s="102">
        <f>VLOOKUP(L173,设备合同!$L$6:$CC$302,17,0)</f>
        <v>0</v>
      </c>
      <c r="AC173" s="102">
        <f>VLOOKUP(L173,设备合同!$L$6:$CC$302,18,0)</f>
        <v>0</v>
      </c>
      <c r="AD173" s="102" t="str">
        <f>VLOOKUP(L173,设备合同!$L$6:$CC$302,19,0)</f>
        <v>甲方收到核定的调试合格报告及全额的专票后15个工作日，支付30%调试款</v>
      </c>
      <c r="AE173" s="102">
        <f>VLOOKUP(L173,设备合同!$L$6:$CC$302,20,0)</f>
        <v>1095000</v>
      </c>
      <c r="AF173" s="102">
        <f>VLOOKUP(L173,设备合同!$L$6:$CC$302,21,0)</f>
        <v>0</v>
      </c>
      <c r="AG173" s="102">
        <f>VLOOKUP(L173,设备合同!$L$6:$CC$302,22,0)</f>
        <v>0</v>
      </c>
      <c r="AH173" s="102" t="str">
        <f>VLOOKUP(L173,设备合同!$L$6:$CC$302,23,0)</f>
        <v>本合同的10%为质量保函，验收合格后18个月或货到现场24个月后，甲方退还乙方</v>
      </c>
      <c r="AI173" s="102">
        <f>VLOOKUP(L173,设备合同!$L$6:$CC$302,24,0)</f>
        <v>365000</v>
      </c>
      <c r="AJ173" s="102">
        <f>VLOOKUP(L173,设备合同!$L$6:$CC$302,25,0)</f>
        <v>0</v>
      </c>
      <c r="AK173" s="102">
        <f>VLOOKUP(L173,设备合同!$L$6:$CC$302,26,0)</f>
        <v>0</v>
      </c>
      <c r="AL173" s="102">
        <f>VLOOKUP(L173,设备合同!$L$6:$CC$302,27,0)</f>
        <v>0</v>
      </c>
      <c r="AM173" s="102">
        <f>VLOOKUP(L173,设备合同!$L$6:$CC$302,28,0)</f>
        <v>0</v>
      </c>
      <c r="AN173" s="102">
        <f>VLOOKUP(L173,设备合同!$L$6:$CC$302,29,0)</f>
        <v>0</v>
      </c>
      <c r="AO173" s="102">
        <f>VLOOKUP(L173,设备合同!$L$6:$CC$302,30,0)</f>
        <v>0</v>
      </c>
      <c r="AP173" s="102">
        <f>VLOOKUP(L173,设备合同!$L$6:$CC$302,31,0)</f>
        <v>0</v>
      </c>
      <c r="AQ173" s="102">
        <f>VLOOKUP(L173,设备合同!$L$6:$CC$302,32,0)</f>
        <v>0</v>
      </c>
      <c r="AR173" s="102">
        <f>VLOOKUP(L173,设备合同!$L$6:$CC$302,33,0)</f>
        <v>0</v>
      </c>
      <c r="AS173" s="102">
        <f>VLOOKUP(L173,设备合同!$L$6:$CC$302,34,0)</f>
        <v>0</v>
      </c>
      <c r="AT173" s="102">
        <f>VLOOKUP(L173,设备合同!$L$6:$CC$302,35,0)</f>
        <v>0</v>
      </c>
      <c r="AU173" s="102">
        <f>VLOOKUP(L173,设备合同!$L$6:$CC$302,36,0)</f>
        <v>0</v>
      </c>
      <c r="AV173" s="102">
        <f>VLOOKUP(L173,设备合同!$L$6:$CC$302,37,0)</f>
        <v>0</v>
      </c>
      <c r="AW173" s="102">
        <f>VLOOKUP(L173,设备合同!$L$6:$CC$302,38,0)</f>
        <v>0</v>
      </c>
      <c r="AX173" s="102">
        <f>VLOOKUP(L173,设备合同!$L$6:$CC$302,39,0)</f>
        <v>0</v>
      </c>
      <c r="AY173" s="102">
        <f>VLOOKUP(L173,设备合同!$L$6:$CC$302,40,0)</f>
        <v>0</v>
      </c>
      <c r="AZ173" s="102">
        <f>VLOOKUP(L173,设备合同!$L$6:$CC$302,41,0)</f>
        <v>0</v>
      </c>
      <c r="BA173" s="102">
        <f>VLOOKUP(L173,设备合同!$L$6:$CC$302,42,0)</f>
        <v>0</v>
      </c>
      <c r="BB173" s="102">
        <f>VLOOKUP(L173,设备合同!$L$6:$CC$302,43,0)</f>
        <v>0</v>
      </c>
      <c r="BC173" s="102">
        <f>VLOOKUP(L173,设备合同!$L$6:$CC$302,44,0)</f>
        <v>0</v>
      </c>
      <c r="BD173" s="102">
        <f>VLOOKUP(L173,设备合同!$L$6:$CC$302,45,0)</f>
        <v>0</v>
      </c>
      <c r="BE173" s="102">
        <f>VLOOKUP(L173,设备合同!$L$6:$CC$302,46,0)</f>
        <v>0</v>
      </c>
      <c r="BF173" s="102">
        <f>VLOOKUP(L173,设备合同!$L$6:$CC$302,47,0)</f>
        <v>0</v>
      </c>
      <c r="BG173" s="102">
        <f>VLOOKUP(L173,设备合同!$L$6:$CC$302,48,0)</f>
        <v>0</v>
      </c>
      <c r="BH173" s="102">
        <f>VLOOKUP(L173,设备合同!$L$6:$CC$302,49,0)</f>
        <v>0</v>
      </c>
      <c r="BI173" s="102">
        <f>VLOOKUP(L173,设备合同!$L$6:$CC$302,50,0)</f>
        <v>0</v>
      </c>
      <c r="BJ173" s="102">
        <f>VLOOKUP(L173,设备合同!$L$6:$CC$302,51,0)</f>
        <v>0</v>
      </c>
      <c r="BK173" s="102">
        <f>VLOOKUP(L173,设备合同!$L$6:$CC$302,52,0)</f>
        <v>0</v>
      </c>
      <c r="BL173" s="102">
        <f>VLOOKUP(L173,设备合同!$L$6:$CC$302,53,0)</f>
        <v>0</v>
      </c>
      <c r="BM173" s="102">
        <f>VLOOKUP(L173,设备合同!$L$6:$CC$302,54,0)</f>
        <v>0</v>
      </c>
      <c r="BN173" s="102">
        <f>VLOOKUP(L173,设备合同!$L$6:$CC$302,55,0)</f>
        <v>0</v>
      </c>
      <c r="BO173" s="102">
        <f>VLOOKUP(L173,设备合同!$L$6:$CC$302,56,0)</f>
        <v>0</v>
      </c>
      <c r="BP173" s="102">
        <f>VLOOKUP(L173,设备合同!$L$6:$CC$302,57,0)</f>
        <v>0</v>
      </c>
      <c r="BQ173" s="102">
        <f>VLOOKUP(L173,设备合同!$L$6:$CC$302,58,0)</f>
        <v>0</v>
      </c>
      <c r="BR173" s="102">
        <f>VLOOKUP(L173,设备合同!$L$6:$CC$302,59,0)</f>
        <v>0</v>
      </c>
      <c r="BS173" s="102">
        <f>VLOOKUP(L173,设备合同!$L$6:$CC$302,60,0)</f>
        <v>0</v>
      </c>
      <c r="BT173" s="102">
        <f>VLOOKUP(L173,设备合同!$L$6:$CC$302,61,0)</f>
        <v>0</v>
      </c>
      <c r="BU173" s="102">
        <f>VLOOKUP(L173,设备合同!$L$6:$CC$302,62,0)</f>
        <v>0</v>
      </c>
      <c r="BV173" s="102">
        <f>VLOOKUP(L173,设备合同!$L$6:$CC$302,63,0)</f>
        <v>0</v>
      </c>
      <c r="BW173" s="102">
        <f>VLOOKUP(L173,设备合同!$L$6:$CC$302,64,0)</f>
        <v>0</v>
      </c>
      <c r="BX173" s="102">
        <f>VLOOKUP(L173,设备合同!$L$6:$CC$302,65,0)</f>
        <v>0</v>
      </c>
      <c r="BY173" s="102">
        <f>VLOOKUP(L173,设备合同!$L$6:$CC$302,66,0)</f>
        <v>0</v>
      </c>
      <c r="BZ173" s="102">
        <f>VLOOKUP(L173,设备合同!$L$6:$CC$302,67,0)</f>
        <v>0</v>
      </c>
      <c r="CA173" s="102">
        <f>VLOOKUP(L173,设备合同!$L$6:$CC$302,68,0)</f>
        <v>0</v>
      </c>
      <c r="CB173" s="102">
        <f>VLOOKUP(L173,设备合同!$L$6:$CC$302,69,0)</f>
        <v>0</v>
      </c>
      <c r="CC173" s="102">
        <f>VLOOKUP(L173,设备合同!$L$6:$CC$302,70,0)</f>
        <v>0</v>
      </c>
      <c r="CD173" s="123">
        <f t="shared" si="44"/>
        <v>3650000</v>
      </c>
      <c r="CE173" s="102">
        <f t="shared" si="45"/>
        <v>0</v>
      </c>
      <c r="CF173" s="102">
        <f t="shared" si="46"/>
        <v>0</v>
      </c>
      <c r="CG173" s="102">
        <f t="shared" si="47"/>
        <v>0</v>
      </c>
      <c r="CH173" s="124">
        <f t="shared" si="48"/>
        <v>3650000</v>
      </c>
      <c r="CI173" s="125">
        <f t="shared" si="49"/>
        <v>0</v>
      </c>
      <c r="CJ173" s="126" t="str">
        <f t="shared" si="50"/>
        <v>数据正确</v>
      </c>
    </row>
    <row r="174" s="60" customFormat="1" customHeight="1" spans="2:88">
      <c r="B174" s="70" t="str">
        <f t="shared" si="40"/>
        <v>-</v>
      </c>
      <c r="C174" s="71" t="str">
        <f t="shared" si="41"/>
        <v>-</v>
      </c>
      <c r="D174" s="181">
        <f t="shared" si="42"/>
        <v>0</v>
      </c>
      <c r="E174" s="181">
        <f>SUMIF(设备合同!$L$6:$L$302,L174,设备合同!$E$6:$E$302)</f>
        <v>0</v>
      </c>
      <c r="F174" s="181">
        <f>SUMIF(设备合同!$L$6:$L$302,L174,设备合同!$F$6:$F$302)</f>
        <v>0</v>
      </c>
      <c r="G174" s="181">
        <f>SUMIF(设备合同!$L$6:$L$302,L174,设备合同!$G$6:$G$302)</f>
        <v>0</v>
      </c>
      <c r="H174" s="181">
        <f>SUMIF(设备合同!$L$6:$L$302,L174,设备合同!$H$6:$H$302)</f>
        <v>0</v>
      </c>
      <c r="I174" s="181">
        <f t="shared" si="43"/>
        <v>0</v>
      </c>
      <c r="J174" s="86" t="s">
        <v>98</v>
      </c>
      <c r="K174" s="87"/>
      <c r="L174" s="88">
        <v>169</v>
      </c>
      <c r="M174" s="89" t="str">
        <f>VLOOKUP(L174,设备合同!$L$6:$CC$302,2,0)</f>
        <v>YRKJEQ-170044</v>
      </c>
      <c r="N174" s="90" t="str">
        <f>VLOOKUP(L174,设备合同!$L$6:$CC$302,3,0)</f>
        <v>设备合同</v>
      </c>
      <c r="O174" s="265">
        <f>VLOOKUP(L174,设备合同!$L$6:$CC$302,4,0)</f>
        <v>2017060025</v>
      </c>
      <c r="P174" s="266">
        <f>VLOOKUP(L174,设备合同!$L$6:$CC$302,5,0)</f>
        <v>42920</v>
      </c>
      <c r="Q174" s="275">
        <f>VLOOKUP(L174,设备合同!$L$6:$CC$302,6,0)</f>
        <v>266000</v>
      </c>
      <c r="R174" s="89" t="str">
        <f>VLOOKUP(L174,设备合同!$L$6:$CC$302,7,0)</f>
        <v>起重设备（葫芦7台）</v>
      </c>
      <c r="S174" s="89" t="str">
        <f>VLOOKUP(L174,设备合同!$L$6:$CC$302,8,0)</f>
        <v>河南豫中起重集团有限公司</v>
      </c>
      <c r="T174" s="107">
        <f>VLOOKUP(L174,设备合同!$L$6:$CC$302,9,0)</f>
        <v>0</v>
      </c>
      <c r="U174" s="103" t="str">
        <f>VLOOKUP(L174,设备合同!$L$6:$CC$302,10,0)</f>
        <v>6个月承兑汇票/接受反向贴息</v>
      </c>
      <c r="V174" s="276" t="str">
        <f>VLOOKUP(L174,设备合同!$L$6:$CC$302,11,0)</f>
        <v>甲方收到乙方100%专票，初步到货验收合格后15个工作日，支付70%货款</v>
      </c>
      <c r="W174" s="102">
        <f>VLOOKUP(L174,设备合同!$L$6:$CC$302,12,0)</f>
        <v>205400</v>
      </c>
      <c r="X174" s="102">
        <f>VLOOKUP(L174,设备合同!$L$6:$CC$302,13,0)</f>
        <v>0</v>
      </c>
      <c r="Y174" s="102">
        <f>VLOOKUP(L174,设备合同!$L$6:$CC$302,14,0)</f>
        <v>0</v>
      </c>
      <c r="Z174" s="102" t="str">
        <f>VLOOKUP(L174,设备合同!$L$6:$CC$302,15,0)</f>
        <v>甲方在开车验收合格后支付20%验收合格款</v>
      </c>
      <c r="AA174" s="102">
        <f>VLOOKUP(L174,设备合同!$L$6:$CC$302,16,0)</f>
        <v>43600</v>
      </c>
      <c r="AB174" s="102">
        <f>VLOOKUP(L174,设备合同!$L$6:$CC$302,17,0)</f>
        <v>0</v>
      </c>
      <c r="AC174" s="102">
        <f>VLOOKUP(L174,设备合同!$L$6:$CC$302,18,0)</f>
        <v>0</v>
      </c>
      <c r="AD174" s="102" t="str">
        <f>VLOOKUP(L174,设备合同!$L$6:$CC$302,19,0)</f>
        <v>质量保证金10%，验收合格12个月或到货现场18个月支付</v>
      </c>
      <c r="AE174" s="102">
        <f>VLOOKUP(L174,设备合同!$L$6:$CC$302,20,0)</f>
        <v>17000</v>
      </c>
      <c r="AF174" s="102">
        <f>VLOOKUP(L174,设备合同!$L$6:$CC$302,21,0)</f>
        <v>0</v>
      </c>
      <c r="AG174" s="102">
        <f>VLOOKUP(L174,设备合同!$L$6:$CC$302,22,0)</f>
        <v>0</v>
      </c>
      <c r="AH174" s="102">
        <f>VLOOKUP(L174,设备合同!$L$6:$CC$302,23,0)</f>
        <v>0</v>
      </c>
      <c r="AI174" s="102">
        <f>VLOOKUP(L174,设备合同!$L$6:$CC$302,24,0)</f>
        <v>0</v>
      </c>
      <c r="AJ174" s="102">
        <f>VLOOKUP(L174,设备合同!$L$6:$CC$302,25,0)</f>
        <v>0</v>
      </c>
      <c r="AK174" s="102">
        <f>VLOOKUP(L174,设备合同!$L$6:$CC$302,26,0)</f>
        <v>0</v>
      </c>
      <c r="AL174" s="102">
        <f>VLOOKUP(L174,设备合同!$L$6:$CC$302,27,0)</f>
        <v>0</v>
      </c>
      <c r="AM174" s="102">
        <f>VLOOKUP(L174,设备合同!$L$6:$CC$302,28,0)</f>
        <v>0</v>
      </c>
      <c r="AN174" s="102">
        <f>VLOOKUP(L174,设备合同!$L$6:$CC$302,29,0)</f>
        <v>0</v>
      </c>
      <c r="AO174" s="102">
        <f>VLOOKUP(L174,设备合同!$L$6:$CC$302,30,0)</f>
        <v>0</v>
      </c>
      <c r="AP174" s="102">
        <f>VLOOKUP(L174,设备合同!$L$6:$CC$302,31,0)</f>
        <v>0</v>
      </c>
      <c r="AQ174" s="102">
        <f>VLOOKUP(L174,设备合同!$L$6:$CC$302,32,0)</f>
        <v>0</v>
      </c>
      <c r="AR174" s="102">
        <f>VLOOKUP(L174,设备合同!$L$6:$CC$302,33,0)</f>
        <v>0</v>
      </c>
      <c r="AS174" s="102">
        <f>VLOOKUP(L174,设备合同!$L$6:$CC$302,34,0)</f>
        <v>0</v>
      </c>
      <c r="AT174" s="102">
        <f>VLOOKUP(L174,设备合同!$L$6:$CC$302,35,0)</f>
        <v>0</v>
      </c>
      <c r="AU174" s="102">
        <f>VLOOKUP(L174,设备合同!$L$6:$CC$302,36,0)</f>
        <v>0</v>
      </c>
      <c r="AV174" s="102">
        <f>VLOOKUP(L174,设备合同!$L$6:$CC$302,37,0)</f>
        <v>0</v>
      </c>
      <c r="AW174" s="102">
        <f>VLOOKUP(L174,设备合同!$L$6:$CC$302,38,0)</f>
        <v>0</v>
      </c>
      <c r="AX174" s="102">
        <f>VLOOKUP(L174,设备合同!$L$6:$CC$302,39,0)</f>
        <v>0</v>
      </c>
      <c r="AY174" s="102">
        <f>VLOOKUP(L174,设备合同!$L$6:$CC$302,40,0)</f>
        <v>0</v>
      </c>
      <c r="AZ174" s="102">
        <f>VLOOKUP(L174,设备合同!$L$6:$CC$302,41,0)</f>
        <v>0</v>
      </c>
      <c r="BA174" s="102">
        <f>VLOOKUP(L174,设备合同!$L$6:$CC$302,42,0)</f>
        <v>0</v>
      </c>
      <c r="BB174" s="102">
        <f>VLOOKUP(L174,设备合同!$L$6:$CC$302,43,0)</f>
        <v>0</v>
      </c>
      <c r="BC174" s="102">
        <f>VLOOKUP(L174,设备合同!$L$6:$CC$302,44,0)</f>
        <v>0</v>
      </c>
      <c r="BD174" s="102">
        <f>VLOOKUP(L174,设备合同!$L$6:$CC$302,45,0)</f>
        <v>0</v>
      </c>
      <c r="BE174" s="102">
        <f>VLOOKUP(L174,设备合同!$L$6:$CC$302,46,0)</f>
        <v>0</v>
      </c>
      <c r="BF174" s="102">
        <f>VLOOKUP(L174,设备合同!$L$6:$CC$302,47,0)</f>
        <v>0</v>
      </c>
      <c r="BG174" s="102">
        <f>VLOOKUP(L174,设备合同!$L$6:$CC$302,48,0)</f>
        <v>0</v>
      </c>
      <c r="BH174" s="102">
        <f>VLOOKUP(L174,设备合同!$L$6:$CC$302,49,0)</f>
        <v>0</v>
      </c>
      <c r="BI174" s="102">
        <f>VLOOKUP(L174,设备合同!$L$6:$CC$302,50,0)</f>
        <v>0</v>
      </c>
      <c r="BJ174" s="102">
        <f>VLOOKUP(L174,设备合同!$L$6:$CC$302,51,0)</f>
        <v>0</v>
      </c>
      <c r="BK174" s="102">
        <f>VLOOKUP(L174,设备合同!$L$6:$CC$302,52,0)</f>
        <v>0</v>
      </c>
      <c r="BL174" s="102">
        <f>VLOOKUP(L174,设备合同!$L$6:$CC$302,53,0)</f>
        <v>0</v>
      </c>
      <c r="BM174" s="102">
        <f>VLOOKUP(L174,设备合同!$L$6:$CC$302,54,0)</f>
        <v>0</v>
      </c>
      <c r="BN174" s="102">
        <f>VLOOKUP(L174,设备合同!$L$6:$CC$302,55,0)</f>
        <v>0</v>
      </c>
      <c r="BO174" s="102">
        <f>VLOOKUP(L174,设备合同!$L$6:$CC$302,56,0)</f>
        <v>0</v>
      </c>
      <c r="BP174" s="102">
        <f>VLOOKUP(L174,设备合同!$L$6:$CC$302,57,0)</f>
        <v>0</v>
      </c>
      <c r="BQ174" s="102">
        <f>VLOOKUP(L174,设备合同!$L$6:$CC$302,58,0)</f>
        <v>0</v>
      </c>
      <c r="BR174" s="102">
        <f>VLOOKUP(L174,设备合同!$L$6:$CC$302,59,0)</f>
        <v>0</v>
      </c>
      <c r="BS174" s="102">
        <f>VLOOKUP(L174,设备合同!$L$6:$CC$302,60,0)</f>
        <v>0</v>
      </c>
      <c r="BT174" s="102">
        <f>VLOOKUP(L174,设备合同!$L$6:$CC$302,61,0)</f>
        <v>0</v>
      </c>
      <c r="BU174" s="102">
        <f>VLOOKUP(L174,设备合同!$L$6:$CC$302,62,0)</f>
        <v>0</v>
      </c>
      <c r="BV174" s="102">
        <f>VLOOKUP(L174,设备合同!$L$6:$CC$302,63,0)</f>
        <v>0</v>
      </c>
      <c r="BW174" s="102">
        <f>VLOOKUP(L174,设备合同!$L$6:$CC$302,64,0)</f>
        <v>0</v>
      </c>
      <c r="BX174" s="102">
        <f>VLOOKUP(L174,设备合同!$L$6:$CC$302,65,0)</f>
        <v>0</v>
      </c>
      <c r="BY174" s="102">
        <f>VLOOKUP(L174,设备合同!$L$6:$CC$302,66,0)</f>
        <v>0</v>
      </c>
      <c r="BZ174" s="102">
        <f>VLOOKUP(L174,设备合同!$L$6:$CC$302,67,0)</f>
        <v>0</v>
      </c>
      <c r="CA174" s="102">
        <f>VLOOKUP(L174,设备合同!$L$6:$CC$302,68,0)</f>
        <v>0</v>
      </c>
      <c r="CB174" s="102">
        <f>VLOOKUP(L174,设备合同!$L$6:$CC$302,69,0)</f>
        <v>0</v>
      </c>
      <c r="CC174" s="102">
        <f>VLOOKUP(L174,设备合同!$L$6:$CC$302,70,0)</f>
        <v>0</v>
      </c>
      <c r="CD174" s="123">
        <f t="shared" si="44"/>
        <v>266000</v>
      </c>
      <c r="CE174" s="102">
        <f t="shared" si="45"/>
        <v>0</v>
      </c>
      <c r="CF174" s="102">
        <f t="shared" si="46"/>
        <v>0</v>
      </c>
      <c r="CG174" s="102">
        <f t="shared" si="47"/>
        <v>0</v>
      </c>
      <c r="CH174" s="124">
        <f t="shared" si="48"/>
        <v>266000</v>
      </c>
      <c r="CI174" s="125">
        <f t="shared" si="49"/>
        <v>0</v>
      </c>
      <c r="CJ174" s="126" t="str">
        <f t="shared" si="50"/>
        <v>数据正确</v>
      </c>
    </row>
    <row r="175" s="60" customFormat="1" customHeight="1" spans="2:88">
      <c r="B175" s="70" t="str">
        <f t="shared" si="40"/>
        <v>-</v>
      </c>
      <c r="C175" s="71" t="str">
        <f t="shared" si="41"/>
        <v>-</v>
      </c>
      <c r="D175" s="181">
        <f t="shared" si="42"/>
        <v>70500</v>
      </c>
      <c r="E175" s="181">
        <f>SUMIF(设备合同!$L$6:$L$302,L175,设备合同!$E$6:$E$302)</f>
        <v>0</v>
      </c>
      <c r="F175" s="181">
        <f>SUMIF(设备合同!$L$6:$L$302,L175,设备合同!$F$6:$F$302)</f>
        <v>0</v>
      </c>
      <c r="G175" s="181">
        <f>SUMIF(设备合同!$L$6:$L$302,L175,设备合同!$G$6:$G$302)</f>
        <v>0</v>
      </c>
      <c r="H175" s="181">
        <f>SUMIF(设备合同!$L$6:$L$302,L175,设备合同!$H$6:$H$302)</f>
        <v>0</v>
      </c>
      <c r="I175" s="181">
        <f t="shared" si="43"/>
        <v>0</v>
      </c>
      <c r="J175" s="86" t="s">
        <v>98</v>
      </c>
      <c r="K175" s="87"/>
      <c r="L175" s="88">
        <v>170</v>
      </c>
      <c r="M175" s="89" t="str">
        <f>VLOOKUP(L175,设备合同!$L$6:$CC$302,2,0)</f>
        <v>YRKJEQ-170047</v>
      </c>
      <c r="N175" s="90" t="str">
        <f>VLOOKUP(L175,设备合同!$L$6:$CC$302,3,0)</f>
        <v>设备合同</v>
      </c>
      <c r="O175" s="265">
        <f>VLOOKUP(L175,设备合同!$L$6:$CC$302,4,0)</f>
        <v>2017040041</v>
      </c>
      <c r="P175" s="266">
        <f>VLOOKUP(L175,设备合同!$L$6:$CC$302,5,0)</f>
        <v>42926</v>
      </c>
      <c r="Q175" s="275">
        <f>VLOOKUP(L175,设备合同!$L$6:$CC$302,6,0)</f>
        <v>235000</v>
      </c>
      <c r="R175" s="89" t="str">
        <f>VLOOKUP(L175,设备合同!$L$6:$CC$302,7,0)</f>
        <v>4台罗茨风机</v>
      </c>
      <c r="S175" s="89" t="str">
        <f>VLOOKUP(L175,设备合同!$L$6:$CC$302,8,0)</f>
        <v>山东省章丘鼓风机股份有限公司</v>
      </c>
      <c r="T175" s="107">
        <f>VLOOKUP(L175,设备合同!$L$6:$CC$302,9,0)</f>
        <v>0</v>
      </c>
      <c r="U175" s="103" t="str">
        <f>VLOOKUP(L175,设备合同!$L$6:$CC$302,10,0)</f>
        <v>6个月承兑汇票/不接受反向贴息</v>
      </c>
      <c r="V175" s="276" t="str">
        <f>VLOOKUP(L175,设备合同!$L$6:$CC$302,11,0)</f>
        <v>甲方收到乙方30%的预付款保函以及本合同的30%专票（17%）后15个工作日支付30%货款</v>
      </c>
      <c r="W175" s="102">
        <f>VLOOKUP(L175,设备合同!$L$6:$CC$302,12,0)</f>
        <v>70500</v>
      </c>
      <c r="X175" s="102">
        <f>VLOOKUP(L175,设备合同!$L$6:$CC$302,13,0)</f>
        <v>70500</v>
      </c>
      <c r="Y175" s="102">
        <f>VLOOKUP(L175,设备合同!$L$6:$CC$302,14,0)</f>
        <v>70500</v>
      </c>
      <c r="Z175" s="102" t="str">
        <f>VLOOKUP(L175,设备合同!$L$6:$CC$302,15,0)</f>
        <v>甲方在乙方现场确认无误，且受到乙方70%的专票后，15个工作日内支付60%的货款</v>
      </c>
      <c r="AA175" s="102">
        <f>VLOOKUP(L175,设备合同!$L$6:$CC$302,16,0)</f>
        <v>141000</v>
      </c>
      <c r="AB175" s="102">
        <f>VLOOKUP(L175,设备合同!$L$6:$CC$302,17,0)</f>
        <v>0</v>
      </c>
      <c r="AC175" s="102">
        <f>VLOOKUP(L175,设备合同!$L$6:$CC$302,18,0)</f>
        <v>0</v>
      </c>
      <c r="AD175" s="102" t="str">
        <f>VLOOKUP(L175,设备合同!$L$6:$CC$302,19,0)</f>
        <v>质量保证金10%，验收合格12个月或到货现场18个月支付</v>
      </c>
      <c r="AE175" s="102">
        <f>VLOOKUP(L175,设备合同!$L$6:$CC$302,20,0)</f>
        <v>23500</v>
      </c>
      <c r="AF175" s="102">
        <f>VLOOKUP(L175,设备合同!$L$6:$CC$302,21,0)</f>
        <v>0</v>
      </c>
      <c r="AG175" s="102">
        <f>VLOOKUP(L175,设备合同!$L$6:$CC$302,22,0)</f>
        <v>0</v>
      </c>
      <c r="AH175" s="102">
        <f>VLOOKUP(L175,设备合同!$L$6:$CC$302,23,0)</f>
        <v>0</v>
      </c>
      <c r="AI175" s="102">
        <f>VLOOKUP(L175,设备合同!$L$6:$CC$302,24,0)</f>
        <v>0</v>
      </c>
      <c r="AJ175" s="102">
        <f>VLOOKUP(L175,设备合同!$L$6:$CC$302,25,0)</f>
        <v>0</v>
      </c>
      <c r="AK175" s="102">
        <f>VLOOKUP(L175,设备合同!$L$6:$CC$302,26,0)</f>
        <v>0</v>
      </c>
      <c r="AL175" s="102">
        <f>VLOOKUP(L175,设备合同!$L$6:$CC$302,27,0)</f>
        <v>0</v>
      </c>
      <c r="AM175" s="102">
        <f>VLOOKUP(L175,设备合同!$L$6:$CC$302,28,0)</f>
        <v>0</v>
      </c>
      <c r="AN175" s="102">
        <f>VLOOKUP(L175,设备合同!$L$6:$CC$302,29,0)</f>
        <v>0</v>
      </c>
      <c r="AO175" s="102">
        <f>VLOOKUP(L175,设备合同!$L$6:$CC$302,30,0)</f>
        <v>0</v>
      </c>
      <c r="AP175" s="102">
        <f>VLOOKUP(L175,设备合同!$L$6:$CC$302,31,0)</f>
        <v>0</v>
      </c>
      <c r="AQ175" s="102">
        <f>VLOOKUP(L175,设备合同!$L$6:$CC$302,32,0)</f>
        <v>0</v>
      </c>
      <c r="AR175" s="102">
        <f>VLOOKUP(L175,设备合同!$L$6:$CC$302,33,0)</f>
        <v>0</v>
      </c>
      <c r="AS175" s="102">
        <f>VLOOKUP(L175,设备合同!$L$6:$CC$302,34,0)</f>
        <v>0</v>
      </c>
      <c r="AT175" s="102">
        <f>VLOOKUP(L175,设备合同!$L$6:$CC$302,35,0)</f>
        <v>0</v>
      </c>
      <c r="AU175" s="102">
        <f>VLOOKUP(L175,设备合同!$L$6:$CC$302,36,0)</f>
        <v>0</v>
      </c>
      <c r="AV175" s="102">
        <f>VLOOKUP(L175,设备合同!$L$6:$CC$302,37,0)</f>
        <v>0</v>
      </c>
      <c r="AW175" s="102">
        <f>VLOOKUP(L175,设备合同!$L$6:$CC$302,38,0)</f>
        <v>0</v>
      </c>
      <c r="AX175" s="102">
        <f>VLOOKUP(L175,设备合同!$L$6:$CC$302,39,0)</f>
        <v>0</v>
      </c>
      <c r="AY175" s="102">
        <f>VLOOKUP(L175,设备合同!$L$6:$CC$302,40,0)</f>
        <v>0</v>
      </c>
      <c r="AZ175" s="102">
        <f>VLOOKUP(L175,设备合同!$L$6:$CC$302,41,0)</f>
        <v>0</v>
      </c>
      <c r="BA175" s="102">
        <f>VLOOKUP(L175,设备合同!$L$6:$CC$302,42,0)</f>
        <v>0</v>
      </c>
      <c r="BB175" s="102">
        <f>VLOOKUP(L175,设备合同!$L$6:$CC$302,43,0)</f>
        <v>0</v>
      </c>
      <c r="BC175" s="102">
        <f>VLOOKUP(L175,设备合同!$L$6:$CC$302,44,0)</f>
        <v>0</v>
      </c>
      <c r="BD175" s="102">
        <f>VLOOKUP(L175,设备合同!$L$6:$CC$302,45,0)</f>
        <v>0</v>
      </c>
      <c r="BE175" s="102">
        <f>VLOOKUP(L175,设备合同!$L$6:$CC$302,46,0)</f>
        <v>0</v>
      </c>
      <c r="BF175" s="102">
        <f>VLOOKUP(L175,设备合同!$L$6:$CC$302,47,0)</f>
        <v>0</v>
      </c>
      <c r="BG175" s="102">
        <f>VLOOKUP(L175,设备合同!$L$6:$CC$302,48,0)</f>
        <v>0</v>
      </c>
      <c r="BH175" s="102">
        <f>VLOOKUP(L175,设备合同!$L$6:$CC$302,49,0)</f>
        <v>0</v>
      </c>
      <c r="BI175" s="102">
        <f>VLOOKUP(L175,设备合同!$L$6:$CC$302,50,0)</f>
        <v>0</v>
      </c>
      <c r="BJ175" s="102">
        <f>VLOOKUP(L175,设备合同!$L$6:$CC$302,51,0)</f>
        <v>0</v>
      </c>
      <c r="BK175" s="102">
        <f>VLOOKUP(L175,设备合同!$L$6:$CC$302,52,0)</f>
        <v>0</v>
      </c>
      <c r="BL175" s="102">
        <f>VLOOKUP(L175,设备合同!$L$6:$CC$302,53,0)</f>
        <v>0</v>
      </c>
      <c r="BM175" s="102">
        <f>VLOOKUP(L175,设备合同!$L$6:$CC$302,54,0)</f>
        <v>0</v>
      </c>
      <c r="BN175" s="102">
        <f>VLOOKUP(L175,设备合同!$L$6:$CC$302,55,0)</f>
        <v>0</v>
      </c>
      <c r="BO175" s="102">
        <f>VLOOKUP(L175,设备合同!$L$6:$CC$302,56,0)</f>
        <v>0</v>
      </c>
      <c r="BP175" s="102">
        <f>VLOOKUP(L175,设备合同!$L$6:$CC$302,57,0)</f>
        <v>0</v>
      </c>
      <c r="BQ175" s="102">
        <f>VLOOKUP(L175,设备合同!$L$6:$CC$302,58,0)</f>
        <v>0</v>
      </c>
      <c r="BR175" s="102">
        <f>VLOOKUP(L175,设备合同!$L$6:$CC$302,59,0)</f>
        <v>0</v>
      </c>
      <c r="BS175" s="102">
        <f>VLOOKUP(L175,设备合同!$L$6:$CC$302,60,0)</f>
        <v>0</v>
      </c>
      <c r="BT175" s="102">
        <f>VLOOKUP(L175,设备合同!$L$6:$CC$302,61,0)</f>
        <v>0</v>
      </c>
      <c r="BU175" s="102">
        <f>VLOOKUP(L175,设备合同!$L$6:$CC$302,62,0)</f>
        <v>0</v>
      </c>
      <c r="BV175" s="102">
        <f>VLOOKUP(L175,设备合同!$L$6:$CC$302,63,0)</f>
        <v>0</v>
      </c>
      <c r="BW175" s="102">
        <f>VLOOKUP(L175,设备合同!$L$6:$CC$302,64,0)</f>
        <v>0</v>
      </c>
      <c r="BX175" s="102">
        <f>VLOOKUP(L175,设备合同!$L$6:$CC$302,65,0)</f>
        <v>0</v>
      </c>
      <c r="BY175" s="102">
        <f>VLOOKUP(L175,设备合同!$L$6:$CC$302,66,0)</f>
        <v>0</v>
      </c>
      <c r="BZ175" s="102">
        <f>VLOOKUP(L175,设备合同!$L$6:$CC$302,67,0)</f>
        <v>0</v>
      </c>
      <c r="CA175" s="102">
        <f>VLOOKUP(L175,设备合同!$L$6:$CC$302,68,0)</f>
        <v>0</v>
      </c>
      <c r="CB175" s="102">
        <f>VLOOKUP(L175,设备合同!$L$6:$CC$302,69,0)</f>
        <v>0</v>
      </c>
      <c r="CC175" s="102">
        <f>VLOOKUP(L175,设备合同!$L$6:$CC$302,70,0)</f>
        <v>0</v>
      </c>
      <c r="CD175" s="123">
        <f t="shared" si="44"/>
        <v>235000</v>
      </c>
      <c r="CE175" s="102">
        <f t="shared" si="45"/>
        <v>70500</v>
      </c>
      <c r="CF175" s="102">
        <f t="shared" si="46"/>
        <v>70500</v>
      </c>
      <c r="CG175" s="102">
        <f t="shared" si="47"/>
        <v>0</v>
      </c>
      <c r="CH175" s="124">
        <f t="shared" si="48"/>
        <v>164500</v>
      </c>
      <c r="CI175" s="125">
        <f t="shared" si="49"/>
        <v>0.3</v>
      </c>
      <c r="CJ175" s="126" t="str">
        <f t="shared" si="50"/>
        <v>数据正确</v>
      </c>
    </row>
    <row r="176" s="60" customFormat="1" customHeight="1" spans="2:88">
      <c r="B176" s="70" t="str">
        <f t="shared" si="40"/>
        <v>-</v>
      </c>
      <c r="C176" s="71" t="str">
        <f t="shared" si="41"/>
        <v>-</v>
      </c>
      <c r="D176" s="181">
        <f t="shared" si="42"/>
        <v>310000</v>
      </c>
      <c r="E176" s="181">
        <f>SUMIF(设备合同!$L$6:$L$302,L176,设备合同!$E$6:$E$302)</f>
        <v>0</v>
      </c>
      <c r="F176" s="181">
        <f>SUMIF(设备合同!$L$6:$L$302,L176,设备合同!$F$6:$F$302)</f>
        <v>0</v>
      </c>
      <c r="G176" s="181">
        <f>SUMIF(设备合同!$L$6:$L$302,L176,设备合同!$G$6:$G$302)</f>
        <v>0</v>
      </c>
      <c r="H176" s="181">
        <f>SUMIF(设备合同!$L$6:$L$302,L176,设备合同!$H$6:$H$302)</f>
        <v>0</v>
      </c>
      <c r="I176" s="181">
        <f t="shared" si="43"/>
        <v>0</v>
      </c>
      <c r="J176" s="86" t="s">
        <v>98</v>
      </c>
      <c r="K176" s="87"/>
      <c r="L176" s="88">
        <v>171</v>
      </c>
      <c r="M176" s="89" t="str">
        <f>VLOOKUP(L176,设备合同!$L$6:$CC$302,2,0)</f>
        <v>YRKJEQ-170050</v>
      </c>
      <c r="N176" s="90" t="str">
        <f>VLOOKUP(L176,设备合同!$L$6:$CC$302,3,0)</f>
        <v>设备合同</v>
      </c>
      <c r="O176" s="265">
        <f>VLOOKUP(L176,设备合同!$L$6:$CC$302,4,0)</f>
        <v>2017060030</v>
      </c>
      <c r="P176" s="266">
        <f>VLOOKUP(L176,设备合同!$L$6:$CC$302,5,0)</f>
        <v>42936</v>
      </c>
      <c r="Q176" s="275">
        <f>VLOOKUP(L176,设备合同!$L$6:$CC$302,6,0)</f>
        <v>1550000</v>
      </c>
      <c r="R176" s="89" t="str">
        <f>VLOOKUP(L176,设备合同!$L$6:$CC$302,7,0)</f>
        <v>气动角阀</v>
      </c>
      <c r="S176" s="89" t="str">
        <f>VLOOKUP(L176,设备合同!$L$6:$CC$302,8,0)</f>
        <v>萨姆森控制设备（中国）有限公司</v>
      </c>
      <c r="T176" s="107">
        <f>VLOOKUP(L176,设备合同!$L$6:$CC$302,9,0)</f>
        <v>0</v>
      </c>
      <c r="U176" s="103" t="str">
        <f>VLOOKUP(L176,设备合同!$L$6:$CC$302,10,0)</f>
        <v>6个月承兑汇票/电汇无说明</v>
      </c>
      <c r="V176" s="276" t="str">
        <f>VLOOKUP(L176,设备合同!$L$6:$CC$302,11,0)</f>
        <v>甲方收到乙方20%的预付款保函以及本合同的20%专票（17%）后15个工作日支付20%货款</v>
      </c>
      <c r="W176" s="102">
        <f>VLOOKUP(L176,设备合同!$L$6:$CC$302,12,0)</f>
        <v>310000</v>
      </c>
      <c r="X176" s="102">
        <f>VLOOKUP(L176,设备合同!$L$6:$CC$302,13,0)</f>
        <v>310000</v>
      </c>
      <c r="Y176" s="102">
        <f>VLOOKUP(L176,设备合同!$L$6:$CC$302,14,0)</f>
        <v>310000</v>
      </c>
      <c r="Z176" s="102" t="str">
        <f>VLOOKUP(L176,设备合同!$L$6:$CC$302,15,0)</f>
        <v>甲方到乙方现场确认无误后，收到17%等额专票，15个工作日内支付40%发货款</v>
      </c>
      <c r="AA176" s="102">
        <f>VLOOKUP(L176,设备合同!$L$6:$CC$302,16,0)</f>
        <v>620000</v>
      </c>
      <c r="AB176" s="102">
        <f>VLOOKUP(L176,设备合同!$L$6:$CC$302,17,0)</f>
        <v>0</v>
      </c>
      <c r="AC176" s="102">
        <f>VLOOKUP(L176,设备合同!$L$6:$CC$302,18,0)</f>
        <v>0</v>
      </c>
      <c r="AD176" s="102" t="str">
        <f>VLOOKUP(L176,设备合同!$L$6:$CC$302,19,0)</f>
        <v>甲方收到核定的调试合格报告及全额的专票后15个工作日，支付40%调试款（10%质量保函）</v>
      </c>
      <c r="AE176" s="102">
        <f>VLOOKUP(L176,设备合同!$L$6:$CC$302,20,0)</f>
        <v>620000</v>
      </c>
      <c r="AF176" s="102">
        <f>VLOOKUP(L176,设备合同!$L$6:$CC$302,21,0)</f>
        <v>0</v>
      </c>
      <c r="AG176" s="102">
        <f>VLOOKUP(L176,设备合同!$L$6:$CC$302,22,0)</f>
        <v>0</v>
      </c>
      <c r="AH176" s="102">
        <f>VLOOKUP(L176,设备合同!$L$6:$CC$302,23,0)</f>
        <v>0</v>
      </c>
      <c r="AI176" s="102">
        <f>VLOOKUP(L176,设备合同!$L$6:$CC$302,24,0)</f>
        <v>0</v>
      </c>
      <c r="AJ176" s="102">
        <f>VLOOKUP(L176,设备合同!$L$6:$CC$302,25,0)</f>
        <v>0</v>
      </c>
      <c r="AK176" s="102">
        <f>VLOOKUP(L176,设备合同!$L$6:$CC$302,26,0)</f>
        <v>0</v>
      </c>
      <c r="AL176" s="102">
        <f>VLOOKUP(L176,设备合同!$L$6:$CC$302,27,0)</f>
        <v>0</v>
      </c>
      <c r="AM176" s="102">
        <f>VLOOKUP(L176,设备合同!$L$6:$CC$302,28,0)</f>
        <v>0</v>
      </c>
      <c r="AN176" s="102">
        <f>VLOOKUP(L176,设备合同!$L$6:$CC$302,29,0)</f>
        <v>0</v>
      </c>
      <c r="AO176" s="102">
        <f>VLOOKUP(L176,设备合同!$L$6:$CC$302,30,0)</f>
        <v>0</v>
      </c>
      <c r="AP176" s="102">
        <f>VLOOKUP(L176,设备合同!$L$6:$CC$302,31,0)</f>
        <v>0</v>
      </c>
      <c r="AQ176" s="102">
        <f>VLOOKUP(L176,设备合同!$L$6:$CC$302,32,0)</f>
        <v>0</v>
      </c>
      <c r="AR176" s="102">
        <f>VLOOKUP(L176,设备合同!$L$6:$CC$302,33,0)</f>
        <v>0</v>
      </c>
      <c r="AS176" s="102">
        <f>VLOOKUP(L176,设备合同!$L$6:$CC$302,34,0)</f>
        <v>0</v>
      </c>
      <c r="AT176" s="102">
        <f>VLOOKUP(L176,设备合同!$L$6:$CC$302,35,0)</f>
        <v>0</v>
      </c>
      <c r="AU176" s="102">
        <f>VLOOKUP(L176,设备合同!$L$6:$CC$302,36,0)</f>
        <v>0</v>
      </c>
      <c r="AV176" s="102">
        <f>VLOOKUP(L176,设备合同!$L$6:$CC$302,37,0)</f>
        <v>0</v>
      </c>
      <c r="AW176" s="102">
        <f>VLOOKUP(L176,设备合同!$L$6:$CC$302,38,0)</f>
        <v>0</v>
      </c>
      <c r="AX176" s="102">
        <f>VLOOKUP(L176,设备合同!$L$6:$CC$302,39,0)</f>
        <v>0</v>
      </c>
      <c r="AY176" s="102">
        <f>VLOOKUP(L176,设备合同!$L$6:$CC$302,40,0)</f>
        <v>0</v>
      </c>
      <c r="AZ176" s="102">
        <f>VLOOKUP(L176,设备合同!$L$6:$CC$302,41,0)</f>
        <v>0</v>
      </c>
      <c r="BA176" s="102">
        <f>VLOOKUP(L176,设备合同!$L$6:$CC$302,42,0)</f>
        <v>0</v>
      </c>
      <c r="BB176" s="102">
        <f>VLOOKUP(L176,设备合同!$L$6:$CC$302,43,0)</f>
        <v>0</v>
      </c>
      <c r="BC176" s="102">
        <f>VLOOKUP(L176,设备合同!$L$6:$CC$302,44,0)</f>
        <v>0</v>
      </c>
      <c r="BD176" s="102">
        <f>VLOOKUP(L176,设备合同!$L$6:$CC$302,45,0)</f>
        <v>0</v>
      </c>
      <c r="BE176" s="102">
        <f>VLOOKUP(L176,设备合同!$L$6:$CC$302,46,0)</f>
        <v>0</v>
      </c>
      <c r="BF176" s="102">
        <f>VLOOKUP(L176,设备合同!$L$6:$CC$302,47,0)</f>
        <v>0</v>
      </c>
      <c r="BG176" s="102">
        <f>VLOOKUP(L176,设备合同!$L$6:$CC$302,48,0)</f>
        <v>0</v>
      </c>
      <c r="BH176" s="102">
        <f>VLOOKUP(L176,设备合同!$L$6:$CC$302,49,0)</f>
        <v>0</v>
      </c>
      <c r="BI176" s="102">
        <f>VLOOKUP(L176,设备合同!$L$6:$CC$302,50,0)</f>
        <v>0</v>
      </c>
      <c r="BJ176" s="102">
        <f>VLOOKUP(L176,设备合同!$L$6:$CC$302,51,0)</f>
        <v>0</v>
      </c>
      <c r="BK176" s="102">
        <f>VLOOKUP(L176,设备合同!$L$6:$CC$302,52,0)</f>
        <v>0</v>
      </c>
      <c r="BL176" s="102">
        <f>VLOOKUP(L176,设备合同!$L$6:$CC$302,53,0)</f>
        <v>0</v>
      </c>
      <c r="BM176" s="102">
        <f>VLOOKUP(L176,设备合同!$L$6:$CC$302,54,0)</f>
        <v>0</v>
      </c>
      <c r="BN176" s="102">
        <f>VLOOKUP(L176,设备合同!$L$6:$CC$302,55,0)</f>
        <v>0</v>
      </c>
      <c r="BO176" s="102">
        <f>VLOOKUP(L176,设备合同!$L$6:$CC$302,56,0)</f>
        <v>0</v>
      </c>
      <c r="BP176" s="102">
        <f>VLOOKUP(L176,设备合同!$L$6:$CC$302,57,0)</f>
        <v>0</v>
      </c>
      <c r="BQ176" s="102">
        <f>VLOOKUP(L176,设备合同!$L$6:$CC$302,58,0)</f>
        <v>0</v>
      </c>
      <c r="BR176" s="102">
        <f>VLOOKUP(L176,设备合同!$L$6:$CC$302,59,0)</f>
        <v>0</v>
      </c>
      <c r="BS176" s="102">
        <f>VLOOKUP(L176,设备合同!$L$6:$CC$302,60,0)</f>
        <v>0</v>
      </c>
      <c r="BT176" s="102">
        <f>VLOOKUP(L176,设备合同!$L$6:$CC$302,61,0)</f>
        <v>0</v>
      </c>
      <c r="BU176" s="102">
        <f>VLOOKUP(L176,设备合同!$L$6:$CC$302,62,0)</f>
        <v>0</v>
      </c>
      <c r="BV176" s="102">
        <f>VLOOKUP(L176,设备合同!$L$6:$CC$302,63,0)</f>
        <v>0</v>
      </c>
      <c r="BW176" s="102">
        <f>VLOOKUP(L176,设备合同!$L$6:$CC$302,64,0)</f>
        <v>0</v>
      </c>
      <c r="BX176" s="102">
        <f>VLOOKUP(L176,设备合同!$L$6:$CC$302,65,0)</f>
        <v>0</v>
      </c>
      <c r="BY176" s="102">
        <f>VLOOKUP(L176,设备合同!$L$6:$CC$302,66,0)</f>
        <v>0</v>
      </c>
      <c r="BZ176" s="102">
        <f>VLOOKUP(L176,设备合同!$L$6:$CC$302,67,0)</f>
        <v>0</v>
      </c>
      <c r="CA176" s="102">
        <f>VLOOKUP(L176,设备合同!$L$6:$CC$302,68,0)</f>
        <v>0</v>
      </c>
      <c r="CB176" s="102">
        <f>VLOOKUP(L176,设备合同!$L$6:$CC$302,69,0)</f>
        <v>0</v>
      </c>
      <c r="CC176" s="102">
        <f>VLOOKUP(L176,设备合同!$L$6:$CC$302,70,0)</f>
        <v>0</v>
      </c>
      <c r="CD176" s="123">
        <f t="shared" si="44"/>
        <v>1550000</v>
      </c>
      <c r="CE176" s="102">
        <f t="shared" si="45"/>
        <v>310000</v>
      </c>
      <c r="CF176" s="102">
        <f t="shared" si="46"/>
        <v>310000</v>
      </c>
      <c r="CG176" s="102">
        <f t="shared" si="47"/>
        <v>0</v>
      </c>
      <c r="CH176" s="124">
        <f t="shared" si="48"/>
        <v>1240000</v>
      </c>
      <c r="CI176" s="125">
        <f t="shared" si="49"/>
        <v>0.2</v>
      </c>
      <c r="CJ176" s="126" t="str">
        <f t="shared" si="50"/>
        <v>数据正确</v>
      </c>
    </row>
    <row r="177" s="60" customFormat="1" customHeight="1" spans="2:88">
      <c r="B177" s="70" t="str">
        <f t="shared" si="40"/>
        <v>-</v>
      </c>
      <c r="C177" s="71" t="str">
        <f t="shared" si="41"/>
        <v>-</v>
      </c>
      <c r="D177" s="181">
        <f t="shared" si="42"/>
        <v>0</v>
      </c>
      <c r="E177" s="181">
        <f>SUMIF(设备合同!$L$6:$L$302,L177,设备合同!$E$6:$E$302)</f>
        <v>0</v>
      </c>
      <c r="F177" s="181">
        <f>SUMIF(设备合同!$L$6:$L$302,L177,设备合同!$F$6:$F$302)</f>
        <v>0</v>
      </c>
      <c r="G177" s="181">
        <f>SUMIF(设备合同!$L$6:$L$302,L177,设备合同!$G$6:$G$302)</f>
        <v>0</v>
      </c>
      <c r="H177" s="181">
        <f>SUMIF(设备合同!$L$6:$L$302,L177,设备合同!$H$6:$H$302)</f>
        <v>0</v>
      </c>
      <c r="I177" s="181">
        <f t="shared" si="43"/>
        <v>0</v>
      </c>
      <c r="J177" s="86" t="s">
        <v>98</v>
      </c>
      <c r="K177" s="87"/>
      <c r="L177" s="88">
        <v>172</v>
      </c>
      <c r="M177" s="89" t="str">
        <f>VLOOKUP(L177,设备合同!$L$6:$CC$302,2,0)</f>
        <v>YRKJEQ-170052</v>
      </c>
      <c r="N177" s="90" t="str">
        <f>VLOOKUP(L177,设备合同!$L$6:$CC$302,3,0)</f>
        <v>设备合同</v>
      </c>
      <c r="O177" s="265">
        <f>VLOOKUP(L177,设备合同!$L$6:$CC$302,4,0)</f>
        <v>2017060024</v>
      </c>
      <c r="P177" s="266">
        <f>VLOOKUP(L177,设备合同!$L$6:$CC$302,5,0)</f>
        <v>42947</v>
      </c>
      <c r="Q177" s="275">
        <f>VLOOKUP(L177,设备合同!$L$6:$CC$302,6,0)</f>
        <v>14200000</v>
      </c>
      <c r="R177" s="89" t="str">
        <f>VLOOKUP(L177,设备合同!$L$6:$CC$302,7,0)</f>
        <v>废气、废液焚烧装置1套</v>
      </c>
      <c r="S177" s="89" t="str">
        <f>VLOOKUP(L177,设备合同!$L$6:$CC$302,8,0)</f>
        <v>天津晟成环境技术发展有限公司</v>
      </c>
      <c r="T177" s="107">
        <f>VLOOKUP(L177,设备合同!$L$6:$CC$302,9,0)</f>
        <v>0</v>
      </c>
      <c r="U177" s="103" t="str">
        <f>VLOOKUP(L177,设备合同!$L$6:$CC$302,10,0)</f>
        <v>6个月承兑汇票/电汇下浮3%</v>
      </c>
      <c r="V177" s="276" t="str">
        <f>VLOOKUP(L177,设备合同!$L$6:$CC$302,11,0)</f>
        <v>甲方授权人到乙方清点并检查货物合格后，签发发货同意书，收到60%专票后15个工作日，支付60%发货款</v>
      </c>
      <c r="W177" s="102">
        <f>VLOOKUP(L177,设备合同!$L$6:$CC$302,12,0)</f>
        <v>8520000</v>
      </c>
      <c r="X177" s="102">
        <f>VLOOKUP(L177,设备合同!$L$6:$CC$302,13,0)</f>
        <v>0</v>
      </c>
      <c r="Y177" s="102">
        <f>VLOOKUP(L177,设备合同!$L$6:$CC$302,14,0)</f>
        <v>0</v>
      </c>
      <c r="Z177" s="102" t="str">
        <f>VLOOKUP(L177,设备合同!$L$6:$CC$302,15,0)</f>
        <v>甲方核定的调试合格报告及足额的发票后支付30%的验收款</v>
      </c>
      <c r="AA177" s="102">
        <f>VLOOKUP(L177,设备合同!$L$6:$CC$302,16,0)</f>
        <v>4260000</v>
      </c>
      <c r="AB177" s="102">
        <f>VLOOKUP(L177,设备合同!$L$6:$CC$302,17,0)</f>
        <v>0</v>
      </c>
      <c r="AC177" s="102">
        <f>VLOOKUP(L177,设备合同!$L$6:$CC$302,18,0)</f>
        <v>0</v>
      </c>
      <c r="AD177" s="102" t="str">
        <f>VLOOKUP(L177,设备合同!$L$6:$CC$302,19,0)</f>
        <v>质量保证金10%，验收合格12个月或到货现场18个月支付</v>
      </c>
      <c r="AE177" s="102">
        <f>VLOOKUP(L177,设备合同!$L$6:$CC$302,20,0)</f>
        <v>1420000</v>
      </c>
      <c r="AF177" s="102">
        <f>VLOOKUP(L177,设备合同!$L$6:$CC$302,21,0)</f>
        <v>0</v>
      </c>
      <c r="AG177" s="102">
        <f>VLOOKUP(L177,设备合同!$L$6:$CC$302,22,0)</f>
        <v>0</v>
      </c>
      <c r="AH177" s="102">
        <f>VLOOKUP(L177,设备合同!$L$6:$CC$302,23,0)</f>
        <v>0</v>
      </c>
      <c r="AI177" s="102">
        <f>VLOOKUP(L177,设备合同!$L$6:$CC$302,24,0)</f>
        <v>0</v>
      </c>
      <c r="AJ177" s="102">
        <f>VLOOKUP(L177,设备合同!$L$6:$CC$302,25,0)</f>
        <v>0</v>
      </c>
      <c r="AK177" s="102">
        <f>VLOOKUP(L177,设备合同!$L$6:$CC$302,26,0)</f>
        <v>0</v>
      </c>
      <c r="AL177" s="102">
        <f>VLOOKUP(L177,设备合同!$L$6:$CC$302,27,0)</f>
        <v>0</v>
      </c>
      <c r="AM177" s="102">
        <f>VLOOKUP(L177,设备合同!$L$6:$CC$302,28,0)</f>
        <v>0</v>
      </c>
      <c r="AN177" s="102">
        <f>VLOOKUP(L177,设备合同!$L$6:$CC$302,29,0)</f>
        <v>0</v>
      </c>
      <c r="AO177" s="102">
        <f>VLOOKUP(L177,设备合同!$L$6:$CC$302,30,0)</f>
        <v>0</v>
      </c>
      <c r="AP177" s="102">
        <f>VLOOKUP(L177,设备合同!$L$6:$CC$302,31,0)</f>
        <v>0</v>
      </c>
      <c r="AQ177" s="102">
        <f>VLOOKUP(L177,设备合同!$L$6:$CC$302,32,0)</f>
        <v>0</v>
      </c>
      <c r="AR177" s="102">
        <f>VLOOKUP(L177,设备合同!$L$6:$CC$302,33,0)</f>
        <v>0</v>
      </c>
      <c r="AS177" s="102">
        <f>VLOOKUP(L177,设备合同!$L$6:$CC$302,34,0)</f>
        <v>0</v>
      </c>
      <c r="AT177" s="102">
        <f>VLOOKUP(L177,设备合同!$L$6:$CC$302,35,0)</f>
        <v>0</v>
      </c>
      <c r="AU177" s="102">
        <f>VLOOKUP(L177,设备合同!$L$6:$CC$302,36,0)</f>
        <v>0</v>
      </c>
      <c r="AV177" s="102">
        <f>VLOOKUP(L177,设备合同!$L$6:$CC$302,37,0)</f>
        <v>0</v>
      </c>
      <c r="AW177" s="102">
        <f>VLOOKUP(L177,设备合同!$L$6:$CC$302,38,0)</f>
        <v>0</v>
      </c>
      <c r="AX177" s="102">
        <f>VLOOKUP(L177,设备合同!$L$6:$CC$302,39,0)</f>
        <v>0</v>
      </c>
      <c r="AY177" s="102">
        <f>VLOOKUP(L177,设备合同!$L$6:$CC$302,40,0)</f>
        <v>0</v>
      </c>
      <c r="AZ177" s="102">
        <f>VLOOKUP(L177,设备合同!$L$6:$CC$302,41,0)</f>
        <v>0</v>
      </c>
      <c r="BA177" s="102">
        <f>VLOOKUP(L177,设备合同!$L$6:$CC$302,42,0)</f>
        <v>0</v>
      </c>
      <c r="BB177" s="102">
        <f>VLOOKUP(L177,设备合同!$L$6:$CC$302,43,0)</f>
        <v>0</v>
      </c>
      <c r="BC177" s="102">
        <f>VLOOKUP(L177,设备合同!$L$6:$CC$302,44,0)</f>
        <v>0</v>
      </c>
      <c r="BD177" s="102">
        <f>VLOOKUP(L177,设备合同!$L$6:$CC$302,45,0)</f>
        <v>0</v>
      </c>
      <c r="BE177" s="102">
        <f>VLOOKUP(L177,设备合同!$L$6:$CC$302,46,0)</f>
        <v>0</v>
      </c>
      <c r="BF177" s="102">
        <f>VLOOKUP(L177,设备合同!$L$6:$CC$302,47,0)</f>
        <v>0</v>
      </c>
      <c r="BG177" s="102">
        <f>VLOOKUP(L177,设备合同!$L$6:$CC$302,48,0)</f>
        <v>0</v>
      </c>
      <c r="BH177" s="102">
        <f>VLOOKUP(L177,设备合同!$L$6:$CC$302,49,0)</f>
        <v>0</v>
      </c>
      <c r="BI177" s="102">
        <f>VLOOKUP(L177,设备合同!$L$6:$CC$302,50,0)</f>
        <v>0</v>
      </c>
      <c r="BJ177" s="102">
        <f>VLOOKUP(L177,设备合同!$L$6:$CC$302,51,0)</f>
        <v>0</v>
      </c>
      <c r="BK177" s="102">
        <f>VLOOKUP(L177,设备合同!$L$6:$CC$302,52,0)</f>
        <v>0</v>
      </c>
      <c r="BL177" s="102">
        <f>VLOOKUP(L177,设备合同!$L$6:$CC$302,53,0)</f>
        <v>0</v>
      </c>
      <c r="BM177" s="102">
        <f>VLOOKUP(L177,设备合同!$L$6:$CC$302,54,0)</f>
        <v>0</v>
      </c>
      <c r="BN177" s="102">
        <f>VLOOKUP(L177,设备合同!$L$6:$CC$302,55,0)</f>
        <v>0</v>
      </c>
      <c r="BO177" s="102">
        <f>VLOOKUP(L177,设备合同!$L$6:$CC$302,56,0)</f>
        <v>0</v>
      </c>
      <c r="BP177" s="102">
        <f>VLOOKUP(L177,设备合同!$L$6:$CC$302,57,0)</f>
        <v>0</v>
      </c>
      <c r="BQ177" s="102">
        <f>VLOOKUP(L177,设备合同!$L$6:$CC$302,58,0)</f>
        <v>0</v>
      </c>
      <c r="BR177" s="102">
        <f>VLOOKUP(L177,设备合同!$L$6:$CC$302,59,0)</f>
        <v>0</v>
      </c>
      <c r="BS177" s="102">
        <f>VLOOKUP(L177,设备合同!$L$6:$CC$302,60,0)</f>
        <v>0</v>
      </c>
      <c r="BT177" s="102">
        <f>VLOOKUP(L177,设备合同!$L$6:$CC$302,61,0)</f>
        <v>0</v>
      </c>
      <c r="BU177" s="102">
        <f>VLOOKUP(L177,设备合同!$L$6:$CC$302,62,0)</f>
        <v>0</v>
      </c>
      <c r="BV177" s="102">
        <f>VLOOKUP(L177,设备合同!$L$6:$CC$302,63,0)</f>
        <v>0</v>
      </c>
      <c r="BW177" s="102">
        <f>VLOOKUP(L177,设备合同!$L$6:$CC$302,64,0)</f>
        <v>0</v>
      </c>
      <c r="BX177" s="102">
        <f>VLOOKUP(L177,设备合同!$L$6:$CC$302,65,0)</f>
        <v>0</v>
      </c>
      <c r="BY177" s="102">
        <f>VLOOKUP(L177,设备合同!$L$6:$CC$302,66,0)</f>
        <v>0</v>
      </c>
      <c r="BZ177" s="102">
        <f>VLOOKUP(L177,设备合同!$L$6:$CC$302,67,0)</f>
        <v>0</v>
      </c>
      <c r="CA177" s="102">
        <f>VLOOKUP(L177,设备合同!$L$6:$CC$302,68,0)</f>
        <v>0</v>
      </c>
      <c r="CB177" s="102">
        <f>VLOOKUP(L177,设备合同!$L$6:$CC$302,69,0)</f>
        <v>0</v>
      </c>
      <c r="CC177" s="102">
        <f>VLOOKUP(L177,设备合同!$L$6:$CC$302,70,0)</f>
        <v>0</v>
      </c>
      <c r="CD177" s="123">
        <f t="shared" si="44"/>
        <v>14200000</v>
      </c>
      <c r="CE177" s="102">
        <f t="shared" si="45"/>
        <v>0</v>
      </c>
      <c r="CF177" s="102">
        <f t="shared" si="46"/>
        <v>0</v>
      </c>
      <c r="CG177" s="102">
        <f t="shared" si="47"/>
        <v>0</v>
      </c>
      <c r="CH177" s="124">
        <f t="shared" si="48"/>
        <v>14200000</v>
      </c>
      <c r="CI177" s="125">
        <f t="shared" si="49"/>
        <v>0</v>
      </c>
      <c r="CJ177" s="126" t="str">
        <f t="shared" si="50"/>
        <v>数据正确</v>
      </c>
    </row>
    <row r="178" s="60" customFormat="1" customHeight="1" spans="2:88">
      <c r="B178" s="70" t="str">
        <f t="shared" si="40"/>
        <v>-</v>
      </c>
      <c r="C178" s="71" t="str">
        <f t="shared" si="41"/>
        <v>-</v>
      </c>
      <c r="D178" s="181">
        <f t="shared" si="42"/>
        <v>36000</v>
      </c>
      <c r="E178" s="181">
        <f>SUMIF(设备合同!$L$6:$L$302,L178,设备合同!$E$6:$E$302)</f>
        <v>0</v>
      </c>
      <c r="F178" s="181">
        <f>SUMIF(设备合同!$L$6:$L$302,L178,设备合同!$F$6:$F$302)</f>
        <v>0</v>
      </c>
      <c r="G178" s="181">
        <f>SUMIF(设备合同!$L$6:$L$302,L178,设备合同!$G$6:$G$302)</f>
        <v>0</v>
      </c>
      <c r="H178" s="181">
        <f>SUMIF(设备合同!$L$6:$L$302,L178,设备合同!$H$6:$H$302)</f>
        <v>0</v>
      </c>
      <c r="I178" s="181">
        <f t="shared" si="43"/>
        <v>0</v>
      </c>
      <c r="J178" s="86" t="s">
        <v>98</v>
      </c>
      <c r="K178" s="87"/>
      <c r="L178" s="88">
        <v>173</v>
      </c>
      <c r="M178" s="89" t="str">
        <f>VLOOKUP(L178,设备合同!$L$6:$CC$302,2,0)</f>
        <v>YRKJEQ-170059</v>
      </c>
      <c r="N178" s="90" t="str">
        <f>VLOOKUP(L178,设备合同!$L$6:$CC$302,3,0)</f>
        <v>设备合同</v>
      </c>
      <c r="O178" s="265">
        <f>VLOOKUP(L178,设备合同!$L$6:$CC$302,4,0)</f>
        <v>2017060071</v>
      </c>
      <c r="P178" s="266">
        <f>VLOOKUP(L178,设备合同!$L$6:$CC$302,5,0)</f>
        <v>42944</v>
      </c>
      <c r="Q178" s="275">
        <f>VLOOKUP(L178,设备合同!$L$6:$CC$302,6,0)</f>
        <v>180000</v>
      </c>
      <c r="R178" s="89" t="str">
        <f>VLOOKUP(L178,设备合同!$L$6:$CC$302,7,0)</f>
        <v>板式换热器3套</v>
      </c>
      <c r="S178" s="89" t="str">
        <f>VLOOKUP(L178,设备合同!$L$6:$CC$302,8,0)</f>
        <v>阿法拉伐（上海）技术有限公司</v>
      </c>
      <c r="T178" s="107" t="str">
        <f>VLOOKUP(L178,设备合同!$L$6:$CC$302,9,0)</f>
        <v>环己酮装置</v>
      </c>
      <c r="U178" s="103" t="str">
        <f>VLOOKUP(L178,设备合同!$L$6:$CC$302,10,0)</f>
        <v>电汇</v>
      </c>
      <c r="V178" s="276" t="str">
        <f>VLOOKUP(L178,设备合同!$L$6:$CC$302,11,0)</f>
        <v>甲方接到货物后，收到乙方提供的20%预付款保函，并收到等额的专票后支付20%货款。</v>
      </c>
      <c r="W178" s="102">
        <f>VLOOKUP(L178,设备合同!$L$6:$CC$302,12,0)</f>
        <v>36000</v>
      </c>
      <c r="X178" s="102">
        <f>VLOOKUP(L178,设备合同!$L$6:$CC$302,13,0)</f>
        <v>36000</v>
      </c>
      <c r="Y178" s="102">
        <f>VLOOKUP(L178,设备合同!$L$6:$CC$302,14,0)</f>
        <v>36000</v>
      </c>
      <c r="Z178" s="102" t="str">
        <f>VLOOKUP(L178,设备合同!$L$6:$CC$302,15,0)</f>
        <v>甲方到乙方现场确认无误后，收到17%全额专票，15个工作日内支付80%发货款</v>
      </c>
      <c r="AA178" s="102">
        <f>VLOOKUP(L178,设备合同!$L$6:$CC$302,16,0)</f>
        <v>144000</v>
      </c>
      <c r="AB178" s="102">
        <f>VLOOKUP(L178,设备合同!$L$6:$CC$302,17,0)</f>
        <v>0</v>
      </c>
      <c r="AC178" s="102">
        <f>VLOOKUP(L178,设备合同!$L$6:$CC$302,18,0)</f>
        <v>0</v>
      </c>
      <c r="AD178" s="102">
        <f>VLOOKUP(L178,设备合同!$L$6:$CC$302,19,0)</f>
        <v>0</v>
      </c>
      <c r="AE178" s="102">
        <f>VLOOKUP(L178,设备合同!$L$6:$CC$302,20,0)</f>
        <v>0</v>
      </c>
      <c r="AF178" s="102">
        <f>VLOOKUP(L178,设备合同!$L$6:$CC$302,21,0)</f>
        <v>0</v>
      </c>
      <c r="AG178" s="102">
        <f>VLOOKUP(L178,设备合同!$L$6:$CC$302,22,0)</f>
        <v>0</v>
      </c>
      <c r="AH178" s="102">
        <f>VLOOKUP(L178,设备合同!$L$6:$CC$302,23,0)</f>
        <v>0</v>
      </c>
      <c r="AI178" s="102">
        <f>VLOOKUP(L178,设备合同!$L$6:$CC$302,24,0)</f>
        <v>0</v>
      </c>
      <c r="AJ178" s="102">
        <f>VLOOKUP(L178,设备合同!$L$6:$CC$302,25,0)</f>
        <v>0</v>
      </c>
      <c r="AK178" s="102">
        <f>VLOOKUP(L178,设备合同!$L$6:$CC$302,26,0)</f>
        <v>0</v>
      </c>
      <c r="AL178" s="102">
        <f>VLOOKUP(L178,设备合同!$L$6:$CC$302,27,0)</f>
        <v>0</v>
      </c>
      <c r="AM178" s="102">
        <f>VLOOKUP(L178,设备合同!$L$6:$CC$302,28,0)</f>
        <v>0</v>
      </c>
      <c r="AN178" s="102">
        <f>VLOOKUP(L178,设备合同!$L$6:$CC$302,29,0)</f>
        <v>0</v>
      </c>
      <c r="AO178" s="102">
        <f>VLOOKUP(L178,设备合同!$L$6:$CC$302,30,0)</f>
        <v>0</v>
      </c>
      <c r="AP178" s="102">
        <f>VLOOKUP(L178,设备合同!$L$6:$CC$302,31,0)</f>
        <v>0</v>
      </c>
      <c r="AQ178" s="102">
        <f>VLOOKUP(L178,设备合同!$L$6:$CC$302,32,0)</f>
        <v>0</v>
      </c>
      <c r="AR178" s="102">
        <f>VLOOKUP(L178,设备合同!$L$6:$CC$302,33,0)</f>
        <v>0</v>
      </c>
      <c r="AS178" s="102">
        <f>VLOOKUP(L178,设备合同!$L$6:$CC$302,34,0)</f>
        <v>0</v>
      </c>
      <c r="AT178" s="102">
        <f>VLOOKUP(L178,设备合同!$L$6:$CC$302,35,0)</f>
        <v>0</v>
      </c>
      <c r="AU178" s="102">
        <f>VLOOKUP(L178,设备合同!$L$6:$CC$302,36,0)</f>
        <v>0</v>
      </c>
      <c r="AV178" s="102">
        <f>VLOOKUP(L178,设备合同!$L$6:$CC$302,37,0)</f>
        <v>0</v>
      </c>
      <c r="AW178" s="102">
        <f>VLOOKUP(L178,设备合同!$L$6:$CC$302,38,0)</f>
        <v>0</v>
      </c>
      <c r="AX178" s="102">
        <f>VLOOKUP(L178,设备合同!$L$6:$CC$302,39,0)</f>
        <v>0</v>
      </c>
      <c r="AY178" s="102">
        <f>VLOOKUP(L178,设备合同!$L$6:$CC$302,40,0)</f>
        <v>0</v>
      </c>
      <c r="AZ178" s="102">
        <f>VLOOKUP(L178,设备合同!$L$6:$CC$302,41,0)</f>
        <v>0</v>
      </c>
      <c r="BA178" s="102">
        <f>VLOOKUP(L178,设备合同!$L$6:$CC$302,42,0)</f>
        <v>0</v>
      </c>
      <c r="BB178" s="102">
        <f>VLOOKUP(L178,设备合同!$L$6:$CC$302,43,0)</f>
        <v>0</v>
      </c>
      <c r="BC178" s="102">
        <f>VLOOKUP(L178,设备合同!$L$6:$CC$302,44,0)</f>
        <v>0</v>
      </c>
      <c r="BD178" s="102">
        <f>VLOOKUP(L178,设备合同!$L$6:$CC$302,45,0)</f>
        <v>0</v>
      </c>
      <c r="BE178" s="102">
        <f>VLOOKUP(L178,设备合同!$L$6:$CC$302,46,0)</f>
        <v>0</v>
      </c>
      <c r="BF178" s="102">
        <f>VLOOKUP(L178,设备合同!$L$6:$CC$302,47,0)</f>
        <v>0</v>
      </c>
      <c r="BG178" s="102">
        <f>VLOOKUP(L178,设备合同!$L$6:$CC$302,48,0)</f>
        <v>0</v>
      </c>
      <c r="BH178" s="102">
        <f>VLOOKUP(L178,设备合同!$L$6:$CC$302,49,0)</f>
        <v>0</v>
      </c>
      <c r="BI178" s="102">
        <f>VLOOKUP(L178,设备合同!$L$6:$CC$302,50,0)</f>
        <v>0</v>
      </c>
      <c r="BJ178" s="102">
        <f>VLOOKUP(L178,设备合同!$L$6:$CC$302,51,0)</f>
        <v>0</v>
      </c>
      <c r="BK178" s="102">
        <f>VLOOKUP(L178,设备合同!$L$6:$CC$302,52,0)</f>
        <v>0</v>
      </c>
      <c r="BL178" s="102">
        <f>VLOOKUP(L178,设备合同!$L$6:$CC$302,53,0)</f>
        <v>0</v>
      </c>
      <c r="BM178" s="102">
        <f>VLOOKUP(L178,设备合同!$L$6:$CC$302,54,0)</f>
        <v>0</v>
      </c>
      <c r="BN178" s="102">
        <f>VLOOKUP(L178,设备合同!$L$6:$CC$302,55,0)</f>
        <v>0</v>
      </c>
      <c r="BO178" s="102">
        <f>VLOOKUP(L178,设备合同!$L$6:$CC$302,56,0)</f>
        <v>0</v>
      </c>
      <c r="BP178" s="102">
        <f>VLOOKUP(L178,设备合同!$L$6:$CC$302,57,0)</f>
        <v>0</v>
      </c>
      <c r="BQ178" s="102">
        <f>VLOOKUP(L178,设备合同!$L$6:$CC$302,58,0)</f>
        <v>0</v>
      </c>
      <c r="BR178" s="102">
        <f>VLOOKUP(L178,设备合同!$L$6:$CC$302,59,0)</f>
        <v>0</v>
      </c>
      <c r="BS178" s="102">
        <f>VLOOKUP(L178,设备合同!$L$6:$CC$302,60,0)</f>
        <v>0</v>
      </c>
      <c r="BT178" s="102">
        <f>VLOOKUP(L178,设备合同!$L$6:$CC$302,61,0)</f>
        <v>0</v>
      </c>
      <c r="BU178" s="102">
        <f>VLOOKUP(L178,设备合同!$L$6:$CC$302,62,0)</f>
        <v>0</v>
      </c>
      <c r="BV178" s="102">
        <f>VLOOKUP(L178,设备合同!$L$6:$CC$302,63,0)</f>
        <v>0</v>
      </c>
      <c r="BW178" s="102">
        <f>VLOOKUP(L178,设备合同!$L$6:$CC$302,64,0)</f>
        <v>0</v>
      </c>
      <c r="BX178" s="102">
        <f>VLOOKUP(L178,设备合同!$L$6:$CC$302,65,0)</f>
        <v>0</v>
      </c>
      <c r="BY178" s="102">
        <f>VLOOKUP(L178,设备合同!$L$6:$CC$302,66,0)</f>
        <v>0</v>
      </c>
      <c r="BZ178" s="102">
        <f>VLOOKUP(L178,设备合同!$L$6:$CC$302,67,0)</f>
        <v>0</v>
      </c>
      <c r="CA178" s="102">
        <f>VLOOKUP(L178,设备合同!$L$6:$CC$302,68,0)</f>
        <v>0</v>
      </c>
      <c r="CB178" s="102">
        <f>VLOOKUP(L178,设备合同!$L$6:$CC$302,69,0)</f>
        <v>0</v>
      </c>
      <c r="CC178" s="102">
        <f>VLOOKUP(L178,设备合同!$L$6:$CC$302,70,0)</f>
        <v>0</v>
      </c>
      <c r="CD178" s="123">
        <f t="shared" si="44"/>
        <v>180000</v>
      </c>
      <c r="CE178" s="102">
        <f t="shared" si="45"/>
        <v>36000</v>
      </c>
      <c r="CF178" s="102">
        <f t="shared" si="46"/>
        <v>36000</v>
      </c>
      <c r="CG178" s="102">
        <f t="shared" si="47"/>
        <v>0</v>
      </c>
      <c r="CH178" s="124">
        <f t="shared" si="48"/>
        <v>144000</v>
      </c>
      <c r="CI178" s="125">
        <f t="shared" si="49"/>
        <v>0.2</v>
      </c>
      <c r="CJ178" s="126" t="str">
        <f t="shared" si="50"/>
        <v>数据正确</v>
      </c>
    </row>
    <row r="179" s="60" customFormat="1" customHeight="1" spans="2:88">
      <c r="B179" s="70" t="str">
        <f t="shared" si="40"/>
        <v>-</v>
      </c>
      <c r="C179" s="71" t="str">
        <f t="shared" si="41"/>
        <v>-</v>
      </c>
      <c r="D179" s="181">
        <f t="shared" si="42"/>
        <v>0</v>
      </c>
      <c r="E179" s="181">
        <f>SUMIF(设备合同!$L$6:$L$302,L179,设备合同!$E$6:$E$302)</f>
        <v>0</v>
      </c>
      <c r="F179" s="181">
        <f>SUMIF(设备合同!$L$6:$L$302,L179,设备合同!$F$6:$F$302)</f>
        <v>0</v>
      </c>
      <c r="G179" s="181">
        <f>SUMIF(设备合同!$L$6:$L$302,L179,设备合同!$G$6:$G$302)</f>
        <v>0</v>
      </c>
      <c r="H179" s="181">
        <f>SUMIF(设备合同!$L$6:$L$302,L179,设备合同!$H$6:$H$302)</f>
        <v>0</v>
      </c>
      <c r="I179" s="181">
        <f t="shared" si="43"/>
        <v>0</v>
      </c>
      <c r="J179" s="86" t="s">
        <v>98</v>
      </c>
      <c r="K179" s="87"/>
      <c r="L179" s="88">
        <v>174</v>
      </c>
      <c r="M179" s="89" t="str">
        <f>VLOOKUP(L179,设备合同!$L$6:$CC$302,2,0)</f>
        <v>YRKJEQ-170062</v>
      </c>
      <c r="N179" s="90" t="str">
        <f>VLOOKUP(L179,设备合同!$L$6:$CC$302,3,0)</f>
        <v>设备合同</v>
      </c>
      <c r="O179" s="265">
        <f>VLOOKUP(L179,设备合同!$L$6:$CC$302,4,0)</f>
        <v>2017050064</v>
      </c>
      <c r="P179" s="266">
        <f>VLOOKUP(L179,设备合同!$L$6:$CC$302,5,0)</f>
        <v>42942</v>
      </c>
      <c r="Q179" s="275">
        <f>VLOOKUP(L179,设备合同!$L$6:$CC$302,6,0)</f>
        <v>600000</v>
      </c>
      <c r="R179" s="89" t="str">
        <f>VLOOKUP(L179,设备合同!$L$6:$CC$302,7,0)</f>
        <v>汽车衡2台  合计</v>
      </c>
      <c r="S179" s="89" t="str">
        <f>VLOOKUP(L179,设备合同!$L$6:$CC$302,8,0)</f>
        <v>福建科达衡器有限公司</v>
      </c>
      <c r="T179" s="107">
        <f>VLOOKUP(L179,设备合同!$L$6:$CC$302,9,0)</f>
        <v>0</v>
      </c>
      <c r="U179" s="103" t="str">
        <f>VLOOKUP(L179,设备合同!$L$6:$CC$302,10,0)</f>
        <v>6个月承兑汇票/接受反向贴息</v>
      </c>
      <c r="V179" s="276" t="str">
        <f>VLOOKUP(L179,设备合同!$L$6:$CC$302,11,0)</f>
        <v>甲方初步验收合格后，收到60%专票，10个工作日支付60%货款</v>
      </c>
      <c r="W179" s="102">
        <f>VLOOKUP(L179,设备合同!$L$6:$CC$302,12,0)</f>
        <v>360000</v>
      </c>
      <c r="X179" s="102">
        <f>VLOOKUP(L179,设备合同!$L$6:$CC$302,13,0)</f>
        <v>0</v>
      </c>
      <c r="Y179" s="102">
        <f>VLOOKUP(L179,设备合同!$L$6:$CC$302,14,0)</f>
        <v>0</v>
      </c>
      <c r="Z179" s="102">
        <f>VLOOKUP(L179,设备合同!$L$6:$CC$302,15,0)</f>
        <v>0</v>
      </c>
      <c r="AA179" s="102">
        <f>VLOOKUP(L179,设备合同!$L$6:$CC$302,16,0)</f>
        <v>180000</v>
      </c>
      <c r="AB179" s="102">
        <f>VLOOKUP(L179,设备合同!$L$6:$CC$302,17,0)</f>
        <v>0</v>
      </c>
      <c r="AC179" s="102">
        <f>VLOOKUP(L179,设备合同!$L$6:$CC$302,18,0)</f>
        <v>0</v>
      </c>
      <c r="AD179" s="102">
        <f>VLOOKUP(L179,设备合同!$L$6:$CC$302,19,0)</f>
        <v>0</v>
      </c>
      <c r="AE179" s="102">
        <f>VLOOKUP(L179,设备合同!$L$6:$CC$302,20,0)</f>
        <v>60000</v>
      </c>
      <c r="AF179" s="102">
        <f>VLOOKUP(L179,设备合同!$L$6:$CC$302,21,0)</f>
        <v>0</v>
      </c>
      <c r="AG179" s="102">
        <f>VLOOKUP(L179,设备合同!$L$6:$CC$302,22,0)</f>
        <v>0</v>
      </c>
      <c r="AH179" s="102">
        <f>VLOOKUP(L179,设备合同!$L$6:$CC$302,23,0)</f>
        <v>0</v>
      </c>
      <c r="AI179" s="102">
        <f>VLOOKUP(L179,设备合同!$L$6:$CC$302,24,0)</f>
        <v>0</v>
      </c>
      <c r="AJ179" s="102">
        <f>VLOOKUP(L179,设备合同!$L$6:$CC$302,25,0)</f>
        <v>0</v>
      </c>
      <c r="AK179" s="102">
        <f>VLOOKUP(L179,设备合同!$L$6:$CC$302,26,0)</f>
        <v>0</v>
      </c>
      <c r="AL179" s="102">
        <f>VLOOKUP(L179,设备合同!$L$6:$CC$302,27,0)</f>
        <v>0</v>
      </c>
      <c r="AM179" s="102">
        <f>VLOOKUP(L179,设备合同!$L$6:$CC$302,28,0)</f>
        <v>0</v>
      </c>
      <c r="AN179" s="102">
        <f>VLOOKUP(L179,设备合同!$L$6:$CC$302,29,0)</f>
        <v>0</v>
      </c>
      <c r="AO179" s="102">
        <f>VLOOKUP(L179,设备合同!$L$6:$CC$302,30,0)</f>
        <v>0</v>
      </c>
      <c r="AP179" s="102">
        <f>VLOOKUP(L179,设备合同!$L$6:$CC$302,31,0)</f>
        <v>0</v>
      </c>
      <c r="AQ179" s="102">
        <f>VLOOKUP(L179,设备合同!$L$6:$CC$302,32,0)</f>
        <v>0</v>
      </c>
      <c r="AR179" s="102">
        <f>VLOOKUP(L179,设备合同!$L$6:$CC$302,33,0)</f>
        <v>0</v>
      </c>
      <c r="AS179" s="102">
        <f>VLOOKUP(L179,设备合同!$L$6:$CC$302,34,0)</f>
        <v>0</v>
      </c>
      <c r="AT179" s="102">
        <f>VLOOKUP(L179,设备合同!$L$6:$CC$302,35,0)</f>
        <v>0</v>
      </c>
      <c r="AU179" s="102">
        <f>VLOOKUP(L179,设备合同!$L$6:$CC$302,36,0)</f>
        <v>0</v>
      </c>
      <c r="AV179" s="102">
        <f>VLOOKUP(L179,设备合同!$L$6:$CC$302,37,0)</f>
        <v>0</v>
      </c>
      <c r="AW179" s="102">
        <f>VLOOKUP(L179,设备合同!$L$6:$CC$302,38,0)</f>
        <v>0</v>
      </c>
      <c r="AX179" s="102">
        <f>VLOOKUP(L179,设备合同!$L$6:$CC$302,39,0)</f>
        <v>0</v>
      </c>
      <c r="AY179" s="102">
        <f>VLOOKUP(L179,设备合同!$L$6:$CC$302,40,0)</f>
        <v>0</v>
      </c>
      <c r="AZ179" s="102">
        <f>VLOOKUP(L179,设备合同!$L$6:$CC$302,41,0)</f>
        <v>0</v>
      </c>
      <c r="BA179" s="102">
        <f>VLOOKUP(L179,设备合同!$L$6:$CC$302,42,0)</f>
        <v>0</v>
      </c>
      <c r="BB179" s="102">
        <f>VLOOKUP(L179,设备合同!$L$6:$CC$302,43,0)</f>
        <v>0</v>
      </c>
      <c r="BC179" s="102">
        <f>VLOOKUP(L179,设备合同!$L$6:$CC$302,44,0)</f>
        <v>0</v>
      </c>
      <c r="BD179" s="102">
        <f>VLOOKUP(L179,设备合同!$L$6:$CC$302,45,0)</f>
        <v>0</v>
      </c>
      <c r="BE179" s="102">
        <f>VLOOKUP(L179,设备合同!$L$6:$CC$302,46,0)</f>
        <v>0</v>
      </c>
      <c r="BF179" s="102">
        <f>VLOOKUP(L179,设备合同!$L$6:$CC$302,47,0)</f>
        <v>0</v>
      </c>
      <c r="BG179" s="102">
        <f>VLOOKUP(L179,设备合同!$L$6:$CC$302,48,0)</f>
        <v>0</v>
      </c>
      <c r="BH179" s="102">
        <f>VLOOKUP(L179,设备合同!$L$6:$CC$302,49,0)</f>
        <v>0</v>
      </c>
      <c r="BI179" s="102">
        <f>VLOOKUP(L179,设备合同!$L$6:$CC$302,50,0)</f>
        <v>0</v>
      </c>
      <c r="BJ179" s="102">
        <f>VLOOKUP(L179,设备合同!$L$6:$CC$302,51,0)</f>
        <v>0</v>
      </c>
      <c r="BK179" s="102">
        <f>VLOOKUP(L179,设备合同!$L$6:$CC$302,52,0)</f>
        <v>0</v>
      </c>
      <c r="BL179" s="102">
        <f>VLOOKUP(L179,设备合同!$L$6:$CC$302,53,0)</f>
        <v>0</v>
      </c>
      <c r="BM179" s="102">
        <f>VLOOKUP(L179,设备合同!$L$6:$CC$302,54,0)</f>
        <v>0</v>
      </c>
      <c r="BN179" s="102">
        <f>VLOOKUP(L179,设备合同!$L$6:$CC$302,55,0)</f>
        <v>0</v>
      </c>
      <c r="BO179" s="102">
        <f>VLOOKUP(L179,设备合同!$L$6:$CC$302,56,0)</f>
        <v>0</v>
      </c>
      <c r="BP179" s="102">
        <f>VLOOKUP(L179,设备合同!$L$6:$CC$302,57,0)</f>
        <v>0</v>
      </c>
      <c r="BQ179" s="102">
        <f>VLOOKUP(L179,设备合同!$L$6:$CC$302,58,0)</f>
        <v>0</v>
      </c>
      <c r="BR179" s="102">
        <f>VLOOKUP(L179,设备合同!$L$6:$CC$302,59,0)</f>
        <v>0</v>
      </c>
      <c r="BS179" s="102">
        <f>VLOOKUP(L179,设备合同!$L$6:$CC$302,60,0)</f>
        <v>0</v>
      </c>
      <c r="BT179" s="102">
        <f>VLOOKUP(L179,设备合同!$L$6:$CC$302,61,0)</f>
        <v>0</v>
      </c>
      <c r="BU179" s="102">
        <f>VLOOKUP(L179,设备合同!$L$6:$CC$302,62,0)</f>
        <v>0</v>
      </c>
      <c r="BV179" s="102">
        <f>VLOOKUP(L179,设备合同!$L$6:$CC$302,63,0)</f>
        <v>0</v>
      </c>
      <c r="BW179" s="102">
        <f>VLOOKUP(L179,设备合同!$L$6:$CC$302,64,0)</f>
        <v>0</v>
      </c>
      <c r="BX179" s="102">
        <f>VLOOKUP(L179,设备合同!$L$6:$CC$302,65,0)</f>
        <v>0</v>
      </c>
      <c r="BY179" s="102">
        <f>VLOOKUP(L179,设备合同!$L$6:$CC$302,66,0)</f>
        <v>0</v>
      </c>
      <c r="BZ179" s="102">
        <f>VLOOKUP(L179,设备合同!$L$6:$CC$302,67,0)</f>
        <v>0</v>
      </c>
      <c r="CA179" s="102">
        <f>VLOOKUP(L179,设备合同!$L$6:$CC$302,68,0)</f>
        <v>0</v>
      </c>
      <c r="CB179" s="102">
        <f>VLOOKUP(L179,设备合同!$L$6:$CC$302,69,0)</f>
        <v>0</v>
      </c>
      <c r="CC179" s="102">
        <f>VLOOKUP(L179,设备合同!$L$6:$CC$302,70,0)</f>
        <v>0</v>
      </c>
      <c r="CD179" s="123">
        <f t="shared" si="44"/>
        <v>600000</v>
      </c>
      <c r="CE179" s="102">
        <f t="shared" si="45"/>
        <v>0</v>
      </c>
      <c r="CF179" s="102">
        <f t="shared" si="46"/>
        <v>0</v>
      </c>
      <c r="CG179" s="102">
        <f t="shared" si="47"/>
        <v>0</v>
      </c>
      <c r="CH179" s="124">
        <f t="shared" si="48"/>
        <v>600000</v>
      </c>
      <c r="CI179" s="125">
        <f t="shared" si="49"/>
        <v>0</v>
      </c>
      <c r="CJ179" s="126" t="str">
        <f t="shared" si="50"/>
        <v>数据正确</v>
      </c>
    </row>
    <row r="180" s="60" customFormat="1" customHeight="1" spans="2:88">
      <c r="B180" s="70" t="str">
        <f t="shared" si="40"/>
        <v>-</v>
      </c>
      <c r="C180" s="71" t="str">
        <f t="shared" si="41"/>
        <v>-</v>
      </c>
      <c r="D180" s="181">
        <f t="shared" si="42"/>
        <v>130969.75</v>
      </c>
      <c r="E180" s="181">
        <f>SUMIF(设备合同!$L$6:$L$302,L180,设备合同!$E$6:$E$302)</f>
        <v>0</v>
      </c>
      <c r="F180" s="181">
        <f>SUMIF(设备合同!$L$6:$L$302,L180,设备合同!$F$6:$F$302)</f>
        <v>0</v>
      </c>
      <c r="G180" s="181">
        <f>SUMIF(设备合同!$L$6:$L$302,L180,设备合同!$G$6:$G$302)</f>
        <v>0</v>
      </c>
      <c r="H180" s="181">
        <f>SUMIF(设备合同!$L$6:$L$302,L180,设备合同!$H$6:$H$302)</f>
        <v>0</v>
      </c>
      <c r="I180" s="181">
        <f t="shared" si="43"/>
        <v>0</v>
      </c>
      <c r="J180" s="86" t="s">
        <v>98</v>
      </c>
      <c r="K180" s="87"/>
      <c r="L180" s="88">
        <v>175</v>
      </c>
      <c r="M180" s="89" t="str">
        <f>VLOOKUP(L180,设备合同!$L$6:$CC$302,2,0)</f>
        <v>YRKJEQ-170063</v>
      </c>
      <c r="N180" s="90" t="str">
        <f>VLOOKUP(L180,设备合同!$L$6:$CC$302,3,0)</f>
        <v>设备合同</v>
      </c>
      <c r="O180" s="265">
        <f>VLOOKUP(L180,设备合同!$L$6:$CC$302,4,0)</f>
        <v>2017060027</v>
      </c>
      <c r="P180" s="266">
        <f>VLOOKUP(L180,设备合同!$L$6:$CC$302,5,0)</f>
        <v>42906</v>
      </c>
      <c r="Q180" s="275">
        <f>VLOOKUP(L180,设备合同!$L$6:$CC$302,6,0)</f>
        <v>1329837.7</v>
      </c>
      <c r="R180" s="89" t="str">
        <f>VLOOKUP(L180,设备合同!$L$6:$CC$302,7,0)</f>
        <v>釜底角阀12台</v>
      </c>
      <c r="S180" s="89" t="str">
        <f>VLOOKUP(L180,设备合同!$L$6:$CC$302,8,0)</f>
        <v>香港思科特工业技术有限公司</v>
      </c>
      <c r="T180" s="107" t="str">
        <f>VLOOKUP(L180,设备合同!$L$6:$CC$302,9,0)</f>
        <v>环己酮装置</v>
      </c>
      <c r="U180" s="103" t="str">
        <f>VLOOKUP(L180,设备合同!$L$6:$CC$302,10,0)</f>
        <v>信用证</v>
      </c>
      <c r="V180" s="276" t="str">
        <f>VLOOKUP(L180,设备合同!$L$6:$CC$302,11,0)</f>
        <v>甲方收到乙方10%的预付款保函以及本合同的10%履约保函后15个工作日支付10%预付款</v>
      </c>
      <c r="W180" s="102">
        <f>VLOOKUP(L180,设备合同!$L$6:$CC$302,12,0)</f>
        <v>132983.77</v>
      </c>
      <c r="X180" s="102">
        <f>VLOOKUP(L180,设备合同!$L$6:$CC$302,13,0)</f>
        <v>130969.75</v>
      </c>
      <c r="Y180" s="102">
        <f>VLOOKUP(L180,设备合同!$L$6:$CC$302,14,0)</f>
        <v>130969.75</v>
      </c>
      <c r="Z180" s="102" t="str">
        <f>VLOOKUP(L180,设备合同!$L$6:$CC$302,15,0)</f>
        <v>发货前两个月开证</v>
      </c>
      <c r="AA180" s="102">
        <f>VLOOKUP(L180,设备合同!$L$6:$CC$302,16,0)</f>
        <v>1196853.93</v>
      </c>
      <c r="AB180" s="102">
        <f>VLOOKUP(L180,设备合同!$L$6:$CC$302,17,0)</f>
        <v>0</v>
      </c>
      <c r="AC180" s="102">
        <f>VLOOKUP(L180,设备合同!$L$6:$CC$302,18,0)</f>
        <v>0</v>
      </c>
      <c r="AD180" s="102">
        <f>VLOOKUP(L180,设备合同!$L$6:$CC$302,19,0)</f>
        <v>0</v>
      </c>
      <c r="AE180" s="102">
        <f>VLOOKUP(L180,设备合同!$L$6:$CC$302,20,0)</f>
        <v>0</v>
      </c>
      <c r="AF180" s="102">
        <f>VLOOKUP(L180,设备合同!$L$6:$CC$302,21,0)</f>
        <v>0</v>
      </c>
      <c r="AG180" s="102">
        <f>VLOOKUP(L180,设备合同!$L$6:$CC$302,22,0)</f>
        <v>0</v>
      </c>
      <c r="AH180" s="102">
        <f>VLOOKUP(L180,设备合同!$L$6:$CC$302,23,0)</f>
        <v>0</v>
      </c>
      <c r="AI180" s="102">
        <f>VLOOKUP(L180,设备合同!$L$6:$CC$302,24,0)</f>
        <v>0</v>
      </c>
      <c r="AJ180" s="102">
        <f>VLOOKUP(L180,设备合同!$L$6:$CC$302,25,0)</f>
        <v>0</v>
      </c>
      <c r="AK180" s="102">
        <f>VLOOKUP(L180,设备合同!$L$6:$CC$302,26,0)</f>
        <v>0</v>
      </c>
      <c r="AL180" s="102">
        <f>VLOOKUP(L180,设备合同!$L$6:$CC$302,27,0)</f>
        <v>0</v>
      </c>
      <c r="AM180" s="102">
        <f>VLOOKUP(L180,设备合同!$L$6:$CC$302,28,0)</f>
        <v>0</v>
      </c>
      <c r="AN180" s="102">
        <f>VLOOKUP(L180,设备合同!$L$6:$CC$302,29,0)</f>
        <v>0</v>
      </c>
      <c r="AO180" s="102">
        <f>VLOOKUP(L180,设备合同!$L$6:$CC$302,30,0)</f>
        <v>0</v>
      </c>
      <c r="AP180" s="102">
        <f>VLOOKUP(L180,设备合同!$L$6:$CC$302,31,0)</f>
        <v>0</v>
      </c>
      <c r="AQ180" s="102">
        <f>VLOOKUP(L180,设备合同!$L$6:$CC$302,32,0)</f>
        <v>0</v>
      </c>
      <c r="AR180" s="102">
        <f>VLOOKUP(L180,设备合同!$L$6:$CC$302,33,0)</f>
        <v>0</v>
      </c>
      <c r="AS180" s="102">
        <f>VLOOKUP(L180,设备合同!$L$6:$CC$302,34,0)</f>
        <v>0</v>
      </c>
      <c r="AT180" s="102">
        <f>VLOOKUP(L180,设备合同!$L$6:$CC$302,35,0)</f>
        <v>0</v>
      </c>
      <c r="AU180" s="102">
        <f>VLOOKUP(L180,设备合同!$L$6:$CC$302,36,0)</f>
        <v>0</v>
      </c>
      <c r="AV180" s="102">
        <f>VLOOKUP(L180,设备合同!$L$6:$CC$302,37,0)</f>
        <v>0</v>
      </c>
      <c r="AW180" s="102">
        <f>VLOOKUP(L180,设备合同!$L$6:$CC$302,38,0)</f>
        <v>0</v>
      </c>
      <c r="AX180" s="102">
        <f>VLOOKUP(L180,设备合同!$L$6:$CC$302,39,0)</f>
        <v>0</v>
      </c>
      <c r="AY180" s="102">
        <f>VLOOKUP(L180,设备合同!$L$6:$CC$302,40,0)</f>
        <v>0</v>
      </c>
      <c r="AZ180" s="102">
        <f>VLOOKUP(L180,设备合同!$L$6:$CC$302,41,0)</f>
        <v>0</v>
      </c>
      <c r="BA180" s="102">
        <f>VLOOKUP(L180,设备合同!$L$6:$CC$302,42,0)</f>
        <v>0</v>
      </c>
      <c r="BB180" s="102">
        <f>VLOOKUP(L180,设备合同!$L$6:$CC$302,43,0)</f>
        <v>0</v>
      </c>
      <c r="BC180" s="102">
        <f>VLOOKUP(L180,设备合同!$L$6:$CC$302,44,0)</f>
        <v>0</v>
      </c>
      <c r="BD180" s="102">
        <f>VLOOKUP(L180,设备合同!$L$6:$CC$302,45,0)</f>
        <v>0</v>
      </c>
      <c r="BE180" s="102">
        <f>VLOOKUP(L180,设备合同!$L$6:$CC$302,46,0)</f>
        <v>0</v>
      </c>
      <c r="BF180" s="102">
        <f>VLOOKUP(L180,设备合同!$L$6:$CC$302,47,0)</f>
        <v>0</v>
      </c>
      <c r="BG180" s="102">
        <f>VLOOKUP(L180,设备合同!$L$6:$CC$302,48,0)</f>
        <v>0</v>
      </c>
      <c r="BH180" s="102">
        <f>VLOOKUP(L180,设备合同!$L$6:$CC$302,49,0)</f>
        <v>0</v>
      </c>
      <c r="BI180" s="102">
        <f>VLOOKUP(L180,设备合同!$L$6:$CC$302,50,0)</f>
        <v>0</v>
      </c>
      <c r="BJ180" s="102">
        <f>VLOOKUP(L180,设备合同!$L$6:$CC$302,51,0)</f>
        <v>0</v>
      </c>
      <c r="BK180" s="102">
        <f>VLOOKUP(L180,设备合同!$L$6:$CC$302,52,0)</f>
        <v>0</v>
      </c>
      <c r="BL180" s="102">
        <f>VLOOKUP(L180,设备合同!$L$6:$CC$302,53,0)</f>
        <v>0</v>
      </c>
      <c r="BM180" s="102">
        <f>VLOOKUP(L180,设备合同!$L$6:$CC$302,54,0)</f>
        <v>0</v>
      </c>
      <c r="BN180" s="102">
        <f>VLOOKUP(L180,设备合同!$L$6:$CC$302,55,0)</f>
        <v>0</v>
      </c>
      <c r="BO180" s="102">
        <f>VLOOKUP(L180,设备合同!$L$6:$CC$302,56,0)</f>
        <v>0</v>
      </c>
      <c r="BP180" s="102">
        <f>VLOOKUP(L180,设备合同!$L$6:$CC$302,57,0)</f>
        <v>0</v>
      </c>
      <c r="BQ180" s="102">
        <f>VLOOKUP(L180,设备合同!$L$6:$CC$302,58,0)</f>
        <v>0</v>
      </c>
      <c r="BR180" s="102">
        <f>VLOOKUP(L180,设备合同!$L$6:$CC$302,59,0)</f>
        <v>0</v>
      </c>
      <c r="BS180" s="102">
        <f>VLOOKUP(L180,设备合同!$L$6:$CC$302,60,0)</f>
        <v>0</v>
      </c>
      <c r="BT180" s="102">
        <f>VLOOKUP(L180,设备合同!$L$6:$CC$302,61,0)</f>
        <v>0</v>
      </c>
      <c r="BU180" s="102">
        <f>VLOOKUP(L180,设备合同!$L$6:$CC$302,62,0)</f>
        <v>0</v>
      </c>
      <c r="BV180" s="102">
        <f>VLOOKUP(L180,设备合同!$L$6:$CC$302,63,0)</f>
        <v>0</v>
      </c>
      <c r="BW180" s="102">
        <f>VLOOKUP(L180,设备合同!$L$6:$CC$302,64,0)</f>
        <v>0</v>
      </c>
      <c r="BX180" s="102">
        <f>VLOOKUP(L180,设备合同!$L$6:$CC$302,65,0)</f>
        <v>0</v>
      </c>
      <c r="BY180" s="102">
        <f>VLOOKUP(L180,设备合同!$L$6:$CC$302,66,0)</f>
        <v>0</v>
      </c>
      <c r="BZ180" s="102">
        <f>VLOOKUP(L180,设备合同!$L$6:$CC$302,67,0)</f>
        <v>0</v>
      </c>
      <c r="CA180" s="102">
        <f>VLOOKUP(L180,设备合同!$L$6:$CC$302,68,0)</f>
        <v>0</v>
      </c>
      <c r="CB180" s="102">
        <f>VLOOKUP(L180,设备合同!$L$6:$CC$302,69,0)</f>
        <v>0</v>
      </c>
      <c r="CC180" s="102">
        <f>VLOOKUP(L180,设备合同!$L$6:$CC$302,70,0)</f>
        <v>0</v>
      </c>
      <c r="CD180" s="123">
        <f t="shared" si="44"/>
        <v>1329837.7</v>
      </c>
      <c r="CE180" s="102">
        <f t="shared" si="45"/>
        <v>130969.75</v>
      </c>
      <c r="CF180" s="102">
        <f t="shared" si="46"/>
        <v>130969.75</v>
      </c>
      <c r="CG180" s="102">
        <f t="shared" si="47"/>
        <v>0</v>
      </c>
      <c r="CH180" s="124">
        <f t="shared" si="48"/>
        <v>1198867.95</v>
      </c>
      <c r="CI180" s="125">
        <f t="shared" si="49"/>
        <v>0.098485514435333</v>
      </c>
      <c r="CJ180" s="126" t="str">
        <f t="shared" si="50"/>
        <v>数据正确</v>
      </c>
    </row>
    <row r="181" s="60" customFormat="1" customHeight="1" spans="2:88">
      <c r="B181" s="70" t="str">
        <f t="shared" si="40"/>
        <v>-</v>
      </c>
      <c r="C181" s="71" t="str">
        <f t="shared" si="41"/>
        <v>-</v>
      </c>
      <c r="D181" s="181">
        <f t="shared" si="42"/>
        <v>350000</v>
      </c>
      <c r="E181" s="181">
        <f>SUMIF(设备合同!$L$6:$L$302,L181,设备合同!$E$6:$E$302)</f>
        <v>0</v>
      </c>
      <c r="F181" s="181">
        <f>SUMIF(设备合同!$L$6:$L$302,L181,设备合同!$F$6:$F$302)</f>
        <v>0</v>
      </c>
      <c r="G181" s="181">
        <f>SUMIF(设备合同!$L$6:$L$302,L181,设备合同!$G$6:$G$302)</f>
        <v>0</v>
      </c>
      <c r="H181" s="181">
        <f>SUMIF(设备合同!$L$6:$L$302,L181,设备合同!$H$6:$H$302)</f>
        <v>0</v>
      </c>
      <c r="I181" s="181">
        <f t="shared" si="43"/>
        <v>0</v>
      </c>
      <c r="J181" s="86" t="s">
        <v>98</v>
      </c>
      <c r="K181" s="87"/>
      <c r="L181" s="88">
        <v>176</v>
      </c>
      <c r="M181" s="89" t="str">
        <f>VLOOKUP(L181,设备合同!$L$6:$CC$302,2,0)</f>
        <v>YRKJEQ-170064</v>
      </c>
      <c r="N181" s="90" t="str">
        <f>VLOOKUP(L181,设备合同!$L$6:$CC$302,3,0)</f>
        <v>设备合同</v>
      </c>
      <c r="O181" s="265">
        <f>VLOOKUP(L181,设备合同!$L$6:$CC$302,4,0)</f>
        <v>2017060086</v>
      </c>
      <c r="P181" s="266">
        <f>VLOOKUP(L181,设备合同!$L$6:$CC$302,5,0)</f>
        <v>42943</v>
      </c>
      <c r="Q181" s="275">
        <f>VLOOKUP(L181,设备合同!$L$6:$CC$302,6,0)</f>
        <v>1750000</v>
      </c>
      <c r="R181" s="89" t="str">
        <f>VLOOKUP(L181,设备合同!$L$6:$CC$302,7,0)</f>
        <v>在线分析仪</v>
      </c>
      <c r="S181" s="89" t="str">
        <f>VLOOKUP(L181,设备合同!$L$6:$CC$302,8,0)</f>
        <v>深圳市博控实业有限公司</v>
      </c>
      <c r="T181" s="107">
        <f>VLOOKUP(L181,设备合同!$L$6:$CC$302,9,0)</f>
        <v>0</v>
      </c>
      <c r="U181" s="103" t="str">
        <f>VLOOKUP(L181,设备合同!$L$6:$CC$302,10,0)</f>
        <v>6个月承兑汇票/电汇无说明</v>
      </c>
      <c r="V181" s="276" t="str">
        <f>VLOOKUP(L181,设备合同!$L$6:$CC$302,11,0)</f>
        <v>甲方收到乙方20%的预付款保函以及本合同的20%专票（17%）后15个工作日支付20%货款</v>
      </c>
      <c r="W181" s="102">
        <f>VLOOKUP(L181,设备合同!$L$6:$CC$302,12,0)</f>
        <v>350000</v>
      </c>
      <c r="X181" s="102">
        <f>VLOOKUP(L181,设备合同!$L$6:$CC$302,13,0)</f>
        <v>350000</v>
      </c>
      <c r="Y181" s="102">
        <f>VLOOKUP(L181,设备合同!$L$6:$CC$302,14,0)</f>
        <v>350000</v>
      </c>
      <c r="Z181" s="102" t="str">
        <f>VLOOKUP(L181,设备合同!$L$6:$CC$302,15,0)</f>
        <v>甲方到乙方现场确认无误后，收到17%等额专票，15个工作日内支付40%发货款</v>
      </c>
      <c r="AA181" s="102">
        <f>VLOOKUP(L181,设备合同!$L$6:$CC$302,16,0)</f>
        <v>700000</v>
      </c>
      <c r="AB181" s="102">
        <f>VLOOKUP(L181,设备合同!$L$6:$CC$302,17,0)</f>
        <v>0</v>
      </c>
      <c r="AC181" s="102">
        <f>VLOOKUP(L181,设备合同!$L$6:$CC$302,18,0)</f>
        <v>0</v>
      </c>
      <c r="AD181" s="102" t="str">
        <f>VLOOKUP(L181,设备合同!$L$6:$CC$302,19,0)</f>
        <v>甲方收到核定的调试合格报告及全额的专票后15个工作日，支付30%调试款</v>
      </c>
      <c r="AE181" s="102">
        <f>VLOOKUP(L181,设备合同!$L$6:$CC$302,20,0)</f>
        <v>525000</v>
      </c>
      <c r="AF181" s="102">
        <f>VLOOKUP(L181,设备合同!$L$6:$CC$302,21,0)</f>
        <v>0</v>
      </c>
      <c r="AG181" s="102">
        <f>VLOOKUP(L181,设备合同!$L$6:$CC$302,22,0)</f>
        <v>0</v>
      </c>
      <c r="AH181" s="102" t="str">
        <f>VLOOKUP(L181,设备合同!$L$6:$CC$302,23,0)</f>
        <v>本合同的10%为质量保函，验收合格后18个月或货到现场24个月后，甲方退还乙方</v>
      </c>
      <c r="AI181" s="102">
        <f>VLOOKUP(L181,设备合同!$L$6:$CC$302,24,0)</f>
        <v>175000</v>
      </c>
      <c r="AJ181" s="102">
        <f>VLOOKUP(L181,设备合同!$L$6:$CC$302,25,0)</f>
        <v>0</v>
      </c>
      <c r="AK181" s="102">
        <f>VLOOKUP(L181,设备合同!$L$6:$CC$302,26,0)</f>
        <v>0</v>
      </c>
      <c r="AL181" s="102">
        <f>VLOOKUP(L181,设备合同!$L$6:$CC$302,27,0)</f>
        <v>0</v>
      </c>
      <c r="AM181" s="102">
        <f>VLOOKUP(L181,设备合同!$L$6:$CC$302,28,0)</f>
        <v>0</v>
      </c>
      <c r="AN181" s="102">
        <f>VLOOKUP(L181,设备合同!$L$6:$CC$302,29,0)</f>
        <v>0</v>
      </c>
      <c r="AO181" s="102">
        <f>VLOOKUP(L181,设备合同!$L$6:$CC$302,30,0)</f>
        <v>0</v>
      </c>
      <c r="AP181" s="102">
        <f>VLOOKUP(L181,设备合同!$L$6:$CC$302,31,0)</f>
        <v>0</v>
      </c>
      <c r="AQ181" s="102">
        <f>VLOOKUP(L181,设备合同!$L$6:$CC$302,32,0)</f>
        <v>0</v>
      </c>
      <c r="AR181" s="102">
        <f>VLOOKUP(L181,设备合同!$L$6:$CC$302,33,0)</f>
        <v>0</v>
      </c>
      <c r="AS181" s="102">
        <f>VLOOKUP(L181,设备合同!$L$6:$CC$302,34,0)</f>
        <v>0</v>
      </c>
      <c r="AT181" s="102">
        <f>VLOOKUP(L181,设备合同!$L$6:$CC$302,35,0)</f>
        <v>0</v>
      </c>
      <c r="AU181" s="102">
        <f>VLOOKUP(L181,设备合同!$L$6:$CC$302,36,0)</f>
        <v>0</v>
      </c>
      <c r="AV181" s="102">
        <f>VLOOKUP(L181,设备合同!$L$6:$CC$302,37,0)</f>
        <v>0</v>
      </c>
      <c r="AW181" s="102">
        <f>VLOOKUP(L181,设备合同!$L$6:$CC$302,38,0)</f>
        <v>0</v>
      </c>
      <c r="AX181" s="102">
        <f>VLOOKUP(L181,设备合同!$L$6:$CC$302,39,0)</f>
        <v>0</v>
      </c>
      <c r="AY181" s="102">
        <f>VLOOKUP(L181,设备合同!$L$6:$CC$302,40,0)</f>
        <v>0</v>
      </c>
      <c r="AZ181" s="102">
        <f>VLOOKUP(L181,设备合同!$L$6:$CC$302,41,0)</f>
        <v>0</v>
      </c>
      <c r="BA181" s="102">
        <f>VLOOKUP(L181,设备合同!$L$6:$CC$302,42,0)</f>
        <v>0</v>
      </c>
      <c r="BB181" s="102">
        <f>VLOOKUP(L181,设备合同!$L$6:$CC$302,43,0)</f>
        <v>0</v>
      </c>
      <c r="BC181" s="102">
        <f>VLOOKUP(L181,设备合同!$L$6:$CC$302,44,0)</f>
        <v>0</v>
      </c>
      <c r="BD181" s="102">
        <f>VLOOKUP(L181,设备合同!$L$6:$CC$302,45,0)</f>
        <v>0</v>
      </c>
      <c r="BE181" s="102">
        <f>VLOOKUP(L181,设备合同!$L$6:$CC$302,46,0)</f>
        <v>0</v>
      </c>
      <c r="BF181" s="102">
        <f>VLOOKUP(L181,设备合同!$L$6:$CC$302,47,0)</f>
        <v>0</v>
      </c>
      <c r="BG181" s="102">
        <f>VLOOKUP(L181,设备合同!$L$6:$CC$302,48,0)</f>
        <v>0</v>
      </c>
      <c r="BH181" s="102">
        <f>VLOOKUP(L181,设备合同!$L$6:$CC$302,49,0)</f>
        <v>0</v>
      </c>
      <c r="BI181" s="102">
        <f>VLOOKUP(L181,设备合同!$L$6:$CC$302,50,0)</f>
        <v>0</v>
      </c>
      <c r="BJ181" s="102">
        <f>VLOOKUP(L181,设备合同!$L$6:$CC$302,51,0)</f>
        <v>0</v>
      </c>
      <c r="BK181" s="102">
        <f>VLOOKUP(L181,设备合同!$L$6:$CC$302,52,0)</f>
        <v>0</v>
      </c>
      <c r="BL181" s="102">
        <f>VLOOKUP(L181,设备合同!$L$6:$CC$302,53,0)</f>
        <v>0</v>
      </c>
      <c r="BM181" s="102">
        <f>VLOOKUP(L181,设备合同!$L$6:$CC$302,54,0)</f>
        <v>0</v>
      </c>
      <c r="BN181" s="102">
        <f>VLOOKUP(L181,设备合同!$L$6:$CC$302,55,0)</f>
        <v>0</v>
      </c>
      <c r="BO181" s="102">
        <f>VLOOKUP(L181,设备合同!$L$6:$CC$302,56,0)</f>
        <v>0</v>
      </c>
      <c r="BP181" s="102">
        <f>VLOOKUP(L181,设备合同!$L$6:$CC$302,57,0)</f>
        <v>0</v>
      </c>
      <c r="BQ181" s="102">
        <f>VLOOKUP(L181,设备合同!$L$6:$CC$302,58,0)</f>
        <v>0</v>
      </c>
      <c r="BR181" s="102">
        <f>VLOOKUP(L181,设备合同!$L$6:$CC$302,59,0)</f>
        <v>0</v>
      </c>
      <c r="BS181" s="102">
        <f>VLOOKUP(L181,设备合同!$L$6:$CC$302,60,0)</f>
        <v>0</v>
      </c>
      <c r="BT181" s="102">
        <f>VLOOKUP(L181,设备合同!$L$6:$CC$302,61,0)</f>
        <v>0</v>
      </c>
      <c r="BU181" s="102">
        <f>VLOOKUP(L181,设备合同!$L$6:$CC$302,62,0)</f>
        <v>0</v>
      </c>
      <c r="BV181" s="102">
        <f>VLOOKUP(L181,设备合同!$L$6:$CC$302,63,0)</f>
        <v>0</v>
      </c>
      <c r="BW181" s="102">
        <f>VLOOKUP(L181,设备合同!$L$6:$CC$302,64,0)</f>
        <v>0</v>
      </c>
      <c r="BX181" s="102">
        <f>VLOOKUP(L181,设备合同!$L$6:$CC$302,65,0)</f>
        <v>0</v>
      </c>
      <c r="BY181" s="102">
        <f>VLOOKUP(L181,设备合同!$L$6:$CC$302,66,0)</f>
        <v>0</v>
      </c>
      <c r="BZ181" s="102">
        <f>VLOOKUP(L181,设备合同!$L$6:$CC$302,67,0)</f>
        <v>0</v>
      </c>
      <c r="CA181" s="102">
        <f>VLOOKUP(L181,设备合同!$L$6:$CC$302,68,0)</f>
        <v>0</v>
      </c>
      <c r="CB181" s="102">
        <f>VLOOKUP(L181,设备合同!$L$6:$CC$302,69,0)</f>
        <v>0</v>
      </c>
      <c r="CC181" s="102">
        <f>VLOOKUP(L181,设备合同!$L$6:$CC$302,70,0)</f>
        <v>0</v>
      </c>
      <c r="CD181" s="123">
        <f t="shared" si="44"/>
        <v>1750000</v>
      </c>
      <c r="CE181" s="102">
        <f t="shared" si="45"/>
        <v>350000</v>
      </c>
      <c r="CF181" s="102">
        <f t="shared" si="46"/>
        <v>350000</v>
      </c>
      <c r="CG181" s="102">
        <f t="shared" si="47"/>
        <v>0</v>
      </c>
      <c r="CH181" s="124">
        <f t="shared" si="48"/>
        <v>1400000</v>
      </c>
      <c r="CI181" s="125">
        <f t="shared" si="49"/>
        <v>0.2</v>
      </c>
      <c r="CJ181" s="126" t="str">
        <f t="shared" si="50"/>
        <v>数据正确</v>
      </c>
    </row>
    <row r="182" s="60" customFormat="1" customHeight="1" spans="2:88">
      <c r="B182" s="70" t="str">
        <f t="shared" si="40"/>
        <v>-</v>
      </c>
      <c r="C182" s="71" t="str">
        <f t="shared" si="41"/>
        <v>已付清</v>
      </c>
      <c r="D182" s="181">
        <f t="shared" si="42"/>
        <v>0.001</v>
      </c>
      <c r="E182" s="181">
        <f>SUMIF(服务合同!$L$6:$L$300,L182,服务合同!$E$6:$E$300)</f>
        <v>0</v>
      </c>
      <c r="F182" s="181">
        <f>SUMIF(服务合同!$L$6:$L$300,L182,服务合同!$F$6:$F$300)</f>
        <v>0</v>
      </c>
      <c r="G182" s="181">
        <f>SUMIF(服务合同!$L$6:$L$300,L182,服务合同!$G$6:$G$300)</f>
        <v>0</v>
      </c>
      <c r="H182" s="181">
        <f>SUMIF(服务合同!$L$6:$L$300,L182,服务合同!$H$6:$H$300)</f>
        <v>0</v>
      </c>
      <c r="I182" s="181">
        <f t="shared" si="43"/>
        <v>0</v>
      </c>
      <c r="J182" s="86" t="s">
        <v>98</v>
      </c>
      <c r="K182" s="87"/>
      <c r="L182" s="88">
        <v>177</v>
      </c>
      <c r="M182" s="89" t="str">
        <f>VLOOKUP(L182,服务合同!$L$6:$CC$300,2,0)</f>
        <v>YRKJGC-170033</v>
      </c>
      <c r="N182" s="90" t="str">
        <f>VLOOKUP(L182,服务合同!$L$6:$CC$300,3,0)</f>
        <v>服务合同</v>
      </c>
      <c r="O182" s="265">
        <f>VLOOKUP(L182,服务合同!$L$6:$CC$300,4,0)</f>
        <v>0</v>
      </c>
      <c r="P182" s="266">
        <f>VLOOKUP(L182,服务合同!$L$6:$CC$300,5,0)</f>
        <v>42924</v>
      </c>
      <c r="Q182" s="275">
        <f>VLOOKUP(L182,服务合同!$L$6:$CC$300,6,0)</f>
        <v>0.001</v>
      </c>
      <c r="R182" s="89" t="str">
        <f>VLOOKUP(L182,服务合同!$L$6:$CC$300,7,0)</f>
        <v>CPL项目设备监造技术服务</v>
      </c>
      <c r="S182" s="89" t="str">
        <f>VLOOKUP(L182,服务合同!$L$6:$CC$300,8,0)</f>
        <v>南京三方化工设备监理有限公司</v>
      </c>
      <c r="T182" s="107">
        <f>VLOOKUP(L182,服务合同!$L$6:$CC$300,9,0)</f>
        <v>0</v>
      </c>
      <c r="U182" s="103" t="str">
        <f>VLOOKUP(L182,服务合同!$L$6:$CC$300,10,0)</f>
        <v>电汇</v>
      </c>
      <c r="V182" s="276" t="str">
        <f>VLOOKUP(L182,服务合同!$L$6:$CC$300,11,0)</f>
        <v>每三个月结算一次，依据甲方签字确认考勤表和乙方付款申请单，乙方开具发票，支付90%，余10%乙方提交报告和工作总结，产品验收合格一年后支付</v>
      </c>
      <c r="W182" s="102">
        <f>VLOOKUP(L182,服务合同!$L$6:$CC$300,12,0)</f>
        <v>0.0009</v>
      </c>
      <c r="X182" s="102">
        <f>VLOOKUP(L182,服务合同!$L$6:$CC$300,13,0)</f>
        <v>0.001</v>
      </c>
      <c r="Y182" s="102">
        <f>VLOOKUP(L182,服务合同!$L$6:$CC$300,14,0)</f>
        <v>0.001</v>
      </c>
      <c r="Z182" s="102" t="str">
        <f>VLOOKUP(L182,服务合同!$L$6:$CC$300,15,0)</f>
        <v>每三个月结算一次，依据甲方签字确认考勤表和乙方付款申请单，乙方开具发票，支付90%，余10%乙方提交报告和工作总结，产品验收合格一年后支付</v>
      </c>
      <c r="AA182" s="102">
        <f>VLOOKUP(L182,服务合同!$L$6:$CC$300,16,0)</f>
        <v>0.0001</v>
      </c>
      <c r="AB182" s="102">
        <f>VLOOKUP(L182,服务合同!$L$6:$CC$300,17,0)</f>
        <v>0</v>
      </c>
      <c r="AC182" s="102">
        <f>VLOOKUP(L182,服务合同!$L$6:$CC$300,18,0)</f>
        <v>0</v>
      </c>
      <c r="AD182" s="102">
        <f>VLOOKUP(L182,服务合同!$L$6:$CC$300,19,0)</f>
        <v>0</v>
      </c>
      <c r="AE182" s="102">
        <f>VLOOKUP(L182,服务合同!$L$6:$CC$300,20,0)</f>
        <v>0</v>
      </c>
      <c r="AF182" s="102">
        <f>VLOOKUP(L182,服务合同!$L$6:$CC$300,21,0)</f>
        <v>0</v>
      </c>
      <c r="AG182" s="102">
        <f>VLOOKUP(L182,服务合同!$L$6:$CC$300,22,0)</f>
        <v>0</v>
      </c>
      <c r="AH182" s="102">
        <f>VLOOKUP(L182,服务合同!$L$6:$CC$300,23,0)</f>
        <v>0</v>
      </c>
      <c r="AI182" s="102">
        <f>VLOOKUP(L182,服务合同!$L$6:$CC$300,24,0)</f>
        <v>0</v>
      </c>
      <c r="AJ182" s="102">
        <f>VLOOKUP(L182,服务合同!$L$6:$CC$300,25,0)</f>
        <v>0</v>
      </c>
      <c r="AK182" s="102">
        <f>VLOOKUP(L182,服务合同!$L$6:$CC$300,26,0)</f>
        <v>0</v>
      </c>
      <c r="AL182" s="102">
        <f>VLOOKUP(L182,服务合同!$L$6:$CC$300,27,0)</f>
        <v>0</v>
      </c>
      <c r="AM182" s="102">
        <f>VLOOKUP(L182,服务合同!$L$6:$CC$300,28,0)</f>
        <v>0</v>
      </c>
      <c r="AN182" s="102">
        <f>VLOOKUP(L182,服务合同!$L$6:$CC$300,29,0)</f>
        <v>0</v>
      </c>
      <c r="AO182" s="102">
        <f>VLOOKUP(L182,服务合同!$L$6:$CC$300,30,0)</f>
        <v>0</v>
      </c>
      <c r="AP182" s="102">
        <f>VLOOKUP(L182,服务合同!$L$6:$CC$300,31,0)</f>
        <v>0</v>
      </c>
      <c r="AQ182" s="102">
        <f>VLOOKUP(L182,服务合同!$L$6:$CC$300,32,0)</f>
        <v>0</v>
      </c>
      <c r="AR182" s="102">
        <f>VLOOKUP(L182,服务合同!$L$6:$CC$300,33,0)</f>
        <v>0</v>
      </c>
      <c r="AS182" s="102">
        <f>VLOOKUP(L182,服务合同!$L$6:$CC$300,34,0)</f>
        <v>0</v>
      </c>
      <c r="AT182" s="102">
        <f>VLOOKUP(L182,服务合同!$L$6:$CC$300,35,0)</f>
        <v>0</v>
      </c>
      <c r="AU182" s="102">
        <f>VLOOKUP(L182,服务合同!$L$6:$CC$300,36,0)</f>
        <v>0</v>
      </c>
      <c r="AV182" s="102">
        <f>VLOOKUP(L182,服务合同!$L$6:$CC$300,37,0)</f>
        <v>0</v>
      </c>
      <c r="AW182" s="102">
        <f>VLOOKUP(L182,服务合同!$L$6:$CC$300,38,0)</f>
        <v>0</v>
      </c>
      <c r="AX182" s="102">
        <f>VLOOKUP(L182,服务合同!$L$6:$CC$300,39,0)</f>
        <v>0</v>
      </c>
      <c r="AY182" s="102">
        <f>VLOOKUP(L182,服务合同!$L$6:$CC$300,40,0)</f>
        <v>0</v>
      </c>
      <c r="AZ182" s="102">
        <f>VLOOKUP(L182,服务合同!$L$6:$CC$300,41,0)</f>
        <v>0</v>
      </c>
      <c r="BA182" s="102">
        <f>VLOOKUP(L182,服务合同!$L$6:$CC$300,42,0)</f>
        <v>0</v>
      </c>
      <c r="BB182" s="102">
        <f>VLOOKUP(L182,服务合同!$L$6:$CC$300,43,0)</f>
        <v>0</v>
      </c>
      <c r="BC182" s="102">
        <f>VLOOKUP(L182,服务合同!$L$6:$CC$300,44,0)</f>
        <v>0</v>
      </c>
      <c r="BD182" s="102">
        <f>VLOOKUP(L182,服务合同!$L$6:$CC$300,45,0)</f>
        <v>0</v>
      </c>
      <c r="BE182" s="102">
        <f>VLOOKUP(L182,服务合同!$L$6:$CC$300,46,0)</f>
        <v>0</v>
      </c>
      <c r="BF182" s="102">
        <f>VLOOKUP(L182,服务合同!$L$6:$CC$300,47,0)</f>
        <v>0</v>
      </c>
      <c r="BG182" s="102">
        <f>VLOOKUP(L182,服务合同!$L$6:$CC$300,48,0)</f>
        <v>0</v>
      </c>
      <c r="BH182" s="102">
        <f>VLOOKUP(L182,服务合同!$L$6:$CC$300,49,0)</f>
        <v>0</v>
      </c>
      <c r="BI182" s="102">
        <f>VLOOKUP(L182,服务合同!$L$6:$CC$300,50,0)</f>
        <v>0</v>
      </c>
      <c r="BJ182" s="102">
        <f>VLOOKUP(L182,服务合同!$L$6:$CC$300,51,0)</f>
        <v>0</v>
      </c>
      <c r="BK182" s="102">
        <f>VLOOKUP(L182,服务合同!$L$6:$CC$300,52,0)</f>
        <v>0</v>
      </c>
      <c r="BL182" s="102">
        <f>VLOOKUP(L182,服务合同!$L$6:$CC$300,53,0)</f>
        <v>0</v>
      </c>
      <c r="BM182" s="102">
        <f>VLOOKUP(L182,服务合同!$L$6:$CC$300,54,0)</f>
        <v>0</v>
      </c>
      <c r="BN182" s="102">
        <f>VLOOKUP(L182,服务合同!$L$6:$CC$300,55,0)</f>
        <v>0</v>
      </c>
      <c r="BO182" s="102">
        <f>VLOOKUP(L182,服务合同!$L$6:$CC$300,56,0)</f>
        <v>0</v>
      </c>
      <c r="BP182" s="102">
        <f>VLOOKUP(L182,服务合同!$L$6:$CC$300,57,0)</f>
        <v>0</v>
      </c>
      <c r="BQ182" s="102">
        <f>VLOOKUP(L182,服务合同!$L$6:$CC$300,58,0)</f>
        <v>0</v>
      </c>
      <c r="BR182" s="102">
        <f>VLOOKUP(L182,服务合同!$L$6:$CC$300,59,0)</f>
        <v>0</v>
      </c>
      <c r="BS182" s="102">
        <f>VLOOKUP(L182,服务合同!$L$6:$CC$300,60,0)</f>
        <v>0</v>
      </c>
      <c r="BT182" s="102">
        <f>VLOOKUP(L182,服务合同!$L$6:$CC$300,61,0)</f>
        <v>0</v>
      </c>
      <c r="BU182" s="102">
        <f>VLOOKUP(L182,服务合同!$L$6:$CC$300,62,0)</f>
        <v>0</v>
      </c>
      <c r="BV182" s="102">
        <f>VLOOKUP(L182,服务合同!$L$6:$CC$300,63,0)</f>
        <v>0</v>
      </c>
      <c r="BW182" s="102">
        <f>VLOOKUP(L182,服务合同!$L$6:$CC$300,64,0)</f>
        <v>0</v>
      </c>
      <c r="BX182" s="102">
        <f>VLOOKUP(L182,服务合同!$L$6:$CC$300,65,0)</f>
        <v>0</v>
      </c>
      <c r="BY182" s="102">
        <f>VLOOKUP(L182,服务合同!$L$6:$CC$300,66,0)</f>
        <v>0</v>
      </c>
      <c r="BZ182" s="102">
        <f>VLOOKUP(L182,服务合同!$L$6:$CC$300,67,0)</f>
        <v>0</v>
      </c>
      <c r="CA182" s="102">
        <f>VLOOKUP(L182,服务合同!$L$6:$CC$300,68,0)</f>
        <v>0</v>
      </c>
      <c r="CB182" s="102">
        <f>VLOOKUP(L182,服务合同!$L$6:$CC$300,69,0)</f>
        <v>0</v>
      </c>
      <c r="CC182" s="102">
        <f>VLOOKUP(L182,服务合同!$L$6:$CC$300,70,0)</f>
        <v>0</v>
      </c>
      <c r="CD182" s="123">
        <f t="shared" si="44"/>
        <v>0.001</v>
      </c>
      <c r="CE182" s="102">
        <f t="shared" si="45"/>
        <v>0.001</v>
      </c>
      <c r="CF182" s="102">
        <f t="shared" si="46"/>
        <v>0.001</v>
      </c>
      <c r="CG182" s="102">
        <f t="shared" si="47"/>
        <v>0</v>
      </c>
      <c r="CH182" s="124">
        <f t="shared" si="48"/>
        <v>0</v>
      </c>
      <c r="CI182" s="125">
        <f t="shared" si="49"/>
        <v>1</v>
      </c>
      <c r="CJ182" s="126" t="str">
        <f t="shared" si="50"/>
        <v>数据正确</v>
      </c>
    </row>
    <row r="183" s="60" customFormat="1" customHeight="1" spans="2:88">
      <c r="B183" s="70" t="str">
        <f t="shared" si="40"/>
        <v>-</v>
      </c>
      <c r="C183" s="71" t="str">
        <f t="shared" si="41"/>
        <v>已付清</v>
      </c>
      <c r="D183" s="181">
        <f t="shared" si="42"/>
        <v>0.001</v>
      </c>
      <c r="E183" s="181">
        <f>SUMIF(服务合同!$L$6:$L$300,L183,服务合同!$E$6:$E$300)</f>
        <v>0</v>
      </c>
      <c r="F183" s="181">
        <f>SUMIF(服务合同!$L$6:$L$300,L183,服务合同!$F$6:$F$300)</f>
        <v>0</v>
      </c>
      <c r="G183" s="181">
        <f>SUMIF(服务合同!$L$6:$L$300,L183,服务合同!$G$6:$G$300)</f>
        <v>0</v>
      </c>
      <c r="H183" s="181">
        <f>SUMIF(服务合同!$L$6:$L$300,L183,服务合同!$H$6:$H$300)</f>
        <v>0</v>
      </c>
      <c r="I183" s="181">
        <f t="shared" si="43"/>
        <v>0</v>
      </c>
      <c r="J183" s="86" t="s">
        <v>98</v>
      </c>
      <c r="K183" s="87"/>
      <c r="L183" s="88">
        <v>178</v>
      </c>
      <c r="M183" s="89" t="str">
        <f>VLOOKUP(L183,服务合同!$L$6:$CC$300,2,0)</f>
        <v>YRKJGC-170034</v>
      </c>
      <c r="N183" s="90" t="str">
        <f>VLOOKUP(L183,服务合同!$L$6:$CC$300,3,0)</f>
        <v>服务合同</v>
      </c>
      <c r="O183" s="265">
        <f>VLOOKUP(L183,服务合同!$L$6:$CC$300,4,0)</f>
        <v>0</v>
      </c>
      <c r="P183" s="266">
        <f>VLOOKUP(L183,服务合同!$L$6:$CC$300,5,0)</f>
        <v>42928</v>
      </c>
      <c r="Q183" s="275">
        <f>VLOOKUP(L183,服务合同!$L$6:$CC$300,6,0)</f>
        <v>0.001</v>
      </c>
      <c r="R183" s="89" t="str">
        <f>VLOOKUP(L183,服务合同!$L$6:$CC$300,7,0)</f>
        <v>CPL项目设备监造技术服务</v>
      </c>
      <c r="S183" s="89" t="str">
        <f>VLOOKUP(L183,服务合同!$L$6:$CC$300,8,0)</f>
        <v>合肥通安工程机械设备监理有限公司</v>
      </c>
      <c r="T183" s="107">
        <f>VLOOKUP(L183,服务合同!$L$6:$CC$300,9,0)</f>
        <v>0</v>
      </c>
      <c r="U183" s="103" t="str">
        <f>VLOOKUP(L183,服务合同!$L$6:$CC$300,10,0)</f>
        <v>电汇</v>
      </c>
      <c r="V183" s="276" t="str">
        <f>VLOOKUP(L183,服务合同!$L$6:$CC$300,11,0)</f>
        <v>每三个月结算一次，依据甲方签字确认考勤表和乙方付款申请单，乙方开具发票，支付90%，余10%乙方提交报告和工作总结，产品验收合格一年后支付</v>
      </c>
      <c r="W183" s="102">
        <f>VLOOKUP(L183,服务合同!$L$6:$CC$300,12,0)</f>
        <v>0.0009</v>
      </c>
      <c r="X183" s="102">
        <f>VLOOKUP(L183,服务合同!$L$6:$CC$300,13,0)</f>
        <v>0.001</v>
      </c>
      <c r="Y183" s="102">
        <f>VLOOKUP(L183,服务合同!$L$6:$CC$300,14,0)</f>
        <v>0.001</v>
      </c>
      <c r="Z183" s="102" t="str">
        <f>VLOOKUP(L183,服务合同!$L$6:$CC$300,15,0)</f>
        <v>每三个月结算一次，依据甲方签字确认考勤表和乙方付款申请单，乙方开具发票，支付90%，余10%乙方提交报告和工作总结，产品验收合格一年后支付</v>
      </c>
      <c r="AA183" s="102">
        <f>VLOOKUP(L183,服务合同!$L$6:$CC$300,16,0)</f>
        <v>0.0001</v>
      </c>
      <c r="AB183" s="102">
        <f>VLOOKUP(L183,服务合同!$L$6:$CC$300,17,0)</f>
        <v>0</v>
      </c>
      <c r="AC183" s="102">
        <f>VLOOKUP(L183,服务合同!$L$6:$CC$300,18,0)</f>
        <v>0</v>
      </c>
      <c r="AD183" s="102">
        <f>VLOOKUP(L183,服务合同!$L$6:$CC$300,19,0)</f>
        <v>0</v>
      </c>
      <c r="AE183" s="102">
        <f>VLOOKUP(L183,服务合同!$L$6:$CC$300,20,0)</f>
        <v>0</v>
      </c>
      <c r="AF183" s="102">
        <f>VLOOKUP(L183,服务合同!$L$6:$CC$300,21,0)</f>
        <v>0</v>
      </c>
      <c r="AG183" s="102">
        <f>VLOOKUP(L183,服务合同!$L$6:$CC$300,22,0)</f>
        <v>0</v>
      </c>
      <c r="AH183" s="102">
        <f>VLOOKUP(L183,服务合同!$L$6:$CC$300,23,0)</f>
        <v>0</v>
      </c>
      <c r="AI183" s="102">
        <f>VLOOKUP(L183,服务合同!$L$6:$CC$300,24,0)</f>
        <v>0</v>
      </c>
      <c r="AJ183" s="102">
        <f>VLOOKUP(L183,服务合同!$L$6:$CC$300,25,0)</f>
        <v>0</v>
      </c>
      <c r="AK183" s="102">
        <f>VLOOKUP(L183,服务合同!$L$6:$CC$300,26,0)</f>
        <v>0</v>
      </c>
      <c r="AL183" s="102">
        <f>VLOOKUP(L183,服务合同!$L$6:$CC$300,27,0)</f>
        <v>0</v>
      </c>
      <c r="AM183" s="102">
        <f>VLOOKUP(L183,服务合同!$L$6:$CC$300,28,0)</f>
        <v>0</v>
      </c>
      <c r="AN183" s="102">
        <f>VLOOKUP(L183,服务合同!$L$6:$CC$300,29,0)</f>
        <v>0</v>
      </c>
      <c r="AO183" s="102">
        <f>VLOOKUP(L183,服务合同!$L$6:$CC$300,30,0)</f>
        <v>0</v>
      </c>
      <c r="AP183" s="102">
        <f>VLOOKUP(L183,服务合同!$L$6:$CC$300,31,0)</f>
        <v>0</v>
      </c>
      <c r="AQ183" s="102">
        <f>VLOOKUP(L183,服务合同!$L$6:$CC$300,32,0)</f>
        <v>0</v>
      </c>
      <c r="AR183" s="102">
        <f>VLOOKUP(L183,服务合同!$L$6:$CC$300,33,0)</f>
        <v>0</v>
      </c>
      <c r="AS183" s="102">
        <f>VLOOKUP(L183,服务合同!$L$6:$CC$300,34,0)</f>
        <v>0</v>
      </c>
      <c r="AT183" s="102">
        <f>VLOOKUP(L183,服务合同!$L$6:$CC$300,35,0)</f>
        <v>0</v>
      </c>
      <c r="AU183" s="102">
        <f>VLOOKUP(L183,服务合同!$L$6:$CC$300,36,0)</f>
        <v>0</v>
      </c>
      <c r="AV183" s="102">
        <f>VLOOKUP(L183,服务合同!$L$6:$CC$300,37,0)</f>
        <v>0</v>
      </c>
      <c r="AW183" s="102">
        <f>VLOOKUP(L183,服务合同!$L$6:$CC$300,38,0)</f>
        <v>0</v>
      </c>
      <c r="AX183" s="102">
        <f>VLOOKUP(L183,服务合同!$L$6:$CC$300,39,0)</f>
        <v>0</v>
      </c>
      <c r="AY183" s="102">
        <f>VLOOKUP(L183,服务合同!$L$6:$CC$300,40,0)</f>
        <v>0</v>
      </c>
      <c r="AZ183" s="102">
        <f>VLOOKUP(L183,服务合同!$L$6:$CC$300,41,0)</f>
        <v>0</v>
      </c>
      <c r="BA183" s="102">
        <f>VLOOKUP(L183,服务合同!$L$6:$CC$300,42,0)</f>
        <v>0</v>
      </c>
      <c r="BB183" s="102">
        <f>VLOOKUP(L183,服务合同!$L$6:$CC$300,43,0)</f>
        <v>0</v>
      </c>
      <c r="BC183" s="102">
        <f>VLOOKUP(L183,服务合同!$L$6:$CC$300,44,0)</f>
        <v>0</v>
      </c>
      <c r="BD183" s="102">
        <f>VLOOKUP(L183,服务合同!$L$6:$CC$300,45,0)</f>
        <v>0</v>
      </c>
      <c r="BE183" s="102">
        <f>VLOOKUP(L183,服务合同!$L$6:$CC$300,46,0)</f>
        <v>0</v>
      </c>
      <c r="BF183" s="102">
        <f>VLOOKUP(L183,服务合同!$L$6:$CC$300,47,0)</f>
        <v>0</v>
      </c>
      <c r="BG183" s="102">
        <f>VLOOKUP(L183,服务合同!$L$6:$CC$300,48,0)</f>
        <v>0</v>
      </c>
      <c r="BH183" s="102">
        <f>VLOOKUP(L183,服务合同!$L$6:$CC$300,49,0)</f>
        <v>0</v>
      </c>
      <c r="BI183" s="102">
        <f>VLOOKUP(L183,服务合同!$L$6:$CC$300,50,0)</f>
        <v>0</v>
      </c>
      <c r="BJ183" s="102">
        <f>VLOOKUP(L183,服务合同!$L$6:$CC$300,51,0)</f>
        <v>0</v>
      </c>
      <c r="BK183" s="102">
        <f>VLOOKUP(L183,服务合同!$L$6:$CC$300,52,0)</f>
        <v>0</v>
      </c>
      <c r="BL183" s="102">
        <f>VLOOKUP(L183,服务合同!$L$6:$CC$300,53,0)</f>
        <v>0</v>
      </c>
      <c r="BM183" s="102">
        <f>VLOOKUP(L183,服务合同!$L$6:$CC$300,54,0)</f>
        <v>0</v>
      </c>
      <c r="BN183" s="102">
        <f>VLOOKUP(L183,服务合同!$L$6:$CC$300,55,0)</f>
        <v>0</v>
      </c>
      <c r="BO183" s="102">
        <f>VLOOKUP(L183,服务合同!$L$6:$CC$300,56,0)</f>
        <v>0</v>
      </c>
      <c r="BP183" s="102">
        <f>VLOOKUP(L183,服务合同!$L$6:$CC$300,57,0)</f>
        <v>0</v>
      </c>
      <c r="BQ183" s="102">
        <f>VLOOKUP(L183,服务合同!$L$6:$CC$300,58,0)</f>
        <v>0</v>
      </c>
      <c r="BR183" s="102">
        <f>VLOOKUP(L183,服务合同!$L$6:$CC$300,59,0)</f>
        <v>0</v>
      </c>
      <c r="BS183" s="102">
        <f>VLOOKUP(L183,服务合同!$L$6:$CC$300,60,0)</f>
        <v>0</v>
      </c>
      <c r="BT183" s="102">
        <f>VLOOKUP(L183,服务合同!$L$6:$CC$300,61,0)</f>
        <v>0</v>
      </c>
      <c r="BU183" s="102">
        <f>VLOOKUP(L183,服务合同!$L$6:$CC$300,62,0)</f>
        <v>0</v>
      </c>
      <c r="BV183" s="102">
        <f>VLOOKUP(L183,服务合同!$L$6:$CC$300,63,0)</f>
        <v>0</v>
      </c>
      <c r="BW183" s="102">
        <f>VLOOKUP(L183,服务合同!$L$6:$CC$300,64,0)</f>
        <v>0</v>
      </c>
      <c r="BX183" s="102">
        <f>VLOOKUP(L183,服务合同!$L$6:$CC$300,65,0)</f>
        <v>0</v>
      </c>
      <c r="BY183" s="102">
        <f>VLOOKUP(L183,服务合同!$L$6:$CC$300,66,0)</f>
        <v>0</v>
      </c>
      <c r="BZ183" s="102">
        <f>VLOOKUP(L183,服务合同!$L$6:$CC$300,67,0)</f>
        <v>0</v>
      </c>
      <c r="CA183" s="102">
        <f>VLOOKUP(L183,服务合同!$L$6:$CC$300,68,0)</f>
        <v>0</v>
      </c>
      <c r="CB183" s="102">
        <f>VLOOKUP(L183,服务合同!$L$6:$CC$300,69,0)</f>
        <v>0</v>
      </c>
      <c r="CC183" s="102">
        <f>VLOOKUP(L183,服务合同!$L$6:$CC$300,70,0)</f>
        <v>0</v>
      </c>
      <c r="CD183" s="123">
        <f t="shared" si="44"/>
        <v>0.001</v>
      </c>
      <c r="CE183" s="102">
        <f t="shared" si="45"/>
        <v>0.001</v>
      </c>
      <c r="CF183" s="102">
        <f t="shared" si="46"/>
        <v>0.001</v>
      </c>
      <c r="CG183" s="102">
        <f t="shared" si="47"/>
        <v>0</v>
      </c>
      <c r="CH183" s="124">
        <f t="shared" si="48"/>
        <v>0</v>
      </c>
      <c r="CI183" s="125">
        <f t="shared" si="49"/>
        <v>1</v>
      </c>
      <c r="CJ183" s="126" t="str">
        <f t="shared" si="50"/>
        <v>数据正确</v>
      </c>
    </row>
    <row r="184" s="60" customFormat="1" customHeight="1" spans="2:88">
      <c r="B184" s="70" t="str">
        <f t="shared" si="40"/>
        <v>-</v>
      </c>
      <c r="C184" s="71" t="str">
        <f t="shared" si="41"/>
        <v>-</v>
      </c>
      <c r="D184" s="181">
        <f t="shared" si="42"/>
        <v>0</v>
      </c>
      <c r="E184" s="181">
        <f>SUMIF(行政合同!$L$6:$L$300,L184,行政合同!$E$6:$E$300)</f>
        <v>0</v>
      </c>
      <c r="F184" s="181">
        <f>SUMIF(行政合同!$L$6:$L$300,L184,行政合同!$F$6:$F$300)</f>
        <v>0</v>
      </c>
      <c r="G184" s="181">
        <f>SUMIF(行政合同!$L$6:$L$300,L184,行政合同!$G$6:$G$300)</f>
        <v>0</v>
      </c>
      <c r="H184" s="181">
        <f>SUMIF(行政合同!$L$6:$L$300,L184,行政合同!$H$6:$H$300)</f>
        <v>0</v>
      </c>
      <c r="I184" s="181">
        <f t="shared" si="43"/>
        <v>0</v>
      </c>
      <c r="J184" s="86" t="s">
        <v>98</v>
      </c>
      <c r="K184" s="87"/>
      <c r="L184" s="88">
        <v>179</v>
      </c>
      <c r="M184" s="89" t="str">
        <f>VLOOKUP(L184,行政合同!$L$6:$CC$300,2,0)</f>
        <v>YRKJXZ-170012</v>
      </c>
      <c r="N184" s="90" t="str">
        <f>VLOOKUP(L184,行政合同!$L$6:$CC$300,3,0)</f>
        <v>行政合同</v>
      </c>
      <c r="O184" s="265" t="str">
        <f>VLOOKUP(L184,行政合同!$L$6:$CC$300,4,0)</f>
        <v>-</v>
      </c>
      <c r="P184" s="266">
        <f>VLOOKUP(L184,行政合同!$L$6:$CC$300,5,0)</f>
        <v>42937</v>
      </c>
      <c r="Q184" s="275">
        <f>VLOOKUP(L184,行政合同!$L$6:$CC$300,6,0)</f>
        <v>948068</v>
      </c>
      <c r="R184" s="89" t="str">
        <f>VLOOKUP(L184,行政合同!$L$6:$CC$300,7,0)</f>
        <v>5#、6#宿舍楼冰箱家具</v>
      </c>
      <c r="S184" s="89" t="str">
        <f>VLOOKUP(L184,行政合同!$L$6:$CC$300,8,0)</f>
        <v>福建鸿达家具有限公司</v>
      </c>
      <c r="T184" s="107">
        <f>VLOOKUP(L184,行政合同!$L$6:$CC$300,9,0)</f>
        <v>0</v>
      </c>
      <c r="U184" s="103" t="str">
        <f>VLOOKUP(L184,行政合同!$L$6:$CC$300,10,0)</f>
        <v>6个月承兑汇票/电汇无说明</v>
      </c>
      <c r="V184" s="276" t="str">
        <f>VLOOKUP(L184,行政合同!$L$6:$CC$300,11,0)</f>
        <v>甲方收到货款验收合格以及全额的发票后15个工作日支付90%的货款</v>
      </c>
      <c r="W184" s="102">
        <f>VLOOKUP(L184,行政合同!$L$6:$CC$300,12,0)</f>
        <v>853261.2</v>
      </c>
      <c r="X184" s="102">
        <f>VLOOKUP(L184,行政合同!$L$6:$CC$300,13,0)</f>
        <v>0</v>
      </c>
      <c r="Y184" s="102">
        <f>VLOOKUP(L184,行政合同!$L$6:$CC$300,14,0)</f>
        <v>0</v>
      </c>
      <c r="Z184" s="102" t="str">
        <f>VLOOKUP(L184,行政合同!$L$6:$CC$300,15,0)</f>
        <v>10%质量保证金，验收合格后12个月支付</v>
      </c>
      <c r="AA184" s="102">
        <f>VLOOKUP(L184,行政合同!$L$6:$CC$300,16,0)</f>
        <v>94806.8</v>
      </c>
      <c r="AB184" s="102">
        <f>VLOOKUP(L184,行政合同!$L$6:$CC$300,17,0)</f>
        <v>0</v>
      </c>
      <c r="AC184" s="102">
        <f>VLOOKUP(L184,行政合同!$L$6:$CC$300,18,0)</f>
        <v>0</v>
      </c>
      <c r="AD184" s="102">
        <f>VLOOKUP(L184,行政合同!$L$6:$CC$300,19,0)</f>
        <v>0</v>
      </c>
      <c r="AE184" s="102">
        <f>VLOOKUP(L184,行政合同!$L$6:$CC$300,20,0)</f>
        <v>0</v>
      </c>
      <c r="AF184" s="102">
        <f>VLOOKUP(L184,行政合同!$L$6:$CC$300,21,0)</f>
        <v>0</v>
      </c>
      <c r="AG184" s="102">
        <f>VLOOKUP(L184,行政合同!$L$6:$CC$300,22,0)</f>
        <v>0</v>
      </c>
      <c r="AH184" s="102">
        <f>VLOOKUP(L184,行政合同!$L$6:$CC$300,23,0)</f>
        <v>0</v>
      </c>
      <c r="AI184" s="102">
        <f>VLOOKUP(L184,行政合同!$L$6:$CC$300,24,0)</f>
        <v>0</v>
      </c>
      <c r="AJ184" s="102">
        <f>VLOOKUP(L184,行政合同!$L$6:$CC$300,25,0)</f>
        <v>0</v>
      </c>
      <c r="AK184" s="102">
        <f>VLOOKUP(L184,行政合同!$L$6:$CC$300,26,0)</f>
        <v>0</v>
      </c>
      <c r="AL184" s="102">
        <f>VLOOKUP(L184,行政合同!$L$6:$CC$300,27,0)</f>
        <v>0</v>
      </c>
      <c r="AM184" s="102">
        <f>VLOOKUP(L184,行政合同!$L$6:$CC$300,28,0)</f>
        <v>0</v>
      </c>
      <c r="AN184" s="102">
        <f>VLOOKUP(L184,行政合同!$L$6:$CC$300,29,0)</f>
        <v>0</v>
      </c>
      <c r="AO184" s="102">
        <f>VLOOKUP(L184,行政合同!$L$6:$CC$300,30,0)</f>
        <v>0</v>
      </c>
      <c r="AP184" s="102">
        <f>VLOOKUP(L184,行政合同!$L$6:$CC$300,31,0)</f>
        <v>0</v>
      </c>
      <c r="AQ184" s="102">
        <f>VLOOKUP(L184,行政合同!$L$6:$CC$300,32,0)</f>
        <v>0</v>
      </c>
      <c r="AR184" s="102">
        <f>VLOOKUP(L184,行政合同!$L$6:$CC$300,33,0)</f>
        <v>0</v>
      </c>
      <c r="AS184" s="102">
        <f>VLOOKUP(L184,行政合同!$L$6:$CC$300,34,0)</f>
        <v>0</v>
      </c>
      <c r="AT184" s="102">
        <f>VLOOKUP(L184,行政合同!$L$6:$CC$300,35,0)</f>
        <v>0</v>
      </c>
      <c r="AU184" s="102">
        <f>VLOOKUP(L184,行政合同!$L$6:$CC$300,36,0)</f>
        <v>0</v>
      </c>
      <c r="AV184" s="102">
        <f>VLOOKUP(L184,行政合同!$L$6:$CC$300,37,0)</f>
        <v>0</v>
      </c>
      <c r="AW184" s="102">
        <f>VLOOKUP(L184,行政合同!$L$6:$CC$300,38,0)</f>
        <v>0</v>
      </c>
      <c r="AX184" s="102">
        <f>VLOOKUP(L184,行政合同!$L$6:$CC$300,39,0)</f>
        <v>0</v>
      </c>
      <c r="AY184" s="102">
        <f>VLOOKUP(L184,行政合同!$L$6:$CC$300,40,0)</f>
        <v>0</v>
      </c>
      <c r="AZ184" s="102">
        <f>VLOOKUP(L184,行政合同!$L$6:$CC$300,41,0)</f>
        <v>0</v>
      </c>
      <c r="BA184" s="102">
        <f>VLOOKUP(L184,行政合同!$L$6:$CC$300,42,0)</f>
        <v>0</v>
      </c>
      <c r="BB184" s="102">
        <f>VLOOKUP(L184,行政合同!$L$6:$CC$300,43,0)</f>
        <v>0</v>
      </c>
      <c r="BC184" s="102">
        <f>VLOOKUP(L184,行政合同!$L$6:$CC$300,44,0)</f>
        <v>0</v>
      </c>
      <c r="BD184" s="102">
        <f>VLOOKUP(L184,行政合同!$L$6:$CC$300,45,0)</f>
        <v>0</v>
      </c>
      <c r="BE184" s="102">
        <f>VLOOKUP(L184,行政合同!$L$6:$CC$300,46,0)</f>
        <v>0</v>
      </c>
      <c r="BF184" s="102">
        <f>VLOOKUP(L184,行政合同!$L$6:$CC$300,47,0)</f>
        <v>0</v>
      </c>
      <c r="BG184" s="102">
        <f>VLOOKUP(L184,行政合同!$L$6:$CC$300,48,0)</f>
        <v>0</v>
      </c>
      <c r="BH184" s="102">
        <f>VLOOKUP(L184,行政合同!$L$6:$CC$300,49,0)</f>
        <v>0</v>
      </c>
      <c r="BI184" s="102">
        <f>VLOOKUP(L184,行政合同!$L$6:$CC$300,50,0)</f>
        <v>0</v>
      </c>
      <c r="BJ184" s="102">
        <f>VLOOKUP(L184,行政合同!$L$6:$CC$300,51,0)</f>
        <v>0</v>
      </c>
      <c r="BK184" s="102">
        <f>VLOOKUP(L184,行政合同!$L$6:$CC$300,52,0)</f>
        <v>0</v>
      </c>
      <c r="BL184" s="102">
        <f>VLOOKUP(L184,行政合同!$L$6:$CC$300,53,0)</f>
        <v>0</v>
      </c>
      <c r="BM184" s="102">
        <f>VLOOKUP(L184,行政合同!$L$6:$CC$300,54,0)</f>
        <v>0</v>
      </c>
      <c r="BN184" s="102">
        <f>VLOOKUP(L184,行政合同!$L$6:$CC$300,55,0)</f>
        <v>0</v>
      </c>
      <c r="BO184" s="102">
        <f>VLOOKUP(L184,行政合同!$L$6:$CC$300,56,0)</f>
        <v>0</v>
      </c>
      <c r="BP184" s="102">
        <f>VLOOKUP(L184,行政合同!$L$6:$CC$300,57,0)</f>
        <v>0</v>
      </c>
      <c r="BQ184" s="102">
        <f>VLOOKUP(L184,行政合同!$L$6:$CC$300,58,0)</f>
        <v>0</v>
      </c>
      <c r="BR184" s="102">
        <f>VLOOKUP(L184,行政合同!$L$6:$CC$300,59,0)</f>
        <v>0</v>
      </c>
      <c r="BS184" s="102">
        <f>VLOOKUP(L184,行政合同!$L$6:$CC$300,60,0)</f>
        <v>0</v>
      </c>
      <c r="BT184" s="102">
        <f>VLOOKUP(L184,行政合同!$L$6:$CC$300,61,0)</f>
        <v>0</v>
      </c>
      <c r="BU184" s="102">
        <f>VLOOKUP(L184,行政合同!$L$6:$CC$300,62,0)</f>
        <v>0</v>
      </c>
      <c r="BV184" s="102">
        <f>VLOOKUP(L184,行政合同!$L$6:$CC$300,63,0)</f>
        <v>0</v>
      </c>
      <c r="BW184" s="102">
        <f>VLOOKUP(L184,行政合同!$L$6:$CC$300,64,0)</f>
        <v>0</v>
      </c>
      <c r="BX184" s="102">
        <f>VLOOKUP(L184,行政合同!$L$6:$CC$300,65,0)</f>
        <v>0</v>
      </c>
      <c r="BY184" s="102">
        <f>VLOOKUP(L184,行政合同!$L$6:$CC$300,66,0)</f>
        <v>0</v>
      </c>
      <c r="BZ184" s="102">
        <f>VLOOKUP(L184,行政合同!$L$6:$CC$300,67,0)</f>
        <v>0</v>
      </c>
      <c r="CA184" s="102">
        <f>VLOOKUP(L184,行政合同!$L$6:$CC$300,68,0)</f>
        <v>0</v>
      </c>
      <c r="CB184" s="102">
        <f>VLOOKUP(L184,行政合同!$L$6:$CC$300,69,0)</f>
        <v>0</v>
      </c>
      <c r="CC184" s="102">
        <f>VLOOKUP(L184,行政合同!$L$6:$CC$300,70,0)</f>
        <v>0</v>
      </c>
      <c r="CD184" s="123">
        <f t="shared" si="44"/>
        <v>948068</v>
      </c>
      <c r="CE184" s="102">
        <f t="shared" si="45"/>
        <v>0</v>
      </c>
      <c r="CF184" s="102">
        <f t="shared" si="46"/>
        <v>0</v>
      </c>
      <c r="CG184" s="102">
        <f t="shared" si="47"/>
        <v>0</v>
      </c>
      <c r="CH184" s="124">
        <f t="shared" si="48"/>
        <v>948068</v>
      </c>
      <c r="CI184" s="125">
        <f t="shared" si="49"/>
        <v>0</v>
      </c>
      <c r="CJ184" s="126" t="str">
        <f t="shared" si="50"/>
        <v>数据正确</v>
      </c>
    </row>
    <row r="185" s="60" customFormat="1" customHeight="1" spans="2:88">
      <c r="B185" s="70" t="str">
        <f t="shared" si="40"/>
        <v>-</v>
      </c>
      <c r="C185" s="71" t="str">
        <f t="shared" si="41"/>
        <v>-</v>
      </c>
      <c r="D185" s="181">
        <f t="shared" si="42"/>
        <v>0</v>
      </c>
      <c r="E185" s="181">
        <f>SUMIF(材料合同!$L$6:$L$305,L185,材料合同!$E$6:$E$305)</f>
        <v>0</v>
      </c>
      <c r="F185" s="181">
        <f>SUMIF(材料合同!$L$6:$L$305,L185,材料合同!$F$6:$F$305)</f>
        <v>0</v>
      </c>
      <c r="G185" s="181">
        <f>SUMIF(材料合同!$L$6:$L$305,L185,材料合同!$G$6:$G$305)</f>
        <v>0</v>
      </c>
      <c r="H185" s="181">
        <f>SUMIF(材料合同!$L$6:$L$305,L185,材料合同!$H$6:$H$305)</f>
        <v>0</v>
      </c>
      <c r="I185" s="181">
        <f t="shared" si="43"/>
        <v>0</v>
      </c>
      <c r="J185" s="86" t="s">
        <v>98</v>
      </c>
      <c r="K185" s="87"/>
      <c r="L185" s="88">
        <v>180</v>
      </c>
      <c r="M185" s="89" t="str">
        <f>VLOOKUP(L185,材料合同!$L$6:$CC$305,2,0)</f>
        <v>YRKJXZ-170023</v>
      </c>
      <c r="N185" s="90" t="str">
        <f>VLOOKUP(L185,材料合同!$L$6:$CC$305,3,0)</f>
        <v>材料合同</v>
      </c>
      <c r="O185" s="265">
        <f>VLOOKUP(L185,材料合同!$L$6:$CC$305,4,0)</f>
        <v>0</v>
      </c>
      <c r="P185" s="266">
        <f>VLOOKUP(L185,材料合同!$L$6:$CC$305,5,0)</f>
        <v>42922</v>
      </c>
      <c r="Q185" s="275">
        <f>VLOOKUP(L185,材料合同!$L$6:$CC$305,6,0)</f>
        <v>35000</v>
      </c>
      <c r="R185" s="89" t="str">
        <f>VLOOKUP(L185,材料合同!$L$6:$CC$305,7,0)</f>
        <v>钢板</v>
      </c>
      <c r="S185" s="89" t="str">
        <f>VLOOKUP(L185,材料合同!$L$6:$CC$305,8,0)</f>
        <v>常熟市鑫旺五金工艺厂</v>
      </c>
      <c r="T185" s="107">
        <f>VLOOKUP(L185,材料合同!$L$6:$CC$305,9,0)</f>
        <v>0</v>
      </c>
      <c r="U185" s="103" t="str">
        <f>VLOOKUP(L185,材料合同!$L$6:$CC$305,10,0)</f>
        <v>电汇</v>
      </c>
      <c r="V185" s="276" t="str">
        <f>VLOOKUP(L185,材料合同!$L$6:$CC$305,11,0)</f>
        <v>甲方收到货款验收合格以及全额的发票后15个工作日支付100%的货款</v>
      </c>
      <c r="W185" s="102">
        <f>VLOOKUP(L185,材料合同!$L$6:$CC$305,12,0)</f>
        <v>35000</v>
      </c>
      <c r="X185" s="102">
        <f>VLOOKUP(L185,材料合同!$L$6:$CC$305,13,0)</f>
        <v>0</v>
      </c>
      <c r="Y185" s="102">
        <f>VLOOKUP(L185,材料合同!$L$6:$CC$305,14,0)</f>
        <v>0</v>
      </c>
      <c r="Z185" s="102">
        <f>VLOOKUP(L185,材料合同!$L$6:$CC$305,15,0)</f>
        <v>0</v>
      </c>
      <c r="AA185" s="102">
        <f>VLOOKUP(L185,材料合同!$L$6:$CC$305,16,0)</f>
        <v>0</v>
      </c>
      <c r="AB185" s="102">
        <f>VLOOKUP(L185,材料合同!$L$6:$CC$305,17,0)</f>
        <v>0</v>
      </c>
      <c r="AC185" s="102">
        <f>VLOOKUP(L185,材料合同!$L$6:$CC$305,18,0)</f>
        <v>0</v>
      </c>
      <c r="AD185" s="102">
        <f>VLOOKUP(L185,材料合同!$L$6:$CC$305,19,0)</f>
        <v>0</v>
      </c>
      <c r="AE185" s="102">
        <f>VLOOKUP(L185,材料合同!$L$6:$CC$305,20,0)</f>
        <v>0</v>
      </c>
      <c r="AF185" s="102">
        <f>VLOOKUP(L185,材料合同!$L$6:$CC$305,21,0)</f>
        <v>0</v>
      </c>
      <c r="AG185" s="102">
        <f>VLOOKUP(L185,材料合同!$L$6:$CC$305,22,0)</f>
        <v>0</v>
      </c>
      <c r="AH185" s="102">
        <f>VLOOKUP(L185,材料合同!$L$6:$CC$305,23,0)</f>
        <v>0</v>
      </c>
      <c r="AI185" s="102">
        <f>VLOOKUP(L185,材料合同!$L$6:$CC$305,24,0)</f>
        <v>0</v>
      </c>
      <c r="AJ185" s="102">
        <f>VLOOKUP(L185,材料合同!$L$6:$CC$305,25,0)</f>
        <v>0</v>
      </c>
      <c r="AK185" s="102">
        <f>VLOOKUP(L185,材料合同!$L$6:$CC$305,26,0)</f>
        <v>0</v>
      </c>
      <c r="AL185" s="102">
        <f>VLOOKUP(L185,材料合同!$L$6:$CC$305,27,0)</f>
        <v>0</v>
      </c>
      <c r="AM185" s="102">
        <f>VLOOKUP(L185,材料合同!$L$6:$CC$305,28,0)</f>
        <v>0</v>
      </c>
      <c r="AN185" s="102">
        <f>VLOOKUP(L185,材料合同!$L$6:$CC$305,29,0)</f>
        <v>0</v>
      </c>
      <c r="AO185" s="102">
        <f>VLOOKUP(L185,材料合同!$L$6:$CC$305,30,0)</f>
        <v>0</v>
      </c>
      <c r="AP185" s="102">
        <f>VLOOKUP(L185,材料合同!$L$6:$CC$305,31,0)</f>
        <v>0</v>
      </c>
      <c r="AQ185" s="102">
        <f>VLOOKUP(L185,材料合同!$L$6:$CC$305,32,0)</f>
        <v>0</v>
      </c>
      <c r="AR185" s="102">
        <f>VLOOKUP(L185,材料合同!$L$6:$CC$305,33,0)</f>
        <v>0</v>
      </c>
      <c r="AS185" s="102">
        <f>VLOOKUP(L185,材料合同!$L$6:$CC$305,34,0)</f>
        <v>0</v>
      </c>
      <c r="AT185" s="102">
        <f>VLOOKUP(L185,材料合同!$L$6:$CC$305,35,0)</f>
        <v>0</v>
      </c>
      <c r="AU185" s="102">
        <f>VLOOKUP(L185,材料合同!$L$6:$CC$305,36,0)</f>
        <v>0</v>
      </c>
      <c r="AV185" s="102">
        <f>VLOOKUP(L185,材料合同!$L$6:$CC$305,37,0)</f>
        <v>0</v>
      </c>
      <c r="AW185" s="102">
        <f>VLOOKUP(L185,材料合同!$L$6:$CC$305,38,0)</f>
        <v>0</v>
      </c>
      <c r="AX185" s="102">
        <f>VLOOKUP(L185,材料合同!$L$6:$CC$305,39,0)</f>
        <v>0</v>
      </c>
      <c r="AY185" s="102">
        <f>VLOOKUP(L185,材料合同!$L$6:$CC$305,40,0)</f>
        <v>0</v>
      </c>
      <c r="AZ185" s="102">
        <f>VLOOKUP(L185,材料合同!$L$6:$CC$305,41,0)</f>
        <v>0</v>
      </c>
      <c r="BA185" s="102">
        <f>VLOOKUP(L185,材料合同!$L$6:$CC$305,42,0)</f>
        <v>0</v>
      </c>
      <c r="BB185" s="102">
        <f>VLOOKUP(L185,材料合同!$L$6:$CC$305,43,0)</f>
        <v>0</v>
      </c>
      <c r="BC185" s="102">
        <f>VLOOKUP(L185,材料合同!$L$6:$CC$305,44,0)</f>
        <v>0</v>
      </c>
      <c r="BD185" s="102">
        <f>VLOOKUP(L185,材料合同!$L$6:$CC$305,45,0)</f>
        <v>0</v>
      </c>
      <c r="BE185" s="102">
        <f>VLOOKUP(L185,材料合同!$L$6:$CC$305,46,0)</f>
        <v>0</v>
      </c>
      <c r="BF185" s="102">
        <f>VLOOKUP(L185,材料合同!$L$6:$CC$305,47,0)</f>
        <v>0</v>
      </c>
      <c r="BG185" s="102">
        <f>VLOOKUP(L185,材料合同!$L$6:$CC$305,48,0)</f>
        <v>0</v>
      </c>
      <c r="BH185" s="102">
        <f>VLOOKUP(L185,材料合同!$L$6:$CC$305,49,0)</f>
        <v>0</v>
      </c>
      <c r="BI185" s="102">
        <f>VLOOKUP(L185,材料合同!$L$6:$CC$305,50,0)</f>
        <v>0</v>
      </c>
      <c r="BJ185" s="102">
        <f>VLOOKUP(L185,材料合同!$L$6:$CC$305,51,0)</f>
        <v>0</v>
      </c>
      <c r="BK185" s="102">
        <f>VLOOKUP(L185,材料合同!$L$6:$CC$305,52,0)</f>
        <v>0</v>
      </c>
      <c r="BL185" s="102">
        <f>VLOOKUP(L185,材料合同!$L$6:$CC$305,53,0)</f>
        <v>0</v>
      </c>
      <c r="BM185" s="102">
        <f>VLOOKUP(L185,材料合同!$L$6:$CC$305,54,0)</f>
        <v>0</v>
      </c>
      <c r="BN185" s="102">
        <f>VLOOKUP(L185,材料合同!$L$6:$CC$305,55,0)</f>
        <v>0</v>
      </c>
      <c r="BO185" s="102">
        <f>VLOOKUP(L185,材料合同!$L$6:$CC$305,56,0)</f>
        <v>0</v>
      </c>
      <c r="BP185" s="102">
        <f>VLOOKUP(L185,材料合同!$L$6:$CC$305,57,0)</f>
        <v>0</v>
      </c>
      <c r="BQ185" s="102">
        <f>VLOOKUP(L185,材料合同!$L$6:$CC$305,58,0)</f>
        <v>0</v>
      </c>
      <c r="BR185" s="102">
        <f>VLOOKUP(L185,材料合同!$L$6:$CC$305,59,0)</f>
        <v>0</v>
      </c>
      <c r="BS185" s="102">
        <f>VLOOKUP(L185,材料合同!$L$6:$CC$305,60,0)</f>
        <v>0</v>
      </c>
      <c r="BT185" s="102">
        <f>VLOOKUP(L185,材料合同!$L$6:$CC$305,61,0)</f>
        <v>0</v>
      </c>
      <c r="BU185" s="102">
        <f>VLOOKUP(L185,材料合同!$L$6:$CC$305,62,0)</f>
        <v>0</v>
      </c>
      <c r="BV185" s="102">
        <f>VLOOKUP(L185,材料合同!$L$6:$CC$305,63,0)</f>
        <v>0</v>
      </c>
      <c r="BW185" s="102">
        <f>VLOOKUP(L185,材料合同!$L$6:$CC$305,64,0)</f>
        <v>0</v>
      </c>
      <c r="BX185" s="102">
        <f>VLOOKUP(L185,材料合同!$L$6:$CC$305,65,0)</f>
        <v>0</v>
      </c>
      <c r="BY185" s="102">
        <f>VLOOKUP(L185,材料合同!$L$6:$CC$305,66,0)</f>
        <v>0</v>
      </c>
      <c r="BZ185" s="102">
        <f>VLOOKUP(L185,材料合同!$L$6:$CC$305,67,0)</f>
        <v>0</v>
      </c>
      <c r="CA185" s="102">
        <f>VLOOKUP(L185,材料合同!$L$6:$CC$305,68,0)</f>
        <v>0</v>
      </c>
      <c r="CB185" s="102">
        <f>VLOOKUP(L185,材料合同!$L$6:$CC$305,69,0)</f>
        <v>0</v>
      </c>
      <c r="CC185" s="102">
        <f>VLOOKUP(L185,材料合同!$L$6:$CC$305,70,0)</f>
        <v>0</v>
      </c>
      <c r="CD185" s="123">
        <f t="shared" si="44"/>
        <v>35000</v>
      </c>
      <c r="CE185" s="102">
        <f t="shared" si="45"/>
        <v>0</v>
      </c>
      <c r="CF185" s="102">
        <f t="shared" si="46"/>
        <v>0</v>
      </c>
      <c r="CG185" s="102">
        <f t="shared" si="47"/>
        <v>0</v>
      </c>
      <c r="CH185" s="124">
        <f t="shared" si="48"/>
        <v>35000</v>
      </c>
      <c r="CI185" s="125">
        <f t="shared" si="49"/>
        <v>0</v>
      </c>
      <c r="CJ185" s="126" t="str">
        <f t="shared" si="50"/>
        <v>数据正确</v>
      </c>
    </row>
    <row r="186" s="60" customFormat="1" customHeight="1" spans="2:88">
      <c r="B186" s="70" t="str">
        <f t="shared" si="40"/>
        <v>-</v>
      </c>
      <c r="C186" s="71" t="str">
        <f t="shared" si="41"/>
        <v>已付清</v>
      </c>
      <c r="D186" s="181">
        <f t="shared" si="42"/>
        <v>9520</v>
      </c>
      <c r="E186" s="181">
        <f>SUMIF(行政合同!$L$6:$L$300,L186,行政合同!$E$6:$E$300)</f>
        <v>0</v>
      </c>
      <c r="F186" s="181">
        <f>SUMIF(行政合同!$L$6:$L$300,L186,行政合同!$F$6:$F$300)</f>
        <v>0</v>
      </c>
      <c r="G186" s="181">
        <f>SUMIF(行政合同!$L$6:$L$300,L186,行政合同!$G$6:$G$300)</f>
        <v>0</v>
      </c>
      <c r="H186" s="181">
        <f>SUMIF(行政合同!$L$6:$L$300,L186,行政合同!$H$6:$H$300)</f>
        <v>0</v>
      </c>
      <c r="I186" s="181">
        <f t="shared" si="43"/>
        <v>0</v>
      </c>
      <c r="J186" s="86" t="s">
        <v>98</v>
      </c>
      <c r="K186" s="87"/>
      <c r="L186" s="88">
        <v>181</v>
      </c>
      <c r="M186" s="89" t="str">
        <f>VLOOKUP(L186,行政合同!$L$6:$CC$300,2,0)</f>
        <v>YRKJXZ-170026</v>
      </c>
      <c r="N186" s="90" t="str">
        <f>VLOOKUP(L186,行政合同!$L$6:$CC$300,3,0)</f>
        <v>行政合同</v>
      </c>
      <c r="O186" s="265" t="str">
        <f>VLOOKUP(L186,行政合同!$L$6:$CC$300,4,0)</f>
        <v>-</v>
      </c>
      <c r="P186" s="266">
        <f>VLOOKUP(L186,行政合同!$L$6:$CC$300,5,0)</f>
        <v>42951</v>
      </c>
      <c r="Q186" s="275">
        <f>VLOOKUP(L186,行政合同!$L$6:$CC$300,6,0)</f>
        <v>9520</v>
      </c>
      <c r="R186" s="89" t="str">
        <f>VLOOKUP(L186,行政合同!$L$6:$CC$300,7,0)</f>
        <v>格力空调4台</v>
      </c>
      <c r="S186" s="89" t="str">
        <f>VLOOKUP(L186,行政合同!$L$6:$CC$300,8,0)</f>
        <v>莆田市秀屿区宏达贸易有限公司</v>
      </c>
      <c r="T186" s="107">
        <f>VLOOKUP(L186,行政合同!$L$6:$CC$300,9,0)</f>
        <v>0</v>
      </c>
      <c r="U186" s="103" t="str">
        <f>VLOOKUP(L186,行政合同!$L$6:$CC$300,10,0)</f>
        <v>电汇</v>
      </c>
      <c r="V186" s="276" t="str">
        <f>VLOOKUP(L186,行政合同!$L$6:$CC$300,11,0)</f>
        <v>甲方收到货款验收合格以及全额的发票后15个工作日支付100%的货款</v>
      </c>
      <c r="W186" s="102">
        <f>VLOOKUP(L186,行政合同!$L$6:$CC$300,12,0)</f>
        <v>9520</v>
      </c>
      <c r="X186" s="102">
        <f>VLOOKUP(L186,行政合同!$L$6:$CC$300,13,0)</f>
        <v>9520</v>
      </c>
      <c r="Y186" s="102">
        <f>VLOOKUP(L186,行政合同!$L$6:$CC$300,14,0)</f>
        <v>9520</v>
      </c>
      <c r="Z186" s="102">
        <f>VLOOKUP(L186,行政合同!$L$6:$CC$300,15,0)</f>
        <v>0</v>
      </c>
      <c r="AA186" s="102">
        <f>VLOOKUP(L186,行政合同!$L$6:$CC$300,16,0)</f>
        <v>0</v>
      </c>
      <c r="AB186" s="102">
        <f>VLOOKUP(L186,行政合同!$L$6:$CC$300,17,0)</f>
        <v>0</v>
      </c>
      <c r="AC186" s="102">
        <f>VLOOKUP(L186,行政合同!$L$6:$CC$300,18,0)</f>
        <v>0</v>
      </c>
      <c r="AD186" s="102">
        <f>VLOOKUP(L186,行政合同!$L$6:$CC$300,19,0)</f>
        <v>0</v>
      </c>
      <c r="AE186" s="102">
        <f>VLOOKUP(L186,行政合同!$L$6:$CC$300,20,0)</f>
        <v>0</v>
      </c>
      <c r="AF186" s="102">
        <f>VLOOKUP(L186,行政合同!$L$6:$CC$300,21,0)</f>
        <v>0</v>
      </c>
      <c r="AG186" s="102">
        <f>VLOOKUP(L186,行政合同!$L$6:$CC$300,22,0)</f>
        <v>0</v>
      </c>
      <c r="AH186" s="102">
        <f>VLOOKUP(L186,行政合同!$L$6:$CC$300,23,0)</f>
        <v>0</v>
      </c>
      <c r="AI186" s="102">
        <f>VLOOKUP(L186,行政合同!$L$6:$CC$300,24,0)</f>
        <v>0</v>
      </c>
      <c r="AJ186" s="102">
        <f>VLOOKUP(L186,行政合同!$L$6:$CC$300,25,0)</f>
        <v>0</v>
      </c>
      <c r="AK186" s="102">
        <f>VLOOKUP(L186,行政合同!$L$6:$CC$300,26,0)</f>
        <v>0</v>
      </c>
      <c r="AL186" s="102">
        <f>VLOOKUP(L186,行政合同!$L$6:$CC$300,27,0)</f>
        <v>0</v>
      </c>
      <c r="AM186" s="102">
        <f>VLOOKUP(L186,行政合同!$L$6:$CC$300,28,0)</f>
        <v>0</v>
      </c>
      <c r="AN186" s="102">
        <f>VLOOKUP(L186,行政合同!$L$6:$CC$300,29,0)</f>
        <v>0</v>
      </c>
      <c r="AO186" s="102">
        <f>VLOOKUP(L186,行政合同!$L$6:$CC$300,30,0)</f>
        <v>0</v>
      </c>
      <c r="AP186" s="102">
        <f>VLOOKUP(L186,行政合同!$L$6:$CC$300,31,0)</f>
        <v>0</v>
      </c>
      <c r="AQ186" s="102">
        <f>VLOOKUP(L186,行政合同!$L$6:$CC$300,32,0)</f>
        <v>0</v>
      </c>
      <c r="AR186" s="102">
        <f>VLOOKUP(L186,行政合同!$L$6:$CC$300,33,0)</f>
        <v>0</v>
      </c>
      <c r="AS186" s="102">
        <f>VLOOKUP(L186,行政合同!$L$6:$CC$300,34,0)</f>
        <v>0</v>
      </c>
      <c r="AT186" s="102">
        <f>VLOOKUP(L186,行政合同!$L$6:$CC$300,35,0)</f>
        <v>0</v>
      </c>
      <c r="AU186" s="102">
        <f>VLOOKUP(L186,行政合同!$L$6:$CC$300,36,0)</f>
        <v>0</v>
      </c>
      <c r="AV186" s="102">
        <f>VLOOKUP(L186,行政合同!$L$6:$CC$300,37,0)</f>
        <v>0</v>
      </c>
      <c r="AW186" s="102">
        <f>VLOOKUP(L186,行政合同!$L$6:$CC$300,38,0)</f>
        <v>0</v>
      </c>
      <c r="AX186" s="102">
        <f>VLOOKUP(L186,行政合同!$L$6:$CC$300,39,0)</f>
        <v>0</v>
      </c>
      <c r="AY186" s="102">
        <f>VLOOKUP(L186,行政合同!$L$6:$CC$300,40,0)</f>
        <v>0</v>
      </c>
      <c r="AZ186" s="102">
        <f>VLOOKUP(L186,行政合同!$L$6:$CC$300,41,0)</f>
        <v>0</v>
      </c>
      <c r="BA186" s="102">
        <f>VLOOKUP(L186,行政合同!$L$6:$CC$300,42,0)</f>
        <v>0</v>
      </c>
      <c r="BB186" s="102">
        <f>VLOOKUP(L186,行政合同!$L$6:$CC$300,43,0)</f>
        <v>0</v>
      </c>
      <c r="BC186" s="102">
        <f>VLOOKUP(L186,行政合同!$L$6:$CC$300,44,0)</f>
        <v>0</v>
      </c>
      <c r="BD186" s="102">
        <f>VLOOKUP(L186,行政合同!$L$6:$CC$300,45,0)</f>
        <v>0</v>
      </c>
      <c r="BE186" s="102">
        <f>VLOOKUP(L186,行政合同!$L$6:$CC$300,46,0)</f>
        <v>0</v>
      </c>
      <c r="BF186" s="102">
        <f>VLOOKUP(L186,行政合同!$L$6:$CC$300,47,0)</f>
        <v>0</v>
      </c>
      <c r="BG186" s="102">
        <f>VLOOKUP(L186,行政合同!$L$6:$CC$300,48,0)</f>
        <v>0</v>
      </c>
      <c r="BH186" s="102">
        <f>VLOOKUP(L186,行政合同!$L$6:$CC$300,49,0)</f>
        <v>0</v>
      </c>
      <c r="BI186" s="102">
        <f>VLOOKUP(L186,行政合同!$L$6:$CC$300,50,0)</f>
        <v>0</v>
      </c>
      <c r="BJ186" s="102">
        <f>VLOOKUP(L186,行政合同!$L$6:$CC$300,51,0)</f>
        <v>0</v>
      </c>
      <c r="BK186" s="102">
        <f>VLOOKUP(L186,行政合同!$L$6:$CC$300,52,0)</f>
        <v>0</v>
      </c>
      <c r="BL186" s="102">
        <f>VLOOKUP(L186,行政合同!$L$6:$CC$300,53,0)</f>
        <v>0</v>
      </c>
      <c r="BM186" s="102">
        <f>VLOOKUP(L186,行政合同!$L$6:$CC$300,54,0)</f>
        <v>0</v>
      </c>
      <c r="BN186" s="102">
        <f>VLOOKUP(L186,行政合同!$L$6:$CC$300,55,0)</f>
        <v>0</v>
      </c>
      <c r="BO186" s="102">
        <f>VLOOKUP(L186,行政合同!$L$6:$CC$300,56,0)</f>
        <v>0</v>
      </c>
      <c r="BP186" s="102">
        <f>VLOOKUP(L186,行政合同!$L$6:$CC$300,57,0)</f>
        <v>0</v>
      </c>
      <c r="BQ186" s="102">
        <f>VLOOKUP(L186,行政合同!$L$6:$CC$300,58,0)</f>
        <v>0</v>
      </c>
      <c r="BR186" s="102">
        <f>VLOOKUP(L186,行政合同!$L$6:$CC$300,59,0)</f>
        <v>0</v>
      </c>
      <c r="BS186" s="102">
        <f>VLOOKUP(L186,行政合同!$L$6:$CC$300,60,0)</f>
        <v>0</v>
      </c>
      <c r="BT186" s="102">
        <f>VLOOKUP(L186,行政合同!$L$6:$CC$300,61,0)</f>
        <v>0</v>
      </c>
      <c r="BU186" s="102">
        <f>VLOOKUP(L186,行政合同!$L$6:$CC$300,62,0)</f>
        <v>0</v>
      </c>
      <c r="BV186" s="102">
        <f>VLOOKUP(L186,行政合同!$L$6:$CC$300,63,0)</f>
        <v>0</v>
      </c>
      <c r="BW186" s="102">
        <f>VLOOKUP(L186,行政合同!$L$6:$CC$300,64,0)</f>
        <v>0</v>
      </c>
      <c r="BX186" s="102">
        <f>VLOOKUP(L186,行政合同!$L$6:$CC$300,65,0)</f>
        <v>0</v>
      </c>
      <c r="BY186" s="102">
        <f>VLOOKUP(L186,行政合同!$L$6:$CC$300,66,0)</f>
        <v>0</v>
      </c>
      <c r="BZ186" s="102">
        <f>VLOOKUP(L186,行政合同!$L$6:$CC$300,67,0)</f>
        <v>0</v>
      </c>
      <c r="CA186" s="102">
        <f>VLOOKUP(L186,行政合同!$L$6:$CC$300,68,0)</f>
        <v>0</v>
      </c>
      <c r="CB186" s="102">
        <f>VLOOKUP(L186,行政合同!$L$6:$CC$300,69,0)</f>
        <v>0</v>
      </c>
      <c r="CC186" s="102">
        <f>VLOOKUP(L186,行政合同!$L$6:$CC$300,70,0)</f>
        <v>0</v>
      </c>
      <c r="CD186" s="123">
        <f t="shared" si="44"/>
        <v>9520</v>
      </c>
      <c r="CE186" s="102">
        <f t="shared" si="45"/>
        <v>9520</v>
      </c>
      <c r="CF186" s="102">
        <f t="shared" si="46"/>
        <v>9520</v>
      </c>
      <c r="CG186" s="102">
        <f t="shared" si="47"/>
        <v>0</v>
      </c>
      <c r="CH186" s="124">
        <f t="shared" si="48"/>
        <v>0</v>
      </c>
      <c r="CI186" s="125">
        <f t="shared" si="49"/>
        <v>1</v>
      </c>
      <c r="CJ186" s="126" t="str">
        <f t="shared" si="50"/>
        <v>数据正确</v>
      </c>
    </row>
    <row r="187" s="60" customFormat="1" customHeight="1" spans="2:88">
      <c r="B187" s="70" t="str">
        <f t="shared" si="40"/>
        <v>-</v>
      </c>
      <c r="C187" s="71" t="str">
        <f t="shared" si="41"/>
        <v>-</v>
      </c>
      <c r="D187" s="181">
        <f t="shared" si="42"/>
        <v>0</v>
      </c>
      <c r="E187" s="181">
        <f>SUMIF(行政合同!$L$6:$L$300,L187,行政合同!$E$6:$E$300)</f>
        <v>0</v>
      </c>
      <c r="F187" s="181">
        <f>SUMIF(行政合同!$L$6:$L$300,L187,行政合同!$F$6:$F$300)</f>
        <v>0</v>
      </c>
      <c r="G187" s="181">
        <f>SUMIF(行政合同!$L$6:$L$300,L187,行政合同!$G$6:$G$300)</f>
        <v>0</v>
      </c>
      <c r="H187" s="181">
        <f>SUMIF(行政合同!$L$6:$L$300,L187,行政合同!$H$6:$H$300)</f>
        <v>0</v>
      </c>
      <c r="I187" s="181">
        <f t="shared" si="43"/>
        <v>0</v>
      </c>
      <c r="J187" s="86" t="s">
        <v>98</v>
      </c>
      <c r="K187" s="87"/>
      <c r="L187" s="88">
        <v>182</v>
      </c>
      <c r="M187" s="89" t="str">
        <f>VLOOKUP(L187,行政合同!$L$6:$CC$300,2,0)</f>
        <v>YRKJXZ-170027</v>
      </c>
      <c r="N187" s="90" t="str">
        <f>VLOOKUP(L187,行政合同!$L$6:$CC$300,3,0)</f>
        <v>行政合同</v>
      </c>
      <c r="O187" s="265" t="str">
        <f>VLOOKUP(L187,行政合同!$L$6:$CC$300,4,0)</f>
        <v>-</v>
      </c>
      <c r="P187" s="266">
        <f>VLOOKUP(L187,行政合同!$L$6:$CC$300,5,0)</f>
        <v>42951</v>
      </c>
      <c r="Q187" s="275">
        <f>VLOOKUP(L187,行政合同!$L$6:$CC$300,6,0)</f>
        <v>23450</v>
      </c>
      <c r="R187" s="89" t="str">
        <f>VLOOKUP(L187,行政合同!$L$6:$CC$300,7,0)</f>
        <v>联想台式电脑7台</v>
      </c>
      <c r="S187" s="89" t="str">
        <f>VLOOKUP(L187,行政合同!$L$6:$CC$300,8,0)</f>
        <v>福州威迅电子有限公司</v>
      </c>
      <c r="T187" s="107">
        <f>VLOOKUP(L187,行政合同!$L$6:$CC$300,9,0)</f>
        <v>0</v>
      </c>
      <c r="U187" s="103" t="str">
        <f>VLOOKUP(L187,行政合同!$L$6:$CC$300,10,0)</f>
        <v>电汇</v>
      </c>
      <c r="V187" s="276" t="str">
        <f>VLOOKUP(L187,行政合同!$L$6:$CC$300,11,0)</f>
        <v>甲方收到货款验收合格以及全额的发票后15个工作日支付90%的货款</v>
      </c>
      <c r="W187" s="102">
        <f>VLOOKUP(L187,行政合同!$L$6:$CC$300,12,0)</f>
        <v>23450</v>
      </c>
      <c r="X187" s="102">
        <f>VLOOKUP(L187,行政合同!$L$6:$CC$300,13,0)</f>
        <v>0</v>
      </c>
      <c r="Y187" s="102">
        <f>VLOOKUP(L187,行政合同!$L$6:$CC$300,14,0)</f>
        <v>0</v>
      </c>
      <c r="Z187" s="102">
        <f>VLOOKUP(L187,行政合同!$L$6:$CC$300,15,0)</f>
        <v>0</v>
      </c>
      <c r="AA187" s="102">
        <f>VLOOKUP(L187,行政合同!$L$6:$CC$300,16,0)</f>
        <v>0</v>
      </c>
      <c r="AB187" s="102">
        <f>VLOOKUP(L187,行政合同!$L$6:$CC$300,17,0)</f>
        <v>0</v>
      </c>
      <c r="AC187" s="102">
        <f>VLOOKUP(L187,行政合同!$L$6:$CC$300,18,0)</f>
        <v>0</v>
      </c>
      <c r="AD187" s="102">
        <f>VLOOKUP(L187,行政合同!$L$6:$CC$300,19,0)</f>
        <v>0</v>
      </c>
      <c r="AE187" s="102">
        <f>VLOOKUP(L187,行政合同!$L$6:$CC$300,20,0)</f>
        <v>0</v>
      </c>
      <c r="AF187" s="102">
        <f>VLOOKUP(L187,行政合同!$L$6:$CC$300,21,0)</f>
        <v>0</v>
      </c>
      <c r="AG187" s="102">
        <f>VLOOKUP(L187,行政合同!$L$6:$CC$300,22,0)</f>
        <v>0</v>
      </c>
      <c r="AH187" s="102">
        <f>VLOOKUP(L187,行政合同!$L$6:$CC$300,23,0)</f>
        <v>0</v>
      </c>
      <c r="AI187" s="102">
        <f>VLOOKUP(L187,行政合同!$L$6:$CC$300,24,0)</f>
        <v>0</v>
      </c>
      <c r="AJ187" s="102">
        <f>VLOOKUP(L187,行政合同!$L$6:$CC$300,25,0)</f>
        <v>0</v>
      </c>
      <c r="AK187" s="102">
        <f>VLOOKUP(L187,行政合同!$L$6:$CC$300,26,0)</f>
        <v>0</v>
      </c>
      <c r="AL187" s="102">
        <f>VLOOKUP(L187,行政合同!$L$6:$CC$300,27,0)</f>
        <v>0</v>
      </c>
      <c r="AM187" s="102">
        <f>VLOOKUP(L187,行政合同!$L$6:$CC$300,28,0)</f>
        <v>0</v>
      </c>
      <c r="AN187" s="102">
        <f>VLOOKUP(L187,行政合同!$L$6:$CC$300,29,0)</f>
        <v>0</v>
      </c>
      <c r="AO187" s="102">
        <f>VLOOKUP(L187,行政合同!$L$6:$CC$300,30,0)</f>
        <v>0</v>
      </c>
      <c r="AP187" s="102">
        <f>VLOOKUP(L187,行政合同!$L$6:$CC$300,31,0)</f>
        <v>0</v>
      </c>
      <c r="AQ187" s="102">
        <f>VLOOKUP(L187,行政合同!$L$6:$CC$300,32,0)</f>
        <v>0</v>
      </c>
      <c r="AR187" s="102">
        <f>VLOOKUP(L187,行政合同!$L$6:$CC$300,33,0)</f>
        <v>0</v>
      </c>
      <c r="AS187" s="102">
        <f>VLOOKUP(L187,行政合同!$L$6:$CC$300,34,0)</f>
        <v>0</v>
      </c>
      <c r="AT187" s="102">
        <f>VLOOKUP(L187,行政合同!$L$6:$CC$300,35,0)</f>
        <v>0</v>
      </c>
      <c r="AU187" s="102">
        <f>VLOOKUP(L187,行政合同!$L$6:$CC$300,36,0)</f>
        <v>0</v>
      </c>
      <c r="AV187" s="102">
        <f>VLOOKUP(L187,行政合同!$L$6:$CC$300,37,0)</f>
        <v>0</v>
      </c>
      <c r="AW187" s="102">
        <f>VLOOKUP(L187,行政合同!$L$6:$CC$300,38,0)</f>
        <v>0</v>
      </c>
      <c r="AX187" s="102">
        <f>VLOOKUP(L187,行政合同!$L$6:$CC$300,39,0)</f>
        <v>0</v>
      </c>
      <c r="AY187" s="102">
        <f>VLOOKUP(L187,行政合同!$L$6:$CC$300,40,0)</f>
        <v>0</v>
      </c>
      <c r="AZ187" s="102">
        <f>VLOOKUP(L187,行政合同!$L$6:$CC$300,41,0)</f>
        <v>0</v>
      </c>
      <c r="BA187" s="102">
        <f>VLOOKUP(L187,行政合同!$L$6:$CC$300,42,0)</f>
        <v>0</v>
      </c>
      <c r="BB187" s="102">
        <f>VLOOKUP(L187,行政合同!$L$6:$CC$300,43,0)</f>
        <v>0</v>
      </c>
      <c r="BC187" s="102">
        <f>VLOOKUP(L187,行政合同!$L$6:$CC$300,44,0)</f>
        <v>0</v>
      </c>
      <c r="BD187" s="102">
        <f>VLOOKUP(L187,行政合同!$L$6:$CC$300,45,0)</f>
        <v>0</v>
      </c>
      <c r="BE187" s="102">
        <f>VLOOKUP(L187,行政合同!$L$6:$CC$300,46,0)</f>
        <v>0</v>
      </c>
      <c r="BF187" s="102">
        <f>VLOOKUP(L187,行政合同!$L$6:$CC$300,47,0)</f>
        <v>0</v>
      </c>
      <c r="BG187" s="102">
        <f>VLOOKUP(L187,行政合同!$L$6:$CC$300,48,0)</f>
        <v>0</v>
      </c>
      <c r="BH187" s="102">
        <f>VLOOKUP(L187,行政合同!$L$6:$CC$300,49,0)</f>
        <v>0</v>
      </c>
      <c r="BI187" s="102">
        <f>VLOOKUP(L187,行政合同!$L$6:$CC$300,50,0)</f>
        <v>0</v>
      </c>
      <c r="BJ187" s="102">
        <f>VLOOKUP(L187,行政合同!$L$6:$CC$300,51,0)</f>
        <v>0</v>
      </c>
      <c r="BK187" s="102">
        <f>VLOOKUP(L187,行政合同!$L$6:$CC$300,52,0)</f>
        <v>0</v>
      </c>
      <c r="BL187" s="102">
        <f>VLOOKUP(L187,行政合同!$L$6:$CC$300,53,0)</f>
        <v>0</v>
      </c>
      <c r="BM187" s="102">
        <f>VLOOKUP(L187,行政合同!$L$6:$CC$300,54,0)</f>
        <v>0</v>
      </c>
      <c r="BN187" s="102">
        <f>VLOOKUP(L187,行政合同!$L$6:$CC$300,55,0)</f>
        <v>0</v>
      </c>
      <c r="BO187" s="102">
        <f>VLOOKUP(L187,行政合同!$L$6:$CC$300,56,0)</f>
        <v>0</v>
      </c>
      <c r="BP187" s="102">
        <f>VLOOKUP(L187,行政合同!$L$6:$CC$300,57,0)</f>
        <v>0</v>
      </c>
      <c r="BQ187" s="102">
        <f>VLOOKUP(L187,行政合同!$L$6:$CC$300,58,0)</f>
        <v>0</v>
      </c>
      <c r="BR187" s="102">
        <f>VLOOKUP(L187,行政合同!$L$6:$CC$300,59,0)</f>
        <v>0</v>
      </c>
      <c r="BS187" s="102">
        <f>VLOOKUP(L187,行政合同!$L$6:$CC$300,60,0)</f>
        <v>0</v>
      </c>
      <c r="BT187" s="102">
        <f>VLOOKUP(L187,行政合同!$L$6:$CC$300,61,0)</f>
        <v>0</v>
      </c>
      <c r="BU187" s="102">
        <f>VLOOKUP(L187,行政合同!$L$6:$CC$300,62,0)</f>
        <v>0</v>
      </c>
      <c r="BV187" s="102">
        <f>VLOOKUP(L187,行政合同!$L$6:$CC$300,63,0)</f>
        <v>0</v>
      </c>
      <c r="BW187" s="102">
        <f>VLOOKUP(L187,行政合同!$L$6:$CC$300,64,0)</f>
        <v>0</v>
      </c>
      <c r="BX187" s="102">
        <f>VLOOKUP(L187,行政合同!$L$6:$CC$300,65,0)</f>
        <v>0</v>
      </c>
      <c r="BY187" s="102">
        <f>VLOOKUP(L187,行政合同!$L$6:$CC$300,66,0)</f>
        <v>0</v>
      </c>
      <c r="BZ187" s="102">
        <f>VLOOKUP(L187,行政合同!$L$6:$CC$300,67,0)</f>
        <v>0</v>
      </c>
      <c r="CA187" s="102">
        <f>VLOOKUP(L187,行政合同!$L$6:$CC$300,68,0)</f>
        <v>0</v>
      </c>
      <c r="CB187" s="102">
        <f>VLOOKUP(L187,行政合同!$L$6:$CC$300,69,0)</f>
        <v>0</v>
      </c>
      <c r="CC187" s="102">
        <f>VLOOKUP(L187,行政合同!$L$6:$CC$300,70,0)</f>
        <v>0</v>
      </c>
      <c r="CD187" s="123">
        <f t="shared" si="44"/>
        <v>23450</v>
      </c>
      <c r="CE187" s="102">
        <f t="shared" si="45"/>
        <v>0</v>
      </c>
      <c r="CF187" s="102">
        <f t="shared" si="46"/>
        <v>0</v>
      </c>
      <c r="CG187" s="102">
        <f t="shared" si="47"/>
        <v>0</v>
      </c>
      <c r="CH187" s="124">
        <f t="shared" si="48"/>
        <v>23450</v>
      </c>
      <c r="CI187" s="125">
        <f t="shared" si="49"/>
        <v>0</v>
      </c>
      <c r="CJ187" s="126" t="str">
        <f t="shared" si="50"/>
        <v>数据正确</v>
      </c>
    </row>
    <row r="188" s="60" customFormat="1" customHeight="1" spans="2:88">
      <c r="B188" s="70" t="str">
        <f t="shared" si="40"/>
        <v>-</v>
      </c>
      <c r="C188" s="71" t="str">
        <f t="shared" si="41"/>
        <v>已付清</v>
      </c>
      <c r="D188" s="181">
        <f t="shared" si="42"/>
        <v>0.001</v>
      </c>
      <c r="E188" s="181">
        <f>SUMIF(行政合同!$L$6:$L$300,L188,行政合同!$E$6:$E$300)</f>
        <v>0</v>
      </c>
      <c r="F188" s="181">
        <f>SUMIF(行政合同!$L$6:$L$300,L188,行政合同!$F$6:$F$300)</f>
        <v>0</v>
      </c>
      <c r="G188" s="181">
        <f>SUMIF(行政合同!$L$6:$L$300,L188,行政合同!$G$6:$G$300)</f>
        <v>0</v>
      </c>
      <c r="H188" s="181">
        <f>SUMIF(行政合同!$L$6:$L$300,L188,行政合同!$H$6:$H$300)</f>
        <v>0</v>
      </c>
      <c r="I188" s="181">
        <f t="shared" si="43"/>
        <v>0</v>
      </c>
      <c r="J188" s="86" t="s">
        <v>98</v>
      </c>
      <c r="K188" s="87"/>
      <c r="L188" s="88">
        <v>183</v>
      </c>
      <c r="M188" s="89" t="str">
        <f>VLOOKUP(L188,行政合同!$L$6:$CC$300,2,0)</f>
        <v>YRKJXZ-170016</v>
      </c>
      <c r="N188" s="90" t="str">
        <f>VLOOKUP(L188,行政合同!$L$6:$CC$300,3,0)</f>
        <v>行政合同</v>
      </c>
      <c r="O188" s="265" t="str">
        <f>VLOOKUP(L188,行政合同!$L$6:$CC$300,4,0)</f>
        <v>-</v>
      </c>
      <c r="P188" s="266">
        <f>VLOOKUP(L188,行政合同!$L$6:$CC$300,5,0)</f>
        <v>42887</v>
      </c>
      <c r="Q188" s="275">
        <f>VLOOKUP(L188,行政合同!$L$6:$CC$300,6,0)</f>
        <v>0.001</v>
      </c>
      <c r="R188" s="89" t="str">
        <f>VLOOKUP(L188,行政合同!$L$6:$CC$300,7,0)</f>
        <v>单位采购业务协议书（早餐）</v>
      </c>
      <c r="S188" s="89" t="str">
        <f>VLOOKUP(L188,行政合同!$L$6:$CC$300,8,0)</f>
        <v>莆田市秀屿区东庄镇黄碧山小吃店</v>
      </c>
      <c r="T188" s="107">
        <f>VLOOKUP(L188,行政合同!$L$6:$CC$300,9,0)</f>
        <v>0</v>
      </c>
      <c r="U188" s="103" t="str">
        <f>VLOOKUP(L188,行政合同!$L$6:$CC$300,10,0)</f>
        <v>电汇</v>
      </c>
      <c r="V188" s="276" t="str">
        <f>VLOOKUP(L188,行政合同!$L$6:$CC$300,11,0)</f>
        <v>每月结一次</v>
      </c>
      <c r="W188" s="102">
        <f>VLOOKUP(L188,行政合同!$L$6:$CC$300,12,0)</f>
        <v>0.001</v>
      </c>
      <c r="X188" s="102">
        <f>VLOOKUP(L188,行政合同!$L$6:$CC$300,13,0)</f>
        <v>0.001</v>
      </c>
      <c r="Y188" s="102">
        <f>VLOOKUP(L188,行政合同!$L$6:$CC$300,14,0)</f>
        <v>0.001</v>
      </c>
      <c r="Z188" s="102">
        <f>VLOOKUP(L188,行政合同!$L$6:$CC$300,15,0)</f>
        <v>0</v>
      </c>
      <c r="AA188" s="102">
        <f>VLOOKUP(L188,行政合同!$L$6:$CC$300,16,0)</f>
        <v>0</v>
      </c>
      <c r="AB188" s="102">
        <f>VLOOKUP(L188,行政合同!$L$6:$CC$300,17,0)</f>
        <v>0</v>
      </c>
      <c r="AC188" s="102">
        <f>VLOOKUP(L188,行政合同!$L$6:$CC$300,18,0)</f>
        <v>0</v>
      </c>
      <c r="AD188" s="102">
        <f>VLOOKUP(L188,行政合同!$L$6:$CC$300,19,0)</f>
        <v>0</v>
      </c>
      <c r="AE188" s="102">
        <f>VLOOKUP(L188,行政合同!$L$6:$CC$300,20,0)</f>
        <v>0</v>
      </c>
      <c r="AF188" s="102">
        <f>VLOOKUP(L188,行政合同!$L$6:$CC$300,21,0)</f>
        <v>0</v>
      </c>
      <c r="AG188" s="102">
        <f>VLOOKUP(L188,行政合同!$L$6:$CC$300,22,0)</f>
        <v>0</v>
      </c>
      <c r="AH188" s="102">
        <f>VLOOKUP(L188,行政合同!$L$6:$CC$300,23,0)</f>
        <v>0</v>
      </c>
      <c r="AI188" s="102">
        <f>VLOOKUP(L188,行政合同!$L$6:$CC$300,24,0)</f>
        <v>0</v>
      </c>
      <c r="AJ188" s="102">
        <f>VLOOKUP(L188,行政合同!$L$6:$CC$300,25,0)</f>
        <v>0</v>
      </c>
      <c r="AK188" s="102">
        <f>VLOOKUP(L188,行政合同!$L$6:$CC$300,26,0)</f>
        <v>0</v>
      </c>
      <c r="AL188" s="102">
        <f>VLOOKUP(L188,行政合同!$L$6:$CC$300,27,0)</f>
        <v>0</v>
      </c>
      <c r="AM188" s="102">
        <f>VLOOKUP(L188,行政合同!$L$6:$CC$300,28,0)</f>
        <v>0</v>
      </c>
      <c r="AN188" s="102">
        <f>VLOOKUP(L188,行政合同!$L$6:$CC$300,29,0)</f>
        <v>0</v>
      </c>
      <c r="AO188" s="102">
        <f>VLOOKUP(L188,行政合同!$L$6:$CC$300,30,0)</f>
        <v>0</v>
      </c>
      <c r="AP188" s="102">
        <f>VLOOKUP(L188,行政合同!$L$6:$CC$300,31,0)</f>
        <v>0</v>
      </c>
      <c r="AQ188" s="102">
        <f>VLOOKUP(L188,行政合同!$L$6:$CC$300,32,0)</f>
        <v>0</v>
      </c>
      <c r="AR188" s="102">
        <f>VLOOKUP(L188,行政合同!$L$6:$CC$300,33,0)</f>
        <v>0</v>
      </c>
      <c r="AS188" s="102">
        <f>VLOOKUP(L188,行政合同!$L$6:$CC$300,34,0)</f>
        <v>0</v>
      </c>
      <c r="AT188" s="102">
        <f>VLOOKUP(L188,行政合同!$L$6:$CC$300,35,0)</f>
        <v>0</v>
      </c>
      <c r="AU188" s="102">
        <f>VLOOKUP(L188,行政合同!$L$6:$CC$300,36,0)</f>
        <v>0</v>
      </c>
      <c r="AV188" s="102">
        <f>VLOOKUP(L188,行政合同!$L$6:$CC$300,37,0)</f>
        <v>0</v>
      </c>
      <c r="AW188" s="102">
        <f>VLOOKUP(L188,行政合同!$L$6:$CC$300,38,0)</f>
        <v>0</v>
      </c>
      <c r="AX188" s="102">
        <f>VLOOKUP(L188,行政合同!$L$6:$CC$300,39,0)</f>
        <v>0</v>
      </c>
      <c r="AY188" s="102">
        <f>VLOOKUP(L188,行政合同!$L$6:$CC$300,40,0)</f>
        <v>0</v>
      </c>
      <c r="AZ188" s="102">
        <f>VLOOKUP(L188,行政合同!$L$6:$CC$300,41,0)</f>
        <v>0</v>
      </c>
      <c r="BA188" s="102">
        <f>VLOOKUP(L188,行政合同!$L$6:$CC$300,42,0)</f>
        <v>0</v>
      </c>
      <c r="BB188" s="102">
        <f>VLOOKUP(L188,行政合同!$L$6:$CC$300,43,0)</f>
        <v>0</v>
      </c>
      <c r="BC188" s="102">
        <f>VLOOKUP(L188,行政合同!$L$6:$CC$300,44,0)</f>
        <v>0</v>
      </c>
      <c r="BD188" s="102">
        <f>VLOOKUP(L188,行政合同!$L$6:$CC$300,45,0)</f>
        <v>0</v>
      </c>
      <c r="BE188" s="102">
        <f>VLOOKUP(L188,行政合同!$L$6:$CC$300,46,0)</f>
        <v>0</v>
      </c>
      <c r="BF188" s="102">
        <f>VLOOKUP(L188,行政合同!$L$6:$CC$300,47,0)</f>
        <v>0</v>
      </c>
      <c r="BG188" s="102">
        <f>VLOOKUP(L188,行政合同!$L$6:$CC$300,48,0)</f>
        <v>0</v>
      </c>
      <c r="BH188" s="102">
        <f>VLOOKUP(L188,行政合同!$L$6:$CC$300,49,0)</f>
        <v>0</v>
      </c>
      <c r="BI188" s="102">
        <f>VLOOKUP(L188,行政合同!$L$6:$CC$300,50,0)</f>
        <v>0</v>
      </c>
      <c r="BJ188" s="102">
        <f>VLOOKUP(L188,行政合同!$L$6:$CC$300,51,0)</f>
        <v>0</v>
      </c>
      <c r="BK188" s="102">
        <f>VLOOKUP(L188,行政合同!$L$6:$CC$300,52,0)</f>
        <v>0</v>
      </c>
      <c r="BL188" s="102">
        <f>VLOOKUP(L188,行政合同!$L$6:$CC$300,53,0)</f>
        <v>0</v>
      </c>
      <c r="BM188" s="102">
        <f>VLOOKUP(L188,行政合同!$L$6:$CC$300,54,0)</f>
        <v>0</v>
      </c>
      <c r="BN188" s="102">
        <f>VLOOKUP(L188,行政合同!$L$6:$CC$300,55,0)</f>
        <v>0</v>
      </c>
      <c r="BO188" s="102">
        <f>VLOOKUP(L188,行政合同!$L$6:$CC$300,56,0)</f>
        <v>0</v>
      </c>
      <c r="BP188" s="102">
        <f>VLOOKUP(L188,行政合同!$L$6:$CC$300,57,0)</f>
        <v>0</v>
      </c>
      <c r="BQ188" s="102">
        <f>VLOOKUP(L188,行政合同!$L$6:$CC$300,58,0)</f>
        <v>0</v>
      </c>
      <c r="BR188" s="102">
        <f>VLOOKUP(L188,行政合同!$L$6:$CC$300,59,0)</f>
        <v>0</v>
      </c>
      <c r="BS188" s="102">
        <f>VLOOKUP(L188,行政合同!$L$6:$CC$300,60,0)</f>
        <v>0</v>
      </c>
      <c r="BT188" s="102">
        <f>VLOOKUP(L188,行政合同!$L$6:$CC$300,61,0)</f>
        <v>0</v>
      </c>
      <c r="BU188" s="102">
        <f>VLOOKUP(L188,行政合同!$L$6:$CC$300,62,0)</f>
        <v>0</v>
      </c>
      <c r="BV188" s="102">
        <f>VLOOKUP(L188,行政合同!$L$6:$CC$300,63,0)</f>
        <v>0</v>
      </c>
      <c r="BW188" s="102">
        <f>VLOOKUP(L188,行政合同!$L$6:$CC$300,64,0)</f>
        <v>0</v>
      </c>
      <c r="BX188" s="102">
        <f>VLOOKUP(L188,行政合同!$L$6:$CC$300,65,0)</f>
        <v>0</v>
      </c>
      <c r="BY188" s="102">
        <f>VLOOKUP(L188,行政合同!$L$6:$CC$300,66,0)</f>
        <v>0</v>
      </c>
      <c r="BZ188" s="102">
        <f>VLOOKUP(L188,行政合同!$L$6:$CC$300,67,0)</f>
        <v>0</v>
      </c>
      <c r="CA188" s="102">
        <f>VLOOKUP(L188,行政合同!$L$6:$CC$300,68,0)</f>
        <v>0</v>
      </c>
      <c r="CB188" s="102">
        <f>VLOOKUP(L188,行政合同!$L$6:$CC$300,69,0)</f>
        <v>0</v>
      </c>
      <c r="CC188" s="102">
        <f>VLOOKUP(L188,行政合同!$L$6:$CC$300,70,0)</f>
        <v>0</v>
      </c>
      <c r="CD188" s="123">
        <f t="shared" si="44"/>
        <v>0.001</v>
      </c>
      <c r="CE188" s="102">
        <f t="shared" si="45"/>
        <v>0.001</v>
      </c>
      <c r="CF188" s="102">
        <f t="shared" si="46"/>
        <v>0.001</v>
      </c>
      <c r="CG188" s="102">
        <f t="shared" si="47"/>
        <v>0</v>
      </c>
      <c r="CH188" s="124">
        <f t="shared" si="48"/>
        <v>0</v>
      </c>
      <c r="CI188" s="125">
        <f t="shared" si="49"/>
        <v>1</v>
      </c>
      <c r="CJ188" s="126" t="str">
        <f t="shared" si="50"/>
        <v>数据正确</v>
      </c>
    </row>
    <row r="189" s="60" customFormat="1" customHeight="1" spans="2:88">
      <c r="B189" s="70" t="str">
        <f t="shared" si="40"/>
        <v>-</v>
      </c>
      <c r="C189" s="71" t="str">
        <f t="shared" si="41"/>
        <v>已付清</v>
      </c>
      <c r="D189" s="181">
        <f t="shared" si="42"/>
        <v>8000000</v>
      </c>
      <c r="E189" s="181">
        <f>SUMIF(服务合同!$L$6:$L$300,L189,服务合同!$E$6:$E$300)</f>
        <v>0</v>
      </c>
      <c r="F189" s="181">
        <f>SUMIF(服务合同!$L$6:$L$300,L189,服务合同!$F$6:$F$300)</f>
        <v>0</v>
      </c>
      <c r="G189" s="181">
        <f>SUMIF(服务合同!$L$6:$L$300,L189,服务合同!$G$6:$G$300)</f>
        <v>0</v>
      </c>
      <c r="H189" s="181">
        <f>SUMIF(服务合同!$L$6:$L$300,L189,服务合同!$H$6:$H$300)</f>
        <v>0</v>
      </c>
      <c r="I189" s="181">
        <f t="shared" si="43"/>
        <v>0</v>
      </c>
      <c r="J189" s="86" t="s">
        <v>98</v>
      </c>
      <c r="K189" s="87"/>
      <c r="L189" s="88">
        <v>184</v>
      </c>
      <c r="M189" s="89" t="str">
        <f>VLOOKUP(L189,服务合同!$L$6:$CC$300,2,0)</f>
        <v>JPCT120015</v>
      </c>
      <c r="N189" s="90" t="str">
        <f>VLOOKUP(L189,服务合同!$L$6:$CC$300,3,0)</f>
        <v>服务合同</v>
      </c>
      <c r="O189" s="265" t="str">
        <f>VLOOKUP(L189,服务合同!$L$6:$CC$300,4,0)</f>
        <v>-</v>
      </c>
      <c r="P189" s="266">
        <f>VLOOKUP(L189,服务合同!$L$6:$CC$300,5,0)</f>
        <v>41233</v>
      </c>
      <c r="Q189" s="275">
        <f>VLOOKUP(L189,服务合同!$L$6:$CC$300,6,0)</f>
        <v>8000000</v>
      </c>
      <c r="R189" s="89" t="str">
        <f>VLOOKUP(L189,服务合同!$L$6:$CC$300,7,0)</f>
        <v>工程设计及技术服务</v>
      </c>
      <c r="S189" s="89" t="str">
        <f>VLOOKUP(L189,服务合同!$L$6:$CC$300,8,0)</f>
        <v>京鼎工程建设有限公司</v>
      </c>
      <c r="T189" s="107">
        <f>VLOOKUP(L189,服务合同!$L$6:$CC$300,9,0)</f>
        <v>0</v>
      </c>
      <c r="U189" s="103" t="str">
        <f>VLOOKUP(L189,服务合同!$L$6:$CC$300,10,0)</f>
        <v>电汇</v>
      </c>
      <c r="V189" s="276" t="str">
        <f>VLOOKUP(L189,服务合同!$L$6:$CC$300,11,0)</f>
        <v>合同半路终止</v>
      </c>
      <c r="W189" s="102">
        <f>VLOOKUP(L189,服务合同!$L$6:$CC$300,12,0)</f>
        <v>8000000</v>
      </c>
      <c r="X189" s="102">
        <f>VLOOKUP(L189,服务合同!$L$6:$CC$300,13,0)</f>
        <v>8000000</v>
      </c>
      <c r="Y189" s="102">
        <f>VLOOKUP(L189,服务合同!$L$6:$CC$300,14,0)</f>
        <v>8000000</v>
      </c>
      <c r="Z189" s="102">
        <f>VLOOKUP(L189,服务合同!$L$6:$CC$300,15,0)</f>
        <v>0</v>
      </c>
      <c r="AA189" s="102">
        <f>VLOOKUP(L189,服务合同!$L$6:$CC$300,16,0)</f>
        <v>0</v>
      </c>
      <c r="AB189" s="102">
        <f>VLOOKUP(L189,服务合同!$L$6:$CC$300,17,0)</f>
        <v>0</v>
      </c>
      <c r="AC189" s="102">
        <f>VLOOKUP(L189,服务合同!$L$6:$CC$300,18,0)</f>
        <v>0</v>
      </c>
      <c r="AD189" s="102">
        <f>VLOOKUP(L189,服务合同!$L$6:$CC$300,19,0)</f>
        <v>0</v>
      </c>
      <c r="AE189" s="102">
        <f>VLOOKUP(L189,服务合同!$L$6:$CC$300,20,0)</f>
        <v>0</v>
      </c>
      <c r="AF189" s="102">
        <f>VLOOKUP(L189,服务合同!$L$6:$CC$300,21,0)</f>
        <v>0</v>
      </c>
      <c r="AG189" s="102">
        <f>VLOOKUP(L189,服务合同!$L$6:$CC$300,22,0)</f>
        <v>0</v>
      </c>
      <c r="AH189" s="102">
        <f>VLOOKUP(L189,服务合同!$L$6:$CC$300,23,0)</f>
        <v>0</v>
      </c>
      <c r="AI189" s="102">
        <f>VLOOKUP(L189,服务合同!$L$6:$CC$300,24,0)</f>
        <v>0</v>
      </c>
      <c r="AJ189" s="102">
        <f>VLOOKUP(L189,服务合同!$L$6:$CC$300,25,0)</f>
        <v>0</v>
      </c>
      <c r="AK189" s="102">
        <f>VLOOKUP(L189,服务合同!$L$6:$CC$300,26,0)</f>
        <v>0</v>
      </c>
      <c r="AL189" s="102">
        <f>VLOOKUP(L189,服务合同!$L$6:$CC$300,27,0)</f>
        <v>0</v>
      </c>
      <c r="AM189" s="102">
        <f>VLOOKUP(L189,服务合同!$L$6:$CC$300,28,0)</f>
        <v>0</v>
      </c>
      <c r="AN189" s="102">
        <f>VLOOKUP(L189,服务合同!$L$6:$CC$300,29,0)</f>
        <v>0</v>
      </c>
      <c r="AO189" s="102">
        <f>VLOOKUP(L189,服务合同!$L$6:$CC$300,30,0)</f>
        <v>0</v>
      </c>
      <c r="AP189" s="102">
        <f>VLOOKUP(L189,服务合同!$L$6:$CC$300,31,0)</f>
        <v>0</v>
      </c>
      <c r="AQ189" s="102">
        <f>VLOOKUP(L189,服务合同!$L$6:$CC$300,32,0)</f>
        <v>0</v>
      </c>
      <c r="AR189" s="102">
        <f>VLOOKUP(L189,服务合同!$L$6:$CC$300,33,0)</f>
        <v>0</v>
      </c>
      <c r="AS189" s="102">
        <f>VLOOKUP(L189,服务合同!$L$6:$CC$300,34,0)</f>
        <v>0</v>
      </c>
      <c r="AT189" s="102">
        <f>VLOOKUP(L189,服务合同!$L$6:$CC$300,35,0)</f>
        <v>0</v>
      </c>
      <c r="AU189" s="102">
        <f>VLOOKUP(L189,服务合同!$L$6:$CC$300,36,0)</f>
        <v>0</v>
      </c>
      <c r="AV189" s="102">
        <f>VLOOKUP(L189,服务合同!$L$6:$CC$300,37,0)</f>
        <v>0</v>
      </c>
      <c r="AW189" s="102">
        <f>VLOOKUP(L189,服务合同!$L$6:$CC$300,38,0)</f>
        <v>0</v>
      </c>
      <c r="AX189" s="102">
        <f>VLOOKUP(L189,服务合同!$L$6:$CC$300,39,0)</f>
        <v>0</v>
      </c>
      <c r="AY189" s="102">
        <f>VLOOKUP(L189,服务合同!$L$6:$CC$300,40,0)</f>
        <v>0</v>
      </c>
      <c r="AZ189" s="102">
        <f>VLOOKUP(L189,服务合同!$L$6:$CC$300,41,0)</f>
        <v>0</v>
      </c>
      <c r="BA189" s="102">
        <f>VLOOKUP(L189,服务合同!$L$6:$CC$300,42,0)</f>
        <v>0</v>
      </c>
      <c r="BB189" s="102">
        <f>VLOOKUP(L189,服务合同!$L$6:$CC$300,43,0)</f>
        <v>0</v>
      </c>
      <c r="BC189" s="102">
        <f>VLOOKUP(L189,服务合同!$L$6:$CC$300,44,0)</f>
        <v>0</v>
      </c>
      <c r="BD189" s="102">
        <f>VLOOKUP(L189,服务合同!$L$6:$CC$300,45,0)</f>
        <v>0</v>
      </c>
      <c r="BE189" s="102">
        <f>VLOOKUP(L189,服务合同!$L$6:$CC$300,46,0)</f>
        <v>0</v>
      </c>
      <c r="BF189" s="102">
        <f>VLOOKUP(L189,服务合同!$L$6:$CC$300,47,0)</f>
        <v>0</v>
      </c>
      <c r="BG189" s="102">
        <f>VLOOKUP(L189,服务合同!$L$6:$CC$300,48,0)</f>
        <v>0</v>
      </c>
      <c r="BH189" s="102">
        <f>VLOOKUP(L189,服务合同!$L$6:$CC$300,49,0)</f>
        <v>0</v>
      </c>
      <c r="BI189" s="102">
        <f>VLOOKUP(L189,服务合同!$L$6:$CC$300,50,0)</f>
        <v>0</v>
      </c>
      <c r="BJ189" s="102">
        <f>VLOOKUP(L189,服务合同!$L$6:$CC$300,51,0)</f>
        <v>0</v>
      </c>
      <c r="BK189" s="102">
        <f>VLOOKUP(L189,服务合同!$L$6:$CC$300,52,0)</f>
        <v>0</v>
      </c>
      <c r="BL189" s="102">
        <f>VLOOKUP(L189,服务合同!$L$6:$CC$300,53,0)</f>
        <v>0</v>
      </c>
      <c r="BM189" s="102">
        <f>VLOOKUP(L189,服务合同!$L$6:$CC$300,54,0)</f>
        <v>0</v>
      </c>
      <c r="BN189" s="102">
        <f>VLOOKUP(L189,服务合同!$L$6:$CC$300,55,0)</f>
        <v>0</v>
      </c>
      <c r="BO189" s="102">
        <f>VLOOKUP(L189,服务合同!$L$6:$CC$300,56,0)</f>
        <v>0</v>
      </c>
      <c r="BP189" s="102">
        <f>VLOOKUP(L189,服务合同!$L$6:$CC$300,57,0)</f>
        <v>0</v>
      </c>
      <c r="BQ189" s="102">
        <f>VLOOKUP(L189,服务合同!$L$6:$CC$300,58,0)</f>
        <v>0</v>
      </c>
      <c r="BR189" s="102">
        <f>VLOOKUP(L189,服务合同!$L$6:$CC$300,59,0)</f>
        <v>0</v>
      </c>
      <c r="BS189" s="102">
        <f>VLOOKUP(L189,服务合同!$L$6:$CC$300,60,0)</f>
        <v>0</v>
      </c>
      <c r="BT189" s="102">
        <f>VLOOKUP(L189,服务合同!$L$6:$CC$300,61,0)</f>
        <v>0</v>
      </c>
      <c r="BU189" s="102">
        <f>VLOOKUP(L189,服务合同!$L$6:$CC$300,62,0)</f>
        <v>0</v>
      </c>
      <c r="BV189" s="102">
        <f>VLOOKUP(L189,服务合同!$L$6:$CC$300,63,0)</f>
        <v>0</v>
      </c>
      <c r="BW189" s="102">
        <f>VLOOKUP(L189,服务合同!$L$6:$CC$300,64,0)</f>
        <v>0</v>
      </c>
      <c r="BX189" s="102">
        <f>VLOOKUP(L189,服务合同!$L$6:$CC$300,65,0)</f>
        <v>0</v>
      </c>
      <c r="BY189" s="102">
        <f>VLOOKUP(L189,服务合同!$L$6:$CC$300,66,0)</f>
        <v>0</v>
      </c>
      <c r="BZ189" s="102">
        <f>VLOOKUP(L189,服务合同!$L$6:$CC$300,67,0)</f>
        <v>0</v>
      </c>
      <c r="CA189" s="102">
        <f>VLOOKUP(L189,服务合同!$L$6:$CC$300,68,0)</f>
        <v>0</v>
      </c>
      <c r="CB189" s="102">
        <f>VLOOKUP(L189,服务合同!$L$6:$CC$300,69,0)</f>
        <v>0</v>
      </c>
      <c r="CC189" s="102">
        <f>VLOOKUP(L189,服务合同!$L$6:$CC$300,70,0)</f>
        <v>0</v>
      </c>
      <c r="CD189" s="123">
        <f t="shared" si="44"/>
        <v>8000000</v>
      </c>
      <c r="CE189" s="102">
        <f t="shared" si="45"/>
        <v>8000000</v>
      </c>
      <c r="CF189" s="102">
        <f t="shared" si="46"/>
        <v>8000000</v>
      </c>
      <c r="CG189" s="102">
        <f t="shared" si="47"/>
        <v>0</v>
      </c>
      <c r="CH189" s="124">
        <f t="shared" si="48"/>
        <v>0</v>
      </c>
      <c r="CI189" s="125">
        <f t="shared" si="49"/>
        <v>1</v>
      </c>
      <c r="CJ189" s="126" t="str">
        <f t="shared" si="50"/>
        <v>数据正确</v>
      </c>
    </row>
    <row r="190" s="60" customFormat="1" customHeight="1" spans="2:88">
      <c r="B190" s="70" t="str">
        <f t="shared" si="40"/>
        <v>-</v>
      </c>
      <c r="C190" s="71" t="str">
        <f t="shared" si="41"/>
        <v>已付清</v>
      </c>
      <c r="D190" s="181">
        <f t="shared" si="42"/>
        <v>11200000</v>
      </c>
      <c r="E190" s="181">
        <f>SUMIF(其他合同!$L$6:$L$300,L190,其他合同!$E$6:$E$300)</f>
        <v>0</v>
      </c>
      <c r="F190" s="181">
        <f>SUMIF(其他合同!$L$6:$L$300,L190,其他合同!$F$6:$F$300)</f>
        <v>0</v>
      </c>
      <c r="G190" s="181">
        <f>SUMIF(其他合同!$L$6:$L$300,L190,其他合同!$G$6:$G$300)</f>
        <v>0</v>
      </c>
      <c r="H190" s="181">
        <f>SUMIF(其他合同!$L$6:$L$300,L190,其他合同!$H$6:$H$300)</f>
        <v>0</v>
      </c>
      <c r="I190" s="181">
        <f t="shared" si="43"/>
        <v>0</v>
      </c>
      <c r="J190" s="86" t="s">
        <v>98</v>
      </c>
      <c r="K190" s="87"/>
      <c r="L190" s="88">
        <v>185</v>
      </c>
      <c r="M190" s="89" t="str">
        <f>VLOOKUP(L190,其他合同!$L$6:$CC$300,2,0)</f>
        <v>JPCT120016</v>
      </c>
      <c r="N190" s="90" t="str">
        <f>VLOOKUP(L190,其他合同!$L$6:$CC$300,3,0)</f>
        <v>其他合同</v>
      </c>
      <c r="O190" s="265" t="str">
        <f>VLOOKUP(L190,其他合同!$L$6:$CC$300,4,0)</f>
        <v>-</v>
      </c>
      <c r="P190" s="266">
        <f>VLOOKUP(L190,其他合同!$L$6:$CC$300,5,0)</f>
        <v>41226</v>
      </c>
      <c r="Q190" s="275">
        <f>VLOOKUP(L190,其他合同!$L$6:$CC$300,6,0)</f>
        <v>11200000</v>
      </c>
      <c r="R190" s="89" t="str">
        <f>VLOOKUP(L190,其他合同!$L$6:$CC$300,7,0)</f>
        <v>锦江石化转永荣-建设工程项目合同</v>
      </c>
      <c r="S190" s="89" t="str">
        <f>VLOOKUP(L190,其他合同!$L$6:$CC$300,8,0)</f>
        <v>北京华福工程有限公司</v>
      </c>
      <c r="T190" s="107" t="str">
        <f>VLOOKUP(L190,其他合同!$L$6:$CC$300,9,0)</f>
        <v>-</v>
      </c>
      <c r="U190" s="103" t="str">
        <f>VLOOKUP(L190,其他合同!$L$6:$CC$300,10,0)</f>
        <v>电汇</v>
      </c>
      <c r="V190" s="276" t="str">
        <f>VLOOKUP(L190,其他合同!$L$6:$CC$300,11,0)</f>
        <v>锦江石化转永荣科技</v>
      </c>
      <c r="W190" s="102">
        <f>VLOOKUP(L190,其他合同!$L$6:$CC$300,12,0)</f>
        <v>11200000</v>
      </c>
      <c r="X190" s="102">
        <f>VLOOKUP(L190,其他合同!$L$6:$CC$300,13,0)</f>
        <v>11200000</v>
      </c>
      <c r="Y190" s="102">
        <f>VLOOKUP(L190,其他合同!$L$6:$CC$300,14,0)</f>
        <v>11200000</v>
      </c>
      <c r="Z190" s="102">
        <f>VLOOKUP(L190,其他合同!$L$6:$CC$300,15,0)</f>
        <v>0</v>
      </c>
      <c r="AA190" s="102">
        <f>VLOOKUP(L190,其他合同!$L$6:$CC$300,16,0)</f>
        <v>0</v>
      </c>
      <c r="AB190" s="102">
        <f>VLOOKUP(L190,其他合同!$L$6:$CC$300,17,0)</f>
        <v>0</v>
      </c>
      <c r="AC190" s="102">
        <f>VLOOKUP(L190,其他合同!$L$6:$CC$300,18,0)</f>
        <v>0</v>
      </c>
      <c r="AD190" s="102">
        <f>VLOOKUP(L190,其他合同!$L$6:$CC$300,19,0)</f>
        <v>0</v>
      </c>
      <c r="AE190" s="102">
        <f>VLOOKUP(L190,其他合同!$L$6:$CC$300,20,0)</f>
        <v>0</v>
      </c>
      <c r="AF190" s="102">
        <f>VLOOKUP(L190,其他合同!$L$6:$CC$300,21,0)</f>
        <v>0</v>
      </c>
      <c r="AG190" s="102">
        <f>VLOOKUP(L190,其他合同!$L$6:$CC$300,22,0)</f>
        <v>0</v>
      </c>
      <c r="AH190" s="102">
        <f>VLOOKUP(L190,其他合同!$L$6:$CC$300,23,0)</f>
        <v>0</v>
      </c>
      <c r="AI190" s="102">
        <f>VLOOKUP(L190,其他合同!$L$6:$CC$300,24,0)</f>
        <v>0</v>
      </c>
      <c r="AJ190" s="102">
        <f>VLOOKUP(L190,其他合同!$L$6:$CC$300,25,0)</f>
        <v>0</v>
      </c>
      <c r="AK190" s="102">
        <f>VLOOKUP(L190,其他合同!$L$6:$CC$300,26,0)</f>
        <v>0</v>
      </c>
      <c r="AL190" s="102">
        <f>VLOOKUP(L190,其他合同!$L$6:$CC$300,27,0)</f>
        <v>0</v>
      </c>
      <c r="AM190" s="102">
        <f>VLOOKUP(L190,其他合同!$L$6:$CC$300,28,0)</f>
        <v>0</v>
      </c>
      <c r="AN190" s="102">
        <f>VLOOKUP(L190,其他合同!$L$6:$CC$300,29,0)</f>
        <v>0</v>
      </c>
      <c r="AO190" s="102">
        <f>VLOOKUP(L190,其他合同!$L$6:$CC$300,30,0)</f>
        <v>0</v>
      </c>
      <c r="AP190" s="102">
        <f>VLOOKUP(L190,其他合同!$L$6:$CC$300,31,0)</f>
        <v>0</v>
      </c>
      <c r="AQ190" s="102">
        <f>VLOOKUP(L190,其他合同!$L$6:$CC$300,32,0)</f>
        <v>0</v>
      </c>
      <c r="AR190" s="102">
        <f>VLOOKUP(L190,其他合同!$L$6:$CC$300,33,0)</f>
        <v>0</v>
      </c>
      <c r="AS190" s="102">
        <f>VLOOKUP(L190,其他合同!$L$6:$CC$300,34,0)</f>
        <v>0</v>
      </c>
      <c r="AT190" s="102">
        <f>VLOOKUP(L190,其他合同!$L$6:$CC$300,35,0)</f>
        <v>0</v>
      </c>
      <c r="AU190" s="102">
        <f>VLOOKUP(L190,其他合同!$L$6:$CC$300,36,0)</f>
        <v>0</v>
      </c>
      <c r="AV190" s="102">
        <f>VLOOKUP(L190,其他合同!$L$6:$CC$300,37,0)</f>
        <v>0</v>
      </c>
      <c r="AW190" s="102">
        <f>VLOOKUP(L190,其他合同!$L$6:$CC$300,38,0)</f>
        <v>0</v>
      </c>
      <c r="AX190" s="102">
        <f>VLOOKUP(L190,其他合同!$L$6:$CC$300,39,0)</f>
        <v>0</v>
      </c>
      <c r="AY190" s="102">
        <f>VLOOKUP(L190,其他合同!$L$6:$CC$300,40,0)</f>
        <v>0</v>
      </c>
      <c r="AZ190" s="102">
        <f>VLOOKUP(L190,其他合同!$L$6:$CC$300,41,0)</f>
        <v>0</v>
      </c>
      <c r="BA190" s="102">
        <f>VLOOKUP(L190,其他合同!$L$6:$CC$300,42,0)</f>
        <v>0</v>
      </c>
      <c r="BB190" s="102">
        <f>VLOOKUP(L190,其他合同!$L$6:$CC$300,43,0)</f>
        <v>0</v>
      </c>
      <c r="BC190" s="102">
        <f>VLOOKUP(L190,其他合同!$L$6:$CC$300,44,0)</f>
        <v>0</v>
      </c>
      <c r="BD190" s="102">
        <f>VLOOKUP(L190,其他合同!$L$6:$CC$300,45,0)</f>
        <v>0</v>
      </c>
      <c r="BE190" s="102">
        <f>VLOOKUP(L190,其他合同!$L$6:$CC$300,46,0)</f>
        <v>0</v>
      </c>
      <c r="BF190" s="102">
        <f>VLOOKUP(L190,其他合同!$L$6:$CC$300,47,0)</f>
        <v>0</v>
      </c>
      <c r="BG190" s="102">
        <f>VLOOKUP(L190,其他合同!$L$6:$CC$300,48,0)</f>
        <v>0</v>
      </c>
      <c r="BH190" s="102">
        <f>VLOOKUP(L190,其他合同!$L$6:$CC$300,49,0)</f>
        <v>0</v>
      </c>
      <c r="BI190" s="102">
        <f>VLOOKUP(L190,其他合同!$L$6:$CC$300,50,0)</f>
        <v>0</v>
      </c>
      <c r="BJ190" s="102">
        <f>VLOOKUP(L190,其他合同!$L$6:$CC$300,51,0)</f>
        <v>0</v>
      </c>
      <c r="BK190" s="102">
        <f>VLOOKUP(L190,其他合同!$L$6:$CC$300,52,0)</f>
        <v>0</v>
      </c>
      <c r="BL190" s="102">
        <f>VLOOKUP(L190,其他合同!$L$6:$CC$300,53,0)</f>
        <v>0</v>
      </c>
      <c r="BM190" s="102">
        <f>VLOOKUP(L190,其他合同!$L$6:$CC$300,54,0)</f>
        <v>0</v>
      </c>
      <c r="BN190" s="102">
        <f>VLOOKUP(L190,其他合同!$L$6:$CC$300,55,0)</f>
        <v>0</v>
      </c>
      <c r="BO190" s="102">
        <f>VLOOKUP(L190,其他合同!$L$6:$CC$300,56,0)</f>
        <v>0</v>
      </c>
      <c r="BP190" s="102">
        <f>VLOOKUP(L190,其他合同!$L$6:$CC$300,57,0)</f>
        <v>0</v>
      </c>
      <c r="BQ190" s="102">
        <f>VLOOKUP(L190,其他合同!$L$6:$CC$300,58,0)</f>
        <v>0</v>
      </c>
      <c r="BR190" s="102">
        <f>VLOOKUP(L190,其他合同!$L$6:$CC$300,59,0)</f>
        <v>0</v>
      </c>
      <c r="BS190" s="102">
        <f>VLOOKUP(L190,其他合同!$L$6:$CC$300,60,0)</f>
        <v>0</v>
      </c>
      <c r="BT190" s="102">
        <f>VLOOKUP(L190,其他合同!$L$6:$CC$300,61,0)</f>
        <v>0</v>
      </c>
      <c r="BU190" s="102">
        <f>VLOOKUP(L190,其他合同!$L$6:$CC$300,62,0)</f>
        <v>0</v>
      </c>
      <c r="BV190" s="102">
        <f>VLOOKUP(L190,其他合同!$L$6:$CC$300,63,0)</f>
        <v>0</v>
      </c>
      <c r="BW190" s="102">
        <f>VLOOKUP(L190,其他合同!$L$6:$CC$300,64,0)</f>
        <v>0</v>
      </c>
      <c r="BX190" s="102">
        <f>VLOOKUP(L190,其他合同!$L$6:$CC$300,65,0)</f>
        <v>0</v>
      </c>
      <c r="BY190" s="102">
        <f>VLOOKUP(L190,其他合同!$L$6:$CC$300,66,0)</f>
        <v>0</v>
      </c>
      <c r="BZ190" s="102">
        <f>VLOOKUP(L190,其他合同!$L$6:$CC$300,67,0)</f>
        <v>0</v>
      </c>
      <c r="CA190" s="102">
        <f>VLOOKUP(L190,其他合同!$L$6:$CC$300,68,0)</f>
        <v>0</v>
      </c>
      <c r="CB190" s="102">
        <f>VLOOKUP(L190,其他合同!$L$6:$CC$300,69,0)</f>
        <v>0</v>
      </c>
      <c r="CC190" s="102">
        <f>VLOOKUP(L190,其他合同!$L$6:$CC$300,70,0)</f>
        <v>0</v>
      </c>
      <c r="CD190" s="123">
        <f t="shared" si="44"/>
        <v>11200000</v>
      </c>
      <c r="CE190" s="102">
        <f t="shared" si="45"/>
        <v>11200000</v>
      </c>
      <c r="CF190" s="102">
        <f t="shared" si="46"/>
        <v>11200000</v>
      </c>
      <c r="CG190" s="102">
        <f t="shared" si="47"/>
        <v>0</v>
      </c>
      <c r="CH190" s="124">
        <f t="shared" si="48"/>
        <v>0</v>
      </c>
      <c r="CI190" s="125">
        <f t="shared" si="49"/>
        <v>1</v>
      </c>
      <c r="CJ190" s="126" t="str">
        <f t="shared" si="50"/>
        <v>数据正确</v>
      </c>
    </row>
    <row r="191" s="60" customFormat="1" customHeight="1" spans="2:88">
      <c r="B191" s="70" t="str">
        <f t="shared" si="40"/>
        <v>-</v>
      </c>
      <c r="C191" s="71" t="str">
        <f t="shared" si="41"/>
        <v>已付清</v>
      </c>
      <c r="D191" s="181">
        <f t="shared" si="42"/>
        <v>0.001</v>
      </c>
      <c r="E191" s="181">
        <f>SUMIF(其他合同!$L$6:$L$300,L191,其他合同!$E$6:$E$300)</f>
        <v>0</v>
      </c>
      <c r="F191" s="181">
        <f>SUMIF(其他合同!$L$6:$L$300,L191,其他合同!$F$6:$F$300)</f>
        <v>0</v>
      </c>
      <c r="G191" s="181">
        <f>SUMIF(其他合同!$L$6:$L$300,L191,其他合同!$G$6:$G$300)</f>
        <v>0</v>
      </c>
      <c r="H191" s="181">
        <f>SUMIF(其他合同!$L$6:$L$300,L191,其他合同!$H$6:$H$300)</f>
        <v>0</v>
      </c>
      <c r="I191" s="181">
        <f t="shared" si="43"/>
        <v>0</v>
      </c>
      <c r="J191" s="86" t="s">
        <v>98</v>
      </c>
      <c r="K191" s="87"/>
      <c r="L191" s="88">
        <v>186</v>
      </c>
      <c r="M191" s="89" t="str">
        <f>VLOOKUP(L191,其他合同!$L$6:$CC$300,2,0)</f>
        <v>莆海域2015年出字04号、05号、莆秀国土资出字（2015）10号 （2016）2号</v>
      </c>
      <c r="N191" s="90" t="str">
        <f>VLOOKUP(L191,其他合同!$L$6:$CC$300,3,0)</f>
        <v>其他合同</v>
      </c>
      <c r="O191" s="265" t="str">
        <f>VLOOKUP(L191,其他合同!$L$6:$CC$300,4,0)</f>
        <v>-</v>
      </c>
      <c r="P191" s="266">
        <f>VLOOKUP(L191,其他合同!$L$6:$CC$300,5,0)</f>
        <v>42460</v>
      </c>
      <c r="Q191" s="275">
        <f>VLOOKUP(L191,其他合同!$L$6:$CC$300,6,0)</f>
        <v>0.001</v>
      </c>
      <c r="R191" s="89" t="str">
        <f>VLOOKUP(L191,其他合同!$L$6:$CC$300,7,0)</f>
        <v>土地费政府补贴9780万元，II期建设土地费733.28万元</v>
      </c>
      <c r="S191" s="89" t="str">
        <f>VLOOKUP(L191,其他合同!$L$6:$CC$300,8,0)</f>
        <v>莆田市财政局、莆田市国土资源局秀屿分局</v>
      </c>
      <c r="T191" s="107" t="str">
        <f>VLOOKUP(L191,其他合同!$L$6:$CC$300,9,0)</f>
        <v>-</v>
      </c>
      <c r="U191" s="103" t="str">
        <f>VLOOKUP(L191,其他合同!$L$6:$CC$300,10,0)</f>
        <v>电汇</v>
      </c>
      <c r="V191" s="276" t="str">
        <f>VLOOKUP(L191,其他合同!$L$6:$CC$300,11,0)</f>
        <v>政府补贴</v>
      </c>
      <c r="W191" s="102">
        <f>VLOOKUP(L191,其他合同!$L$6:$CC$300,12,0)</f>
        <v>0.001</v>
      </c>
      <c r="X191" s="102">
        <f>VLOOKUP(L191,其他合同!$L$6:$CC$300,13,0)</f>
        <v>0.001</v>
      </c>
      <c r="Y191" s="102">
        <f>VLOOKUP(L191,其他合同!$L$6:$CC$300,14,0)</f>
        <v>0.001</v>
      </c>
      <c r="Z191" s="102">
        <f>VLOOKUP(L191,其他合同!$L$6:$CC$300,15,0)</f>
        <v>0</v>
      </c>
      <c r="AA191" s="102">
        <f>VLOOKUP(L191,其他合同!$L$6:$CC$300,16,0)</f>
        <v>0</v>
      </c>
      <c r="AB191" s="102">
        <f>VLOOKUP(L191,其他合同!$L$6:$CC$300,17,0)</f>
        <v>0</v>
      </c>
      <c r="AC191" s="102">
        <f>VLOOKUP(L191,其他合同!$L$6:$CC$300,18,0)</f>
        <v>0</v>
      </c>
      <c r="AD191" s="102">
        <f>VLOOKUP(L191,其他合同!$L$6:$CC$300,19,0)</f>
        <v>0</v>
      </c>
      <c r="AE191" s="102">
        <f>VLOOKUP(L191,其他合同!$L$6:$CC$300,20,0)</f>
        <v>0</v>
      </c>
      <c r="AF191" s="102">
        <f>VLOOKUP(L191,其他合同!$L$6:$CC$300,21,0)</f>
        <v>0</v>
      </c>
      <c r="AG191" s="102">
        <f>VLOOKUP(L191,其他合同!$L$6:$CC$300,22,0)</f>
        <v>0</v>
      </c>
      <c r="AH191" s="102">
        <f>VLOOKUP(L191,其他合同!$L$6:$CC$300,23,0)</f>
        <v>0</v>
      </c>
      <c r="AI191" s="102">
        <f>VLOOKUP(L191,其他合同!$L$6:$CC$300,24,0)</f>
        <v>0</v>
      </c>
      <c r="AJ191" s="102">
        <f>VLOOKUP(L191,其他合同!$L$6:$CC$300,25,0)</f>
        <v>0</v>
      </c>
      <c r="AK191" s="102">
        <f>VLOOKUP(L191,其他合同!$L$6:$CC$300,26,0)</f>
        <v>0</v>
      </c>
      <c r="AL191" s="102">
        <f>VLOOKUP(L191,其他合同!$L$6:$CC$300,27,0)</f>
        <v>0</v>
      </c>
      <c r="AM191" s="102">
        <f>VLOOKUP(L191,其他合同!$L$6:$CC$300,28,0)</f>
        <v>0</v>
      </c>
      <c r="AN191" s="102">
        <f>VLOOKUP(L191,其他合同!$L$6:$CC$300,29,0)</f>
        <v>0</v>
      </c>
      <c r="AO191" s="102">
        <f>VLOOKUP(L191,其他合同!$L$6:$CC$300,30,0)</f>
        <v>0</v>
      </c>
      <c r="AP191" s="102">
        <f>VLOOKUP(L191,其他合同!$L$6:$CC$300,31,0)</f>
        <v>0</v>
      </c>
      <c r="AQ191" s="102">
        <f>VLOOKUP(L191,其他合同!$L$6:$CC$300,32,0)</f>
        <v>0</v>
      </c>
      <c r="AR191" s="102">
        <f>VLOOKUP(L191,其他合同!$L$6:$CC$300,33,0)</f>
        <v>0</v>
      </c>
      <c r="AS191" s="102">
        <f>VLOOKUP(L191,其他合同!$L$6:$CC$300,34,0)</f>
        <v>0</v>
      </c>
      <c r="AT191" s="102">
        <f>VLOOKUP(L191,其他合同!$L$6:$CC$300,35,0)</f>
        <v>0</v>
      </c>
      <c r="AU191" s="102">
        <f>VLOOKUP(L191,其他合同!$L$6:$CC$300,36,0)</f>
        <v>0</v>
      </c>
      <c r="AV191" s="102">
        <f>VLOOKUP(L191,其他合同!$L$6:$CC$300,37,0)</f>
        <v>0</v>
      </c>
      <c r="AW191" s="102">
        <f>VLOOKUP(L191,其他合同!$L$6:$CC$300,38,0)</f>
        <v>0</v>
      </c>
      <c r="AX191" s="102">
        <f>VLOOKUP(L191,其他合同!$L$6:$CC$300,39,0)</f>
        <v>0</v>
      </c>
      <c r="AY191" s="102">
        <f>VLOOKUP(L191,其他合同!$L$6:$CC$300,40,0)</f>
        <v>0</v>
      </c>
      <c r="AZ191" s="102">
        <f>VLOOKUP(L191,其他合同!$L$6:$CC$300,41,0)</f>
        <v>0</v>
      </c>
      <c r="BA191" s="102">
        <f>VLOOKUP(L191,其他合同!$L$6:$CC$300,42,0)</f>
        <v>0</v>
      </c>
      <c r="BB191" s="102">
        <f>VLOOKUP(L191,其他合同!$L$6:$CC$300,43,0)</f>
        <v>0</v>
      </c>
      <c r="BC191" s="102">
        <f>VLOOKUP(L191,其他合同!$L$6:$CC$300,44,0)</f>
        <v>0</v>
      </c>
      <c r="BD191" s="102">
        <f>VLOOKUP(L191,其他合同!$L$6:$CC$300,45,0)</f>
        <v>0</v>
      </c>
      <c r="BE191" s="102">
        <f>VLOOKUP(L191,其他合同!$L$6:$CC$300,46,0)</f>
        <v>0</v>
      </c>
      <c r="BF191" s="102">
        <f>VLOOKUP(L191,其他合同!$L$6:$CC$300,47,0)</f>
        <v>0</v>
      </c>
      <c r="BG191" s="102">
        <f>VLOOKUP(L191,其他合同!$L$6:$CC$300,48,0)</f>
        <v>0</v>
      </c>
      <c r="BH191" s="102">
        <f>VLOOKUP(L191,其他合同!$L$6:$CC$300,49,0)</f>
        <v>0</v>
      </c>
      <c r="BI191" s="102">
        <f>VLOOKUP(L191,其他合同!$L$6:$CC$300,50,0)</f>
        <v>0</v>
      </c>
      <c r="BJ191" s="102">
        <f>VLOOKUP(L191,其他合同!$L$6:$CC$300,51,0)</f>
        <v>0</v>
      </c>
      <c r="BK191" s="102">
        <f>VLOOKUP(L191,其他合同!$L$6:$CC$300,52,0)</f>
        <v>0</v>
      </c>
      <c r="BL191" s="102">
        <f>VLOOKUP(L191,其他合同!$L$6:$CC$300,53,0)</f>
        <v>0</v>
      </c>
      <c r="BM191" s="102">
        <f>VLOOKUP(L191,其他合同!$L$6:$CC$300,54,0)</f>
        <v>0</v>
      </c>
      <c r="BN191" s="102">
        <f>VLOOKUP(L191,其他合同!$L$6:$CC$300,55,0)</f>
        <v>0</v>
      </c>
      <c r="BO191" s="102">
        <f>VLOOKUP(L191,其他合同!$L$6:$CC$300,56,0)</f>
        <v>0</v>
      </c>
      <c r="BP191" s="102">
        <f>VLOOKUP(L191,其他合同!$L$6:$CC$300,57,0)</f>
        <v>0</v>
      </c>
      <c r="BQ191" s="102">
        <f>VLOOKUP(L191,其他合同!$L$6:$CC$300,58,0)</f>
        <v>0</v>
      </c>
      <c r="BR191" s="102">
        <f>VLOOKUP(L191,其他合同!$L$6:$CC$300,59,0)</f>
        <v>0</v>
      </c>
      <c r="BS191" s="102">
        <f>VLOOKUP(L191,其他合同!$L$6:$CC$300,60,0)</f>
        <v>0</v>
      </c>
      <c r="BT191" s="102">
        <f>VLOOKUP(L191,其他合同!$L$6:$CC$300,61,0)</f>
        <v>0</v>
      </c>
      <c r="BU191" s="102">
        <f>VLOOKUP(L191,其他合同!$L$6:$CC$300,62,0)</f>
        <v>0</v>
      </c>
      <c r="BV191" s="102">
        <f>VLOOKUP(L191,其他合同!$L$6:$CC$300,63,0)</f>
        <v>0</v>
      </c>
      <c r="BW191" s="102">
        <f>VLOOKUP(L191,其他合同!$L$6:$CC$300,64,0)</f>
        <v>0</v>
      </c>
      <c r="BX191" s="102">
        <f>VLOOKUP(L191,其他合同!$L$6:$CC$300,65,0)</f>
        <v>0</v>
      </c>
      <c r="BY191" s="102">
        <f>VLOOKUP(L191,其他合同!$L$6:$CC$300,66,0)</f>
        <v>0</v>
      </c>
      <c r="BZ191" s="102">
        <f>VLOOKUP(L191,其他合同!$L$6:$CC$300,67,0)</f>
        <v>0</v>
      </c>
      <c r="CA191" s="102">
        <f>VLOOKUP(L191,其他合同!$L$6:$CC$300,68,0)</f>
        <v>0</v>
      </c>
      <c r="CB191" s="102">
        <f>VLOOKUP(L191,其他合同!$L$6:$CC$300,69,0)</f>
        <v>0</v>
      </c>
      <c r="CC191" s="102">
        <f>VLOOKUP(L191,其他合同!$L$6:$CC$300,70,0)</f>
        <v>0</v>
      </c>
      <c r="CD191" s="123">
        <f t="shared" si="44"/>
        <v>0.001</v>
      </c>
      <c r="CE191" s="102">
        <f t="shared" si="45"/>
        <v>0.001</v>
      </c>
      <c r="CF191" s="102">
        <f t="shared" si="46"/>
        <v>0.001</v>
      </c>
      <c r="CG191" s="102">
        <f t="shared" si="47"/>
        <v>0</v>
      </c>
      <c r="CH191" s="124">
        <f t="shared" si="48"/>
        <v>0</v>
      </c>
      <c r="CI191" s="125">
        <f t="shared" si="49"/>
        <v>1</v>
      </c>
      <c r="CJ191" s="126" t="str">
        <f t="shared" si="50"/>
        <v>数据正确</v>
      </c>
    </row>
    <row r="192" s="60" customFormat="1" customHeight="1" spans="2:88">
      <c r="B192" s="70" t="str">
        <f t="shared" si="40"/>
        <v>-</v>
      </c>
      <c r="C192" s="71" t="str">
        <f t="shared" si="41"/>
        <v>已付清</v>
      </c>
      <c r="D192" s="181">
        <f t="shared" si="42"/>
        <v>0.001</v>
      </c>
      <c r="E192" s="181">
        <f>SUMIF(其他合同!$L$6:$L$300,L192,其他合同!$E$6:$E$300)</f>
        <v>0</v>
      </c>
      <c r="F192" s="181">
        <f>SUMIF(其他合同!$L$6:$L$300,L192,其他合同!$F$6:$F$300)</f>
        <v>0</v>
      </c>
      <c r="G192" s="181">
        <f>SUMIF(其他合同!$L$6:$L$300,L192,其他合同!$G$6:$G$300)</f>
        <v>0</v>
      </c>
      <c r="H192" s="181">
        <f>SUMIF(其他合同!$L$6:$L$300,L192,其他合同!$H$6:$H$300)</f>
        <v>0</v>
      </c>
      <c r="I192" s="181">
        <f t="shared" si="43"/>
        <v>0</v>
      </c>
      <c r="J192" s="86" t="s">
        <v>98</v>
      </c>
      <c r="K192" s="87"/>
      <c r="L192" s="88">
        <v>187</v>
      </c>
      <c r="M192" s="89" t="str">
        <f>VLOOKUP(L192,其他合同!$L$6:$CC$300,2,0)</f>
        <v>无</v>
      </c>
      <c r="N192" s="90" t="str">
        <f>VLOOKUP(L192,其他合同!$L$6:$CC$300,3,0)</f>
        <v>其他合同</v>
      </c>
      <c r="O192" s="265" t="str">
        <f>VLOOKUP(L192,其他合同!$L$6:$CC$300,4,0)</f>
        <v>-</v>
      </c>
      <c r="P192" s="266">
        <f>VLOOKUP(L192,其他合同!$L$6:$CC$300,5,0)</f>
        <v>42520</v>
      </c>
      <c r="Q192" s="275">
        <f>VLOOKUP(L192,其他合同!$L$6:$CC$300,6,0)</f>
        <v>0.001</v>
      </c>
      <c r="R192" s="89" t="str">
        <f>VLOOKUP(L192,其他合同!$L$6:$CC$300,7,0)</f>
        <v>排污权交易（付款60万吨排污费，本次一期工程按20万吨算）</v>
      </c>
      <c r="S192" s="89" t="str">
        <f>VLOOKUP(L192,其他合同!$L$6:$CC$300,8,0)</f>
        <v>仙游县环境保护局</v>
      </c>
      <c r="T192" s="107" t="str">
        <f>VLOOKUP(L192,其他合同!$L$6:$CC$300,9,0)</f>
        <v>-</v>
      </c>
      <c r="U192" s="103" t="str">
        <f>VLOOKUP(L192,其他合同!$L$6:$CC$300,10,0)</f>
        <v>电汇</v>
      </c>
      <c r="V192" s="276" t="str">
        <f>VLOOKUP(L192,其他合同!$L$6:$CC$300,11,0)</f>
        <v>合同签订10日之内一次性付清。定金4028653元，取得使用权证书后退回</v>
      </c>
      <c r="W192" s="102">
        <f>VLOOKUP(L192,其他合同!$L$6:$CC$300,12,0)</f>
        <v>0.001</v>
      </c>
      <c r="X192" s="102">
        <f>VLOOKUP(L192,其他合同!$L$6:$CC$300,13,0)</f>
        <v>0.001</v>
      </c>
      <c r="Y192" s="102">
        <f>VLOOKUP(L192,其他合同!$L$6:$CC$300,14,0)</f>
        <v>0.001</v>
      </c>
      <c r="Z192" s="102">
        <f>VLOOKUP(L192,其他合同!$L$6:$CC$300,15,0)</f>
        <v>0</v>
      </c>
      <c r="AA192" s="102">
        <f>VLOOKUP(L192,其他合同!$L$6:$CC$300,16,0)</f>
        <v>0</v>
      </c>
      <c r="AB192" s="102">
        <f>VLOOKUP(L192,其他合同!$L$6:$CC$300,17,0)</f>
        <v>0</v>
      </c>
      <c r="AC192" s="102">
        <f>VLOOKUP(L192,其他合同!$L$6:$CC$300,18,0)</f>
        <v>0</v>
      </c>
      <c r="AD192" s="102">
        <f>VLOOKUP(L192,其他合同!$L$6:$CC$300,19,0)</f>
        <v>0</v>
      </c>
      <c r="AE192" s="102">
        <f>VLOOKUP(L192,其他合同!$L$6:$CC$300,20,0)</f>
        <v>0</v>
      </c>
      <c r="AF192" s="102">
        <f>VLOOKUP(L192,其他合同!$L$6:$CC$300,21,0)</f>
        <v>0</v>
      </c>
      <c r="AG192" s="102">
        <f>VLOOKUP(L192,其他合同!$L$6:$CC$300,22,0)</f>
        <v>0</v>
      </c>
      <c r="AH192" s="102">
        <f>VLOOKUP(L192,其他合同!$L$6:$CC$300,23,0)</f>
        <v>0</v>
      </c>
      <c r="AI192" s="102">
        <f>VLOOKUP(L192,其他合同!$L$6:$CC$300,24,0)</f>
        <v>0</v>
      </c>
      <c r="AJ192" s="102">
        <f>VLOOKUP(L192,其他合同!$L$6:$CC$300,25,0)</f>
        <v>0</v>
      </c>
      <c r="AK192" s="102">
        <f>VLOOKUP(L192,其他合同!$L$6:$CC$300,26,0)</f>
        <v>0</v>
      </c>
      <c r="AL192" s="102">
        <f>VLOOKUP(L192,其他合同!$L$6:$CC$300,27,0)</f>
        <v>0</v>
      </c>
      <c r="AM192" s="102">
        <f>VLOOKUP(L192,其他合同!$L$6:$CC$300,28,0)</f>
        <v>0</v>
      </c>
      <c r="AN192" s="102">
        <f>VLOOKUP(L192,其他合同!$L$6:$CC$300,29,0)</f>
        <v>0</v>
      </c>
      <c r="AO192" s="102">
        <f>VLOOKUP(L192,其他合同!$L$6:$CC$300,30,0)</f>
        <v>0</v>
      </c>
      <c r="AP192" s="102">
        <f>VLOOKUP(L192,其他合同!$L$6:$CC$300,31,0)</f>
        <v>0</v>
      </c>
      <c r="AQ192" s="102">
        <f>VLOOKUP(L192,其他合同!$L$6:$CC$300,32,0)</f>
        <v>0</v>
      </c>
      <c r="AR192" s="102">
        <f>VLOOKUP(L192,其他合同!$L$6:$CC$300,33,0)</f>
        <v>0</v>
      </c>
      <c r="AS192" s="102">
        <f>VLOOKUP(L192,其他合同!$L$6:$CC$300,34,0)</f>
        <v>0</v>
      </c>
      <c r="AT192" s="102">
        <f>VLOOKUP(L192,其他合同!$L$6:$CC$300,35,0)</f>
        <v>0</v>
      </c>
      <c r="AU192" s="102">
        <f>VLOOKUP(L192,其他合同!$L$6:$CC$300,36,0)</f>
        <v>0</v>
      </c>
      <c r="AV192" s="102">
        <f>VLOOKUP(L192,其他合同!$L$6:$CC$300,37,0)</f>
        <v>0</v>
      </c>
      <c r="AW192" s="102">
        <f>VLOOKUP(L192,其他合同!$L$6:$CC$300,38,0)</f>
        <v>0</v>
      </c>
      <c r="AX192" s="102">
        <f>VLOOKUP(L192,其他合同!$L$6:$CC$300,39,0)</f>
        <v>0</v>
      </c>
      <c r="AY192" s="102">
        <f>VLOOKUP(L192,其他合同!$L$6:$CC$300,40,0)</f>
        <v>0</v>
      </c>
      <c r="AZ192" s="102">
        <f>VLOOKUP(L192,其他合同!$L$6:$CC$300,41,0)</f>
        <v>0</v>
      </c>
      <c r="BA192" s="102">
        <f>VLOOKUP(L192,其他合同!$L$6:$CC$300,42,0)</f>
        <v>0</v>
      </c>
      <c r="BB192" s="102">
        <f>VLOOKUP(L192,其他合同!$L$6:$CC$300,43,0)</f>
        <v>0</v>
      </c>
      <c r="BC192" s="102">
        <f>VLOOKUP(L192,其他合同!$L$6:$CC$300,44,0)</f>
        <v>0</v>
      </c>
      <c r="BD192" s="102">
        <f>VLOOKUP(L192,其他合同!$L$6:$CC$300,45,0)</f>
        <v>0</v>
      </c>
      <c r="BE192" s="102">
        <f>VLOOKUP(L192,其他合同!$L$6:$CC$300,46,0)</f>
        <v>0</v>
      </c>
      <c r="BF192" s="102">
        <f>VLOOKUP(L192,其他合同!$L$6:$CC$300,47,0)</f>
        <v>0</v>
      </c>
      <c r="BG192" s="102">
        <f>VLOOKUP(L192,其他合同!$L$6:$CC$300,48,0)</f>
        <v>0</v>
      </c>
      <c r="BH192" s="102">
        <f>VLOOKUP(L192,其他合同!$L$6:$CC$300,49,0)</f>
        <v>0</v>
      </c>
      <c r="BI192" s="102">
        <f>VLOOKUP(L192,其他合同!$L$6:$CC$300,50,0)</f>
        <v>0</v>
      </c>
      <c r="BJ192" s="102">
        <f>VLOOKUP(L192,其他合同!$L$6:$CC$300,51,0)</f>
        <v>0</v>
      </c>
      <c r="BK192" s="102">
        <f>VLOOKUP(L192,其他合同!$L$6:$CC$300,52,0)</f>
        <v>0</v>
      </c>
      <c r="BL192" s="102">
        <f>VLOOKUP(L192,其他合同!$L$6:$CC$300,53,0)</f>
        <v>0</v>
      </c>
      <c r="BM192" s="102">
        <f>VLOOKUP(L192,其他合同!$L$6:$CC$300,54,0)</f>
        <v>0</v>
      </c>
      <c r="BN192" s="102">
        <f>VLOOKUP(L192,其他合同!$L$6:$CC$300,55,0)</f>
        <v>0</v>
      </c>
      <c r="BO192" s="102">
        <f>VLOOKUP(L192,其他合同!$L$6:$CC$300,56,0)</f>
        <v>0</v>
      </c>
      <c r="BP192" s="102">
        <f>VLOOKUP(L192,其他合同!$L$6:$CC$300,57,0)</f>
        <v>0</v>
      </c>
      <c r="BQ192" s="102">
        <f>VLOOKUP(L192,其他合同!$L$6:$CC$300,58,0)</f>
        <v>0</v>
      </c>
      <c r="BR192" s="102">
        <f>VLOOKUP(L192,其他合同!$L$6:$CC$300,59,0)</f>
        <v>0</v>
      </c>
      <c r="BS192" s="102">
        <f>VLOOKUP(L192,其他合同!$L$6:$CC$300,60,0)</f>
        <v>0</v>
      </c>
      <c r="BT192" s="102">
        <f>VLOOKUP(L192,其他合同!$L$6:$CC$300,61,0)</f>
        <v>0</v>
      </c>
      <c r="BU192" s="102">
        <f>VLOOKUP(L192,其他合同!$L$6:$CC$300,62,0)</f>
        <v>0</v>
      </c>
      <c r="BV192" s="102">
        <f>VLOOKUP(L192,其他合同!$L$6:$CC$300,63,0)</f>
        <v>0</v>
      </c>
      <c r="BW192" s="102">
        <f>VLOOKUP(L192,其他合同!$L$6:$CC$300,64,0)</f>
        <v>0</v>
      </c>
      <c r="BX192" s="102">
        <f>VLOOKUP(L192,其他合同!$L$6:$CC$300,65,0)</f>
        <v>0</v>
      </c>
      <c r="BY192" s="102">
        <f>VLOOKUP(L192,其他合同!$L$6:$CC$300,66,0)</f>
        <v>0</v>
      </c>
      <c r="BZ192" s="102">
        <f>VLOOKUP(L192,其他合同!$L$6:$CC$300,67,0)</f>
        <v>0</v>
      </c>
      <c r="CA192" s="102">
        <f>VLOOKUP(L192,其他合同!$L$6:$CC$300,68,0)</f>
        <v>0</v>
      </c>
      <c r="CB192" s="102">
        <f>VLOOKUP(L192,其他合同!$L$6:$CC$300,69,0)</f>
        <v>0</v>
      </c>
      <c r="CC192" s="102">
        <f>VLOOKUP(L192,其他合同!$L$6:$CC$300,70,0)</f>
        <v>0</v>
      </c>
      <c r="CD192" s="123">
        <f t="shared" si="44"/>
        <v>0.001</v>
      </c>
      <c r="CE192" s="102">
        <f t="shared" si="45"/>
        <v>0.001</v>
      </c>
      <c r="CF192" s="102">
        <f t="shared" si="46"/>
        <v>0.001</v>
      </c>
      <c r="CG192" s="102">
        <f t="shared" si="47"/>
        <v>0</v>
      </c>
      <c r="CH192" s="124">
        <f t="shared" si="48"/>
        <v>0</v>
      </c>
      <c r="CI192" s="125">
        <f t="shared" si="49"/>
        <v>1</v>
      </c>
      <c r="CJ192" s="126" t="str">
        <f t="shared" si="50"/>
        <v>数据正确</v>
      </c>
    </row>
    <row r="193" s="60" customFormat="1" customHeight="1" spans="2:88">
      <c r="B193" s="70" t="str">
        <f t="shared" si="40"/>
        <v>-</v>
      </c>
      <c r="C193" s="71" t="str">
        <f t="shared" si="41"/>
        <v>-</v>
      </c>
      <c r="D193" s="181">
        <f t="shared" si="42"/>
        <v>506000</v>
      </c>
      <c r="E193" s="181">
        <f>SUMIF(设备合同!$L$6:$L$302,L193,设备合同!$E$6:$E$302)</f>
        <v>0</v>
      </c>
      <c r="F193" s="181">
        <f>SUMIF(设备合同!$L$6:$L$302,L193,设备合同!$F$6:$F$302)</f>
        <v>0</v>
      </c>
      <c r="G193" s="181">
        <f>SUMIF(设备合同!$L$6:$L$302,L193,设备合同!$G$6:$G$302)</f>
        <v>0</v>
      </c>
      <c r="H193" s="181">
        <f>SUMIF(设备合同!$L$6:$L$302,L193,设备合同!$H$6:$H$302)</f>
        <v>0</v>
      </c>
      <c r="I193" s="181">
        <f t="shared" si="43"/>
        <v>0</v>
      </c>
      <c r="J193" s="86" t="s">
        <v>98</v>
      </c>
      <c r="K193" s="87"/>
      <c r="L193" s="88">
        <v>188</v>
      </c>
      <c r="M193" s="89" t="str">
        <f>VLOOKUP(L193,设备合同!$L$6:$CC$302,2,0)</f>
        <v>YRKJEQ-170035</v>
      </c>
      <c r="N193" s="90" t="str">
        <f>VLOOKUP(L193,设备合同!$L$6:$CC$302,3,0)</f>
        <v>设备合同</v>
      </c>
      <c r="O193" s="265">
        <f>VLOOKUP(L193,设备合同!$L$6:$CC$302,4,0)</f>
        <v>2017050050</v>
      </c>
      <c r="P193" s="266">
        <f>VLOOKUP(L193,设备合同!$L$6:$CC$302,5,0)</f>
        <v>42909</v>
      </c>
      <c r="Q193" s="275">
        <f>VLOOKUP(L193,设备合同!$L$6:$CC$302,6,0)</f>
        <v>2530000</v>
      </c>
      <c r="R193" s="89" t="str">
        <f>VLOOKUP(L193,设备合同!$L$6:$CC$302,7,0)</f>
        <v>69台屏蔽泵</v>
      </c>
      <c r="S193" s="89" t="str">
        <f>VLOOKUP(L193,设备合同!$L$6:$CC$302,8,0)</f>
        <v>厦门予中化工有限公司</v>
      </c>
      <c r="T193" s="107">
        <f>VLOOKUP(L193,设备合同!$L$6:$CC$302,9,0)</f>
        <v>0</v>
      </c>
      <c r="U193" s="103" t="str">
        <f>VLOOKUP(L193,设备合同!$L$6:$CC$302,10,0)</f>
        <v>6个月承兑汇票/电汇不贴息</v>
      </c>
      <c r="V193" s="276" t="str">
        <f>VLOOKUP(L193,设备合同!$L$6:$CC$302,11,0)</f>
        <v>甲方收到乙方20%收据15个工作日支付预付款20%</v>
      </c>
      <c r="W193" s="102">
        <f>VLOOKUP(L193,设备合同!$L$6:$CC$302,12,0)</f>
        <v>506000</v>
      </c>
      <c r="X193" s="102">
        <f>VLOOKUP(L193,设备合同!$L$6:$CC$302,13,0)</f>
        <v>506000</v>
      </c>
      <c r="Y193" s="102">
        <f>VLOOKUP(L193,设备合同!$L$6:$CC$302,14,0)</f>
        <v>506000</v>
      </c>
      <c r="Z193" s="102" t="str">
        <f>VLOOKUP(L193,设备合同!$L$6:$CC$302,15,0)</f>
        <v>甲方提供全额专票，交货期内一个月支付75%发货款</v>
      </c>
      <c r="AA193" s="102">
        <f>VLOOKUP(L193,设备合同!$L$6:$CC$302,16,0)</f>
        <v>1897500</v>
      </c>
      <c r="AB193" s="102">
        <f>VLOOKUP(L193,设备合同!$L$6:$CC$302,17,0)</f>
        <v>0</v>
      </c>
      <c r="AC193" s="102">
        <f>VLOOKUP(L193,设备合同!$L$6:$CC$302,18,0)</f>
        <v>0</v>
      </c>
      <c r="AD193" s="102" t="str">
        <f>VLOOKUP(L193,设备合同!$L$6:$CC$302,19,0)</f>
        <v>开车调试验收合格后，一个月内支付3%验收款</v>
      </c>
      <c r="AE193" s="102">
        <f>VLOOKUP(L193,设备合同!$L$6:$CC$302,20,0)</f>
        <v>75900</v>
      </c>
      <c r="AF193" s="102">
        <f>VLOOKUP(L193,设备合同!$L$6:$CC$302,21,0)</f>
        <v>0</v>
      </c>
      <c r="AG193" s="102">
        <f>VLOOKUP(L193,设备合同!$L$6:$CC$302,22,0)</f>
        <v>0</v>
      </c>
      <c r="AH193" s="102" t="str">
        <f>VLOOKUP(L193,设备合同!$L$6:$CC$302,23,0)</f>
        <v>2%质保金，验收合格12个月或到货现场18个月</v>
      </c>
      <c r="AI193" s="102">
        <f>VLOOKUP(L193,设备合同!$L$6:$CC$302,24,0)</f>
        <v>50600</v>
      </c>
      <c r="AJ193" s="102">
        <f>VLOOKUP(L193,设备合同!$L$6:$CC$302,25,0)</f>
        <v>0</v>
      </c>
      <c r="AK193" s="102">
        <f>VLOOKUP(L193,设备合同!$L$6:$CC$302,26,0)</f>
        <v>0</v>
      </c>
      <c r="AL193" s="102">
        <f>VLOOKUP(L193,设备合同!$L$6:$CC$302,27,0)</f>
        <v>0</v>
      </c>
      <c r="AM193" s="102">
        <f>VLOOKUP(L193,设备合同!$L$6:$CC$302,28,0)</f>
        <v>0</v>
      </c>
      <c r="AN193" s="102">
        <f>VLOOKUP(L193,设备合同!$L$6:$CC$302,29,0)</f>
        <v>0</v>
      </c>
      <c r="AO193" s="102">
        <f>VLOOKUP(L193,设备合同!$L$6:$CC$302,30,0)</f>
        <v>0</v>
      </c>
      <c r="AP193" s="102">
        <f>VLOOKUP(L193,设备合同!$L$6:$CC$302,31,0)</f>
        <v>0</v>
      </c>
      <c r="AQ193" s="102">
        <f>VLOOKUP(L193,设备合同!$L$6:$CC$302,32,0)</f>
        <v>0</v>
      </c>
      <c r="AR193" s="102">
        <f>VLOOKUP(L193,设备合同!$L$6:$CC$302,33,0)</f>
        <v>0</v>
      </c>
      <c r="AS193" s="102">
        <f>VLOOKUP(L193,设备合同!$L$6:$CC$302,34,0)</f>
        <v>0</v>
      </c>
      <c r="AT193" s="102">
        <f>VLOOKUP(L193,设备合同!$L$6:$CC$302,35,0)</f>
        <v>0</v>
      </c>
      <c r="AU193" s="102">
        <f>VLOOKUP(L193,设备合同!$L$6:$CC$302,36,0)</f>
        <v>0</v>
      </c>
      <c r="AV193" s="102">
        <f>VLOOKUP(L193,设备合同!$L$6:$CC$302,37,0)</f>
        <v>0</v>
      </c>
      <c r="AW193" s="102">
        <f>VLOOKUP(L193,设备合同!$L$6:$CC$302,38,0)</f>
        <v>0</v>
      </c>
      <c r="AX193" s="102">
        <f>VLOOKUP(L193,设备合同!$L$6:$CC$302,39,0)</f>
        <v>0</v>
      </c>
      <c r="AY193" s="102">
        <f>VLOOKUP(L193,设备合同!$L$6:$CC$302,40,0)</f>
        <v>0</v>
      </c>
      <c r="AZ193" s="102">
        <f>VLOOKUP(L193,设备合同!$L$6:$CC$302,41,0)</f>
        <v>0</v>
      </c>
      <c r="BA193" s="102">
        <f>VLOOKUP(L193,设备合同!$L$6:$CC$302,42,0)</f>
        <v>0</v>
      </c>
      <c r="BB193" s="102">
        <f>VLOOKUP(L193,设备合同!$L$6:$CC$302,43,0)</f>
        <v>0</v>
      </c>
      <c r="BC193" s="102">
        <f>VLOOKUP(L193,设备合同!$L$6:$CC$302,44,0)</f>
        <v>0</v>
      </c>
      <c r="BD193" s="102">
        <f>VLOOKUP(L193,设备合同!$L$6:$CC$302,45,0)</f>
        <v>0</v>
      </c>
      <c r="BE193" s="102">
        <f>VLOOKUP(L193,设备合同!$L$6:$CC$302,46,0)</f>
        <v>0</v>
      </c>
      <c r="BF193" s="102">
        <f>VLOOKUP(L193,设备合同!$L$6:$CC$302,47,0)</f>
        <v>0</v>
      </c>
      <c r="BG193" s="102">
        <f>VLOOKUP(L193,设备合同!$L$6:$CC$302,48,0)</f>
        <v>0</v>
      </c>
      <c r="BH193" s="102">
        <f>VLOOKUP(L193,设备合同!$L$6:$CC$302,49,0)</f>
        <v>0</v>
      </c>
      <c r="BI193" s="102">
        <f>VLOOKUP(L193,设备合同!$L$6:$CC$302,50,0)</f>
        <v>0</v>
      </c>
      <c r="BJ193" s="102">
        <f>VLOOKUP(L193,设备合同!$L$6:$CC$302,51,0)</f>
        <v>0</v>
      </c>
      <c r="BK193" s="102">
        <f>VLOOKUP(L193,设备合同!$L$6:$CC$302,52,0)</f>
        <v>0</v>
      </c>
      <c r="BL193" s="102">
        <f>VLOOKUP(L193,设备合同!$L$6:$CC$302,53,0)</f>
        <v>0</v>
      </c>
      <c r="BM193" s="102">
        <f>VLOOKUP(L193,设备合同!$L$6:$CC$302,54,0)</f>
        <v>0</v>
      </c>
      <c r="BN193" s="102">
        <f>VLOOKUP(L193,设备合同!$L$6:$CC$302,55,0)</f>
        <v>0</v>
      </c>
      <c r="BO193" s="102">
        <f>VLOOKUP(L193,设备合同!$L$6:$CC$302,56,0)</f>
        <v>0</v>
      </c>
      <c r="BP193" s="102">
        <f>VLOOKUP(L193,设备合同!$L$6:$CC$302,57,0)</f>
        <v>0</v>
      </c>
      <c r="BQ193" s="102">
        <f>VLOOKUP(L193,设备合同!$L$6:$CC$302,58,0)</f>
        <v>0</v>
      </c>
      <c r="BR193" s="102">
        <f>VLOOKUP(L193,设备合同!$L$6:$CC$302,59,0)</f>
        <v>0</v>
      </c>
      <c r="BS193" s="102">
        <f>VLOOKUP(L193,设备合同!$L$6:$CC$302,60,0)</f>
        <v>0</v>
      </c>
      <c r="BT193" s="102">
        <f>VLOOKUP(L193,设备合同!$L$6:$CC$302,61,0)</f>
        <v>0</v>
      </c>
      <c r="BU193" s="102">
        <f>VLOOKUP(L193,设备合同!$L$6:$CC$302,62,0)</f>
        <v>0</v>
      </c>
      <c r="BV193" s="102">
        <f>VLOOKUP(L193,设备合同!$L$6:$CC$302,63,0)</f>
        <v>0</v>
      </c>
      <c r="BW193" s="102">
        <f>VLOOKUP(L193,设备合同!$L$6:$CC$302,64,0)</f>
        <v>0</v>
      </c>
      <c r="BX193" s="102">
        <f>VLOOKUP(L193,设备合同!$L$6:$CC$302,65,0)</f>
        <v>0</v>
      </c>
      <c r="BY193" s="102">
        <f>VLOOKUP(L193,设备合同!$L$6:$CC$302,66,0)</f>
        <v>0</v>
      </c>
      <c r="BZ193" s="102">
        <f>VLOOKUP(L193,设备合同!$L$6:$CC$302,67,0)</f>
        <v>0</v>
      </c>
      <c r="CA193" s="102">
        <f>VLOOKUP(L193,设备合同!$L$6:$CC$302,68,0)</f>
        <v>0</v>
      </c>
      <c r="CB193" s="102">
        <f>VLOOKUP(L193,设备合同!$L$6:$CC$302,69,0)</f>
        <v>0</v>
      </c>
      <c r="CC193" s="102">
        <f>VLOOKUP(L193,设备合同!$L$6:$CC$302,70,0)</f>
        <v>0</v>
      </c>
      <c r="CD193" s="123">
        <f t="shared" si="44"/>
        <v>2530000</v>
      </c>
      <c r="CE193" s="102">
        <f t="shared" si="45"/>
        <v>506000</v>
      </c>
      <c r="CF193" s="102">
        <f t="shared" si="46"/>
        <v>506000</v>
      </c>
      <c r="CG193" s="102">
        <f t="shared" si="47"/>
        <v>0</v>
      </c>
      <c r="CH193" s="124">
        <f t="shared" si="48"/>
        <v>2024000</v>
      </c>
      <c r="CI193" s="125">
        <f t="shared" si="49"/>
        <v>0.2</v>
      </c>
      <c r="CJ193" s="126" t="str">
        <f t="shared" si="50"/>
        <v>数据正确</v>
      </c>
    </row>
    <row r="194" s="60" customFormat="1" customHeight="1" spans="2:88">
      <c r="B194" s="70" t="str">
        <f t="shared" si="40"/>
        <v>-</v>
      </c>
      <c r="C194" s="71" t="str">
        <f t="shared" si="41"/>
        <v>-</v>
      </c>
      <c r="D194" s="181">
        <f t="shared" si="42"/>
        <v>0</v>
      </c>
      <c r="E194" s="181">
        <f>SUMIF(设备合同!$L$6:$L$302,L194,设备合同!$E$6:$E$302)</f>
        <v>0</v>
      </c>
      <c r="F194" s="181">
        <f>SUMIF(设备合同!$L$6:$L$302,L194,设备合同!$F$6:$F$302)</f>
        <v>0</v>
      </c>
      <c r="G194" s="181">
        <f>SUMIF(设备合同!$L$6:$L$302,L194,设备合同!$G$6:$G$302)</f>
        <v>0</v>
      </c>
      <c r="H194" s="181">
        <f>SUMIF(设备合同!$L$6:$L$302,L194,设备合同!$H$6:$H$302)</f>
        <v>0</v>
      </c>
      <c r="I194" s="181">
        <f t="shared" si="43"/>
        <v>0</v>
      </c>
      <c r="J194" s="86" t="s">
        <v>98</v>
      </c>
      <c r="K194" s="87"/>
      <c r="L194" s="88">
        <v>189</v>
      </c>
      <c r="M194" s="89" t="str">
        <f>VLOOKUP(L194,设备合同!$L$6:$CC$302,2,0)</f>
        <v>YRKJEQ-170058</v>
      </c>
      <c r="N194" s="90" t="str">
        <f>VLOOKUP(L194,设备合同!$L$6:$CC$302,3,0)</f>
        <v>设备合同</v>
      </c>
      <c r="O194" s="265">
        <f>VLOOKUP(L194,设备合同!$L$6:$CC$302,4,0)</f>
        <v>2017060088</v>
      </c>
      <c r="P194" s="266">
        <f>VLOOKUP(L194,设备合同!$L$6:$CC$302,5,0)</f>
        <v>42954</v>
      </c>
      <c r="Q194" s="275">
        <f>VLOOKUP(L194,设备合同!$L$6:$CC$302,6,0)</f>
        <v>1314000</v>
      </c>
      <c r="R194" s="89" t="str">
        <f>VLOOKUP(L194,设备合同!$L$6:$CC$302,7,0)</f>
        <v>釜液循环前置换热器6台</v>
      </c>
      <c r="S194" s="89" t="str">
        <f>VLOOKUP(L194,设备合同!$L$6:$CC$302,8,0)</f>
        <v>北京广夏环能科技股份有限公司</v>
      </c>
      <c r="T194" s="107">
        <f>VLOOKUP(L194,设备合同!$L$6:$CC$302,9,0)</f>
        <v>0</v>
      </c>
      <c r="U194" s="103" t="str">
        <f>VLOOKUP(L194,设备合同!$L$6:$CC$302,10,0)</f>
        <v>6个月承兑汇票/电汇总降2.1万元</v>
      </c>
      <c r="V194" s="276" t="str">
        <f>VLOOKUP(L194,设备合同!$L$6:$CC$302,11,0)</f>
        <v>甲方授权人到乙方清点并检查货物合格后，签发发货同意书，收到60%专票后15个工作日，支付60%发货款  10%履约保函</v>
      </c>
      <c r="W194" s="102">
        <f>VLOOKUP(L194,设备合同!$L$6:$CC$302,12,0)</f>
        <v>788400</v>
      </c>
      <c r="X194" s="102">
        <f>VLOOKUP(L194,设备合同!$L$6:$CC$302,13,0)</f>
        <v>0</v>
      </c>
      <c r="Y194" s="102">
        <f>VLOOKUP(L194,设备合同!$L$6:$CC$302,14,0)</f>
        <v>0</v>
      </c>
      <c r="Z194" s="102" t="str">
        <f>VLOOKUP(L194,设备合同!$L$6:$CC$302,15,0)</f>
        <v>甲方核定的调试合格报告及足额的发票后付30%的验收款</v>
      </c>
      <c r="AA194" s="102">
        <f>VLOOKUP(L194,设备合同!$L$6:$CC$302,16,0)</f>
        <v>394200</v>
      </c>
      <c r="AB194" s="102">
        <f>VLOOKUP(L194,设备合同!$L$6:$CC$302,17,0)</f>
        <v>0</v>
      </c>
      <c r="AC194" s="102">
        <f>VLOOKUP(L194,设备合同!$L$6:$CC$302,18,0)</f>
        <v>0</v>
      </c>
      <c r="AD194" s="102" t="str">
        <f>VLOOKUP(L194,设备合同!$L$6:$CC$302,19,0)</f>
        <v>10%质保金，验收合格12个月或到货现场18个月</v>
      </c>
      <c r="AE194" s="102">
        <f>VLOOKUP(L194,设备合同!$L$6:$CC$302,20,0)</f>
        <v>131400</v>
      </c>
      <c r="AF194" s="102">
        <f>VLOOKUP(L194,设备合同!$L$6:$CC$302,21,0)</f>
        <v>0</v>
      </c>
      <c r="AG194" s="102">
        <f>VLOOKUP(L194,设备合同!$L$6:$CC$302,22,0)</f>
        <v>0</v>
      </c>
      <c r="AH194" s="102">
        <f>VLOOKUP(L194,设备合同!$L$6:$CC$302,23,0)</f>
        <v>0</v>
      </c>
      <c r="AI194" s="102">
        <f>VLOOKUP(L194,设备合同!$L$6:$CC$302,24,0)</f>
        <v>0</v>
      </c>
      <c r="AJ194" s="102">
        <f>VLOOKUP(L194,设备合同!$L$6:$CC$302,25,0)</f>
        <v>0</v>
      </c>
      <c r="AK194" s="102">
        <f>VLOOKUP(L194,设备合同!$L$6:$CC$302,26,0)</f>
        <v>0</v>
      </c>
      <c r="AL194" s="102">
        <f>VLOOKUP(L194,设备合同!$L$6:$CC$302,27,0)</f>
        <v>0</v>
      </c>
      <c r="AM194" s="102">
        <f>VLOOKUP(L194,设备合同!$L$6:$CC$302,28,0)</f>
        <v>0</v>
      </c>
      <c r="AN194" s="102">
        <f>VLOOKUP(L194,设备合同!$L$6:$CC$302,29,0)</f>
        <v>0</v>
      </c>
      <c r="AO194" s="102">
        <f>VLOOKUP(L194,设备合同!$L$6:$CC$302,30,0)</f>
        <v>0</v>
      </c>
      <c r="AP194" s="102">
        <f>VLOOKUP(L194,设备合同!$L$6:$CC$302,31,0)</f>
        <v>0</v>
      </c>
      <c r="AQ194" s="102">
        <f>VLOOKUP(L194,设备合同!$L$6:$CC$302,32,0)</f>
        <v>0</v>
      </c>
      <c r="AR194" s="102">
        <f>VLOOKUP(L194,设备合同!$L$6:$CC$302,33,0)</f>
        <v>0</v>
      </c>
      <c r="AS194" s="102">
        <f>VLOOKUP(L194,设备合同!$L$6:$CC$302,34,0)</f>
        <v>0</v>
      </c>
      <c r="AT194" s="102">
        <f>VLOOKUP(L194,设备合同!$L$6:$CC$302,35,0)</f>
        <v>0</v>
      </c>
      <c r="AU194" s="102">
        <f>VLOOKUP(L194,设备合同!$L$6:$CC$302,36,0)</f>
        <v>0</v>
      </c>
      <c r="AV194" s="102">
        <f>VLOOKUP(L194,设备合同!$L$6:$CC$302,37,0)</f>
        <v>0</v>
      </c>
      <c r="AW194" s="102">
        <f>VLOOKUP(L194,设备合同!$L$6:$CC$302,38,0)</f>
        <v>0</v>
      </c>
      <c r="AX194" s="102">
        <f>VLOOKUP(L194,设备合同!$L$6:$CC$302,39,0)</f>
        <v>0</v>
      </c>
      <c r="AY194" s="102">
        <f>VLOOKUP(L194,设备合同!$L$6:$CC$302,40,0)</f>
        <v>0</v>
      </c>
      <c r="AZ194" s="102">
        <f>VLOOKUP(L194,设备合同!$L$6:$CC$302,41,0)</f>
        <v>0</v>
      </c>
      <c r="BA194" s="102">
        <f>VLOOKUP(L194,设备合同!$L$6:$CC$302,42,0)</f>
        <v>0</v>
      </c>
      <c r="BB194" s="102">
        <f>VLOOKUP(L194,设备合同!$L$6:$CC$302,43,0)</f>
        <v>0</v>
      </c>
      <c r="BC194" s="102">
        <f>VLOOKUP(L194,设备合同!$L$6:$CC$302,44,0)</f>
        <v>0</v>
      </c>
      <c r="BD194" s="102">
        <f>VLOOKUP(L194,设备合同!$L$6:$CC$302,45,0)</f>
        <v>0</v>
      </c>
      <c r="BE194" s="102">
        <f>VLOOKUP(L194,设备合同!$L$6:$CC$302,46,0)</f>
        <v>0</v>
      </c>
      <c r="BF194" s="102">
        <f>VLOOKUP(L194,设备合同!$L$6:$CC$302,47,0)</f>
        <v>0</v>
      </c>
      <c r="BG194" s="102">
        <f>VLOOKUP(L194,设备合同!$L$6:$CC$302,48,0)</f>
        <v>0</v>
      </c>
      <c r="BH194" s="102">
        <f>VLOOKUP(L194,设备合同!$L$6:$CC$302,49,0)</f>
        <v>0</v>
      </c>
      <c r="BI194" s="102">
        <f>VLOOKUP(L194,设备合同!$L$6:$CC$302,50,0)</f>
        <v>0</v>
      </c>
      <c r="BJ194" s="102">
        <f>VLOOKUP(L194,设备合同!$L$6:$CC$302,51,0)</f>
        <v>0</v>
      </c>
      <c r="BK194" s="102">
        <f>VLOOKUP(L194,设备合同!$L$6:$CC$302,52,0)</f>
        <v>0</v>
      </c>
      <c r="BL194" s="102">
        <f>VLOOKUP(L194,设备合同!$L$6:$CC$302,53,0)</f>
        <v>0</v>
      </c>
      <c r="BM194" s="102">
        <f>VLOOKUP(L194,设备合同!$L$6:$CC$302,54,0)</f>
        <v>0</v>
      </c>
      <c r="BN194" s="102">
        <f>VLOOKUP(L194,设备合同!$L$6:$CC$302,55,0)</f>
        <v>0</v>
      </c>
      <c r="BO194" s="102">
        <f>VLOOKUP(L194,设备合同!$L$6:$CC$302,56,0)</f>
        <v>0</v>
      </c>
      <c r="BP194" s="102">
        <f>VLOOKUP(L194,设备合同!$L$6:$CC$302,57,0)</f>
        <v>0</v>
      </c>
      <c r="BQ194" s="102">
        <f>VLOOKUP(L194,设备合同!$L$6:$CC$302,58,0)</f>
        <v>0</v>
      </c>
      <c r="BR194" s="102">
        <f>VLOOKUP(L194,设备合同!$L$6:$CC$302,59,0)</f>
        <v>0</v>
      </c>
      <c r="BS194" s="102">
        <f>VLOOKUP(L194,设备合同!$L$6:$CC$302,60,0)</f>
        <v>0</v>
      </c>
      <c r="BT194" s="102">
        <f>VLOOKUP(L194,设备合同!$L$6:$CC$302,61,0)</f>
        <v>0</v>
      </c>
      <c r="BU194" s="102">
        <f>VLOOKUP(L194,设备合同!$L$6:$CC$302,62,0)</f>
        <v>0</v>
      </c>
      <c r="BV194" s="102">
        <f>VLOOKUP(L194,设备合同!$L$6:$CC$302,63,0)</f>
        <v>0</v>
      </c>
      <c r="BW194" s="102">
        <f>VLOOKUP(L194,设备合同!$L$6:$CC$302,64,0)</f>
        <v>0</v>
      </c>
      <c r="BX194" s="102">
        <f>VLOOKUP(L194,设备合同!$L$6:$CC$302,65,0)</f>
        <v>0</v>
      </c>
      <c r="BY194" s="102">
        <f>VLOOKUP(L194,设备合同!$L$6:$CC$302,66,0)</f>
        <v>0</v>
      </c>
      <c r="BZ194" s="102">
        <f>VLOOKUP(L194,设备合同!$L$6:$CC$302,67,0)</f>
        <v>0</v>
      </c>
      <c r="CA194" s="102">
        <f>VLOOKUP(L194,设备合同!$L$6:$CC$302,68,0)</f>
        <v>0</v>
      </c>
      <c r="CB194" s="102">
        <f>VLOOKUP(L194,设备合同!$L$6:$CC$302,69,0)</f>
        <v>0</v>
      </c>
      <c r="CC194" s="102">
        <f>VLOOKUP(L194,设备合同!$L$6:$CC$302,70,0)</f>
        <v>0</v>
      </c>
      <c r="CD194" s="123">
        <f t="shared" si="44"/>
        <v>1314000</v>
      </c>
      <c r="CE194" s="102">
        <f t="shared" si="45"/>
        <v>0</v>
      </c>
      <c r="CF194" s="102">
        <f t="shared" si="46"/>
        <v>0</v>
      </c>
      <c r="CG194" s="102">
        <f t="shared" si="47"/>
        <v>0</v>
      </c>
      <c r="CH194" s="124">
        <f t="shared" si="48"/>
        <v>1314000</v>
      </c>
      <c r="CI194" s="125">
        <f t="shared" si="49"/>
        <v>0</v>
      </c>
      <c r="CJ194" s="126" t="str">
        <f t="shared" si="50"/>
        <v>数据正确</v>
      </c>
    </row>
    <row r="195" s="60" customFormat="1" customHeight="1" spans="2:88">
      <c r="B195" s="70" t="str">
        <f t="shared" si="40"/>
        <v>-</v>
      </c>
      <c r="C195" s="71" t="str">
        <f t="shared" si="41"/>
        <v>-</v>
      </c>
      <c r="D195" s="181">
        <f t="shared" si="42"/>
        <v>275800</v>
      </c>
      <c r="E195" s="181">
        <f>SUMIF(设备合同!$L$6:$L$302,L195,设备合同!$E$6:$E$302)</f>
        <v>0</v>
      </c>
      <c r="F195" s="181">
        <f>SUMIF(设备合同!$L$6:$L$302,L195,设备合同!$F$6:$F$302)</f>
        <v>0</v>
      </c>
      <c r="G195" s="181">
        <f>SUMIF(设备合同!$L$6:$L$302,L195,设备合同!$G$6:$G$302)</f>
        <v>0</v>
      </c>
      <c r="H195" s="181">
        <f>SUMIF(设备合同!$L$6:$L$302,L195,设备合同!$H$6:$H$302)</f>
        <v>0</v>
      </c>
      <c r="I195" s="181">
        <f t="shared" si="43"/>
        <v>0</v>
      </c>
      <c r="J195" s="86" t="s">
        <v>98</v>
      </c>
      <c r="K195" s="87"/>
      <c r="L195" s="88">
        <v>190</v>
      </c>
      <c r="M195" s="89" t="str">
        <f>VLOOKUP(L195,设备合同!$L$6:$CC$302,2,0)</f>
        <v>YRKJEQ-170066</v>
      </c>
      <c r="N195" s="90" t="str">
        <f>VLOOKUP(L195,设备合同!$L$6:$CC$302,3,0)</f>
        <v>设备合同</v>
      </c>
      <c r="O195" s="265">
        <f>VLOOKUP(L195,设备合同!$L$6:$CC$302,4,0)</f>
        <v>2017060040</v>
      </c>
      <c r="P195" s="266">
        <f>VLOOKUP(L195,设备合同!$L$6:$CC$302,5,0)</f>
        <v>42956</v>
      </c>
      <c r="Q195" s="275">
        <f>VLOOKUP(L195,设备合同!$L$6:$CC$302,6,0)</f>
        <v>1379000</v>
      </c>
      <c r="R195" s="89" t="str">
        <f>VLOOKUP(L195,设备合同!$L$6:$CC$302,7,0)</f>
        <v>过滤器</v>
      </c>
      <c r="S195" s="89" t="str">
        <f>VLOOKUP(L195,设备合同!$L$6:$CC$302,8,0)</f>
        <v>河北美邦工程科技股份有限公司</v>
      </c>
      <c r="T195" s="107" t="str">
        <f>VLOOKUP(L195,设备合同!$L$6:$CC$302,9,0)</f>
        <v>环己酮装置</v>
      </c>
      <c r="U195" s="103" t="str">
        <f>VLOOKUP(L195,设备合同!$L$6:$CC$302,10,0)</f>
        <v>6个月承兑汇票/电汇下浮3%</v>
      </c>
      <c r="V195" s="276" t="str">
        <f>VLOOKUP(L195,设备合同!$L$6:$CC$302,11,0)</f>
        <v>甲方收到乙方20%的预付款保函以及本合同的20%收据后15个工作日支付20%预付款</v>
      </c>
      <c r="W195" s="102">
        <f>VLOOKUP(L195,设备合同!$L$6:$CC$302,12,0)</f>
        <v>275800</v>
      </c>
      <c r="X195" s="102">
        <f>VLOOKUP(L195,设备合同!$L$6:$CC$302,13,0)</f>
        <v>275800</v>
      </c>
      <c r="Y195" s="102">
        <f>VLOOKUP(L195,设备合同!$L$6:$CC$302,14,0)</f>
        <v>275800</v>
      </c>
      <c r="Z195" s="102" t="str">
        <f>VLOOKUP(L195,设备合同!$L$6:$CC$302,15,0)</f>
        <v>甲方授权人到乙方清点并检查货物合格后，签发发货同意书，收到60%专票后15个工作日，支付40%发货款  </v>
      </c>
      <c r="AA195" s="102">
        <f>VLOOKUP(L195,设备合同!$L$6:$CC$302,16,0)</f>
        <v>551600</v>
      </c>
      <c r="AB195" s="102">
        <f>VLOOKUP(L195,设备合同!$L$6:$CC$302,17,0)</f>
        <v>0</v>
      </c>
      <c r="AC195" s="102">
        <f>VLOOKUP(L195,设备合同!$L$6:$CC$302,18,0)</f>
        <v>0</v>
      </c>
      <c r="AD195" s="102" t="str">
        <f>VLOOKUP(L195,设备合同!$L$6:$CC$302,19,0)</f>
        <v>甲方收到核定的调试合格报告后15个工作日，支付30%调试款</v>
      </c>
      <c r="AE195" s="102">
        <f>VLOOKUP(L195,设备合同!$L$6:$CC$302,20,0)</f>
        <v>413700</v>
      </c>
      <c r="AF195" s="102">
        <f>VLOOKUP(L195,设备合同!$L$6:$CC$302,21,0)</f>
        <v>0</v>
      </c>
      <c r="AG195" s="102">
        <f>VLOOKUP(L195,设备合同!$L$6:$CC$302,22,0)</f>
        <v>0</v>
      </c>
      <c r="AH195" s="102" t="str">
        <f>VLOOKUP(L195,设备合同!$L$6:$CC$302,23,0)</f>
        <v>10%质保金，验收合格12个月或到货现场18个月</v>
      </c>
      <c r="AI195" s="102">
        <f>VLOOKUP(L195,设备合同!$L$6:$CC$302,24,0)</f>
        <v>137900</v>
      </c>
      <c r="AJ195" s="102">
        <f>VLOOKUP(L195,设备合同!$L$6:$CC$302,25,0)</f>
        <v>0</v>
      </c>
      <c r="AK195" s="102">
        <f>VLOOKUP(L195,设备合同!$L$6:$CC$302,26,0)</f>
        <v>0</v>
      </c>
      <c r="AL195" s="102">
        <f>VLOOKUP(L195,设备合同!$L$6:$CC$302,27,0)</f>
        <v>0</v>
      </c>
      <c r="AM195" s="102">
        <f>VLOOKUP(L195,设备合同!$L$6:$CC$302,28,0)</f>
        <v>0</v>
      </c>
      <c r="AN195" s="102">
        <f>VLOOKUP(L195,设备合同!$L$6:$CC$302,29,0)</f>
        <v>0</v>
      </c>
      <c r="AO195" s="102">
        <f>VLOOKUP(L195,设备合同!$L$6:$CC$302,30,0)</f>
        <v>0</v>
      </c>
      <c r="AP195" s="102">
        <f>VLOOKUP(L195,设备合同!$L$6:$CC$302,31,0)</f>
        <v>0</v>
      </c>
      <c r="AQ195" s="102">
        <f>VLOOKUP(L195,设备合同!$L$6:$CC$302,32,0)</f>
        <v>0</v>
      </c>
      <c r="AR195" s="102">
        <f>VLOOKUP(L195,设备合同!$L$6:$CC$302,33,0)</f>
        <v>0</v>
      </c>
      <c r="AS195" s="102">
        <f>VLOOKUP(L195,设备合同!$L$6:$CC$302,34,0)</f>
        <v>0</v>
      </c>
      <c r="AT195" s="102">
        <f>VLOOKUP(L195,设备合同!$L$6:$CC$302,35,0)</f>
        <v>0</v>
      </c>
      <c r="AU195" s="102">
        <f>VLOOKUP(L195,设备合同!$L$6:$CC$302,36,0)</f>
        <v>0</v>
      </c>
      <c r="AV195" s="102">
        <f>VLOOKUP(L195,设备合同!$L$6:$CC$302,37,0)</f>
        <v>0</v>
      </c>
      <c r="AW195" s="102">
        <f>VLOOKUP(L195,设备合同!$L$6:$CC$302,38,0)</f>
        <v>0</v>
      </c>
      <c r="AX195" s="102">
        <f>VLOOKUP(L195,设备合同!$L$6:$CC$302,39,0)</f>
        <v>0</v>
      </c>
      <c r="AY195" s="102">
        <f>VLOOKUP(L195,设备合同!$L$6:$CC$302,40,0)</f>
        <v>0</v>
      </c>
      <c r="AZ195" s="102">
        <f>VLOOKUP(L195,设备合同!$L$6:$CC$302,41,0)</f>
        <v>0</v>
      </c>
      <c r="BA195" s="102">
        <f>VLOOKUP(L195,设备合同!$L$6:$CC$302,42,0)</f>
        <v>0</v>
      </c>
      <c r="BB195" s="102">
        <f>VLOOKUP(L195,设备合同!$L$6:$CC$302,43,0)</f>
        <v>0</v>
      </c>
      <c r="BC195" s="102">
        <f>VLOOKUP(L195,设备合同!$L$6:$CC$302,44,0)</f>
        <v>0</v>
      </c>
      <c r="BD195" s="102">
        <f>VLOOKUP(L195,设备合同!$L$6:$CC$302,45,0)</f>
        <v>0</v>
      </c>
      <c r="BE195" s="102">
        <f>VLOOKUP(L195,设备合同!$L$6:$CC$302,46,0)</f>
        <v>0</v>
      </c>
      <c r="BF195" s="102">
        <f>VLOOKUP(L195,设备合同!$L$6:$CC$302,47,0)</f>
        <v>0</v>
      </c>
      <c r="BG195" s="102">
        <f>VLOOKUP(L195,设备合同!$L$6:$CC$302,48,0)</f>
        <v>0</v>
      </c>
      <c r="BH195" s="102">
        <f>VLOOKUP(L195,设备合同!$L$6:$CC$302,49,0)</f>
        <v>0</v>
      </c>
      <c r="BI195" s="102">
        <f>VLOOKUP(L195,设备合同!$L$6:$CC$302,50,0)</f>
        <v>0</v>
      </c>
      <c r="BJ195" s="102">
        <f>VLOOKUP(L195,设备合同!$L$6:$CC$302,51,0)</f>
        <v>0</v>
      </c>
      <c r="BK195" s="102">
        <f>VLOOKUP(L195,设备合同!$L$6:$CC$302,52,0)</f>
        <v>0</v>
      </c>
      <c r="BL195" s="102">
        <f>VLOOKUP(L195,设备合同!$L$6:$CC$302,53,0)</f>
        <v>0</v>
      </c>
      <c r="BM195" s="102">
        <f>VLOOKUP(L195,设备合同!$L$6:$CC$302,54,0)</f>
        <v>0</v>
      </c>
      <c r="BN195" s="102">
        <f>VLOOKUP(L195,设备合同!$L$6:$CC$302,55,0)</f>
        <v>0</v>
      </c>
      <c r="BO195" s="102">
        <f>VLOOKUP(L195,设备合同!$L$6:$CC$302,56,0)</f>
        <v>0</v>
      </c>
      <c r="BP195" s="102">
        <f>VLOOKUP(L195,设备合同!$L$6:$CC$302,57,0)</f>
        <v>0</v>
      </c>
      <c r="BQ195" s="102">
        <f>VLOOKUP(L195,设备合同!$L$6:$CC$302,58,0)</f>
        <v>0</v>
      </c>
      <c r="BR195" s="102">
        <f>VLOOKUP(L195,设备合同!$L$6:$CC$302,59,0)</f>
        <v>0</v>
      </c>
      <c r="BS195" s="102">
        <f>VLOOKUP(L195,设备合同!$L$6:$CC$302,60,0)</f>
        <v>0</v>
      </c>
      <c r="BT195" s="102">
        <f>VLOOKUP(L195,设备合同!$L$6:$CC$302,61,0)</f>
        <v>0</v>
      </c>
      <c r="BU195" s="102">
        <f>VLOOKUP(L195,设备合同!$L$6:$CC$302,62,0)</f>
        <v>0</v>
      </c>
      <c r="BV195" s="102">
        <f>VLOOKUP(L195,设备合同!$L$6:$CC$302,63,0)</f>
        <v>0</v>
      </c>
      <c r="BW195" s="102">
        <f>VLOOKUP(L195,设备合同!$L$6:$CC$302,64,0)</f>
        <v>0</v>
      </c>
      <c r="BX195" s="102">
        <f>VLOOKUP(L195,设备合同!$L$6:$CC$302,65,0)</f>
        <v>0</v>
      </c>
      <c r="BY195" s="102">
        <f>VLOOKUP(L195,设备合同!$L$6:$CC$302,66,0)</f>
        <v>0</v>
      </c>
      <c r="BZ195" s="102">
        <f>VLOOKUP(L195,设备合同!$L$6:$CC$302,67,0)</f>
        <v>0</v>
      </c>
      <c r="CA195" s="102">
        <f>VLOOKUP(L195,设备合同!$L$6:$CC$302,68,0)</f>
        <v>0</v>
      </c>
      <c r="CB195" s="102">
        <f>VLOOKUP(L195,设备合同!$L$6:$CC$302,69,0)</f>
        <v>0</v>
      </c>
      <c r="CC195" s="102">
        <f>VLOOKUP(L195,设备合同!$L$6:$CC$302,70,0)</f>
        <v>0</v>
      </c>
      <c r="CD195" s="123">
        <f t="shared" si="44"/>
        <v>1379000</v>
      </c>
      <c r="CE195" s="102">
        <f t="shared" si="45"/>
        <v>275800</v>
      </c>
      <c r="CF195" s="102">
        <f t="shared" si="46"/>
        <v>275800</v>
      </c>
      <c r="CG195" s="102">
        <f t="shared" si="47"/>
        <v>0</v>
      </c>
      <c r="CH195" s="124">
        <f t="shared" si="48"/>
        <v>1103200</v>
      </c>
      <c r="CI195" s="125">
        <f t="shared" si="49"/>
        <v>0.2</v>
      </c>
      <c r="CJ195" s="126" t="str">
        <f t="shared" si="50"/>
        <v>数据正确</v>
      </c>
    </row>
    <row r="196" s="60" customFormat="1" customHeight="1" spans="2:88">
      <c r="B196" s="70" t="str">
        <f t="shared" si="40"/>
        <v>-</v>
      </c>
      <c r="C196" s="71" t="str">
        <f t="shared" si="41"/>
        <v>-</v>
      </c>
      <c r="D196" s="181">
        <f t="shared" si="42"/>
        <v>436500</v>
      </c>
      <c r="E196" s="181">
        <f>SUMIF(设备合同!$L$6:$L$302,L196,设备合同!$E$6:$E$302)</f>
        <v>0</v>
      </c>
      <c r="F196" s="181">
        <f>SUMIF(设备合同!$L$6:$L$302,L196,设备合同!$F$6:$F$302)</f>
        <v>0</v>
      </c>
      <c r="G196" s="181">
        <f>SUMIF(设备合同!$L$6:$L$302,L196,设备合同!$G$6:$G$302)</f>
        <v>0</v>
      </c>
      <c r="H196" s="181">
        <f>SUMIF(设备合同!$L$6:$L$302,L196,设备合同!$H$6:$H$302)</f>
        <v>0</v>
      </c>
      <c r="I196" s="181">
        <f t="shared" si="43"/>
        <v>0</v>
      </c>
      <c r="J196" s="86" t="s">
        <v>98</v>
      </c>
      <c r="K196" s="87"/>
      <c r="L196" s="88">
        <v>191</v>
      </c>
      <c r="M196" s="89" t="str">
        <f>VLOOKUP(L196,设备合同!$L$6:$CC$302,2,0)</f>
        <v>YRKJEQ-170070</v>
      </c>
      <c r="N196" s="90" t="str">
        <f>VLOOKUP(L196,设备合同!$L$6:$CC$302,3,0)</f>
        <v>设备合同</v>
      </c>
      <c r="O196" s="265">
        <f>VLOOKUP(L196,设备合同!$L$6:$CC$302,4,0)</f>
        <v>0</v>
      </c>
      <c r="P196" s="266">
        <f>VLOOKUP(L196,设备合同!$L$6:$CC$302,5,0)</f>
        <v>42961</v>
      </c>
      <c r="Q196" s="275">
        <f>VLOOKUP(L196,设备合同!$L$6:$CC$302,6,0)</f>
        <v>4365000</v>
      </c>
      <c r="R196" s="89" t="str">
        <f>VLOOKUP(L196,设备合同!$L$6:$CC$302,7,0)</f>
        <v>冷凝水除油除铁装置</v>
      </c>
      <c r="S196" s="89" t="str">
        <f>VLOOKUP(L196,设备合同!$L$6:$CC$302,8,0)</f>
        <v>南京碧盾环保科技股份有限公司</v>
      </c>
      <c r="T196" s="107">
        <f>VLOOKUP(L196,设备合同!$L$6:$CC$302,9,0)</f>
        <v>0</v>
      </c>
      <c r="U196" s="103" t="str">
        <f>VLOOKUP(L196,设备合同!$L$6:$CC$302,10,0)</f>
        <v>电汇</v>
      </c>
      <c r="V196" s="276" t="str">
        <f>VLOOKUP(L196,设备合同!$L$6:$CC$302,11,0)</f>
        <v>甲方收到乙方10%的预付款保函以及本合同的10%专票后15个工作日支付10%预付款</v>
      </c>
      <c r="W196" s="102">
        <f>VLOOKUP(L196,设备合同!$L$6:$CC$302,12,0)</f>
        <v>436500</v>
      </c>
      <c r="X196" s="102">
        <f>VLOOKUP(L196,设备合同!$L$6:$CC$302,13,0)</f>
        <v>436500</v>
      </c>
      <c r="Y196" s="102">
        <f>VLOOKUP(L196,设备合同!$L$6:$CC$302,14,0)</f>
        <v>436500</v>
      </c>
      <c r="Z196" s="102" t="str">
        <f>VLOOKUP(L196,设备合同!$L$6:$CC$302,15,0)</f>
        <v>甲方授权人到乙方清点并检查货物合格后，签发发货同意书，收到50%专票后15个工作日，支付50%发货款  </v>
      </c>
      <c r="AA196" s="102">
        <f>VLOOKUP(L196,设备合同!$L$6:$CC$302,16,0)</f>
        <v>2182500</v>
      </c>
      <c r="AB196" s="102">
        <f>VLOOKUP(L196,设备合同!$L$6:$CC$302,17,0)</f>
        <v>0</v>
      </c>
      <c r="AC196" s="102">
        <f>VLOOKUP(L196,设备合同!$L$6:$CC$302,18,0)</f>
        <v>0</v>
      </c>
      <c r="AD196" s="102" t="str">
        <f>VLOOKUP(L196,设备合同!$L$6:$CC$302,19,0)</f>
        <v>甲方收到核定的调试合格报告后15个工作日，支付30%调试款</v>
      </c>
      <c r="AE196" s="102">
        <f>VLOOKUP(L196,设备合同!$L$6:$CC$302,20,0)</f>
        <v>1309500</v>
      </c>
      <c r="AF196" s="102">
        <f>VLOOKUP(L196,设备合同!$L$6:$CC$302,21,0)</f>
        <v>0</v>
      </c>
      <c r="AG196" s="102">
        <f>VLOOKUP(L196,设备合同!$L$6:$CC$302,22,0)</f>
        <v>0</v>
      </c>
      <c r="AH196" s="102" t="str">
        <f>VLOOKUP(L196,设备合同!$L$6:$CC$302,23,0)</f>
        <v>10%质保金，验收合格12个月或到货现场18个月</v>
      </c>
      <c r="AI196" s="102">
        <f>VLOOKUP(L196,设备合同!$L$6:$CC$302,24,0)</f>
        <v>436500</v>
      </c>
      <c r="AJ196" s="102">
        <f>VLOOKUP(L196,设备合同!$L$6:$CC$302,25,0)</f>
        <v>0</v>
      </c>
      <c r="AK196" s="102">
        <f>VLOOKUP(L196,设备合同!$L$6:$CC$302,26,0)</f>
        <v>0</v>
      </c>
      <c r="AL196" s="102">
        <f>VLOOKUP(L196,设备合同!$L$6:$CC$302,27,0)</f>
        <v>0</v>
      </c>
      <c r="AM196" s="102">
        <f>VLOOKUP(L196,设备合同!$L$6:$CC$302,28,0)</f>
        <v>0</v>
      </c>
      <c r="AN196" s="102">
        <f>VLOOKUP(L196,设备合同!$L$6:$CC$302,29,0)</f>
        <v>0</v>
      </c>
      <c r="AO196" s="102">
        <f>VLOOKUP(L196,设备合同!$L$6:$CC$302,30,0)</f>
        <v>0</v>
      </c>
      <c r="AP196" s="102">
        <f>VLOOKUP(L196,设备合同!$L$6:$CC$302,31,0)</f>
        <v>0</v>
      </c>
      <c r="AQ196" s="102">
        <f>VLOOKUP(L196,设备合同!$L$6:$CC$302,32,0)</f>
        <v>0</v>
      </c>
      <c r="AR196" s="102">
        <f>VLOOKUP(L196,设备合同!$L$6:$CC$302,33,0)</f>
        <v>0</v>
      </c>
      <c r="AS196" s="102">
        <f>VLOOKUP(L196,设备合同!$L$6:$CC$302,34,0)</f>
        <v>0</v>
      </c>
      <c r="AT196" s="102">
        <f>VLOOKUP(L196,设备合同!$L$6:$CC$302,35,0)</f>
        <v>0</v>
      </c>
      <c r="AU196" s="102">
        <f>VLOOKUP(L196,设备合同!$L$6:$CC$302,36,0)</f>
        <v>0</v>
      </c>
      <c r="AV196" s="102">
        <f>VLOOKUP(L196,设备合同!$L$6:$CC$302,37,0)</f>
        <v>0</v>
      </c>
      <c r="AW196" s="102">
        <f>VLOOKUP(L196,设备合同!$L$6:$CC$302,38,0)</f>
        <v>0</v>
      </c>
      <c r="AX196" s="102">
        <f>VLOOKUP(L196,设备合同!$L$6:$CC$302,39,0)</f>
        <v>0</v>
      </c>
      <c r="AY196" s="102">
        <f>VLOOKUP(L196,设备合同!$L$6:$CC$302,40,0)</f>
        <v>0</v>
      </c>
      <c r="AZ196" s="102">
        <f>VLOOKUP(L196,设备合同!$L$6:$CC$302,41,0)</f>
        <v>0</v>
      </c>
      <c r="BA196" s="102">
        <f>VLOOKUP(L196,设备合同!$L$6:$CC$302,42,0)</f>
        <v>0</v>
      </c>
      <c r="BB196" s="102">
        <f>VLOOKUP(L196,设备合同!$L$6:$CC$302,43,0)</f>
        <v>0</v>
      </c>
      <c r="BC196" s="102">
        <f>VLOOKUP(L196,设备合同!$L$6:$CC$302,44,0)</f>
        <v>0</v>
      </c>
      <c r="BD196" s="102">
        <f>VLOOKUP(L196,设备合同!$L$6:$CC$302,45,0)</f>
        <v>0</v>
      </c>
      <c r="BE196" s="102">
        <f>VLOOKUP(L196,设备合同!$L$6:$CC$302,46,0)</f>
        <v>0</v>
      </c>
      <c r="BF196" s="102">
        <f>VLOOKUP(L196,设备合同!$L$6:$CC$302,47,0)</f>
        <v>0</v>
      </c>
      <c r="BG196" s="102">
        <f>VLOOKUP(L196,设备合同!$L$6:$CC$302,48,0)</f>
        <v>0</v>
      </c>
      <c r="BH196" s="102">
        <f>VLOOKUP(L196,设备合同!$L$6:$CC$302,49,0)</f>
        <v>0</v>
      </c>
      <c r="BI196" s="102">
        <f>VLOOKUP(L196,设备合同!$L$6:$CC$302,50,0)</f>
        <v>0</v>
      </c>
      <c r="BJ196" s="102">
        <f>VLOOKUP(L196,设备合同!$L$6:$CC$302,51,0)</f>
        <v>0</v>
      </c>
      <c r="BK196" s="102">
        <f>VLOOKUP(L196,设备合同!$L$6:$CC$302,52,0)</f>
        <v>0</v>
      </c>
      <c r="BL196" s="102">
        <f>VLOOKUP(L196,设备合同!$L$6:$CC$302,53,0)</f>
        <v>0</v>
      </c>
      <c r="BM196" s="102">
        <f>VLOOKUP(L196,设备合同!$L$6:$CC$302,54,0)</f>
        <v>0</v>
      </c>
      <c r="BN196" s="102">
        <f>VLOOKUP(L196,设备合同!$L$6:$CC$302,55,0)</f>
        <v>0</v>
      </c>
      <c r="BO196" s="102">
        <f>VLOOKUP(L196,设备合同!$L$6:$CC$302,56,0)</f>
        <v>0</v>
      </c>
      <c r="BP196" s="102">
        <f>VLOOKUP(L196,设备合同!$L$6:$CC$302,57,0)</f>
        <v>0</v>
      </c>
      <c r="BQ196" s="102">
        <f>VLOOKUP(L196,设备合同!$L$6:$CC$302,58,0)</f>
        <v>0</v>
      </c>
      <c r="BR196" s="102">
        <f>VLOOKUP(L196,设备合同!$L$6:$CC$302,59,0)</f>
        <v>0</v>
      </c>
      <c r="BS196" s="102">
        <f>VLOOKUP(L196,设备合同!$L$6:$CC$302,60,0)</f>
        <v>0</v>
      </c>
      <c r="BT196" s="102">
        <f>VLOOKUP(L196,设备合同!$L$6:$CC$302,61,0)</f>
        <v>0</v>
      </c>
      <c r="BU196" s="102">
        <f>VLOOKUP(L196,设备合同!$L$6:$CC$302,62,0)</f>
        <v>0</v>
      </c>
      <c r="BV196" s="102">
        <f>VLOOKUP(L196,设备合同!$L$6:$CC$302,63,0)</f>
        <v>0</v>
      </c>
      <c r="BW196" s="102">
        <f>VLOOKUP(L196,设备合同!$L$6:$CC$302,64,0)</f>
        <v>0</v>
      </c>
      <c r="BX196" s="102">
        <f>VLOOKUP(L196,设备合同!$L$6:$CC$302,65,0)</f>
        <v>0</v>
      </c>
      <c r="BY196" s="102">
        <f>VLOOKUP(L196,设备合同!$L$6:$CC$302,66,0)</f>
        <v>0</v>
      </c>
      <c r="BZ196" s="102">
        <f>VLOOKUP(L196,设备合同!$L$6:$CC$302,67,0)</f>
        <v>0</v>
      </c>
      <c r="CA196" s="102">
        <f>VLOOKUP(L196,设备合同!$L$6:$CC$302,68,0)</f>
        <v>0</v>
      </c>
      <c r="CB196" s="102">
        <f>VLOOKUP(L196,设备合同!$L$6:$CC$302,69,0)</f>
        <v>0</v>
      </c>
      <c r="CC196" s="102">
        <f>VLOOKUP(L196,设备合同!$L$6:$CC$302,70,0)</f>
        <v>0</v>
      </c>
      <c r="CD196" s="123">
        <f t="shared" si="44"/>
        <v>4365000</v>
      </c>
      <c r="CE196" s="102">
        <f t="shared" si="45"/>
        <v>436500</v>
      </c>
      <c r="CF196" s="102">
        <f t="shared" si="46"/>
        <v>436500</v>
      </c>
      <c r="CG196" s="102">
        <f t="shared" si="47"/>
        <v>0</v>
      </c>
      <c r="CH196" s="124">
        <f t="shared" si="48"/>
        <v>3928500</v>
      </c>
      <c r="CI196" s="125">
        <f t="shared" si="49"/>
        <v>0.1</v>
      </c>
      <c r="CJ196" s="126" t="str">
        <f t="shared" si="50"/>
        <v>数据正确</v>
      </c>
    </row>
    <row r="197" s="60" customFormat="1" customHeight="1" spans="2:88">
      <c r="B197" s="70" t="str">
        <f t="shared" si="40"/>
        <v>-</v>
      </c>
      <c r="C197" s="71" t="str">
        <f t="shared" si="41"/>
        <v>-</v>
      </c>
      <c r="D197" s="181">
        <f t="shared" si="42"/>
        <v>0</v>
      </c>
      <c r="E197" s="181">
        <f>SUMIF(设备合同!$L$6:$L$302,L197,设备合同!$E$6:$E$302)</f>
        <v>0</v>
      </c>
      <c r="F197" s="181">
        <f>SUMIF(设备合同!$L$6:$L$302,L197,设备合同!$F$6:$F$302)</f>
        <v>0</v>
      </c>
      <c r="G197" s="181">
        <f>SUMIF(设备合同!$L$6:$L$302,L197,设备合同!$G$6:$G$302)</f>
        <v>0</v>
      </c>
      <c r="H197" s="181">
        <f>SUMIF(设备合同!$L$6:$L$302,L197,设备合同!$H$6:$H$302)</f>
        <v>0</v>
      </c>
      <c r="I197" s="181">
        <f t="shared" si="43"/>
        <v>0</v>
      </c>
      <c r="J197" s="86" t="s">
        <v>98</v>
      </c>
      <c r="K197" s="87"/>
      <c r="L197" s="88">
        <v>192</v>
      </c>
      <c r="M197" s="89" t="str">
        <f>VLOOKUP(L197,设备合同!$L$6:$CC$302,2,0)</f>
        <v>YRKJEQ-170074</v>
      </c>
      <c r="N197" s="90" t="str">
        <f>VLOOKUP(L197,设备合同!$L$6:$CC$302,3,0)</f>
        <v>设备合同</v>
      </c>
      <c r="O197" s="265">
        <f>VLOOKUP(L197,设备合同!$L$6:$CC$302,4,0)</f>
        <v>2017050068</v>
      </c>
      <c r="P197" s="266">
        <f>VLOOKUP(L197,设备合同!$L$6:$CC$302,5,0)</f>
        <v>42963</v>
      </c>
      <c r="Q197" s="275">
        <f>VLOOKUP(L197,设备合同!$L$6:$CC$302,6,0)</f>
        <v>461000</v>
      </c>
      <c r="R197" s="89" t="str">
        <f>VLOOKUP(L197,设备合同!$L$6:$CC$302,7,0)</f>
        <v>鹤管17台+4台</v>
      </c>
      <c r="S197" s="89" t="str">
        <f>VLOOKUP(L197,设备合同!$L$6:$CC$302,8,0)</f>
        <v>连云港和昌机械有限公司</v>
      </c>
      <c r="T197" s="107">
        <f>VLOOKUP(L197,设备合同!$L$6:$CC$302,9,0)</f>
        <v>0</v>
      </c>
      <c r="U197" s="103" t="str">
        <f>VLOOKUP(L197,设备合同!$L$6:$CC$302,10,0)</f>
        <v>电汇</v>
      </c>
      <c r="V197" s="276" t="str">
        <f>VLOOKUP(L197,设备合同!$L$6:$CC$302,11,0)</f>
        <v>甲方授权人到乙方清点并检查货物合格后，签发发货同意书，收到60%专票后15个工作日，支付60%发货款  10%履约保函</v>
      </c>
      <c r="W197" s="102">
        <f>VLOOKUP(L197,设备合同!$L$6:$CC$302,12,0)</f>
        <v>276600</v>
      </c>
      <c r="X197" s="102">
        <f>VLOOKUP(L197,设备合同!$L$6:$CC$302,13,0)</f>
        <v>0</v>
      </c>
      <c r="Y197" s="102">
        <f>VLOOKUP(L197,设备合同!$L$6:$CC$302,14,0)</f>
        <v>0</v>
      </c>
      <c r="Z197" s="102" t="str">
        <f>VLOOKUP(L197,设备合同!$L$6:$CC$302,15,0)</f>
        <v>甲方核定的调试合格报告及足额的发票后付30%的验收款</v>
      </c>
      <c r="AA197" s="102">
        <f>VLOOKUP(L197,设备合同!$L$6:$CC$302,16,0)</f>
        <v>138300</v>
      </c>
      <c r="AB197" s="102">
        <f>VLOOKUP(L197,设备合同!$L$6:$CC$302,17,0)</f>
        <v>0</v>
      </c>
      <c r="AC197" s="102">
        <f>VLOOKUP(L197,设备合同!$L$6:$CC$302,18,0)</f>
        <v>0</v>
      </c>
      <c r="AD197" s="102" t="str">
        <f>VLOOKUP(L197,设备合同!$L$6:$CC$302,19,0)</f>
        <v>10%质保金，验收合格12个月或到货现场19个月</v>
      </c>
      <c r="AE197" s="102">
        <f>VLOOKUP(L197,设备合同!$L$6:$CC$302,20,0)</f>
        <v>46100</v>
      </c>
      <c r="AF197" s="102">
        <f>VLOOKUP(L197,设备合同!$L$6:$CC$302,21,0)</f>
        <v>0</v>
      </c>
      <c r="AG197" s="102">
        <f>VLOOKUP(L197,设备合同!$L$6:$CC$302,22,0)</f>
        <v>0</v>
      </c>
      <c r="AH197" s="102">
        <f>VLOOKUP(L197,设备合同!$L$6:$CC$302,23,0)</f>
        <v>0</v>
      </c>
      <c r="AI197" s="102">
        <f>VLOOKUP(L197,设备合同!$L$6:$CC$302,24,0)</f>
        <v>0</v>
      </c>
      <c r="AJ197" s="102">
        <f>VLOOKUP(L197,设备合同!$L$6:$CC$302,25,0)</f>
        <v>0</v>
      </c>
      <c r="AK197" s="102">
        <f>VLOOKUP(L197,设备合同!$L$6:$CC$302,26,0)</f>
        <v>0</v>
      </c>
      <c r="AL197" s="102">
        <f>VLOOKUP(L197,设备合同!$L$6:$CC$302,27,0)</f>
        <v>0</v>
      </c>
      <c r="AM197" s="102">
        <f>VLOOKUP(L197,设备合同!$L$6:$CC$302,28,0)</f>
        <v>0</v>
      </c>
      <c r="AN197" s="102">
        <f>VLOOKUP(L197,设备合同!$L$6:$CC$302,29,0)</f>
        <v>0</v>
      </c>
      <c r="AO197" s="102">
        <f>VLOOKUP(L197,设备合同!$L$6:$CC$302,30,0)</f>
        <v>0</v>
      </c>
      <c r="AP197" s="102">
        <f>VLOOKUP(L197,设备合同!$L$6:$CC$302,31,0)</f>
        <v>0</v>
      </c>
      <c r="AQ197" s="102">
        <f>VLOOKUP(L197,设备合同!$L$6:$CC$302,32,0)</f>
        <v>0</v>
      </c>
      <c r="AR197" s="102">
        <f>VLOOKUP(L197,设备合同!$L$6:$CC$302,33,0)</f>
        <v>0</v>
      </c>
      <c r="AS197" s="102">
        <f>VLOOKUP(L197,设备合同!$L$6:$CC$302,34,0)</f>
        <v>0</v>
      </c>
      <c r="AT197" s="102">
        <f>VLOOKUP(L197,设备合同!$L$6:$CC$302,35,0)</f>
        <v>0</v>
      </c>
      <c r="AU197" s="102">
        <f>VLOOKUP(L197,设备合同!$L$6:$CC$302,36,0)</f>
        <v>0</v>
      </c>
      <c r="AV197" s="102">
        <f>VLOOKUP(L197,设备合同!$L$6:$CC$302,37,0)</f>
        <v>0</v>
      </c>
      <c r="AW197" s="102">
        <f>VLOOKUP(L197,设备合同!$L$6:$CC$302,38,0)</f>
        <v>0</v>
      </c>
      <c r="AX197" s="102">
        <f>VLOOKUP(L197,设备合同!$L$6:$CC$302,39,0)</f>
        <v>0</v>
      </c>
      <c r="AY197" s="102">
        <f>VLOOKUP(L197,设备合同!$L$6:$CC$302,40,0)</f>
        <v>0</v>
      </c>
      <c r="AZ197" s="102">
        <f>VLOOKUP(L197,设备合同!$L$6:$CC$302,41,0)</f>
        <v>0</v>
      </c>
      <c r="BA197" s="102">
        <f>VLOOKUP(L197,设备合同!$L$6:$CC$302,42,0)</f>
        <v>0</v>
      </c>
      <c r="BB197" s="102">
        <f>VLOOKUP(L197,设备合同!$L$6:$CC$302,43,0)</f>
        <v>0</v>
      </c>
      <c r="BC197" s="102">
        <f>VLOOKUP(L197,设备合同!$L$6:$CC$302,44,0)</f>
        <v>0</v>
      </c>
      <c r="BD197" s="102">
        <f>VLOOKUP(L197,设备合同!$L$6:$CC$302,45,0)</f>
        <v>0</v>
      </c>
      <c r="BE197" s="102">
        <f>VLOOKUP(L197,设备合同!$L$6:$CC$302,46,0)</f>
        <v>0</v>
      </c>
      <c r="BF197" s="102">
        <f>VLOOKUP(L197,设备合同!$L$6:$CC$302,47,0)</f>
        <v>0</v>
      </c>
      <c r="BG197" s="102">
        <f>VLOOKUP(L197,设备合同!$L$6:$CC$302,48,0)</f>
        <v>0</v>
      </c>
      <c r="BH197" s="102">
        <f>VLOOKUP(L197,设备合同!$L$6:$CC$302,49,0)</f>
        <v>0</v>
      </c>
      <c r="BI197" s="102">
        <f>VLOOKUP(L197,设备合同!$L$6:$CC$302,50,0)</f>
        <v>0</v>
      </c>
      <c r="BJ197" s="102">
        <f>VLOOKUP(L197,设备合同!$L$6:$CC$302,51,0)</f>
        <v>0</v>
      </c>
      <c r="BK197" s="102">
        <f>VLOOKUP(L197,设备合同!$L$6:$CC$302,52,0)</f>
        <v>0</v>
      </c>
      <c r="BL197" s="102">
        <f>VLOOKUP(L197,设备合同!$L$6:$CC$302,53,0)</f>
        <v>0</v>
      </c>
      <c r="BM197" s="102">
        <f>VLOOKUP(L197,设备合同!$L$6:$CC$302,54,0)</f>
        <v>0</v>
      </c>
      <c r="BN197" s="102">
        <f>VLOOKUP(L197,设备合同!$L$6:$CC$302,55,0)</f>
        <v>0</v>
      </c>
      <c r="BO197" s="102">
        <f>VLOOKUP(L197,设备合同!$L$6:$CC$302,56,0)</f>
        <v>0</v>
      </c>
      <c r="BP197" s="102">
        <f>VLOOKUP(L197,设备合同!$L$6:$CC$302,57,0)</f>
        <v>0</v>
      </c>
      <c r="BQ197" s="102">
        <f>VLOOKUP(L197,设备合同!$L$6:$CC$302,58,0)</f>
        <v>0</v>
      </c>
      <c r="BR197" s="102">
        <f>VLOOKUP(L197,设备合同!$L$6:$CC$302,59,0)</f>
        <v>0</v>
      </c>
      <c r="BS197" s="102">
        <f>VLOOKUP(L197,设备合同!$L$6:$CC$302,60,0)</f>
        <v>0</v>
      </c>
      <c r="BT197" s="102">
        <f>VLOOKUP(L197,设备合同!$L$6:$CC$302,61,0)</f>
        <v>0</v>
      </c>
      <c r="BU197" s="102">
        <f>VLOOKUP(L197,设备合同!$L$6:$CC$302,62,0)</f>
        <v>0</v>
      </c>
      <c r="BV197" s="102">
        <f>VLOOKUP(L197,设备合同!$L$6:$CC$302,63,0)</f>
        <v>0</v>
      </c>
      <c r="BW197" s="102">
        <f>VLOOKUP(L197,设备合同!$L$6:$CC$302,64,0)</f>
        <v>0</v>
      </c>
      <c r="BX197" s="102">
        <f>VLOOKUP(L197,设备合同!$L$6:$CC$302,65,0)</f>
        <v>0</v>
      </c>
      <c r="BY197" s="102">
        <f>VLOOKUP(L197,设备合同!$L$6:$CC$302,66,0)</f>
        <v>0</v>
      </c>
      <c r="BZ197" s="102">
        <f>VLOOKUP(L197,设备合同!$L$6:$CC$302,67,0)</f>
        <v>0</v>
      </c>
      <c r="CA197" s="102">
        <f>VLOOKUP(L197,设备合同!$L$6:$CC$302,68,0)</f>
        <v>0</v>
      </c>
      <c r="CB197" s="102">
        <f>VLOOKUP(L197,设备合同!$L$6:$CC$302,69,0)</f>
        <v>0</v>
      </c>
      <c r="CC197" s="102">
        <f>VLOOKUP(L197,设备合同!$L$6:$CC$302,70,0)</f>
        <v>0</v>
      </c>
      <c r="CD197" s="123">
        <f t="shared" si="44"/>
        <v>461000</v>
      </c>
      <c r="CE197" s="102">
        <f t="shared" si="45"/>
        <v>0</v>
      </c>
      <c r="CF197" s="102">
        <f t="shared" si="46"/>
        <v>0</v>
      </c>
      <c r="CG197" s="102">
        <f t="shared" si="47"/>
        <v>0</v>
      </c>
      <c r="CH197" s="124">
        <f t="shared" si="48"/>
        <v>461000</v>
      </c>
      <c r="CI197" s="125">
        <f t="shared" si="49"/>
        <v>0</v>
      </c>
      <c r="CJ197" s="126" t="str">
        <f t="shared" si="50"/>
        <v>数据正确</v>
      </c>
    </row>
    <row r="198" s="60" customFormat="1" customHeight="1" spans="2:88">
      <c r="B198" s="70" t="str">
        <f t="shared" si="40"/>
        <v>-</v>
      </c>
      <c r="C198" s="71" t="str">
        <f t="shared" si="41"/>
        <v>-</v>
      </c>
      <c r="D198" s="181">
        <f t="shared" si="42"/>
        <v>3500000</v>
      </c>
      <c r="E198" s="181">
        <f>SUMIF(设备合同!$L$6:$L$302,L198,设备合同!$E$6:$E$302)</f>
        <v>0</v>
      </c>
      <c r="F198" s="181">
        <f>SUMIF(设备合同!$L$6:$L$302,L198,设备合同!$F$6:$F$302)</f>
        <v>0</v>
      </c>
      <c r="G198" s="181">
        <f>SUMIF(设备合同!$L$6:$L$302,L198,设备合同!$G$6:$G$302)</f>
        <v>0</v>
      </c>
      <c r="H198" s="181">
        <f>SUMIF(设备合同!$L$6:$L$302,L198,设备合同!$H$6:$H$302)</f>
        <v>0</v>
      </c>
      <c r="I198" s="181">
        <f t="shared" si="43"/>
        <v>0</v>
      </c>
      <c r="J198" s="86" t="s">
        <v>98</v>
      </c>
      <c r="K198" s="87"/>
      <c r="L198" s="88">
        <v>193</v>
      </c>
      <c r="M198" s="89" t="str">
        <f>VLOOKUP(L198,设备合同!$L$6:$CC$302,2,0)</f>
        <v>YRKJEQ-170076</v>
      </c>
      <c r="N198" s="90" t="str">
        <f>VLOOKUP(L198,设备合同!$L$6:$CC$302,3,0)</f>
        <v>设备合同</v>
      </c>
      <c r="O198" s="265" t="str">
        <f>VLOOKUP(L198,设备合同!$L$6:$CC$302,4,0)</f>
        <v>2017070058/59</v>
      </c>
      <c r="P198" s="266">
        <f>VLOOKUP(L198,设备合同!$L$6:$CC$302,5,0)</f>
        <v>42964</v>
      </c>
      <c r="Q198" s="275">
        <f>VLOOKUP(L198,设备合同!$L$6:$CC$302,6,0)</f>
        <v>17500000</v>
      </c>
      <c r="R198" s="89" t="str">
        <f>VLOOKUP(L198,设备合同!$L$6:$CC$302,7,0)</f>
        <v>环己酮非标包1、非标包2</v>
      </c>
      <c r="S198" s="89" t="str">
        <f>VLOOKUP(L198,设备合同!$L$6:$CC$302,8,0)</f>
        <v>中核动力设备有限公司</v>
      </c>
      <c r="T198" s="107">
        <f>VLOOKUP(L198,设备合同!$L$6:$CC$302,9,0)</f>
        <v>0</v>
      </c>
      <c r="U198" s="103" t="str">
        <f>VLOOKUP(L198,设备合同!$L$6:$CC$302,10,0)</f>
        <v>电汇</v>
      </c>
      <c r="V198" s="276" t="str">
        <f>VLOOKUP(L198,设备合同!$L$6:$CC$302,11,0)</f>
        <v>甲方收到乙方20%的预付款保函以及本合同的20%收据后15个工作日支付20%预付款 10%履约保函</v>
      </c>
      <c r="W198" s="102">
        <f>VLOOKUP(L198,设备合同!$L$6:$CC$302,12,0)</f>
        <v>3500000</v>
      </c>
      <c r="X198" s="102">
        <f>VLOOKUP(L198,设备合同!$L$6:$CC$302,13,0)</f>
        <v>3500000</v>
      </c>
      <c r="Y198" s="102">
        <f>VLOOKUP(L198,设备合同!$L$6:$CC$302,14,0)</f>
        <v>3500000</v>
      </c>
      <c r="Z198" s="102" t="str">
        <f>VLOOKUP(L198,设备合同!$L$6:$CC$302,15,0)</f>
        <v>甲方授权人到乙方清点并检查货物合格后，签发发货同意书，收到全额专票后15个工作日，支付60%发货款  </v>
      </c>
      <c r="AA198" s="102">
        <f>VLOOKUP(L198,设备合同!$L$6:$CC$302,16,0)</f>
        <v>10500000</v>
      </c>
      <c r="AB198" s="102">
        <f>VLOOKUP(L198,设备合同!$L$6:$CC$302,17,0)</f>
        <v>0</v>
      </c>
      <c r="AC198" s="102">
        <f>VLOOKUP(L198,设备合同!$L$6:$CC$302,18,0)</f>
        <v>0</v>
      </c>
      <c r="AD198" s="102" t="str">
        <f>VLOOKUP(L198,设备合同!$L$6:$CC$302,19,0)</f>
        <v>甲方收到核定的调试合格报告后15个工作日，支付10%调试款</v>
      </c>
      <c r="AE198" s="102">
        <f>VLOOKUP(L198,设备合同!$L$6:$CC$302,20,0)</f>
        <v>1750000</v>
      </c>
      <c r="AF198" s="102">
        <f>VLOOKUP(L198,设备合同!$L$6:$CC$302,21,0)</f>
        <v>0</v>
      </c>
      <c r="AG198" s="102">
        <f>VLOOKUP(L198,设备合同!$L$6:$CC$302,22,0)</f>
        <v>0</v>
      </c>
      <c r="AH198" s="102" t="str">
        <f>VLOOKUP(L198,设备合同!$L$6:$CC$302,23,0)</f>
        <v>10%质保金，验收合格12个月或到货现场18个月</v>
      </c>
      <c r="AI198" s="102">
        <f>VLOOKUP(L198,设备合同!$L$6:$CC$302,24,0)</f>
        <v>1750000</v>
      </c>
      <c r="AJ198" s="102">
        <f>VLOOKUP(L198,设备合同!$L$6:$CC$302,25,0)</f>
        <v>0</v>
      </c>
      <c r="AK198" s="102">
        <f>VLOOKUP(L198,设备合同!$L$6:$CC$302,26,0)</f>
        <v>0</v>
      </c>
      <c r="AL198" s="102">
        <f>VLOOKUP(L198,设备合同!$L$6:$CC$302,27,0)</f>
        <v>0</v>
      </c>
      <c r="AM198" s="102">
        <f>VLOOKUP(L198,设备合同!$L$6:$CC$302,28,0)</f>
        <v>0</v>
      </c>
      <c r="AN198" s="102">
        <f>VLOOKUP(L198,设备合同!$L$6:$CC$302,29,0)</f>
        <v>0</v>
      </c>
      <c r="AO198" s="102">
        <f>VLOOKUP(L198,设备合同!$L$6:$CC$302,30,0)</f>
        <v>0</v>
      </c>
      <c r="AP198" s="102">
        <f>VLOOKUP(L198,设备合同!$L$6:$CC$302,31,0)</f>
        <v>0</v>
      </c>
      <c r="AQ198" s="102">
        <f>VLOOKUP(L198,设备合同!$L$6:$CC$302,32,0)</f>
        <v>0</v>
      </c>
      <c r="AR198" s="102">
        <f>VLOOKUP(L198,设备合同!$L$6:$CC$302,33,0)</f>
        <v>0</v>
      </c>
      <c r="AS198" s="102">
        <f>VLOOKUP(L198,设备合同!$L$6:$CC$302,34,0)</f>
        <v>0</v>
      </c>
      <c r="AT198" s="102">
        <f>VLOOKUP(L198,设备合同!$L$6:$CC$302,35,0)</f>
        <v>0</v>
      </c>
      <c r="AU198" s="102">
        <f>VLOOKUP(L198,设备合同!$L$6:$CC$302,36,0)</f>
        <v>0</v>
      </c>
      <c r="AV198" s="102">
        <f>VLOOKUP(L198,设备合同!$L$6:$CC$302,37,0)</f>
        <v>0</v>
      </c>
      <c r="AW198" s="102">
        <f>VLOOKUP(L198,设备合同!$L$6:$CC$302,38,0)</f>
        <v>0</v>
      </c>
      <c r="AX198" s="102">
        <f>VLOOKUP(L198,设备合同!$L$6:$CC$302,39,0)</f>
        <v>0</v>
      </c>
      <c r="AY198" s="102">
        <f>VLOOKUP(L198,设备合同!$L$6:$CC$302,40,0)</f>
        <v>0</v>
      </c>
      <c r="AZ198" s="102">
        <f>VLOOKUP(L198,设备合同!$L$6:$CC$302,41,0)</f>
        <v>0</v>
      </c>
      <c r="BA198" s="102">
        <f>VLOOKUP(L198,设备合同!$L$6:$CC$302,42,0)</f>
        <v>0</v>
      </c>
      <c r="BB198" s="102">
        <f>VLOOKUP(L198,设备合同!$L$6:$CC$302,43,0)</f>
        <v>0</v>
      </c>
      <c r="BC198" s="102">
        <f>VLOOKUP(L198,设备合同!$L$6:$CC$302,44,0)</f>
        <v>0</v>
      </c>
      <c r="BD198" s="102">
        <f>VLOOKUP(L198,设备合同!$L$6:$CC$302,45,0)</f>
        <v>0</v>
      </c>
      <c r="BE198" s="102">
        <f>VLOOKUP(L198,设备合同!$L$6:$CC$302,46,0)</f>
        <v>0</v>
      </c>
      <c r="BF198" s="102">
        <f>VLOOKUP(L198,设备合同!$L$6:$CC$302,47,0)</f>
        <v>0</v>
      </c>
      <c r="BG198" s="102">
        <f>VLOOKUP(L198,设备合同!$L$6:$CC$302,48,0)</f>
        <v>0</v>
      </c>
      <c r="BH198" s="102">
        <f>VLOOKUP(L198,设备合同!$L$6:$CC$302,49,0)</f>
        <v>0</v>
      </c>
      <c r="BI198" s="102">
        <f>VLOOKUP(L198,设备合同!$L$6:$CC$302,50,0)</f>
        <v>0</v>
      </c>
      <c r="BJ198" s="102">
        <f>VLOOKUP(L198,设备合同!$L$6:$CC$302,51,0)</f>
        <v>0</v>
      </c>
      <c r="BK198" s="102">
        <f>VLOOKUP(L198,设备合同!$L$6:$CC$302,52,0)</f>
        <v>0</v>
      </c>
      <c r="BL198" s="102">
        <f>VLOOKUP(L198,设备合同!$L$6:$CC$302,53,0)</f>
        <v>0</v>
      </c>
      <c r="BM198" s="102">
        <f>VLOOKUP(L198,设备合同!$L$6:$CC$302,54,0)</f>
        <v>0</v>
      </c>
      <c r="BN198" s="102">
        <f>VLOOKUP(L198,设备合同!$L$6:$CC$302,55,0)</f>
        <v>0</v>
      </c>
      <c r="BO198" s="102">
        <f>VLOOKUP(L198,设备合同!$L$6:$CC$302,56,0)</f>
        <v>0</v>
      </c>
      <c r="BP198" s="102">
        <f>VLOOKUP(L198,设备合同!$L$6:$CC$302,57,0)</f>
        <v>0</v>
      </c>
      <c r="BQ198" s="102">
        <f>VLOOKUP(L198,设备合同!$L$6:$CC$302,58,0)</f>
        <v>0</v>
      </c>
      <c r="BR198" s="102">
        <f>VLOOKUP(L198,设备合同!$L$6:$CC$302,59,0)</f>
        <v>0</v>
      </c>
      <c r="BS198" s="102">
        <f>VLOOKUP(L198,设备合同!$L$6:$CC$302,60,0)</f>
        <v>0</v>
      </c>
      <c r="BT198" s="102">
        <f>VLOOKUP(L198,设备合同!$L$6:$CC$302,61,0)</f>
        <v>0</v>
      </c>
      <c r="BU198" s="102">
        <f>VLOOKUP(L198,设备合同!$L$6:$CC$302,62,0)</f>
        <v>0</v>
      </c>
      <c r="BV198" s="102">
        <f>VLOOKUP(L198,设备合同!$L$6:$CC$302,63,0)</f>
        <v>0</v>
      </c>
      <c r="BW198" s="102">
        <f>VLOOKUP(L198,设备合同!$L$6:$CC$302,64,0)</f>
        <v>0</v>
      </c>
      <c r="BX198" s="102">
        <f>VLOOKUP(L198,设备合同!$L$6:$CC$302,65,0)</f>
        <v>0</v>
      </c>
      <c r="BY198" s="102">
        <f>VLOOKUP(L198,设备合同!$L$6:$CC$302,66,0)</f>
        <v>0</v>
      </c>
      <c r="BZ198" s="102">
        <f>VLOOKUP(L198,设备合同!$L$6:$CC$302,67,0)</f>
        <v>0</v>
      </c>
      <c r="CA198" s="102">
        <f>VLOOKUP(L198,设备合同!$L$6:$CC$302,68,0)</f>
        <v>0</v>
      </c>
      <c r="CB198" s="102">
        <f>VLOOKUP(L198,设备合同!$L$6:$CC$302,69,0)</f>
        <v>0</v>
      </c>
      <c r="CC198" s="102">
        <f>VLOOKUP(L198,设备合同!$L$6:$CC$302,70,0)</f>
        <v>0</v>
      </c>
      <c r="CD198" s="123">
        <f t="shared" si="44"/>
        <v>17500000</v>
      </c>
      <c r="CE198" s="102">
        <f t="shared" si="45"/>
        <v>3500000</v>
      </c>
      <c r="CF198" s="102">
        <f t="shared" si="46"/>
        <v>3500000</v>
      </c>
      <c r="CG198" s="102">
        <f t="shared" si="47"/>
        <v>0</v>
      </c>
      <c r="CH198" s="124">
        <f t="shared" si="48"/>
        <v>14000000</v>
      </c>
      <c r="CI198" s="125">
        <f t="shared" si="49"/>
        <v>0.2</v>
      </c>
      <c r="CJ198" s="126" t="str">
        <f t="shared" si="50"/>
        <v>数据正确</v>
      </c>
    </row>
    <row r="199" s="60" customFormat="1" customHeight="1" spans="2:88">
      <c r="B199" s="70" t="str">
        <f t="shared" si="40"/>
        <v>-</v>
      </c>
      <c r="C199" s="71" t="str">
        <f t="shared" si="41"/>
        <v>-</v>
      </c>
      <c r="D199" s="181">
        <f t="shared" si="42"/>
        <v>1840000</v>
      </c>
      <c r="E199" s="181">
        <f>SUMIF(设备合同!$L$6:$L$302,L199,设备合同!$E$6:$E$302)</f>
        <v>0</v>
      </c>
      <c r="F199" s="181">
        <f>SUMIF(设备合同!$L$6:$L$302,L199,设备合同!$F$6:$F$302)</f>
        <v>0</v>
      </c>
      <c r="G199" s="181">
        <f>SUMIF(设备合同!$L$6:$L$302,L199,设备合同!$G$6:$G$302)</f>
        <v>0</v>
      </c>
      <c r="H199" s="181">
        <f>SUMIF(设备合同!$L$6:$L$302,L199,设备合同!$H$6:$H$302)</f>
        <v>0</v>
      </c>
      <c r="I199" s="181">
        <f t="shared" si="43"/>
        <v>0</v>
      </c>
      <c r="J199" s="86" t="s">
        <v>98</v>
      </c>
      <c r="K199" s="87"/>
      <c r="L199" s="88">
        <v>194</v>
      </c>
      <c r="M199" s="89" t="str">
        <f>VLOOKUP(L199,设备合同!$L$6:$CC$302,2,0)</f>
        <v>YRKJEQ-170081</v>
      </c>
      <c r="N199" s="90" t="str">
        <f>VLOOKUP(L199,设备合同!$L$6:$CC$302,3,0)</f>
        <v>设备合同</v>
      </c>
      <c r="O199" s="265">
        <f>VLOOKUP(L199,设备合同!$L$6:$CC$302,4,0)</f>
        <v>2017070077</v>
      </c>
      <c r="P199" s="266">
        <f>VLOOKUP(L199,设备合同!$L$6:$CC$302,5,0)</f>
        <v>42970</v>
      </c>
      <c r="Q199" s="275">
        <f>VLOOKUP(L199,设备合同!$L$6:$CC$302,6,0)</f>
        <v>9200000</v>
      </c>
      <c r="R199" s="89" t="str">
        <f>VLOOKUP(L199,设备合同!$L$6:$CC$302,7,0)</f>
        <v>53台非标设备</v>
      </c>
      <c r="S199" s="89" t="str">
        <f>VLOOKUP(L199,设备合同!$L$6:$CC$302,8,0)</f>
        <v>福建省泉州市江南冷却器厂</v>
      </c>
      <c r="T199" s="107" t="str">
        <f>VLOOKUP(L199,设备合同!$L$6:$CC$302,9,0)</f>
        <v>己内酰胺装置</v>
      </c>
      <c r="U199" s="103" t="str">
        <f>VLOOKUP(L199,设备合同!$L$6:$CC$302,10,0)</f>
        <v>电汇</v>
      </c>
      <c r="V199" s="276" t="str">
        <f>VLOOKUP(L199,设备合同!$L$6:$CC$302,11,0)</f>
        <v>甲方收到乙方20%的预付款保函以及本合同的20%收据后15个工作日支付20%预付款 10%履约保函</v>
      </c>
      <c r="W199" s="102">
        <f>VLOOKUP(L199,设备合同!$L$6:$CC$302,12,0)</f>
        <v>1840000</v>
      </c>
      <c r="X199" s="102">
        <f>VLOOKUP(L199,设备合同!$L$6:$CC$302,13,0)</f>
        <v>1840000</v>
      </c>
      <c r="Y199" s="102">
        <f>VLOOKUP(L199,设备合同!$L$6:$CC$302,14,0)</f>
        <v>1840000</v>
      </c>
      <c r="Z199" s="102" t="str">
        <f>VLOOKUP(L199,设备合同!$L$6:$CC$302,15,0)</f>
        <v>甲方授权人到乙方清点并检查货物合格后，签发发货同意书，收到等额专票后15个工作日，支付60%发货款  </v>
      </c>
      <c r="AA199" s="102">
        <f>VLOOKUP(L199,设备合同!$L$6:$CC$302,16,0)</f>
        <v>5520000</v>
      </c>
      <c r="AB199" s="102">
        <f>VLOOKUP(L199,设备合同!$L$6:$CC$302,17,0)</f>
        <v>0</v>
      </c>
      <c r="AC199" s="102">
        <f>VLOOKUP(L199,设备合同!$L$6:$CC$302,18,0)</f>
        <v>0</v>
      </c>
      <c r="AD199" s="102" t="str">
        <f>VLOOKUP(L199,设备合同!$L$6:$CC$302,19,0)</f>
        <v>甲方收到核定的调试合格报告后15个工作日，支付10%调试款</v>
      </c>
      <c r="AE199" s="102">
        <f>VLOOKUP(L199,设备合同!$L$6:$CC$302,20,0)</f>
        <v>920000</v>
      </c>
      <c r="AF199" s="102">
        <f>VLOOKUP(L199,设备合同!$L$6:$CC$302,21,0)</f>
        <v>0</v>
      </c>
      <c r="AG199" s="102">
        <f>VLOOKUP(L199,设备合同!$L$6:$CC$302,22,0)</f>
        <v>0</v>
      </c>
      <c r="AH199" s="102" t="str">
        <f>VLOOKUP(L199,设备合同!$L$6:$CC$302,23,0)</f>
        <v>10%质保金，验收合格12个月或到货现场18个月</v>
      </c>
      <c r="AI199" s="102">
        <f>VLOOKUP(L199,设备合同!$L$6:$CC$302,24,0)</f>
        <v>920000</v>
      </c>
      <c r="AJ199" s="102">
        <f>VLOOKUP(L199,设备合同!$L$6:$CC$302,25,0)</f>
        <v>0</v>
      </c>
      <c r="AK199" s="102">
        <f>VLOOKUP(L199,设备合同!$L$6:$CC$302,26,0)</f>
        <v>0</v>
      </c>
      <c r="AL199" s="102">
        <f>VLOOKUP(L199,设备合同!$L$6:$CC$302,27,0)</f>
        <v>0</v>
      </c>
      <c r="AM199" s="102">
        <f>VLOOKUP(L199,设备合同!$L$6:$CC$302,28,0)</f>
        <v>0</v>
      </c>
      <c r="AN199" s="102">
        <f>VLOOKUP(L199,设备合同!$L$6:$CC$302,29,0)</f>
        <v>0</v>
      </c>
      <c r="AO199" s="102">
        <f>VLOOKUP(L199,设备合同!$L$6:$CC$302,30,0)</f>
        <v>0</v>
      </c>
      <c r="AP199" s="102">
        <f>VLOOKUP(L199,设备合同!$L$6:$CC$302,31,0)</f>
        <v>0</v>
      </c>
      <c r="AQ199" s="102">
        <f>VLOOKUP(L199,设备合同!$L$6:$CC$302,32,0)</f>
        <v>0</v>
      </c>
      <c r="AR199" s="102">
        <f>VLOOKUP(L199,设备合同!$L$6:$CC$302,33,0)</f>
        <v>0</v>
      </c>
      <c r="AS199" s="102">
        <f>VLOOKUP(L199,设备合同!$L$6:$CC$302,34,0)</f>
        <v>0</v>
      </c>
      <c r="AT199" s="102">
        <f>VLOOKUP(L199,设备合同!$L$6:$CC$302,35,0)</f>
        <v>0</v>
      </c>
      <c r="AU199" s="102">
        <f>VLOOKUP(L199,设备合同!$L$6:$CC$302,36,0)</f>
        <v>0</v>
      </c>
      <c r="AV199" s="102">
        <f>VLOOKUP(L199,设备合同!$L$6:$CC$302,37,0)</f>
        <v>0</v>
      </c>
      <c r="AW199" s="102">
        <f>VLOOKUP(L199,设备合同!$L$6:$CC$302,38,0)</f>
        <v>0</v>
      </c>
      <c r="AX199" s="102">
        <f>VLOOKUP(L199,设备合同!$L$6:$CC$302,39,0)</f>
        <v>0</v>
      </c>
      <c r="AY199" s="102">
        <f>VLOOKUP(L199,设备合同!$L$6:$CC$302,40,0)</f>
        <v>0</v>
      </c>
      <c r="AZ199" s="102">
        <f>VLOOKUP(L199,设备合同!$L$6:$CC$302,41,0)</f>
        <v>0</v>
      </c>
      <c r="BA199" s="102">
        <f>VLOOKUP(L199,设备合同!$L$6:$CC$302,42,0)</f>
        <v>0</v>
      </c>
      <c r="BB199" s="102">
        <f>VLOOKUP(L199,设备合同!$L$6:$CC$302,43,0)</f>
        <v>0</v>
      </c>
      <c r="BC199" s="102">
        <f>VLOOKUP(L199,设备合同!$L$6:$CC$302,44,0)</f>
        <v>0</v>
      </c>
      <c r="BD199" s="102">
        <f>VLOOKUP(L199,设备合同!$L$6:$CC$302,45,0)</f>
        <v>0</v>
      </c>
      <c r="BE199" s="102">
        <f>VLOOKUP(L199,设备合同!$L$6:$CC$302,46,0)</f>
        <v>0</v>
      </c>
      <c r="BF199" s="102">
        <f>VLOOKUP(L199,设备合同!$L$6:$CC$302,47,0)</f>
        <v>0</v>
      </c>
      <c r="BG199" s="102">
        <f>VLOOKUP(L199,设备合同!$L$6:$CC$302,48,0)</f>
        <v>0</v>
      </c>
      <c r="BH199" s="102">
        <f>VLOOKUP(L199,设备合同!$L$6:$CC$302,49,0)</f>
        <v>0</v>
      </c>
      <c r="BI199" s="102">
        <f>VLOOKUP(L199,设备合同!$L$6:$CC$302,50,0)</f>
        <v>0</v>
      </c>
      <c r="BJ199" s="102">
        <f>VLOOKUP(L199,设备合同!$L$6:$CC$302,51,0)</f>
        <v>0</v>
      </c>
      <c r="BK199" s="102">
        <f>VLOOKUP(L199,设备合同!$L$6:$CC$302,52,0)</f>
        <v>0</v>
      </c>
      <c r="BL199" s="102">
        <f>VLOOKUP(L199,设备合同!$L$6:$CC$302,53,0)</f>
        <v>0</v>
      </c>
      <c r="BM199" s="102">
        <f>VLOOKUP(L199,设备合同!$L$6:$CC$302,54,0)</f>
        <v>0</v>
      </c>
      <c r="BN199" s="102">
        <f>VLOOKUP(L199,设备合同!$L$6:$CC$302,55,0)</f>
        <v>0</v>
      </c>
      <c r="BO199" s="102">
        <f>VLOOKUP(L199,设备合同!$L$6:$CC$302,56,0)</f>
        <v>0</v>
      </c>
      <c r="BP199" s="102">
        <f>VLOOKUP(L199,设备合同!$L$6:$CC$302,57,0)</f>
        <v>0</v>
      </c>
      <c r="BQ199" s="102">
        <f>VLOOKUP(L199,设备合同!$L$6:$CC$302,58,0)</f>
        <v>0</v>
      </c>
      <c r="BR199" s="102">
        <f>VLOOKUP(L199,设备合同!$L$6:$CC$302,59,0)</f>
        <v>0</v>
      </c>
      <c r="BS199" s="102">
        <f>VLOOKUP(L199,设备合同!$L$6:$CC$302,60,0)</f>
        <v>0</v>
      </c>
      <c r="BT199" s="102">
        <f>VLOOKUP(L199,设备合同!$L$6:$CC$302,61,0)</f>
        <v>0</v>
      </c>
      <c r="BU199" s="102">
        <f>VLOOKUP(L199,设备合同!$L$6:$CC$302,62,0)</f>
        <v>0</v>
      </c>
      <c r="BV199" s="102">
        <f>VLOOKUP(L199,设备合同!$L$6:$CC$302,63,0)</f>
        <v>0</v>
      </c>
      <c r="BW199" s="102">
        <f>VLOOKUP(L199,设备合同!$L$6:$CC$302,64,0)</f>
        <v>0</v>
      </c>
      <c r="BX199" s="102">
        <f>VLOOKUP(L199,设备合同!$L$6:$CC$302,65,0)</f>
        <v>0</v>
      </c>
      <c r="BY199" s="102">
        <f>VLOOKUP(L199,设备合同!$L$6:$CC$302,66,0)</f>
        <v>0</v>
      </c>
      <c r="BZ199" s="102">
        <f>VLOOKUP(L199,设备合同!$L$6:$CC$302,67,0)</f>
        <v>0</v>
      </c>
      <c r="CA199" s="102">
        <f>VLOOKUP(L199,设备合同!$L$6:$CC$302,68,0)</f>
        <v>0</v>
      </c>
      <c r="CB199" s="102">
        <f>VLOOKUP(L199,设备合同!$L$6:$CC$302,69,0)</f>
        <v>0</v>
      </c>
      <c r="CC199" s="102">
        <f>VLOOKUP(L199,设备合同!$L$6:$CC$302,70,0)</f>
        <v>0</v>
      </c>
      <c r="CD199" s="123">
        <f t="shared" si="44"/>
        <v>9200000</v>
      </c>
      <c r="CE199" s="102">
        <f t="shared" si="45"/>
        <v>1840000</v>
      </c>
      <c r="CF199" s="102">
        <f t="shared" si="46"/>
        <v>1840000</v>
      </c>
      <c r="CG199" s="102">
        <f t="shared" si="47"/>
        <v>0</v>
      </c>
      <c r="CH199" s="124">
        <f t="shared" si="48"/>
        <v>7360000</v>
      </c>
      <c r="CI199" s="125">
        <f t="shared" si="49"/>
        <v>0.2</v>
      </c>
      <c r="CJ199" s="126" t="str">
        <f t="shared" si="50"/>
        <v>数据正确</v>
      </c>
    </row>
    <row r="200" s="60" customFormat="1" customHeight="1" spans="2:88">
      <c r="B200" s="70" t="str">
        <f t="shared" si="40"/>
        <v>-</v>
      </c>
      <c r="C200" s="71" t="str">
        <f t="shared" si="41"/>
        <v>-</v>
      </c>
      <c r="D200" s="181">
        <f t="shared" si="42"/>
        <v>0</v>
      </c>
      <c r="E200" s="181">
        <f>SUMIF(行政合同!$L$6:$L$300,L200,行政合同!$E$6:$E$300)</f>
        <v>0</v>
      </c>
      <c r="F200" s="181">
        <f>SUMIF(行政合同!$L$6:$L$300,L200,行政合同!$F$6:$F$300)</f>
        <v>0</v>
      </c>
      <c r="G200" s="181">
        <f>SUMIF(行政合同!$L$6:$L$300,L200,行政合同!$G$6:$G$300)</f>
        <v>0</v>
      </c>
      <c r="H200" s="181">
        <f>SUMIF(行政合同!$L$6:$L$300,L200,行政合同!$H$6:$H$300)</f>
        <v>0</v>
      </c>
      <c r="I200" s="181">
        <f t="shared" si="43"/>
        <v>0</v>
      </c>
      <c r="J200" s="86" t="s">
        <v>98</v>
      </c>
      <c r="K200" s="87"/>
      <c r="L200" s="88">
        <v>195</v>
      </c>
      <c r="M200" s="89" t="str">
        <f>VLOOKUP(L200,行政合同!$L$6:$CC$300,2,0)</f>
        <v>YRKJXZ-170029</v>
      </c>
      <c r="N200" s="90" t="str">
        <f>VLOOKUP(L200,行政合同!$L$6:$CC$300,3,0)</f>
        <v>行政合同</v>
      </c>
      <c r="O200" s="265" t="str">
        <f>VLOOKUP(L200,行政合同!$L$6:$CC$300,4,0)</f>
        <v>-</v>
      </c>
      <c r="P200" s="266">
        <f>VLOOKUP(L200,行政合同!$L$6:$CC$300,5,0)</f>
        <v>42958</v>
      </c>
      <c r="Q200" s="275">
        <f>VLOOKUP(L200,行政合同!$L$6:$CC$300,6,0)</f>
        <v>23450</v>
      </c>
      <c r="R200" s="89" t="str">
        <f>VLOOKUP(L200,行政合同!$L$6:$CC$300,7,0)</f>
        <v>联想台式电脑7台</v>
      </c>
      <c r="S200" s="89" t="str">
        <f>VLOOKUP(L200,行政合同!$L$6:$CC$300,8,0)</f>
        <v>福州威迅电子有限公司</v>
      </c>
      <c r="T200" s="107">
        <f>VLOOKUP(L200,行政合同!$L$6:$CC$300,9,0)</f>
        <v>0</v>
      </c>
      <c r="U200" s="103" t="str">
        <f>VLOOKUP(L200,行政合同!$L$6:$CC$300,10,0)</f>
        <v>电汇</v>
      </c>
      <c r="V200" s="276" t="str">
        <f>VLOOKUP(L200,行政合同!$L$6:$CC$300,11,0)</f>
        <v>甲方收到货款验收合格以及全额的发票后15个工作日支付100%的货款</v>
      </c>
      <c r="W200" s="102">
        <f>VLOOKUP(L200,行政合同!$L$6:$CC$300,12,0)</f>
        <v>23450</v>
      </c>
      <c r="X200" s="102">
        <f>VLOOKUP(L200,行政合同!$L$6:$CC$300,13,0)</f>
        <v>0</v>
      </c>
      <c r="Y200" s="102">
        <f>VLOOKUP(L200,行政合同!$L$6:$CC$300,14,0)</f>
        <v>0</v>
      </c>
      <c r="Z200" s="102">
        <f>VLOOKUP(L200,行政合同!$L$6:$CC$300,15,0)</f>
        <v>0</v>
      </c>
      <c r="AA200" s="102">
        <f>VLOOKUP(L200,行政合同!$L$6:$CC$300,16,0)</f>
        <v>0</v>
      </c>
      <c r="AB200" s="102">
        <f>VLOOKUP(L200,行政合同!$L$6:$CC$300,17,0)</f>
        <v>0</v>
      </c>
      <c r="AC200" s="102">
        <f>VLOOKUP(L200,行政合同!$L$6:$CC$300,18,0)</f>
        <v>0</v>
      </c>
      <c r="AD200" s="102">
        <f>VLOOKUP(L200,行政合同!$L$6:$CC$300,19,0)</f>
        <v>0</v>
      </c>
      <c r="AE200" s="102">
        <f>VLOOKUP(L200,行政合同!$L$6:$CC$300,20,0)</f>
        <v>0</v>
      </c>
      <c r="AF200" s="102">
        <f>VLOOKUP(L200,行政合同!$L$6:$CC$300,21,0)</f>
        <v>0</v>
      </c>
      <c r="AG200" s="102">
        <f>VLOOKUP(L200,行政合同!$L$6:$CC$300,22,0)</f>
        <v>0</v>
      </c>
      <c r="AH200" s="102">
        <f>VLOOKUP(L200,行政合同!$L$6:$CC$300,23,0)</f>
        <v>0</v>
      </c>
      <c r="AI200" s="102">
        <f>VLOOKUP(L200,行政合同!$L$6:$CC$300,24,0)</f>
        <v>0</v>
      </c>
      <c r="AJ200" s="102">
        <f>VLOOKUP(L200,行政合同!$L$6:$CC$300,25,0)</f>
        <v>0</v>
      </c>
      <c r="AK200" s="102">
        <f>VLOOKUP(L200,行政合同!$L$6:$CC$300,26,0)</f>
        <v>0</v>
      </c>
      <c r="AL200" s="102">
        <f>VLOOKUP(L200,行政合同!$L$6:$CC$300,27,0)</f>
        <v>0</v>
      </c>
      <c r="AM200" s="102">
        <f>VLOOKUP(L200,行政合同!$L$6:$CC$300,28,0)</f>
        <v>0</v>
      </c>
      <c r="AN200" s="102">
        <f>VLOOKUP(L200,行政合同!$L$6:$CC$300,29,0)</f>
        <v>0</v>
      </c>
      <c r="AO200" s="102">
        <f>VLOOKUP(L200,行政合同!$L$6:$CC$300,30,0)</f>
        <v>0</v>
      </c>
      <c r="AP200" s="102">
        <f>VLOOKUP(L200,行政合同!$L$6:$CC$300,31,0)</f>
        <v>0</v>
      </c>
      <c r="AQ200" s="102">
        <f>VLOOKUP(L200,行政合同!$L$6:$CC$300,32,0)</f>
        <v>0</v>
      </c>
      <c r="AR200" s="102">
        <f>VLOOKUP(L200,行政合同!$L$6:$CC$300,33,0)</f>
        <v>0</v>
      </c>
      <c r="AS200" s="102">
        <f>VLOOKUP(L200,行政合同!$L$6:$CC$300,34,0)</f>
        <v>0</v>
      </c>
      <c r="AT200" s="102">
        <f>VLOOKUP(L200,行政合同!$L$6:$CC$300,35,0)</f>
        <v>0</v>
      </c>
      <c r="AU200" s="102">
        <f>VLOOKUP(L200,行政合同!$L$6:$CC$300,36,0)</f>
        <v>0</v>
      </c>
      <c r="AV200" s="102">
        <f>VLOOKUP(L200,行政合同!$L$6:$CC$300,37,0)</f>
        <v>0</v>
      </c>
      <c r="AW200" s="102">
        <f>VLOOKUP(L200,行政合同!$L$6:$CC$300,38,0)</f>
        <v>0</v>
      </c>
      <c r="AX200" s="102">
        <f>VLOOKUP(L200,行政合同!$L$6:$CC$300,39,0)</f>
        <v>0</v>
      </c>
      <c r="AY200" s="102">
        <f>VLOOKUP(L200,行政合同!$L$6:$CC$300,40,0)</f>
        <v>0</v>
      </c>
      <c r="AZ200" s="102">
        <f>VLOOKUP(L200,行政合同!$L$6:$CC$300,41,0)</f>
        <v>0</v>
      </c>
      <c r="BA200" s="102">
        <f>VLOOKUP(L200,行政合同!$L$6:$CC$300,42,0)</f>
        <v>0</v>
      </c>
      <c r="BB200" s="102">
        <f>VLOOKUP(L200,行政合同!$L$6:$CC$300,43,0)</f>
        <v>0</v>
      </c>
      <c r="BC200" s="102">
        <f>VLOOKUP(L200,行政合同!$L$6:$CC$300,44,0)</f>
        <v>0</v>
      </c>
      <c r="BD200" s="102">
        <f>VLOOKUP(L200,行政合同!$L$6:$CC$300,45,0)</f>
        <v>0</v>
      </c>
      <c r="BE200" s="102">
        <f>VLOOKUP(L200,行政合同!$L$6:$CC$300,46,0)</f>
        <v>0</v>
      </c>
      <c r="BF200" s="102">
        <f>VLOOKUP(L200,行政合同!$L$6:$CC$300,47,0)</f>
        <v>0</v>
      </c>
      <c r="BG200" s="102">
        <f>VLOOKUP(L200,行政合同!$L$6:$CC$300,48,0)</f>
        <v>0</v>
      </c>
      <c r="BH200" s="102">
        <f>VLOOKUP(L200,行政合同!$L$6:$CC$300,49,0)</f>
        <v>0</v>
      </c>
      <c r="BI200" s="102">
        <f>VLOOKUP(L200,行政合同!$L$6:$CC$300,50,0)</f>
        <v>0</v>
      </c>
      <c r="BJ200" s="102">
        <f>VLOOKUP(L200,行政合同!$L$6:$CC$300,51,0)</f>
        <v>0</v>
      </c>
      <c r="BK200" s="102">
        <f>VLOOKUP(L200,行政合同!$L$6:$CC$300,52,0)</f>
        <v>0</v>
      </c>
      <c r="BL200" s="102">
        <f>VLOOKUP(L200,行政合同!$L$6:$CC$300,53,0)</f>
        <v>0</v>
      </c>
      <c r="BM200" s="102">
        <f>VLOOKUP(L200,行政合同!$L$6:$CC$300,54,0)</f>
        <v>0</v>
      </c>
      <c r="BN200" s="102">
        <f>VLOOKUP(L200,行政合同!$L$6:$CC$300,55,0)</f>
        <v>0</v>
      </c>
      <c r="BO200" s="102">
        <f>VLOOKUP(L200,行政合同!$L$6:$CC$300,56,0)</f>
        <v>0</v>
      </c>
      <c r="BP200" s="102">
        <f>VLOOKUP(L200,行政合同!$L$6:$CC$300,57,0)</f>
        <v>0</v>
      </c>
      <c r="BQ200" s="102">
        <f>VLOOKUP(L200,行政合同!$L$6:$CC$300,58,0)</f>
        <v>0</v>
      </c>
      <c r="BR200" s="102">
        <f>VLOOKUP(L200,行政合同!$L$6:$CC$300,59,0)</f>
        <v>0</v>
      </c>
      <c r="BS200" s="102">
        <f>VLOOKUP(L200,行政合同!$L$6:$CC$300,60,0)</f>
        <v>0</v>
      </c>
      <c r="BT200" s="102">
        <f>VLOOKUP(L200,行政合同!$L$6:$CC$300,61,0)</f>
        <v>0</v>
      </c>
      <c r="BU200" s="102">
        <f>VLOOKUP(L200,行政合同!$L$6:$CC$300,62,0)</f>
        <v>0</v>
      </c>
      <c r="BV200" s="102">
        <f>VLOOKUP(L200,行政合同!$L$6:$CC$300,63,0)</f>
        <v>0</v>
      </c>
      <c r="BW200" s="102">
        <f>VLOOKUP(L200,行政合同!$L$6:$CC$300,64,0)</f>
        <v>0</v>
      </c>
      <c r="BX200" s="102">
        <f>VLOOKUP(L200,行政合同!$L$6:$CC$300,65,0)</f>
        <v>0</v>
      </c>
      <c r="BY200" s="102">
        <f>VLOOKUP(L200,行政合同!$L$6:$CC$300,66,0)</f>
        <v>0</v>
      </c>
      <c r="BZ200" s="102">
        <f>VLOOKUP(L200,行政合同!$L$6:$CC$300,67,0)</f>
        <v>0</v>
      </c>
      <c r="CA200" s="102">
        <f>VLOOKUP(L200,行政合同!$L$6:$CC$300,68,0)</f>
        <v>0</v>
      </c>
      <c r="CB200" s="102">
        <f>VLOOKUP(L200,行政合同!$L$6:$CC$300,69,0)</f>
        <v>0</v>
      </c>
      <c r="CC200" s="102">
        <f>VLOOKUP(L200,行政合同!$L$6:$CC$300,70,0)</f>
        <v>0</v>
      </c>
      <c r="CD200" s="123">
        <f t="shared" si="44"/>
        <v>23450</v>
      </c>
      <c r="CE200" s="102">
        <f t="shared" si="45"/>
        <v>0</v>
      </c>
      <c r="CF200" s="102">
        <f t="shared" si="46"/>
        <v>0</v>
      </c>
      <c r="CG200" s="102">
        <f t="shared" si="47"/>
        <v>0</v>
      </c>
      <c r="CH200" s="124">
        <f t="shared" si="48"/>
        <v>23450</v>
      </c>
      <c r="CI200" s="125">
        <f t="shared" si="49"/>
        <v>0</v>
      </c>
      <c r="CJ200" s="126" t="str">
        <f t="shared" si="50"/>
        <v>数据正确</v>
      </c>
    </row>
    <row r="201" s="60" customFormat="1" customHeight="1" spans="2:88">
      <c r="B201" s="70" t="str">
        <f t="shared" si="40"/>
        <v>-</v>
      </c>
      <c r="C201" s="71" t="str">
        <f t="shared" si="41"/>
        <v>已付清</v>
      </c>
      <c r="D201" s="181">
        <f t="shared" si="42"/>
        <v>92770.8</v>
      </c>
      <c r="E201" s="181">
        <f>SUMIF(行政合同!$L$6:$L$300,L201,行政合同!$E$6:$E$300)</f>
        <v>0</v>
      </c>
      <c r="F201" s="181">
        <f>SUMIF(行政合同!$L$6:$L$300,L201,行政合同!$F$6:$F$300)</f>
        <v>0</v>
      </c>
      <c r="G201" s="181">
        <f>SUMIF(行政合同!$L$6:$L$300,L201,行政合同!$G$6:$G$300)</f>
        <v>2869.2</v>
      </c>
      <c r="H201" s="181">
        <f>SUMIF(行政合同!$L$6:$L$300,L201,行政合同!$H$6:$H$300)</f>
        <v>0</v>
      </c>
      <c r="I201" s="181">
        <f t="shared" si="43"/>
        <v>0</v>
      </c>
      <c r="J201" s="86" t="s">
        <v>98</v>
      </c>
      <c r="K201" s="87"/>
      <c r="L201" s="88">
        <v>196</v>
      </c>
      <c r="M201" s="89" t="str">
        <f>VLOOKUP(L201,行政合同!$L$6:$CC$300,2,0)</f>
        <v>YRKJXZ-170031</v>
      </c>
      <c r="N201" s="90" t="str">
        <f>VLOOKUP(L201,行政合同!$L$6:$CC$300,3,0)</f>
        <v>行政合同</v>
      </c>
      <c r="O201" s="265" t="str">
        <f>VLOOKUP(L201,行政合同!$L$6:$CC$300,4,0)</f>
        <v>-</v>
      </c>
      <c r="P201" s="266">
        <f>VLOOKUP(L201,行政合同!$L$6:$CC$300,5,0)</f>
        <v>42965</v>
      </c>
      <c r="Q201" s="275">
        <f>VLOOKUP(L201,行政合同!$L$6:$CC$300,6,0)</f>
        <v>95640</v>
      </c>
      <c r="R201" s="89" t="str">
        <f>VLOOKUP(L201,行政合同!$L$6:$CC$300,7,0)</f>
        <v>交换机投影仪等信息类物资</v>
      </c>
      <c r="S201" s="89" t="str">
        <f>VLOOKUP(L201,行政合同!$L$6:$CC$300,8,0)</f>
        <v>莆田市广汇电脑有限公司</v>
      </c>
      <c r="T201" s="107">
        <f>VLOOKUP(L201,行政合同!$L$6:$CC$300,9,0)</f>
        <v>0</v>
      </c>
      <c r="U201" s="103" t="str">
        <f>VLOOKUP(L201,行政合同!$L$6:$CC$300,10,0)</f>
        <v>6个月承兑汇票/接受反向贴息</v>
      </c>
      <c r="V201" s="276" t="str">
        <f>VLOOKUP(L201,行政合同!$L$6:$CC$300,11,0)</f>
        <v>甲方收到货款验收合格以及全额的发票后15个工作日支付100%的货款</v>
      </c>
      <c r="W201" s="102">
        <f>VLOOKUP(L201,行政合同!$L$6:$CC$300,12,0)</f>
        <v>95640</v>
      </c>
      <c r="X201" s="102">
        <f>VLOOKUP(L201,行政合同!$L$6:$CC$300,13,0)</f>
        <v>95640</v>
      </c>
      <c r="Y201" s="102">
        <f>VLOOKUP(L201,行政合同!$L$6:$CC$300,14,0)</f>
        <v>92770.8</v>
      </c>
      <c r="Z201" s="102">
        <f>VLOOKUP(L201,行政合同!$L$6:$CC$300,15,0)</f>
        <v>0</v>
      </c>
      <c r="AA201" s="102">
        <f>VLOOKUP(L201,行政合同!$L$6:$CC$300,16,0)</f>
        <v>0</v>
      </c>
      <c r="AB201" s="102">
        <f>VLOOKUP(L201,行政合同!$L$6:$CC$300,17,0)</f>
        <v>0</v>
      </c>
      <c r="AC201" s="102">
        <f>VLOOKUP(L201,行政合同!$L$6:$CC$300,18,0)</f>
        <v>0</v>
      </c>
      <c r="AD201" s="102">
        <f>VLOOKUP(L201,行政合同!$L$6:$CC$300,19,0)</f>
        <v>0</v>
      </c>
      <c r="AE201" s="102">
        <f>VLOOKUP(L201,行政合同!$L$6:$CC$300,20,0)</f>
        <v>0</v>
      </c>
      <c r="AF201" s="102">
        <f>VLOOKUP(L201,行政合同!$L$6:$CC$300,21,0)</f>
        <v>0</v>
      </c>
      <c r="AG201" s="102">
        <f>VLOOKUP(L201,行政合同!$L$6:$CC$300,22,0)</f>
        <v>0</v>
      </c>
      <c r="AH201" s="102">
        <f>VLOOKUP(L201,行政合同!$L$6:$CC$300,23,0)</f>
        <v>0</v>
      </c>
      <c r="AI201" s="102">
        <f>VLOOKUP(L201,行政合同!$L$6:$CC$300,24,0)</f>
        <v>0</v>
      </c>
      <c r="AJ201" s="102">
        <f>VLOOKUP(L201,行政合同!$L$6:$CC$300,25,0)</f>
        <v>0</v>
      </c>
      <c r="AK201" s="102">
        <f>VLOOKUP(L201,行政合同!$L$6:$CC$300,26,0)</f>
        <v>0</v>
      </c>
      <c r="AL201" s="102">
        <f>VLOOKUP(L201,行政合同!$L$6:$CC$300,27,0)</f>
        <v>0</v>
      </c>
      <c r="AM201" s="102">
        <f>VLOOKUP(L201,行政合同!$L$6:$CC$300,28,0)</f>
        <v>0</v>
      </c>
      <c r="AN201" s="102">
        <f>VLOOKUP(L201,行政合同!$L$6:$CC$300,29,0)</f>
        <v>0</v>
      </c>
      <c r="AO201" s="102">
        <f>VLOOKUP(L201,行政合同!$L$6:$CC$300,30,0)</f>
        <v>0</v>
      </c>
      <c r="AP201" s="102">
        <f>VLOOKUP(L201,行政合同!$L$6:$CC$300,31,0)</f>
        <v>0</v>
      </c>
      <c r="AQ201" s="102">
        <f>VLOOKUP(L201,行政合同!$L$6:$CC$300,32,0)</f>
        <v>0</v>
      </c>
      <c r="AR201" s="102">
        <f>VLOOKUP(L201,行政合同!$L$6:$CC$300,33,0)</f>
        <v>0</v>
      </c>
      <c r="AS201" s="102">
        <f>VLOOKUP(L201,行政合同!$L$6:$CC$300,34,0)</f>
        <v>0</v>
      </c>
      <c r="AT201" s="102">
        <f>VLOOKUP(L201,行政合同!$L$6:$CC$300,35,0)</f>
        <v>0</v>
      </c>
      <c r="AU201" s="102">
        <f>VLOOKUP(L201,行政合同!$L$6:$CC$300,36,0)</f>
        <v>0</v>
      </c>
      <c r="AV201" s="102">
        <f>VLOOKUP(L201,行政合同!$L$6:$CC$300,37,0)</f>
        <v>0</v>
      </c>
      <c r="AW201" s="102">
        <f>VLOOKUP(L201,行政合同!$L$6:$CC$300,38,0)</f>
        <v>0</v>
      </c>
      <c r="AX201" s="102">
        <f>VLOOKUP(L201,行政合同!$L$6:$CC$300,39,0)</f>
        <v>0</v>
      </c>
      <c r="AY201" s="102">
        <f>VLOOKUP(L201,行政合同!$L$6:$CC$300,40,0)</f>
        <v>0</v>
      </c>
      <c r="AZ201" s="102">
        <f>VLOOKUP(L201,行政合同!$L$6:$CC$300,41,0)</f>
        <v>0</v>
      </c>
      <c r="BA201" s="102">
        <f>VLOOKUP(L201,行政合同!$L$6:$CC$300,42,0)</f>
        <v>0</v>
      </c>
      <c r="BB201" s="102">
        <f>VLOOKUP(L201,行政合同!$L$6:$CC$300,43,0)</f>
        <v>0</v>
      </c>
      <c r="BC201" s="102">
        <f>VLOOKUP(L201,行政合同!$L$6:$CC$300,44,0)</f>
        <v>0</v>
      </c>
      <c r="BD201" s="102">
        <f>VLOOKUP(L201,行政合同!$L$6:$CC$300,45,0)</f>
        <v>0</v>
      </c>
      <c r="BE201" s="102">
        <f>VLOOKUP(L201,行政合同!$L$6:$CC$300,46,0)</f>
        <v>0</v>
      </c>
      <c r="BF201" s="102">
        <f>VLOOKUP(L201,行政合同!$L$6:$CC$300,47,0)</f>
        <v>0</v>
      </c>
      <c r="BG201" s="102">
        <f>VLOOKUP(L201,行政合同!$L$6:$CC$300,48,0)</f>
        <v>0</v>
      </c>
      <c r="BH201" s="102">
        <f>VLOOKUP(L201,行政合同!$L$6:$CC$300,49,0)</f>
        <v>0</v>
      </c>
      <c r="BI201" s="102">
        <f>VLOOKUP(L201,行政合同!$L$6:$CC$300,50,0)</f>
        <v>0</v>
      </c>
      <c r="BJ201" s="102">
        <f>VLOOKUP(L201,行政合同!$L$6:$CC$300,51,0)</f>
        <v>0</v>
      </c>
      <c r="BK201" s="102">
        <f>VLOOKUP(L201,行政合同!$L$6:$CC$300,52,0)</f>
        <v>0</v>
      </c>
      <c r="BL201" s="102">
        <f>VLOOKUP(L201,行政合同!$L$6:$CC$300,53,0)</f>
        <v>0</v>
      </c>
      <c r="BM201" s="102">
        <f>VLOOKUP(L201,行政合同!$L$6:$CC$300,54,0)</f>
        <v>0</v>
      </c>
      <c r="BN201" s="102">
        <f>VLOOKUP(L201,行政合同!$L$6:$CC$300,55,0)</f>
        <v>0</v>
      </c>
      <c r="BO201" s="102">
        <f>VLOOKUP(L201,行政合同!$L$6:$CC$300,56,0)</f>
        <v>0</v>
      </c>
      <c r="BP201" s="102">
        <f>VLOOKUP(L201,行政合同!$L$6:$CC$300,57,0)</f>
        <v>0</v>
      </c>
      <c r="BQ201" s="102">
        <f>VLOOKUP(L201,行政合同!$L$6:$CC$300,58,0)</f>
        <v>0</v>
      </c>
      <c r="BR201" s="102">
        <f>VLOOKUP(L201,行政合同!$L$6:$CC$300,59,0)</f>
        <v>0</v>
      </c>
      <c r="BS201" s="102">
        <f>VLOOKUP(L201,行政合同!$L$6:$CC$300,60,0)</f>
        <v>0</v>
      </c>
      <c r="BT201" s="102">
        <f>VLOOKUP(L201,行政合同!$L$6:$CC$300,61,0)</f>
        <v>0</v>
      </c>
      <c r="BU201" s="102">
        <f>VLOOKUP(L201,行政合同!$L$6:$CC$300,62,0)</f>
        <v>0</v>
      </c>
      <c r="BV201" s="102">
        <f>VLOOKUP(L201,行政合同!$L$6:$CC$300,63,0)</f>
        <v>0</v>
      </c>
      <c r="BW201" s="102">
        <f>VLOOKUP(L201,行政合同!$L$6:$CC$300,64,0)</f>
        <v>0</v>
      </c>
      <c r="BX201" s="102">
        <f>VLOOKUP(L201,行政合同!$L$6:$CC$300,65,0)</f>
        <v>0</v>
      </c>
      <c r="BY201" s="102">
        <f>VLOOKUP(L201,行政合同!$L$6:$CC$300,66,0)</f>
        <v>0</v>
      </c>
      <c r="BZ201" s="102">
        <f>VLOOKUP(L201,行政合同!$L$6:$CC$300,67,0)</f>
        <v>0</v>
      </c>
      <c r="CA201" s="102">
        <f>VLOOKUP(L201,行政合同!$L$6:$CC$300,68,0)</f>
        <v>0</v>
      </c>
      <c r="CB201" s="102">
        <f>VLOOKUP(L201,行政合同!$L$6:$CC$300,69,0)</f>
        <v>0</v>
      </c>
      <c r="CC201" s="102">
        <f>VLOOKUP(L201,行政合同!$L$6:$CC$300,70,0)</f>
        <v>0</v>
      </c>
      <c r="CD201" s="123">
        <f t="shared" si="44"/>
        <v>95640</v>
      </c>
      <c r="CE201" s="102">
        <f t="shared" si="45"/>
        <v>95640</v>
      </c>
      <c r="CF201" s="102">
        <f t="shared" si="46"/>
        <v>92770.8</v>
      </c>
      <c r="CG201" s="102">
        <f t="shared" si="47"/>
        <v>2869.2</v>
      </c>
      <c r="CH201" s="124">
        <f t="shared" si="48"/>
        <v>0</v>
      </c>
      <c r="CI201" s="125">
        <f t="shared" si="49"/>
        <v>1</v>
      </c>
      <c r="CJ201" s="126" t="str">
        <f t="shared" si="50"/>
        <v>数据正确</v>
      </c>
    </row>
    <row r="202" s="60" customFormat="1" customHeight="1" spans="2:88">
      <c r="B202" s="70" t="str">
        <f t="shared" si="40"/>
        <v>-</v>
      </c>
      <c r="C202" s="71" t="str">
        <f t="shared" si="41"/>
        <v>-</v>
      </c>
      <c r="D202" s="181">
        <f t="shared" si="42"/>
        <v>4980000</v>
      </c>
      <c r="E202" s="181">
        <f>SUMIF(材料合同!$L$6:$L$305,L202,材料合同!$E$6:$E$305)</f>
        <v>0</v>
      </c>
      <c r="F202" s="181">
        <f>SUMIF(材料合同!$L$6:$L$305,L202,材料合同!$F$6:$F$305)</f>
        <v>0</v>
      </c>
      <c r="G202" s="181">
        <f>SUMIF(材料合同!$L$6:$L$305,L202,材料合同!$G$6:$G$305)</f>
        <v>0</v>
      </c>
      <c r="H202" s="181">
        <f>SUMIF(材料合同!$L$6:$L$305,L202,材料合同!$H$6:$H$305)</f>
        <v>0</v>
      </c>
      <c r="I202" s="181">
        <f t="shared" si="43"/>
        <v>0</v>
      </c>
      <c r="J202" s="86" t="s">
        <v>98</v>
      </c>
      <c r="K202" s="87"/>
      <c r="L202" s="88">
        <v>197</v>
      </c>
      <c r="M202" s="89" t="str">
        <f>VLOOKUP(L202,材料合同!$L$6:$CC$305,2,0)</f>
        <v>YRKJGC-170042</v>
      </c>
      <c r="N202" s="90" t="str">
        <f>VLOOKUP(L202,材料合同!$L$6:$CC$305,3,0)</f>
        <v>材料合同</v>
      </c>
      <c r="O202" s="265">
        <f>VLOOKUP(L202,材料合同!$L$6:$CC$305,4,0)</f>
        <v>0</v>
      </c>
      <c r="P202" s="266">
        <f>VLOOKUP(L202,材料合同!$L$6:$CC$305,5,0)</f>
        <v>42964</v>
      </c>
      <c r="Q202" s="275">
        <f>VLOOKUP(L202,材料合同!$L$6:$CC$305,6,0)</f>
        <v>8300000</v>
      </c>
      <c r="R202" s="89" t="str">
        <f>VLOOKUP(L202,材料合同!$L$6:$CC$305,7,0)</f>
        <v>预应力管桩（5万米*166元/米）</v>
      </c>
      <c r="S202" s="89" t="str">
        <f>VLOOKUP(L202,材料合同!$L$6:$CC$305,8,0)</f>
        <v>福建峻兴管桩有限公司</v>
      </c>
      <c r="T202" s="107">
        <f>VLOOKUP(L202,材料合同!$L$6:$CC$305,9,0)</f>
        <v>0</v>
      </c>
      <c r="U202" s="103" t="str">
        <f>VLOOKUP(L202,材料合同!$L$6:$CC$305,10,0)</f>
        <v>电汇</v>
      </c>
      <c r="V202" s="276" t="str">
        <f>VLOOKUP(L202,材料合同!$L$6:$CC$305,11,0)</f>
        <v>货到付款，每次供货10000米，收到等额的17%专票后5个工作日支付</v>
      </c>
      <c r="W202" s="102">
        <f>VLOOKUP(L202,材料合同!$L$6:$CC$305,12,0)</f>
        <v>8300000</v>
      </c>
      <c r="X202" s="102">
        <f>VLOOKUP(L202,材料合同!$L$6:$CC$305,13,0)</f>
        <v>4980000</v>
      </c>
      <c r="Y202" s="102">
        <f>VLOOKUP(L202,材料合同!$L$6:$CC$305,14,0)</f>
        <v>4980000</v>
      </c>
      <c r="Z202" s="102">
        <f>VLOOKUP(L202,材料合同!$L$6:$CC$305,15,0)</f>
        <v>0</v>
      </c>
      <c r="AA202" s="102">
        <f>VLOOKUP(L202,材料合同!$L$6:$CC$305,16,0)</f>
        <v>0</v>
      </c>
      <c r="AB202" s="102">
        <f>VLOOKUP(L202,材料合同!$L$6:$CC$305,17,0)</f>
        <v>0</v>
      </c>
      <c r="AC202" s="102">
        <f>VLOOKUP(L202,材料合同!$L$6:$CC$305,18,0)</f>
        <v>0</v>
      </c>
      <c r="AD202" s="102">
        <f>VLOOKUP(L202,材料合同!$L$6:$CC$305,19,0)</f>
        <v>0</v>
      </c>
      <c r="AE202" s="102">
        <f>VLOOKUP(L202,材料合同!$L$6:$CC$305,20,0)</f>
        <v>0</v>
      </c>
      <c r="AF202" s="102">
        <f>VLOOKUP(L202,材料合同!$L$6:$CC$305,21,0)</f>
        <v>0</v>
      </c>
      <c r="AG202" s="102">
        <f>VLOOKUP(L202,材料合同!$L$6:$CC$305,22,0)</f>
        <v>0</v>
      </c>
      <c r="AH202" s="102">
        <f>VLOOKUP(L202,材料合同!$L$6:$CC$305,23,0)</f>
        <v>0</v>
      </c>
      <c r="AI202" s="102">
        <f>VLOOKUP(L202,材料合同!$L$6:$CC$305,24,0)</f>
        <v>0</v>
      </c>
      <c r="AJ202" s="102">
        <f>VLOOKUP(L202,材料合同!$L$6:$CC$305,25,0)</f>
        <v>0</v>
      </c>
      <c r="AK202" s="102">
        <f>VLOOKUP(L202,材料合同!$L$6:$CC$305,26,0)</f>
        <v>0</v>
      </c>
      <c r="AL202" s="102">
        <f>VLOOKUP(L202,材料合同!$L$6:$CC$305,27,0)</f>
        <v>0</v>
      </c>
      <c r="AM202" s="102">
        <f>VLOOKUP(L202,材料合同!$L$6:$CC$305,28,0)</f>
        <v>0</v>
      </c>
      <c r="AN202" s="102">
        <f>VLOOKUP(L202,材料合同!$L$6:$CC$305,29,0)</f>
        <v>0</v>
      </c>
      <c r="AO202" s="102">
        <f>VLOOKUP(L202,材料合同!$L$6:$CC$305,30,0)</f>
        <v>0</v>
      </c>
      <c r="AP202" s="102">
        <f>VLOOKUP(L202,材料合同!$L$6:$CC$305,31,0)</f>
        <v>0</v>
      </c>
      <c r="AQ202" s="102">
        <f>VLOOKUP(L202,材料合同!$L$6:$CC$305,32,0)</f>
        <v>0</v>
      </c>
      <c r="AR202" s="102">
        <f>VLOOKUP(L202,材料合同!$L$6:$CC$305,33,0)</f>
        <v>0</v>
      </c>
      <c r="AS202" s="102">
        <f>VLOOKUP(L202,材料合同!$L$6:$CC$305,34,0)</f>
        <v>0</v>
      </c>
      <c r="AT202" s="102">
        <f>VLOOKUP(L202,材料合同!$L$6:$CC$305,35,0)</f>
        <v>0</v>
      </c>
      <c r="AU202" s="102">
        <f>VLOOKUP(L202,材料合同!$L$6:$CC$305,36,0)</f>
        <v>0</v>
      </c>
      <c r="AV202" s="102">
        <f>VLOOKUP(L202,材料合同!$L$6:$CC$305,37,0)</f>
        <v>0</v>
      </c>
      <c r="AW202" s="102">
        <f>VLOOKUP(L202,材料合同!$L$6:$CC$305,38,0)</f>
        <v>0</v>
      </c>
      <c r="AX202" s="102">
        <f>VLOOKUP(L202,材料合同!$L$6:$CC$305,39,0)</f>
        <v>0</v>
      </c>
      <c r="AY202" s="102">
        <f>VLOOKUP(L202,材料合同!$L$6:$CC$305,40,0)</f>
        <v>0</v>
      </c>
      <c r="AZ202" s="102">
        <f>VLOOKUP(L202,材料合同!$L$6:$CC$305,41,0)</f>
        <v>0</v>
      </c>
      <c r="BA202" s="102">
        <f>VLOOKUP(L202,材料合同!$L$6:$CC$305,42,0)</f>
        <v>0</v>
      </c>
      <c r="BB202" s="102">
        <f>VLOOKUP(L202,材料合同!$L$6:$CC$305,43,0)</f>
        <v>0</v>
      </c>
      <c r="BC202" s="102">
        <f>VLOOKUP(L202,材料合同!$L$6:$CC$305,44,0)</f>
        <v>0</v>
      </c>
      <c r="BD202" s="102">
        <f>VLOOKUP(L202,材料合同!$L$6:$CC$305,45,0)</f>
        <v>0</v>
      </c>
      <c r="BE202" s="102">
        <f>VLOOKUP(L202,材料合同!$L$6:$CC$305,46,0)</f>
        <v>0</v>
      </c>
      <c r="BF202" s="102">
        <f>VLOOKUP(L202,材料合同!$L$6:$CC$305,47,0)</f>
        <v>0</v>
      </c>
      <c r="BG202" s="102">
        <f>VLOOKUP(L202,材料合同!$L$6:$CC$305,48,0)</f>
        <v>0</v>
      </c>
      <c r="BH202" s="102">
        <f>VLOOKUP(L202,材料合同!$L$6:$CC$305,49,0)</f>
        <v>0</v>
      </c>
      <c r="BI202" s="102">
        <f>VLOOKUP(L202,材料合同!$L$6:$CC$305,50,0)</f>
        <v>0</v>
      </c>
      <c r="BJ202" s="102">
        <f>VLOOKUP(L202,材料合同!$L$6:$CC$305,51,0)</f>
        <v>0</v>
      </c>
      <c r="BK202" s="102">
        <f>VLOOKUP(L202,材料合同!$L$6:$CC$305,52,0)</f>
        <v>0</v>
      </c>
      <c r="BL202" s="102">
        <f>VLOOKUP(L202,材料合同!$L$6:$CC$305,53,0)</f>
        <v>0</v>
      </c>
      <c r="BM202" s="102">
        <f>VLOOKUP(L202,材料合同!$L$6:$CC$305,54,0)</f>
        <v>0</v>
      </c>
      <c r="BN202" s="102">
        <f>VLOOKUP(L202,材料合同!$L$6:$CC$305,55,0)</f>
        <v>0</v>
      </c>
      <c r="BO202" s="102">
        <f>VLOOKUP(L202,材料合同!$L$6:$CC$305,56,0)</f>
        <v>0</v>
      </c>
      <c r="BP202" s="102">
        <f>VLOOKUP(L202,材料合同!$L$6:$CC$305,57,0)</f>
        <v>0</v>
      </c>
      <c r="BQ202" s="102">
        <f>VLOOKUP(L202,材料合同!$L$6:$CC$305,58,0)</f>
        <v>0</v>
      </c>
      <c r="BR202" s="102">
        <f>VLOOKUP(L202,材料合同!$L$6:$CC$305,59,0)</f>
        <v>0</v>
      </c>
      <c r="BS202" s="102">
        <f>VLOOKUP(L202,材料合同!$L$6:$CC$305,60,0)</f>
        <v>0</v>
      </c>
      <c r="BT202" s="102">
        <f>VLOOKUP(L202,材料合同!$L$6:$CC$305,61,0)</f>
        <v>0</v>
      </c>
      <c r="BU202" s="102">
        <f>VLOOKUP(L202,材料合同!$L$6:$CC$305,62,0)</f>
        <v>0</v>
      </c>
      <c r="BV202" s="102">
        <f>VLOOKUP(L202,材料合同!$L$6:$CC$305,63,0)</f>
        <v>0</v>
      </c>
      <c r="BW202" s="102">
        <f>VLOOKUP(L202,材料合同!$L$6:$CC$305,64,0)</f>
        <v>0</v>
      </c>
      <c r="BX202" s="102">
        <f>VLOOKUP(L202,材料合同!$L$6:$CC$305,65,0)</f>
        <v>0</v>
      </c>
      <c r="BY202" s="102">
        <f>VLOOKUP(L202,材料合同!$L$6:$CC$305,66,0)</f>
        <v>0</v>
      </c>
      <c r="BZ202" s="102">
        <f>VLOOKUP(L202,材料合同!$L$6:$CC$305,67,0)</f>
        <v>0</v>
      </c>
      <c r="CA202" s="102">
        <f>VLOOKUP(L202,材料合同!$L$6:$CC$305,68,0)</f>
        <v>0</v>
      </c>
      <c r="CB202" s="102">
        <f>VLOOKUP(L202,材料合同!$L$6:$CC$305,69,0)</f>
        <v>0</v>
      </c>
      <c r="CC202" s="102">
        <f>VLOOKUP(L202,材料合同!$L$6:$CC$305,70,0)</f>
        <v>0</v>
      </c>
      <c r="CD202" s="123">
        <f t="shared" si="44"/>
        <v>8300000</v>
      </c>
      <c r="CE202" s="102">
        <f t="shared" si="45"/>
        <v>4980000</v>
      </c>
      <c r="CF202" s="102">
        <f t="shared" si="46"/>
        <v>4980000</v>
      </c>
      <c r="CG202" s="102">
        <f t="shared" si="47"/>
        <v>0</v>
      </c>
      <c r="CH202" s="124">
        <f t="shared" si="48"/>
        <v>3320000</v>
      </c>
      <c r="CI202" s="125">
        <f t="shared" si="49"/>
        <v>0.6</v>
      </c>
      <c r="CJ202" s="126" t="str">
        <f t="shared" si="50"/>
        <v>数据正确</v>
      </c>
    </row>
    <row r="203" s="60" customFormat="1" customHeight="1" spans="2:88">
      <c r="B203" s="70" t="str">
        <f t="shared" si="40"/>
        <v>-</v>
      </c>
      <c r="C203" s="71" t="str">
        <f t="shared" si="41"/>
        <v>-</v>
      </c>
      <c r="D203" s="181">
        <f t="shared" si="42"/>
        <v>270000</v>
      </c>
      <c r="E203" s="181">
        <f>SUMIF(设备合同!$L$6:$L$302,L203,设备合同!$E$6:$E$302)</f>
        <v>0</v>
      </c>
      <c r="F203" s="181">
        <f>SUMIF(设备合同!$L$6:$L$302,L203,设备合同!$F$6:$F$302)</f>
        <v>0</v>
      </c>
      <c r="G203" s="181">
        <f>SUMIF(设备合同!$L$6:$L$302,L203,设备合同!$G$6:$G$302)</f>
        <v>0</v>
      </c>
      <c r="H203" s="181">
        <f>SUMIF(设备合同!$L$6:$L$302,L203,设备合同!$H$6:$H$302)</f>
        <v>0</v>
      </c>
      <c r="I203" s="181">
        <f t="shared" si="43"/>
        <v>0</v>
      </c>
      <c r="J203" s="86" t="s">
        <v>98</v>
      </c>
      <c r="K203" s="87"/>
      <c r="L203" s="88">
        <v>198</v>
      </c>
      <c r="M203" s="89" t="str">
        <f>VLOOKUP(L203,设备合同!$L$6:$CC$302,2,0)</f>
        <v>YRKJEQ-170054</v>
      </c>
      <c r="N203" s="90" t="str">
        <f>VLOOKUP(L203,设备合同!$L$6:$CC$302,3,0)</f>
        <v>设备合同</v>
      </c>
      <c r="O203" s="265">
        <f>VLOOKUP(L203,设备合同!$L$6:$CC$302,4,0)</f>
        <v>2017060068</v>
      </c>
      <c r="P203" s="266">
        <f>VLOOKUP(L203,设备合同!$L$6:$CC$302,5,0)</f>
        <v>42926</v>
      </c>
      <c r="Q203" s="275">
        <f>VLOOKUP(L203,设备合同!$L$6:$CC$302,6,0)</f>
        <v>1350000</v>
      </c>
      <c r="R203" s="89" t="str">
        <f>VLOOKUP(L203,设备合同!$L$6:$CC$302,7,0)</f>
        <v>重排反应混合器5套（合同未收）</v>
      </c>
      <c r="S203" s="89" t="str">
        <f>VLOOKUP(L203,设备合同!$L$6:$CC$302,8,0)</f>
        <v>靖江华泰机械制造有限公司</v>
      </c>
      <c r="T203" s="107">
        <f>VLOOKUP(L203,设备合同!$L$6:$CC$302,9,0)</f>
        <v>0</v>
      </c>
      <c r="U203" s="103" t="str">
        <f>VLOOKUP(L203,设备合同!$L$6:$CC$302,10,0)</f>
        <v>6个月承兑汇票/电汇下浮2%</v>
      </c>
      <c r="V203" s="276" t="str">
        <f>VLOOKUP(L203,设备合同!$L$6:$CC$302,11,0)</f>
        <v>甲方收到乙方20%的预付款保函以及本合同的20%专票后15个工作日支付20%预付款</v>
      </c>
      <c r="W203" s="102">
        <f>VLOOKUP(L203,设备合同!$L$6:$CC$302,12,0)</f>
        <v>270000</v>
      </c>
      <c r="X203" s="102">
        <f>VLOOKUP(L203,设备合同!$L$6:$CC$302,13,0)</f>
        <v>270000</v>
      </c>
      <c r="Y203" s="102">
        <f>VLOOKUP(L203,设备合同!$L$6:$CC$302,14,0)</f>
        <v>270000</v>
      </c>
      <c r="Z203" s="102" t="str">
        <f>VLOOKUP(L203,设备合同!$L$6:$CC$302,15,0)</f>
        <v>甲方授权人到乙方清点并检查货物合格后，签发发货同意书，收到60%专票后15个工作日，支付40%发货款  </v>
      </c>
      <c r="AA203" s="102">
        <f>VLOOKUP(L203,设备合同!$L$6:$CC$302,16,0)</f>
        <v>540000</v>
      </c>
      <c r="AB203" s="102">
        <f>VLOOKUP(L203,设备合同!$L$6:$CC$302,17,0)</f>
        <v>0</v>
      </c>
      <c r="AC203" s="102">
        <f>VLOOKUP(L203,设备合同!$L$6:$CC$302,18,0)</f>
        <v>0</v>
      </c>
      <c r="AD203" s="102" t="str">
        <f>VLOOKUP(L203,设备合同!$L$6:$CC$302,19,0)</f>
        <v>甲方收到核定的调试合格报告后15个工作日，支付30%调试款</v>
      </c>
      <c r="AE203" s="102">
        <f>VLOOKUP(L203,设备合同!$L$6:$CC$302,20,0)</f>
        <v>405000</v>
      </c>
      <c r="AF203" s="102">
        <f>VLOOKUP(L203,设备合同!$L$6:$CC$302,21,0)</f>
        <v>0</v>
      </c>
      <c r="AG203" s="102">
        <f>VLOOKUP(L203,设备合同!$L$6:$CC$302,22,0)</f>
        <v>0</v>
      </c>
      <c r="AH203" s="102" t="str">
        <f>VLOOKUP(L203,设备合同!$L$6:$CC$302,23,0)</f>
        <v>10%质保金，验收合格12个月或到货现场18个月</v>
      </c>
      <c r="AI203" s="102">
        <f>VLOOKUP(L203,设备合同!$L$6:$CC$302,24,0)</f>
        <v>135000</v>
      </c>
      <c r="AJ203" s="102">
        <f>VLOOKUP(L203,设备合同!$L$6:$CC$302,25,0)</f>
        <v>0</v>
      </c>
      <c r="AK203" s="102">
        <f>VLOOKUP(L203,设备合同!$L$6:$CC$302,26,0)</f>
        <v>0</v>
      </c>
      <c r="AL203" s="102">
        <f>VLOOKUP(L203,设备合同!$L$6:$CC$302,27,0)</f>
        <v>0</v>
      </c>
      <c r="AM203" s="102">
        <f>VLOOKUP(L203,设备合同!$L$6:$CC$302,28,0)</f>
        <v>0</v>
      </c>
      <c r="AN203" s="102">
        <f>VLOOKUP(L203,设备合同!$L$6:$CC$302,29,0)</f>
        <v>0</v>
      </c>
      <c r="AO203" s="102">
        <f>VLOOKUP(L203,设备合同!$L$6:$CC$302,30,0)</f>
        <v>0</v>
      </c>
      <c r="AP203" s="102">
        <f>VLOOKUP(L203,设备合同!$L$6:$CC$302,31,0)</f>
        <v>0</v>
      </c>
      <c r="AQ203" s="102">
        <f>VLOOKUP(L203,设备合同!$L$6:$CC$302,32,0)</f>
        <v>0</v>
      </c>
      <c r="AR203" s="102">
        <f>VLOOKUP(L203,设备合同!$L$6:$CC$302,33,0)</f>
        <v>0</v>
      </c>
      <c r="AS203" s="102">
        <f>VLOOKUP(L203,设备合同!$L$6:$CC$302,34,0)</f>
        <v>0</v>
      </c>
      <c r="AT203" s="102">
        <f>VLOOKUP(L203,设备合同!$L$6:$CC$302,35,0)</f>
        <v>0</v>
      </c>
      <c r="AU203" s="102">
        <f>VLOOKUP(L203,设备合同!$L$6:$CC$302,36,0)</f>
        <v>0</v>
      </c>
      <c r="AV203" s="102">
        <f>VLOOKUP(L203,设备合同!$L$6:$CC$302,37,0)</f>
        <v>0</v>
      </c>
      <c r="AW203" s="102">
        <f>VLOOKUP(L203,设备合同!$L$6:$CC$302,38,0)</f>
        <v>0</v>
      </c>
      <c r="AX203" s="102">
        <f>VLOOKUP(L203,设备合同!$L$6:$CC$302,39,0)</f>
        <v>0</v>
      </c>
      <c r="AY203" s="102">
        <f>VLOOKUP(L203,设备合同!$L$6:$CC$302,40,0)</f>
        <v>0</v>
      </c>
      <c r="AZ203" s="102">
        <f>VLOOKUP(L203,设备合同!$L$6:$CC$302,41,0)</f>
        <v>0</v>
      </c>
      <c r="BA203" s="102">
        <f>VLOOKUP(L203,设备合同!$L$6:$CC$302,42,0)</f>
        <v>0</v>
      </c>
      <c r="BB203" s="102">
        <f>VLOOKUP(L203,设备合同!$L$6:$CC$302,43,0)</f>
        <v>0</v>
      </c>
      <c r="BC203" s="102">
        <f>VLOOKUP(L203,设备合同!$L$6:$CC$302,44,0)</f>
        <v>0</v>
      </c>
      <c r="BD203" s="102">
        <f>VLOOKUP(L203,设备合同!$L$6:$CC$302,45,0)</f>
        <v>0</v>
      </c>
      <c r="BE203" s="102">
        <f>VLOOKUP(L203,设备合同!$L$6:$CC$302,46,0)</f>
        <v>0</v>
      </c>
      <c r="BF203" s="102">
        <f>VLOOKUP(L203,设备合同!$L$6:$CC$302,47,0)</f>
        <v>0</v>
      </c>
      <c r="BG203" s="102">
        <f>VLOOKUP(L203,设备合同!$L$6:$CC$302,48,0)</f>
        <v>0</v>
      </c>
      <c r="BH203" s="102">
        <f>VLOOKUP(L203,设备合同!$L$6:$CC$302,49,0)</f>
        <v>0</v>
      </c>
      <c r="BI203" s="102">
        <f>VLOOKUP(L203,设备合同!$L$6:$CC$302,50,0)</f>
        <v>0</v>
      </c>
      <c r="BJ203" s="102">
        <f>VLOOKUP(L203,设备合同!$L$6:$CC$302,51,0)</f>
        <v>0</v>
      </c>
      <c r="BK203" s="102">
        <f>VLOOKUP(L203,设备合同!$L$6:$CC$302,52,0)</f>
        <v>0</v>
      </c>
      <c r="BL203" s="102">
        <f>VLOOKUP(L203,设备合同!$L$6:$CC$302,53,0)</f>
        <v>0</v>
      </c>
      <c r="BM203" s="102">
        <f>VLOOKUP(L203,设备合同!$L$6:$CC$302,54,0)</f>
        <v>0</v>
      </c>
      <c r="BN203" s="102">
        <f>VLOOKUP(L203,设备合同!$L$6:$CC$302,55,0)</f>
        <v>0</v>
      </c>
      <c r="BO203" s="102">
        <f>VLOOKUP(L203,设备合同!$L$6:$CC$302,56,0)</f>
        <v>0</v>
      </c>
      <c r="BP203" s="102">
        <f>VLOOKUP(L203,设备合同!$L$6:$CC$302,57,0)</f>
        <v>0</v>
      </c>
      <c r="BQ203" s="102">
        <f>VLOOKUP(L203,设备合同!$L$6:$CC$302,58,0)</f>
        <v>0</v>
      </c>
      <c r="BR203" s="102">
        <f>VLOOKUP(L203,设备合同!$L$6:$CC$302,59,0)</f>
        <v>0</v>
      </c>
      <c r="BS203" s="102">
        <f>VLOOKUP(L203,设备合同!$L$6:$CC$302,60,0)</f>
        <v>0</v>
      </c>
      <c r="BT203" s="102">
        <f>VLOOKUP(L203,设备合同!$L$6:$CC$302,61,0)</f>
        <v>0</v>
      </c>
      <c r="BU203" s="102">
        <f>VLOOKUP(L203,设备合同!$L$6:$CC$302,62,0)</f>
        <v>0</v>
      </c>
      <c r="BV203" s="102">
        <f>VLOOKUP(L203,设备合同!$L$6:$CC$302,63,0)</f>
        <v>0</v>
      </c>
      <c r="BW203" s="102">
        <f>VLOOKUP(L203,设备合同!$L$6:$CC$302,64,0)</f>
        <v>0</v>
      </c>
      <c r="BX203" s="102">
        <f>VLOOKUP(L203,设备合同!$L$6:$CC$302,65,0)</f>
        <v>0</v>
      </c>
      <c r="BY203" s="102">
        <f>VLOOKUP(L203,设备合同!$L$6:$CC$302,66,0)</f>
        <v>0</v>
      </c>
      <c r="BZ203" s="102">
        <f>VLOOKUP(L203,设备合同!$L$6:$CC$302,67,0)</f>
        <v>0</v>
      </c>
      <c r="CA203" s="102">
        <f>VLOOKUP(L203,设备合同!$L$6:$CC$302,68,0)</f>
        <v>0</v>
      </c>
      <c r="CB203" s="102">
        <f>VLOOKUP(L203,设备合同!$L$6:$CC$302,69,0)</f>
        <v>0</v>
      </c>
      <c r="CC203" s="102">
        <f>VLOOKUP(L203,设备合同!$L$6:$CC$302,70,0)</f>
        <v>0</v>
      </c>
      <c r="CD203" s="123">
        <f t="shared" si="44"/>
        <v>1350000</v>
      </c>
      <c r="CE203" s="102">
        <f t="shared" si="45"/>
        <v>270000</v>
      </c>
      <c r="CF203" s="102">
        <f t="shared" si="46"/>
        <v>270000</v>
      </c>
      <c r="CG203" s="102">
        <f t="shared" si="47"/>
        <v>0</v>
      </c>
      <c r="CH203" s="124">
        <f t="shared" si="48"/>
        <v>1080000</v>
      </c>
      <c r="CI203" s="125">
        <f t="shared" si="49"/>
        <v>0.2</v>
      </c>
      <c r="CJ203" s="126" t="str">
        <f t="shared" si="50"/>
        <v>数据正确</v>
      </c>
    </row>
    <row r="204" s="60" customFormat="1" customHeight="1" spans="2:88">
      <c r="B204" s="70" t="str">
        <f t="shared" ref="B204:B267" si="51">IF(I204=0,"-","申请中")</f>
        <v>-</v>
      </c>
      <c r="C204" s="71" t="str">
        <f t="shared" ref="C204:C267" si="52">IF(CI204=100%,"已付清","-")</f>
        <v>-</v>
      </c>
      <c r="D204" s="181">
        <f t="shared" ref="D204:D267" si="53">CF204</f>
        <v>430000</v>
      </c>
      <c r="E204" s="181">
        <f>SUMIF(设备合同!$L$6:$L$302,L204,设备合同!$E$6:$E$302)</f>
        <v>0</v>
      </c>
      <c r="F204" s="181">
        <f>SUMIF(设备合同!$L$6:$L$302,L204,设备合同!$F$6:$F$302)</f>
        <v>0</v>
      </c>
      <c r="G204" s="181">
        <f>SUMIF(设备合同!$L$6:$L$302,L204,设备合同!$G$6:$G$302)</f>
        <v>0</v>
      </c>
      <c r="H204" s="181">
        <f>SUMIF(设备合同!$L$6:$L$302,L204,设备合同!$H$6:$H$302)</f>
        <v>0</v>
      </c>
      <c r="I204" s="181">
        <f t="shared" ref="I204:I267" si="54">CE204-CF204-CG204</f>
        <v>0</v>
      </c>
      <c r="J204" s="86" t="s">
        <v>98</v>
      </c>
      <c r="K204" s="87"/>
      <c r="L204" s="88">
        <v>199</v>
      </c>
      <c r="M204" s="89" t="str">
        <f>VLOOKUP(L204,设备合同!$L$6:$CC$302,2,0)</f>
        <v>YRKJEQ-170056</v>
      </c>
      <c r="N204" s="90" t="str">
        <f>VLOOKUP(L204,设备合同!$L$6:$CC$302,3,0)</f>
        <v>设备合同</v>
      </c>
      <c r="O204" s="265">
        <f>VLOOKUP(L204,设备合同!$L$6:$CC$302,4,0)</f>
        <v>2017060017</v>
      </c>
      <c r="P204" s="266">
        <f>VLOOKUP(L204,设备合同!$L$6:$CC$302,5,0)</f>
        <v>42934</v>
      </c>
      <c r="Q204" s="275">
        <f>VLOOKUP(L204,设备合同!$L$6:$CC$302,6,0)</f>
        <v>2312900</v>
      </c>
      <c r="R204" s="89" t="str">
        <f>VLOOKUP(L204,设备合同!$L$6:$CC$302,7,0)</f>
        <v>化工流程泵27台+3台</v>
      </c>
      <c r="S204" s="89" t="str">
        <f>VLOOKUP(L204,设备合同!$L$6:$CC$302,8,0)</f>
        <v>江苏双达泵阀集团有限公司</v>
      </c>
      <c r="T204" s="107">
        <f>VLOOKUP(L204,设备合同!$L$6:$CC$302,9,0)</f>
        <v>0</v>
      </c>
      <c r="U204" s="103" t="str">
        <f>VLOOKUP(L204,设备合同!$L$6:$CC$302,10,0)</f>
        <v>6个月承兑汇票/电汇不下浮</v>
      </c>
      <c r="V204" s="276" t="str">
        <f>VLOOKUP(L204,设备合同!$L$6:$CC$302,11,0)</f>
        <v>甲方收到乙方20%的预付款保函以及本合同的10%履约保函,20%发票后15个工作日支付20%预付款</v>
      </c>
      <c r="W204" s="102">
        <f>VLOOKUP(L204,设备合同!$L$6:$CC$302,12,0)</f>
        <v>430000</v>
      </c>
      <c r="X204" s="102">
        <f>VLOOKUP(L204,设备合同!$L$6:$CC$302,13,0)</f>
        <v>430000</v>
      </c>
      <c r="Y204" s="102">
        <f>VLOOKUP(L204,设备合同!$L$6:$CC$302,14,0)</f>
        <v>430000</v>
      </c>
      <c r="Z204" s="102">
        <f>VLOOKUP(L204,设备合同!$L$6:$CC$302,15,0)</f>
        <v>0</v>
      </c>
      <c r="AA204" s="102">
        <f>VLOOKUP(L204,设备合同!$L$6:$CC$302,16,0)</f>
        <v>957740</v>
      </c>
      <c r="AB204" s="102">
        <f>VLOOKUP(L204,设备合同!$L$6:$CC$302,17,0)</f>
        <v>0</v>
      </c>
      <c r="AC204" s="102">
        <f>VLOOKUP(L204,设备合同!$L$6:$CC$302,18,0)</f>
        <v>0</v>
      </c>
      <c r="AD204" s="102">
        <f>VLOOKUP(L204,设备合同!$L$6:$CC$302,19,0)</f>
        <v>0</v>
      </c>
      <c r="AE204" s="102">
        <f>VLOOKUP(L204,设备合同!$L$6:$CC$302,20,0)</f>
        <v>693870</v>
      </c>
      <c r="AF204" s="102">
        <f>VLOOKUP(L204,设备合同!$L$6:$CC$302,21,0)</f>
        <v>0</v>
      </c>
      <c r="AG204" s="102">
        <f>VLOOKUP(L204,设备合同!$L$6:$CC$302,22,0)</f>
        <v>0</v>
      </c>
      <c r="AH204" s="102">
        <f>VLOOKUP(L204,设备合同!$L$6:$CC$302,23,0)</f>
        <v>0</v>
      </c>
      <c r="AI204" s="102">
        <f>VLOOKUP(L204,设备合同!$L$6:$CC$302,24,0)</f>
        <v>231290</v>
      </c>
      <c r="AJ204" s="102">
        <f>VLOOKUP(L204,设备合同!$L$6:$CC$302,25,0)</f>
        <v>0</v>
      </c>
      <c r="AK204" s="102">
        <f>VLOOKUP(L204,设备合同!$L$6:$CC$302,26,0)</f>
        <v>0</v>
      </c>
      <c r="AL204" s="102">
        <f>VLOOKUP(L204,设备合同!$L$6:$CC$302,27,0)</f>
        <v>0</v>
      </c>
      <c r="AM204" s="102">
        <f>VLOOKUP(L204,设备合同!$L$6:$CC$302,28,0)</f>
        <v>0</v>
      </c>
      <c r="AN204" s="102">
        <f>VLOOKUP(L204,设备合同!$L$6:$CC$302,29,0)</f>
        <v>0</v>
      </c>
      <c r="AO204" s="102">
        <f>VLOOKUP(L204,设备合同!$L$6:$CC$302,30,0)</f>
        <v>0</v>
      </c>
      <c r="AP204" s="102">
        <f>VLOOKUP(L204,设备合同!$L$6:$CC$302,31,0)</f>
        <v>0</v>
      </c>
      <c r="AQ204" s="102">
        <f>VLOOKUP(L204,设备合同!$L$6:$CC$302,32,0)</f>
        <v>0</v>
      </c>
      <c r="AR204" s="102">
        <f>VLOOKUP(L204,设备合同!$L$6:$CC$302,33,0)</f>
        <v>0</v>
      </c>
      <c r="AS204" s="102">
        <f>VLOOKUP(L204,设备合同!$L$6:$CC$302,34,0)</f>
        <v>0</v>
      </c>
      <c r="AT204" s="102">
        <f>VLOOKUP(L204,设备合同!$L$6:$CC$302,35,0)</f>
        <v>0</v>
      </c>
      <c r="AU204" s="102">
        <f>VLOOKUP(L204,设备合同!$L$6:$CC$302,36,0)</f>
        <v>0</v>
      </c>
      <c r="AV204" s="102">
        <f>VLOOKUP(L204,设备合同!$L$6:$CC$302,37,0)</f>
        <v>0</v>
      </c>
      <c r="AW204" s="102">
        <f>VLOOKUP(L204,设备合同!$L$6:$CC$302,38,0)</f>
        <v>0</v>
      </c>
      <c r="AX204" s="102">
        <f>VLOOKUP(L204,设备合同!$L$6:$CC$302,39,0)</f>
        <v>0</v>
      </c>
      <c r="AY204" s="102">
        <f>VLOOKUP(L204,设备合同!$L$6:$CC$302,40,0)</f>
        <v>0</v>
      </c>
      <c r="AZ204" s="102">
        <f>VLOOKUP(L204,设备合同!$L$6:$CC$302,41,0)</f>
        <v>0</v>
      </c>
      <c r="BA204" s="102">
        <f>VLOOKUP(L204,设备合同!$L$6:$CC$302,42,0)</f>
        <v>0</v>
      </c>
      <c r="BB204" s="102">
        <f>VLOOKUP(L204,设备合同!$L$6:$CC$302,43,0)</f>
        <v>0</v>
      </c>
      <c r="BC204" s="102">
        <f>VLOOKUP(L204,设备合同!$L$6:$CC$302,44,0)</f>
        <v>0</v>
      </c>
      <c r="BD204" s="102">
        <f>VLOOKUP(L204,设备合同!$L$6:$CC$302,45,0)</f>
        <v>0</v>
      </c>
      <c r="BE204" s="102">
        <f>VLOOKUP(L204,设备合同!$L$6:$CC$302,46,0)</f>
        <v>0</v>
      </c>
      <c r="BF204" s="102">
        <f>VLOOKUP(L204,设备合同!$L$6:$CC$302,47,0)</f>
        <v>0</v>
      </c>
      <c r="BG204" s="102">
        <f>VLOOKUP(L204,设备合同!$L$6:$CC$302,48,0)</f>
        <v>0</v>
      </c>
      <c r="BH204" s="102">
        <f>VLOOKUP(L204,设备合同!$L$6:$CC$302,49,0)</f>
        <v>0</v>
      </c>
      <c r="BI204" s="102">
        <f>VLOOKUP(L204,设备合同!$L$6:$CC$302,50,0)</f>
        <v>0</v>
      </c>
      <c r="BJ204" s="102">
        <f>VLOOKUP(L204,设备合同!$L$6:$CC$302,51,0)</f>
        <v>0</v>
      </c>
      <c r="BK204" s="102">
        <f>VLOOKUP(L204,设备合同!$L$6:$CC$302,52,0)</f>
        <v>0</v>
      </c>
      <c r="BL204" s="102">
        <f>VLOOKUP(L204,设备合同!$L$6:$CC$302,53,0)</f>
        <v>0</v>
      </c>
      <c r="BM204" s="102">
        <f>VLOOKUP(L204,设备合同!$L$6:$CC$302,54,0)</f>
        <v>0</v>
      </c>
      <c r="BN204" s="102">
        <f>VLOOKUP(L204,设备合同!$L$6:$CC$302,55,0)</f>
        <v>0</v>
      </c>
      <c r="BO204" s="102">
        <f>VLOOKUP(L204,设备合同!$L$6:$CC$302,56,0)</f>
        <v>0</v>
      </c>
      <c r="BP204" s="102">
        <f>VLOOKUP(L204,设备合同!$L$6:$CC$302,57,0)</f>
        <v>0</v>
      </c>
      <c r="BQ204" s="102">
        <f>VLOOKUP(L204,设备合同!$L$6:$CC$302,58,0)</f>
        <v>0</v>
      </c>
      <c r="BR204" s="102">
        <f>VLOOKUP(L204,设备合同!$L$6:$CC$302,59,0)</f>
        <v>0</v>
      </c>
      <c r="BS204" s="102">
        <f>VLOOKUP(L204,设备合同!$L$6:$CC$302,60,0)</f>
        <v>0</v>
      </c>
      <c r="BT204" s="102">
        <f>VLOOKUP(L204,设备合同!$L$6:$CC$302,61,0)</f>
        <v>0</v>
      </c>
      <c r="BU204" s="102">
        <f>VLOOKUP(L204,设备合同!$L$6:$CC$302,62,0)</f>
        <v>0</v>
      </c>
      <c r="BV204" s="102">
        <f>VLOOKUP(L204,设备合同!$L$6:$CC$302,63,0)</f>
        <v>0</v>
      </c>
      <c r="BW204" s="102">
        <f>VLOOKUP(L204,设备合同!$L$6:$CC$302,64,0)</f>
        <v>0</v>
      </c>
      <c r="BX204" s="102">
        <f>VLOOKUP(L204,设备合同!$L$6:$CC$302,65,0)</f>
        <v>0</v>
      </c>
      <c r="BY204" s="102">
        <f>VLOOKUP(L204,设备合同!$L$6:$CC$302,66,0)</f>
        <v>0</v>
      </c>
      <c r="BZ204" s="102">
        <f>VLOOKUP(L204,设备合同!$L$6:$CC$302,67,0)</f>
        <v>0</v>
      </c>
      <c r="CA204" s="102">
        <f>VLOOKUP(L204,设备合同!$L$6:$CC$302,68,0)</f>
        <v>0</v>
      </c>
      <c r="CB204" s="102">
        <f>VLOOKUP(L204,设备合同!$L$6:$CC$302,69,0)</f>
        <v>0</v>
      </c>
      <c r="CC204" s="102">
        <f>VLOOKUP(L204,设备合同!$L$6:$CC$302,70,0)</f>
        <v>0</v>
      </c>
      <c r="CD204" s="123">
        <f t="shared" ref="CD204:CD267" si="55">W204+AA204+AE204+AI204+AM204+AQ204+AU204+AY204+BC204+BG204+BK204+BO204+BS204+BW204+CA204</f>
        <v>2312900</v>
      </c>
      <c r="CE204" s="102">
        <f t="shared" ref="CE204:CE267" si="56">X204+AB204+AF204+AJ204+AN204+AR204+AV204+AZ204+BD204+BH204+BL204+BP204+BT204+BX204+CB204</f>
        <v>430000</v>
      </c>
      <c r="CF204" s="102">
        <f t="shared" ref="CF204:CF267" si="57">Y204+AC204+AG204+AK204+AO204+AS204+AW204+BA204+BE204+BI204+BM204+BQ204+BU204+BY204+CC204</f>
        <v>430000</v>
      </c>
      <c r="CG204" s="102">
        <f t="shared" ref="CG204:CG267" si="58">E204+F204+G204+H204</f>
        <v>0</v>
      </c>
      <c r="CH204" s="124">
        <f t="shared" ref="CH204:CH267" si="59">Q204-CF204-CG204</f>
        <v>1882900</v>
      </c>
      <c r="CI204" s="125">
        <f t="shared" ref="CI204:CI267" si="60">IF(ISERROR((CF204+CG204)/Q204),"-",(CF204+CG204)/Q204)</f>
        <v>0.185913787885339</v>
      </c>
      <c r="CJ204" s="126" t="str">
        <f t="shared" ref="CJ204:CJ267" si="61">IF(Q204-CD204=0,"数据正确","数据错误")</f>
        <v>数据正确</v>
      </c>
    </row>
    <row r="205" s="60" customFormat="1" customHeight="1" spans="2:88">
      <c r="B205" s="70" t="str">
        <f t="shared" si="51"/>
        <v>-</v>
      </c>
      <c r="C205" s="71" t="str">
        <f t="shared" si="52"/>
        <v>-</v>
      </c>
      <c r="D205" s="181">
        <f t="shared" si="53"/>
        <v>194000</v>
      </c>
      <c r="E205" s="181">
        <f>SUMIF(设备合同!$L$6:$L$302,L205,设备合同!$E$6:$E$302)</f>
        <v>0</v>
      </c>
      <c r="F205" s="181">
        <f>SUMIF(设备合同!$L$6:$L$302,L205,设备合同!$F$6:$F$302)</f>
        <v>0</v>
      </c>
      <c r="G205" s="181">
        <f>SUMIF(设备合同!$L$6:$L$302,L205,设备合同!$G$6:$G$302)</f>
        <v>6000</v>
      </c>
      <c r="H205" s="181">
        <f>SUMIF(设备合同!$L$6:$L$302,L205,设备合同!$H$6:$H$302)</f>
        <v>0</v>
      </c>
      <c r="I205" s="181">
        <f t="shared" si="54"/>
        <v>0</v>
      </c>
      <c r="J205" s="86" t="s">
        <v>98</v>
      </c>
      <c r="K205" s="87"/>
      <c r="L205" s="88">
        <v>200</v>
      </c>
      <c r="M205" s="89" t="str">
        <f>VLOOKUP(L205,设备合同!$L$6:$CC$302,2,0)</f>
        <v>YRKJEQ-170053</v>
      </c>
      <c r="N205" s="90" t="str">
        <f>VLOOKUP(L205,设备合同!$L$6:$CC$302,3,0)</f>
        <v>设备合同</v>
      </c>
      <c r="O205" s="265" t="str">
        <f>VLOOKUP(L205,设备合同!$L$6:$CC$302,4,0)</f>
        <v>2017060066/2017060041</v>
      </c>
      <c r="P205" s="266">
        <f>VLOOKUP(L205,设备合同!$L$6:$CC$302,5,0)</f>
        <v>42957</v>
      </c>
      <c r="Q205" s="275">
        <f>VLOOKUP(L205,设备合同!$L$6:$CC$302,6,0)</f>
        <v>1017000</v>
      </c>
      <c r="R205" s="89" t="str">
        <f>VLOOKUP(L205,设备合同!$L$6:$CC$302,7,0)</f>
        <v>搅拌器26台+1台</v>
      </c>
      <c r="S205" s="89" t="str">
        <f>VLOOKUP(L205,设备合同!$L$6:$CC$302,8,0)</f>
        <v>江苏胜开尔工业技术有限公司</v>
      </c>
      <c r="T205" s="107">
        <f>VLOOKUP(L205,设备合同!$L$6:$CC$302,9,0)</f>
        <v>0</v>
      </c>
      <c r="U205" s="103" t="str">
        <f>VLOOKUP(L205,设备合同!$L$6:$CC$302,10,0)</f>
        <v>6个月承兑汇票/电汇下浮3%</v>
      </c>
      <c r="V205" s="276" t="str">
        <f>VLOOKUP(L205,设备合同!$L$6:$CC$302,11,0)</f>
        <v>甲方收到乙方20%的预付款保函以及本合同的10%履约保函,20%发票后15个工作日支付20%预付款</v>
      </c>
      <c r="W205" s="102">
        <f>VLOOKUP(L205,设备合同!$L$6:$CC$302,12,0)</f>
        <v>213600</v>
      </c>
      <c r="X205" s="102">
        <f>VLOOKUP(L205,设备合同!$L$6:$CC$302,13,0)</f>
        <v>200000</v>
      </c>
      <c r="Y205" s="102">
        <f>VLOOKUP(L205,设备合同!$L$6:$CC$302,14,0)</f>
        <v>194000</v>
      </c>
      <c r="Z205" s="102">
        <f>VLOOKUP(L205,设备合同!$L$6:$CC$302,15,0)</f>
        <v>0</v>
      </c>
      <c r="AA205" s="102">
        <f>VLOOKUP(L205,设备合同!$L$6:$CC$302,16,0)</f>
        <v>601700</v>
      </c>
      <c r="AB205" s="102">
        <f>VLOOKUP(L205,设备合同!$L$6:$CC$302,17,0)</f>
        <v>0</v>
      </c>
      <c r="AC205" s="102">
        <f>VLOOKUP(L205,设备合同!$L$6:$CC$302,18,0)</f>
        <v>0</v>
      </c>
      <c r="AD205" s="102">
        <f>VLOOKUP(L205,设备合同!$L$6:$CC$302,19,0)</f>
        <v>0</v>
      </c>
      <c r="AE205" s="102">
        <f>VLOOKUP(L205,设备合同!$L$6:$CC$302,20,0)</f>
        <v>101700</v>
      </c>
      <c r="AF205" s="102">
        <f>VLOOKUP(L205,设备合同!$L$6:$CC$302,21,0)</f>
        <v>0</v>
      </c>
      <c r="AG205" s="102">
        <f>VLOOKUP(L205,设备合同!$L$6:$CC$302,22,0)</f>
        <v>0</v>
      </c>
      <c r="AH205" s="102">
        <f>VLOOKUP(L205,设备合同!$L$6:$CC$302,23,0)</f>
        <v>0</v>
      </c>
      <c r="AI205" s="102">
        <f>VLOOKUP(L205,设备合同!$L$6:$CC$302,24,0)</f>
        <v>100000</v>
      </c>
      <c r="AJ205" s="102">
        <f>VLOOKUP(L205,设备合同!$L$6:$CC$302,25,0)</f>
        <v>0</v>
      </c>
      <c r="AK205" s="102">
        <f>VLOOKUP(L205,设备合同!$L$6:$CC$302,26,0)</f>
        <v>0</v>
      </c>
      <c r="AL205" s="102">
        <f>VLOOKUP(L205,设备合同!$L$6:$CC$302,27,0)</f>
        <v>0</v>
      </c>
      <c r="AM205" s="102">
        <f>VLOOKUP(L205,设备合同!$L$6:$CC$302,28,0)</f>
        <v>0</v>
      </c>
      <c r="AN205" s="102">
        <f>VLOOKUP(L205,设备合同!$L$6:$CC$302,29,0)</f>
        <v>0</v>
      </c>
      <c r="AO205" s="102">
        <f>VLOOKUP(L205,设备合同!$L$6:$CC$302,30,0)</f>
        <v>0</v>
      </c>
      <c r="AP205" s="102">
        <f>VLOOKUP(L205,设备合同!$L$6:$CC$302,31,0)</f>
        <v>0</v>
      </c>
      <c r="AQ205" s="102">
        <f>VLOOKUP(L205,设备合同!$L$6:$CC$302,32,0)</f>
        <v>0</v>
      </c>
      <c r="AR205" s="102">
        <f>VLOOKUP(L205,设备合同!$L$6:$CC$302,33,0)</f>
        <v>0</v>
      </c>
      <c r="AS205" s="102">
        <f>VLOOKUP(L205,设备合同!$L$6:$CC$302,34,0)</f>
        <v>0</v>
      </c>
      <c r="AT205" s="102">
        <f>VLOOKUP(L205,设备合同!$L$6:$CC$302,35,0)</f>
        <v>0</v>
      </c>
      <c r="AU205" s="102">
        <f>VLOOKUP(L205,设备合同!$L$6:$CC$302,36,0)</f>
        <v>0</v>
      </c>
      <c r="AV205" s="102">
        <f>VLOOKUP(L205,设备合同!$L$6:$CC$302,37,0)</f>
        <v>0</v>
      </c>
      <c r="AW205" s="102">
        <f>VLOOKUP(L205,设备合同!$L$6:$CC$302,38,0)</f>
        <v>0</v>
      </c>
      <c r="AX205" s="102">
        <f>VLOOKUP(L205,设备合同!$L$6:$CC$302,39,0)</f>
        <v>0</v>
      </c>
      <c r="AY205" s="102">
        <f>VLOOKUP(L205,设备合同!$L$6:$CC$302,40,0)</f>
        <v>0</v>
      </c>
      <c r="AZ205" s="102">
        <f>VLOOKUP(L205,设备合同!$L$6:$CC$302,41,0)</f>
        <v>0</v>
      </c>
      <c r="BA205" s="102">
        <f>VLOOKUP(L205,设备合同!$L$6:$CC$302,42,0)</f>
        <v>0</v>
      </c>
      <c r="BB205" s="102">
        <f>VLOOKUP(L205,设备合同!$L$6:$CC$302,43,0)</f>
        <v>0</v>
      </c>
      <c r="BC205" s="102">
        <f>VLOOKUP(L205,设备合同!$L$6:$CC$302,44,0)</f>
        <v>0</v>
      </c>
      <c r="BD205" s="102">
        <f>VLOOKUP(L205,设备合同!$L$6:$CC$302,45,0)</f>
        <v>0</v>
      </c>
      <c r="BE205" s="102">
        <f>VLOOKUP(L205,设备合同!$L$6:$CC$302,46,0)</f>
        <v>0</v>
      </c>
      <c r="BF205" s="102">
        <f>VLOOKUP(L205,设备合同!$L$6:$CC$302,47,0)</f>
        <v>0</v>
      </c>
      <c r="BG205" s="102">
        <f>VLOOKUP(L205,设备合同!$L$6:$CC$302,48,0)</f>
        <v>0</v>
      </c>
      <c r="BH205" s="102">
        <f>VLOOKUP(L205,设备合同!$L$6:$CC$302,49,0)</f>
        <v>0</v>
      </c>
      <c r="BI205" s="102">
        <f>VLOOKUP(L205,设备合同!$L$6:$CC$302,50,0)</f>
        <v>0</v>
      </c>
      <c r="BJ205" s="102">
        <f>VLOOKUP(L205,设备合同!$L$6:$CC$302,51,0)</f>
        <v>0</v>
      </c>
      <c r="BK205" s="102">
        <f>VLOOKUP(L205,设备合同!$L$6:$CC$302,52,0)</f>
        <v>0</v>
      </c>
      <c r="BL205" s="102">
        <f>VLOOKUP(L205,设备合同!$L$6:$CC$302,53,0)</f>
        <v>0</v>
      </c>
      <c r="BM205" s="102">
        <f>VLOOKUP(L205,设备合同!$L$6:$CC$302,54,0)</f>
        <v>0</v>
      </c>
      <c r="BN205" s="102">
        <f>VLOOKUP(L205,设备合同!$L$6:$CC$302,55,0)</f>
        <v>0</v>
      </c>
      <c r="BO205" s="102">
        <f>VLOOKUP(L205,设备合同!$L$6:$CC$302,56,0)</f>
        <v>0</v>
      </c>
      <c r="BP205" s="102">
        <f>VLOOKUP(L205,设备合同!$L$6:$CC$302,57,0)</f>
        <v>0</v>
      </c>
      <c r="BQ205" s="102">
        <f>VLOOKUP(L205,设备合同!$L$6:$CC$302,58,0)</f>
        <v>0</v>
      </c>
      <c r="BR205" s="102">
        <f>VLOOKUP(L205,设备合同!$L$6:$CC$302,59,0)</f>
        <v>0</v>
      </c>
      <c r="BS205" s="102">
        <f>VLOOKUP(L205,设备合同!$L$6:$CC$302,60,0)</f>
        <v>0</v>
      </c>
      <c r="BT205" s="102">
        <f>VLOOKUP(L205,设备合同!$L$6:$CC$302,61,0)</f>
        <v>0</v>
      </c>
      <c r="BU205" s="102">
        <f>VLOOKUP(L205,设备合同!$L$6:$CC$302,62,0)</f>
        <v>0</v>
      </c>
      <c r="BV205" s="102">
        <f>VLOOKUP(L205,设备合同!$L$6:$CC$302,63,0)</f>
        <v>0</v>
      </c>
      <c r="BW205" s="102">
        <f>VLOOKUP(L205,设备合同!$L$6:$CC$302,64,0)</f>
        <v>0</v>
      </c>
      <c r="BX205" s="102">
        <f>VLOOKUP(L205,设备合同!$L$6:$CC$302,65,0)</f>
        <v>0</v>
      </c>
      <c r="BY205" s="102">
        <f>VLOOKUP(L205,设备合同!$L$6:$CC$302,66,0)</f>
        <v>0</v>
      </c>
      <c r="BZ205" s="102">
        <f>VLOOKUP(L205,设备合同!$L$6:$CC$302,67,0)</f>
        <v>0</v>
      </c>
      <c r="CA205" s="102">
        <f>VLOOKUP(L205,设备合同!$L$6:$CC$302,68,0)</f>
        <v>0</v>
      </c>
      <c r="CB205" s="102">
        <f>VLOOKUP(L205,设备合同!$L$6:$CC$302,69,0)</f>
        <v>0</v>
      </c>
      <c r="CC205" s="102">
        <f>VLOOKUP(L205,设备合同!$L$6:$CC$302,70,0)</f>
        <v>0</v>
      </c>
      <c r="CD205" s="123">
        <f t="shared" si="55"/>
        <v>1017000</v>
      </c>
      <c r="CE205" s="102">
        <f t="shared" si="56"/>
        <v>200000</v>
      </c>
      <c r="CF205" s="102">
        <f t="shared" si="57"/>
        <v>194000</v>
      </c>
      <c r="CG205" s="102">
        <f t="shared" si="58"/>
        <v>6000</v>
      </c>
      <c r="CH205" s="124">
        <f t="shared" si="59"/>
        <v>817000</v>
      </c>
      <c r="CI205" s="125">
        <f t="shared" si="60"/>
        <v>0.196656833824975</v>
      </c>
      <c r="CJ205" s="126" t="str">
        <f t="shared" si="61"/>
        <v>数据正确</v>
      </c>
    </row>
    <row r="206" s="60" customFormat="1" customHeight="1" spans="2:88">
      <c r="B206" s="70" t="str">
        <f t="shared" si="51"/>
        <v>-</v>
      </c>
      <c r="C206" s="71" t="str">
        <f t="shared" si="52"/>
        <v>-</v>
      </c>
      <c r="D206" s="181">
        <f t="shared" si="53"/>
        <v>162000</v>
      </c>
      <c r="E206" s="181">
        <f>SUMIF(设备合同!$L$6:$L$302,L206,设备合同!$E$6:$E$302)</f>
        <v>0</v>
      </c>
      <c r="F206" s="181">
        <f>SUMIF(设备合同!$L$6:$L$302,L206,设备合同!$F$6:$F$302)</f>
        <v>0</v>
      </c>
      <c r="G206" s="181">
        <f>SUMIF(设备合同!$L$6:$L$302,L206,设备合同!$G$6:$G$302)</f>
        <v>0</v>
      </c>
      <c r="H206" s="181">
        <f>SUMIF(设备合同!$L$6:$L$302,L206,设备合同!$H$6:$H$302)</f>
        <v>0</v>
      </c>
      <c r="I206" s="181">
        <f t="shared" si="54"/>
        <v>0</v>
      </c>
      <c r="J206" s="86" t="s">
        <v>98</v>
      </c>
      <c r="K206" s="87"/>
      <c r="L206" s="88">
        <v>201</v>
      </c>
      <c r="M206" s="89" t="str">
        <f>VLOOKUP(L206,设备合同!$L$6:$CC$302,2,0)</f>
        <v>YRKJEQ-170035-1</v>
      </c>
      <c r="N206" s="90" t="str">
        <f>VLOOKUP(L206,设备合同!$L$6:$CC$302,3,0)</f>
        <v>设备合同</v>
      </c>
      <c r="O206" s="265">
        <f>VLOOKUP(L206,设备合同!$L$6:$CC$302,4,0)</f>
        <v>0</v>
      </c>
      <c r="P206" s="266">
        <f>VLOOKUP(L206,设备合同!$L$6:$CC$302,5,0)</f>
        <v>42963</v>
      </c>
      <c r="Q206" s="275">
        <f>VLOOKUP(L206,设备合同!$L$6:$CC$302,6,0)</f>
        <v>810000</v>
      </c>
      <c r="R206" s="89" t="str">
        <f>VLOOKUP(L206,设备合同!$L$6:$CC$302,7,0)</f>
        <v>屏蔽泵17台（加签）</v>
      </c>
      <c r="S206" s="89" t="str">
        <f>VLOOKUP(L206,设备合同!$L$6:$CC$302,8,0)</f>
        <v>厦门予中化工有限公司</v>
      </c>
      <c r="T206" s="107">
        <f>VLOOKUP(L206,设备合同!$L$6:$CC$302,9,0)</f>
        <v>0</v>
      </c>
      <c r="U206" s="103" t="str">
        <f>VLOOKUP(L206,设备合同!$L$6:$CC$302,10,0)</f>
        <v>电汇</v>
      </c>
      <c r="V206" s="276" t="str">
        <f>VLOOKUP(L206,设备合同!$L$6:$CC$302,11,0)</f>
        <v>甲方收到乙方20%收据15个工作日支付预付款20%</v>
      </c>
      <c r="W206" s="102">
        <f>VLOOKUP(L206,设备合同!$L$6:$CC$302,12,0)</f>
        <v>162000</v>
      </c>
      <c r="X206" s="102">
        <f>VLOOKUP(L206,设备合同!$L$6:$CC$302,13,0)</f>
        <v>162000</v>
      </c>
      <c r="Y206" s="102">
        <f>VLOOKUP(L206,设备合同!$L$6:$CC$302,14,0)</f>
        <v>162000</v>
      </c>
      <c r="Z206" s="102" t="str">
        <f>VLOOKUP(L206,设备合同!$L$6:$CC$302,15,0)</f>
        <v>甲方提供全额专票，交货期内一个月支付75%发货款</v>
      </c>
      <c r="AA206" s="102">
        <f>VLOOKUP(L206,设备合同!$L$6:$CC$302,16,0)</f>
        <v>607500</v>
      </c>
      <c r="AB206" s="102">
        <f>VLOOKUP(L206,设备合同!$L$6:$CC$302,17,0)</f>
        <v>0</v>
      </c>
      <c r="AC206" s="102">
        <f>VLOOKUP(L206,设备合同!$L$6:$CC$302,18,0)</f>
        <v>0</v>
      </c>
      <c r="AD206" s="102" t="str">
        <f>VLOOKUP(L206,设备合同!$L$6:$CC$302,19,0)</f>
        <v>开车调试验收合格后，一个月内支付3%验收款</v>
      </c>
      <c r="AE206" s="102">
        <f>VLOOKUP(L206,设备合同!$L$6:$CC$302,20,0)</f>
        <v>24300</v>
      </c>
      <c r="AF206" s="102">
        <f>VLOOKUP(L206,设备合同!$L$6:$CC$302,21,0)</f>
        <v>0</v>
      </c>
      <c r="AG206" s="102">
        <f>VLOOKUP(L206,设备合同!$L$6:$CC$302,22,0)</f>
        <v>0</v>
      </c>
      <c r="AH206" s="102" t="str">
        <f>VLOOKUP(L206,设备合同!$L$6:$CC$302,23,0)</f>
        <v>2%质保金，验收合格12个月或到货现场18个月</v>
      </c>
      <c r="AI206" s="102">
        <f>VLOOKUP(L206,设备合同!$L$6:$CC$302,24,0)</f>
        <v>16200</v>
      </c>
      <c r="AJ206" s="102">
        <f>VLOOKUP(L206,设备合同!$L$6:$CC$302,25,0)</f>
        <v>0</v>
      </c>
      <c r="AK206" s="102">
        <f>VLOOKUP(L206,设备合同!$L$6:$CC$302,26,0)</f>
        <v>0</v>
      </c>
      <c r="AL206" s="102">
        <f>VLOOKUP(L206,设备合同!$L$6:$CC$302,27,0)</f>
        <v>0</v>
      </c>
      <c r="AM206" s="102">
        <f>VLOOKUP(L206,设备合同!$L$6:$CC$302,28,0)</f>
        <v>0</v>
      </c>
      <c r="AN206" s="102">
        <f>VLOOKUP(L206,设备合同!$L$6:$CC$302,29,0)</f>
        <v>0</v>
      </c>
      <c r="AO206" s="102">
        <f>VLOOKUP(L206,设备合同!$L$6:$CC$302,30,0)</f>
        <v>0</v>
      </c>
      <c r="AP206" s="102">
        <f>VLOOKUP(L206,设备合同!$L$6:$CC$302,31,0)</f>
        <v>0</v>
      </c>
      <c r="AQ206" s="102">
        <f>VLOOKUP(L206,设备合同!$L$6:$CC$302,32,0)</f>
        <v>0</v>
      </c>
      <c r="AR206" s="102">
        <f>VLOOKUP(L206,设备合同!$L$6:$CC$302,33,0)</f>
        <v>0</v>
      </c>
      <c r="AS206" s="102">
        <f>VLOOKUP(L206,设备合同!$L$6:$CC$302,34,0)</f>
        <v>0</v>
      </c>
      <c r="AT206" s="102">
        <f>VLOOKUP(L206,设备合同!$L$6:$CC$302,35,0)</f>
        <v>0</v>
      </c>
      <c r="AU206" s="102">
        <f>VLOOKUP(L206,设备合同!$L$6:$CC$302,36,0)</f>
        <v>0</v>
      </c>
      <c r="AV206" s="102">
        <f>VLOOKUP(L206,设备合同!$L$6:$CC$302,37,0)</f>
        <v>0</v>
      </c>
      <c r="AW206" s="102">
        <f>VLOOKUP(L206,设备合同!$L$6:$CC$302,38,0)</f>
        <v>0</v>
      </c>
      <c r="AX206" s="102">
        <f>VLOOKUP(L206,设备合同!$L$6:$CC$302,39,0)</f>
        <v>0</v>
      </c>
      <c r="AY206" s="102">
        <f>VLOOKUP(L206,设备合同!$L$6:$CC$302,40,0)</f>
        <v>0</v>
      </c>
      <c r="AZ206" s="102">
        <f>VLOOKUP(L206,设备合同!$L$6:$CC$302,41,0)</f>
        <v>0</v>
      </c>
      <c r="BA206" s="102">
        <f>VLOOKUP(L206,设备合同!$L$6:$CC$302,42,0)</f>
        <v>0</v>
      </c>
      <c r="BB206" s="102">
        <f>VLOOKUP(L206,设备合同!$L$6:$CC$302,43,0)</f>
        <v>0</v>
      </c>
      <c r="BC206" s="102">
        <f>VLOOKUP(L206,设备合同!$L$6:$CC$302,44,0)</f>
        <v>0</v>
      </c>
      <c r="BD206" s="102">
        <f>VLOOKUP(L206,设备合同!$L$6:$CC$302,45,0)</f>
        <v>0</v>
      </c>
      <c r="BE206" s="102">
        <f>VLOOKUP(L206,设备合同!$L$6:$CC$302,46,0)</f>
        <v>0</v>
      </c>
      <c r="BF206" s="102">
        <f>VLOOKUP(L206,设备合同!$L$6:$CC$302,47,0)</f>
        <v>0</v>
      </c>
      <c r="BG206" s="102">
        <f>VLOOKUP(L206,设备合同!$L$6:$CC$302,48,0)</f>
        <v>0</v>
      </c>
      <c r="BH206" s="102">
        <f>VLOOKUP(L206,设备合同!$L$6:$CC$302,49,0)</f>
        <v>0</v>
      </c>
      <c r="BI206" s="102">
        <f>VLOOKUP(L206,设备合同!$L$6:$CC$302,50,0)</f>
        <v>0</v>
      </c>
      <c r="BJ206" s="102">
        <f>VLOOKUP(L206,设备合同!$L$6:$CC$302,51,0)</f>
        <v>0</v>
      </c>
      <c r="BK206" s="102">
        <f>VLOOKUP(L206,设备合同!$L$6:$CC$302,52,0)</f>
        <v>0</v>
      </c>
      <c r="BL206" s="102">
        <f>VLOOKUP(L206,设备合同!$L$6:$CC$302,53,0)</f>
        <v>0</v>
      </c>
      <c r="BM206" s="102">
        <f>VLOOKUP(L206,设备合同!$L$6:$CC$302,54,0)</f>
        <v>0</v>
      </c>
      <c r="BN206" s="102">
        <f>VLOOKUP(L206,设备合同!$L$6:$CC$302,55,0)</f>
        <v>0</v>
      </c>
      <c r="BO206" s="102">
        <f>VLOOKUP(L206,设备合同!$L$6:$CC$302,56,0)</f>
        <v>0</v>
      </c>
      <c r="BP206" s="102">
        <f>VLOOKUP(L206,设备合同!$L$6:$CC$302,57,0)</f>
        <v>0</v>
      </c>
      <c r="BQ206" s="102">
        <f>VLOOKUP(L206,设备合同!$L$6:$CC$302,58,0)</f>
        <v>0</v>
      </c>
      <c r="BR206" s="102">
        <f>VLOOKUP(L206,设备合同!$L$6:$CC$302,59,0)</f>
        <v>0</v>
      </c>
      <c r="BS206" s="102">
        <f>VLOOKUP(L206,设备合同!$L$6:$CC$302,60,0)</f>
        <v>0</v>
      </c>
      <c r="BT206" s="102">
        <f>VLOOKUP(L206,设备合同!$L$6:$CC$302,61,0)</f>
        <v>0</v>
      </c>
      <c r="BU206" s="102">
        <f>VLOOKUP(L206,设备合同!$L$6:$CC$302,62,0)</f>
        <v>0</v>
      </c>
      <c r="BV206" s="102">
        <f>VLOOKUP(L206,设备合同!$L$6:$CC$302,63,0)</f>
        <v>0</v>
      </c>
      <c r="BW206" s="102">
        <f>VLOOKUP(L206,设备合同!$L$6:$CC$302,64,0)</f>
        <v>0</v>
      </c>
      <c r="BX206" s="102">
        <f>VLOOKUP(L206,设备合同!$L$6:$CC$302,65,0)</f>
        <v>0</v>
      </c>
      <c r="BY206" s="102">
        <f>VLOOKUP(L206,设备合同!$L$6:$CC$302,66,0)</f>
        <v>0</v>
      </c>
      <c r="BZ206" s="102">
        <f>VLOOKUP(L206,设备合同!$L$6:$CC$302,67,0)</f>
        <v>0</v>
      </c>
      <c r="CA206" s="102">
        <f>VLOOKUP(L206,设备合同!$L$6:$CC$302,68,0)</f>
        <v>0</v>
      </c>
      <c r="CB206" s="102">
        <f>VLOOKUP(L206,设备合同!$L$6:$CC$302,69,0)</f>
        <v>0</v>
      </c>
      <c r="CC206" s="102">
        <f>VLOOKUP(L206,设备合同!$L$6:$CC$302,70,0)</f>
        <v>0</v>
      </c>
      <c r="CD206" s="123">
        <f t="shared" si="55"/>
        <v>810000</v>
      </c>
      <c r="CE206" s="102">
        <f t="shared" si="56"/>
        <v>162000</v>
      </c>
      <c r="CF206" s="102">
        <f t="shared" si="57"/>
        <v>162000</v>
      </c>
      <c r="CG206" s="102">
        <f t="shared" si="58"/>
        <v>0</v>
      </c>
      <c r="CH206" s="124">
        <f t="shared" si="59"/>
        <v>648000</v>
      </c>
      <c r="CI206" s="125">
        <f t="shared" si="60"/>
        <v>0.2</v>
      </c>
      <c r="CJ206" s="126" t="str">
        <f t="shared" si="61"/>
        <v>数据正确</v>
      </c>
    </row>
    <row r="207" s="60" customFormat="1" customHeight="1" spans="2:88">
      <c r="B207" s="70" t="str">
        <f t="shared" si="51"/>
        <v>-</v>
      </c>
      <c r="C207" s="71" t="str">
        <f t="shared" si="52"/>
        <v>-</v>
      </c>
      <c r="D207" s="181">
        <f t="shared" si="53"/>
        <v>0</v>
      </c>
      <c r="E207" s="181">
        <f>SUMIF(服务合同!$L$6:$L$300,L207,服务合同!$E$6:$E$300)</f>
        <v>0</v>
      </c>
      <c r="F207" s="181">
        <f>SUMIF(服务合同!$L$6:$L$300,L207,服务合同!$F$6:$F$300)</f>
        <v>0</v>
      </c>
      <c r="G207" s="181">
        <f>SUMIF(服务合同!$L$6:$L$300,L207,服务合同!$G$6:$G$300)</f>
        <v>0</v>
      </c>
      <c r="H207" s="181">
        <f>SUMIF(服务合同!$L$6:$L$300,L207,服务合同!$H$6:$H$300)</f>
        <v>0</v>
      </c>
      <c r="I207" s="181">
        <f t="shared" si="54"/>
        <v>0</v>
      </c>
      <c r="J207" s="86" t="s">
        <v>98</v>
      </c>
      <c r="K207" s="87"/>
      <c r="L207" s="88">
        <v>202</v>
      </c>
      <c r="M207" s="89" t="str">
        <f>VLOOKUP(L207,服务合同!$L$6:$CC$300,2,0)</f>
        <v>-</v>
      </c>
      <c r="N207" s="90" t="str">
        <f>VLOOKUP(L207,服务合同!$L$6:$CC$300,3,0)</f>
        <v>服务合同</v>
      </c>
      <c r="O207" s="265" t="str">
        <f>VLOOKUP(L207,服务合同!$L$6:$CC$300,4,0)</f>
        <v>-</v>
      </c>
      <c r="P207" s="266">
        <f>VLOOKUP(L207,服务合同!$L$6:$CC$300,5,0)</f>
        <v>42977</v>
      </c>
      <c r="Q207" s="275">
        <f>VLOOKUP(L207,服务合同!$L$6:$CC$300,6,0)</f>
        <v>3000000</v>
      </c>
      <c r="R207" s="89" t="str">
        <f>VLOOKUP(L207,服务合同!$L$6:$CC$300,7,0)</f>
        <v>安装工程第三方无损检测（Ⅰ标段）</v>
      </c>
      <c r="S207" s="89" t="str">
        <f>VLOOKUP(L207,服务合同!$L$6:$CC$300,8,0)</f>
        <v>北京蓝光恒远工业检测有限公司</v>
      </c>
      <c r="T207" s="107">
        <f>VLOOKUP(L207,服务合同!$L$6:$CC$300,9,0)</f>
        <v>0</v>
      </c>
      <c r="U207" s="103">
        <f>VLOOKUP(L207,服务合同!$L$6:$CC$300,10,0)</f>
        <v>0</v>
      </c>
      <c r="V207" s="276">
        <f>VLOOKUP(L207,服务合同!$L$6:$CC$300,11,0)</f>
        <v>0</v>
      </c>
      <c r="W207" s="102">
        <f>VLOOKUP(L207,服务合同!$L$6:$CC$300,12,0)</f>
        <v>3000000</v>
      </c>
      <c r="X207" s="102">
        <f>VLOOKUP(L207,服务合同!$L$6:$CC$300,13,0)</f>
        <v>0</v>
      </c>
      <c r="Y207" s="102">
        <f>VLOOKUP(L207,服务合同!$L$6:$CC$300,14,0)</f>
        <v>0</v>
      </c>
      <c r="Z207" s="102">
        <f>VLOOKUP(L207,服务合同!$L$6:$CC$300,15,0)</f>
        <v>0</v>
      </c>
      <c r="AA207" s="102">
        <f>VLOOKUP(L207,服务合同!$L$6:$CC$300,16,0)</f>
        <v>0</v>
      </c>
      <c r="AB207" s="102">
        <f>VLOOKUP(L207,服务合同!$L$6:$CC$300,17,0)</f>
        <v>0</v>
      </c>
      <c r="AC207" s="102">
        <f>VLOOKUP(L207,服务合同!$L$6:$CC$300,18,0)</f>
        <v>0</v>
      </c>
      <c r="AD207" s="102">
        <f>VLOOKUP(L207,服务合同!$L$6:$CC$300,19,0)</f>
        <v>0</v>
      </c>
      <c r="AE207" s="102">
        <f>VLOOKUP(L207,服务合同!$L$6:$CC$300,20,0)</f>
        <v>0</v>
      </c>
      <c r="AF207" s="102">
        <f>VLOOKUP(L207,服务合同!$L$6:$CC$300,21,0)</f>
        <v>0</v>
      </c>
      <c r="AG207" s="102">
        <f>VLOOKUP(L207,服务合同!$L$6:$CC$300,22,0)</f>
        <v>0</v>
      </c>
      <c r="AH207" s="102">
        <f>VLOOKUP(L207,服务合同!$L$6:$CC$300,23,0)</f>
        <v>0</v>
      </c>
      <c r="AI207" s="102">
        <f>VLOOKUP(L207,服务合同!$L$6:$CC$300,24,0)</f>
        <v>0</v>
      </c>
      <c r="AJ207" s="102">
        <f>VLOOKUP(L207,服务合同!$L$6:$CC$300,25,0)</f>
        <v>0</v>
      </c>
      <c r="AK207" s="102">
        <f>VLOOKUP(L207,服务合同!$L$6:$CC$300,26,0)</f>
        <v>0</v>
      </c>
      <c r="AL207" s="102">
        <f>VLOOKUP(L207,服务合同!$L$6:$CC$300,27,0)</f>
        <v>0</v>
      </c>
      <c r="AM207" s="102">
        <f>VLOOKUP(L207,服务合同!$L$6:$CC$300,28,0)</f>
        <v>0</v>
      </c>
      <c r="AN207" s="102">
        <f>VLOOKUP(L207,服务合同!$L$6:$CC$300,29,0)</f>
        <v>0</v>
      </c>
      <c r="AO207" s="102">
        <f>VLOOKUP(L207,服务合同!$L$6:$CC$300,30,0)</f>
        <v>0</v>
      </c>
      <c r="AP207" s="102">
        <f>VLOOKUP(L207,服务合同!$L$6:$CC$300,31,0)</f>
        <v>0</v>
      </c>
      <c r="AQ207" s="102">
        <f>VLOOKUP(L207,服务合同!$L$6:$CC$300,32,0)</f>
        <v>0</v>
      </c>
      <c r="AR207" s="102">
        <f>VLOOKUP(L207,服务合同!$L$6:$CC$300,33,0)</f>
        <v>0</v>
      </c>
      <c r="AS207" s="102">
        <f>VLOOKUP(L207,服务合同!$L$6:$CC$300,34,0)</f>
        <v>0</v>
      </c>
      <c r="AT207" s="102">
        <f>VLOOKUP(L207,服务合同!$L$6:$CC$300,35,0)</f>
        <v>0</v>
      </c>
      <c r="AU207" s="102">
        <f>VLOOKUP(L207,服务合同!$L$6:$CC$300,36,0)</f>
        <v>0</v>
      </c>
      <c r="AV207" s="102">
        <f>VLOOKUP(L207,服务合同!$L$6:$CC$300,37,0)</f>
        <v>0</v>
      </c>
      <c r="AW207" s="102">
        <f>VLOOKUP(L207,服务合同!$L$6:$CC$300,38,0)</f>
        <v>0</v>
      </c>
      <c r="AX207" s="102">
        <f>VLOOKUP(L207,服务合同!$L$6:$CC$300,39,0)</f>
        <v>0</v>
      </c>
      <c r="AY207" s="102">
        <f>VLOOKUP(L207,服务合同!$L$6:$CC$300,40,0)</f>
        <v>0</v>
      </c>
      <c r="AZ207" s="102">
        <f>VLOOKUP(L207,服务合同!$L$6:$CC$300,41,0)</f>
        <v>0</v>
      </c>
      <c r="BA207" s="102">
        <f>VLOOKUP(L207,服务合同!$L$6:$CC$300,42,0)</f>
        <v>0</v>
      </c>
      <c r="BB207" s="102">
        <f>VLOOKUP(L207,服务合同!$L$6:$CC$300,43,0)</f>
        <v>0</v>
      </c>
      <c r="BC207" s="102">
        <f>VLOOKUP(L207,服务合同!$L$6:$CC$300,44,0)</f>
        <v>0</v>
      </c>
      <c r="BD207" s="102">
        <f>VLOOKUP(L207,服务合同!$L$6:$CC$300,45,0)</f>
        <v>0</v>
      </c>
      <c r="BE207" s="102">
        <f>VLOOKUP(L207,服务合同!$L$6:$CC$300,46,0)</f>
        <v>0</v>
      </c>
      <c r="BF207" s="102">
        <f>VLOOKUP(L207,服务合同!$L$6:$CC$300,47,0)</f>
        <v>0</v>
      </c>
      <c r="BG207" s="102">
        <f>VLOOKUP(L207,服务合同!$L$6:$CC$300,48,0)</f>
        <v>0</v>
      </c>
      <c r="BH207" s="102">
        <f>VLOOKUP(L207,服务合同!$L$6:$CC$300,49,0)</f>
        <v>0</v>
      </c>
      <c r="BI207" s="102">
        <f>VLOOKUP(L207,服务合同!$L$6:$CC$300,50,0)</f>
        <v>0</v>
      </c>
      <c r="BJ207" s="102">
        <f>VLOOKUP(L207,服务合同!$L$6:$CC$300,51,0)</f>
        <v>0</v>
      </c>
      <c r="BK207" s="102">
        <f>VLOOKUP(L207,服务合同!$L$6:$CC$300,52,0)</f>
        <v>0</v>
      </c>
      <c r="BL207" s="102">
        <f>VLOOKUP(L207,服务合同!$L$6:$CC$300,53,0)</f>
        <v>0</v>
      </c>
      <c r="BM207" s="102">
        <f>VLOOKUP(L207,服务合同!$L$6:$CC$300,54,0)</f>
        <v>0</v>
      </c>
      <c r="BN207" s="102">
        <f>VLOOKUP(L207,服务合同!$L$6:$CC$300,55,0)</f>
        <v>0</v>
      </c>
      <c r="BO207" s="102">
        <f>VLOOKUP(L207,服务合同!$L$6:$CC$300,56,0)</f>
        <v>0</v>
      </c>
      <c r="BP207" s="102">
        <f>VLOOKUP(L207,服务合同!$L$6:$CC$300,57,0)</f>
        <v>0</v>
      </c>
      <c r="BQ207" s="102">
        <f>VLOOKUP(L207,服务合同!$L$6:$CC$300,58,0)</f>
        <v>0</v>
      </c>
      <c r="BR207" s="102">
        <f>VLOOKUP(L207,服务合同!$L$6:$CC$300,59,0)</f>
        <v>0</v>
      </c>
      <c r="BS207" s="102">
        <f>VLOOKUP(L207,服务合同!$L$6:$CC$300,60,0)</f>
        <v>0</v>
      </c>
      <c r="BT207" s="102">
        <f>VLOOKUP(L207,服务合同!$L$6:$CC$300,61,0)</f>
        <v>0</v>
      </c>
      <c r="BU207" s="102">
        <f>VLOOKUP(L207,服务合同!$L$6:$CC$300,62,0)</f>
        <v>0</v>
      </c>
      <c r="BV207" s="102">
        <f>VLOOKUP(L207,服务合同!$L$6:$CC$300,63,0)</f>
        <v>0</v>
      </c>
      <c r="BW207" s="102">
        <f>VLOOKUP(L207,服务合同!$L$6:$CC$300,64,0)</f>
        <v>0</v>
      </c>
      <c r="BX207" s="102">
        <f>VLOOKUP(L207,服务合同!$L$6:$CC$300,65,0)</f>
        <v>0</v>
      </c>
      <c r="BY207" s="102">
        <f>VLOOKUP(L207,服务合同!$L$6:$CC$300,66,0)</f>
        <v>0</v>
      </c>
      <c r="BZ207" s="102">
        <f>VLOOKUP(L207,服务合同!$L$6:$CC$300,67,0)</f>
        <v>0</v>
      </c>
      <c r="CA207" s="102">
        <f>VLOOKUP(L207,服务合同!$L$6:$CC$300,68,0)</f>
        <v>0</v>
      </c>
      <c r="CB207" s="102">
        <f>VLOOKUP(L207,服务合同!$L$6:$CC$300,69,0)</f>
        <v>0</v>
      </c>
      <c r="CC207" s="102">
        <f>VLOOKUP(L207,服务合同!$L$6:$CC$300,70,0)</f>
        <v>0</v>
      </c>
      <c r="CD207" s="123">
        <f t="shared" si="55"/>
        <v>3000000</v>
      </c>
      <c r="CE207" s="102">
        <f t="shared" si="56"/>
        <v>0</v>
      </c>
      <c r="CF207" s="102">
        <f t="shared" si="57"/>
        <v>0</v>
      </c>
      <c r="CG207" s="102">
        <f t="shared" si="58"/>
        <v>0</v>
      </c>
      <c r="CH207" s="124">
        <f t="shared" si="59"/>
        <v>3000000</v>
      </c>
      <c r="CI207" s="125">
        <f t="shared" si="60"/>
        <v>0</v>
      </c>
      <c r="CJ207" s="126" t="str">
        <f t="shared" si="61"/>
        <v>数据正确</v>
      </c>
    </row>
    <row r="208" s="60" customFormat="1" customHeight="1" spans="2:88">
      <c r="B208" s="70" t="str">
        <f t="shared" si="51"/>
        <v>-</v>
      </c>
      <c r="C208" s="71" t="str">
        <f t="shared" si="52"/>
        <v>-</v>
      </c>
      <c r="D208" s="181">
        <f t="shared" si="53"/>
        <v>0</v>
      </c>
      <c r="E208" s="181">
        <f>SUMIF(工程合同!$L$6:$L$299,L208,工程合同!$E$6:$E$299)</f>
        <v>0</v>
      </c>
      <c r="F208" s="181">
        <f>SUMIF(工程合同!$L$6:$L$299,L208,工程合同!$F$6:$F$299)</f>
        <v>0</v>
      </c>
      <c r="G208" s="181">
        <f>SUMIF(工程合同!$L$6:$L$299,L208,工程合同!$G$6:$G$299)</f>
        <v>0</v>
      </c>
      <c r="H208" s="181">
        <f>SUMIF(工程合同!$L$6:$L$299,L208,工程合同!$H$6:$H$299)</f>
        <v>0</v>
      </c>
      <c r="I208" s="181">
        <f t="shared" si="54"/>
        <v>0</v>
      </c>
      <c r="J208" s="86" t="s">
        <v>98</v>
      </c>
      <c r="K208" s="87"/>
      <c r="L208" s="88">
        <v>203</v>
      </c>
      <c r="M208" s="89" t="str">
        <f>VLOOKUP(L208,工程合同!$L$6:$CC$299,2,0)</f>
        <v>YRKJ-2017GC-SGHT013</v>
      </c>
      <c r="N208" s="90" t="str">
        <f>VLOOKUP(L208,工程合同!$L$6:$CC$299,3,0)</f>
        <v>工程合同</v>
      </c>
      <c r="O208" s="265" t="str">
        <f>VLOOKUP(L208,工程合同!$L$6:$CC$299,4,0)</f>
        <v>-</v>
      </c>
      <c r="P208" s="266">
        <f>VLOOKUP(L208,工程合同!$L$6:$CC$299,5,0)</f>
        <v>42944</v>
      </c>
      <c r="Q208" s="275">
        <f>VLOOKUP(L208,工程合同!$L$6:$CC$299,6,0)</f>
        <v>58000000</v>
      </c>
      <c r="R208" s="89" t="str">
        <f>VLOOKUP(L208,工程合同!$L$6:$CC$299,7,0)</f>
        <v>建筑安装工程(Ⅱ标段)</v>
      </c>
      <c r="S208" s="89" t="str">
        <f>VLOOKUP(L208,工程合同!$L$6:$CC$299,8,0)</f>
        <v>中国化学工程第三建设有限公司</v>
      </c>
      <c r="T208" s="107">
        <f>VLOOKUP(L208,工程合同!$L$6:$CC$299,9,0)</f>
        <v>0</v>
      </c>
      <c r="U208" s="103">
        <f>VLOOKUP(L208,工程合同!$L$6:$CC$299,10,0)</f>
        <v>0</v>
      </c>
      <c r="V208" s="276">
        <f>VLOOKUP(L208,工程合同!$L$6:$CC$299,11,0)</f>
        <v>0</v>
      </c>
      <c r="W208" s="102">
        <f>VLOOKUP(L208,工程合同!$L$6:$CC$299,12,0)</f>
        <v>58000000</v>
      </c>
      <c r="X208" s="102">
        <f>VLOOKUP(L208,工程合同!$L$6:$CC$299,13,0)</f>
        <v>0</v>
      </c>
      <c r="Y208" s="102">
        <f>VLOOKUP(L208,工程合同!$L$6:$CC$299,14,0)</f>
        <v>0</v>
      </c>
      <c r="Z208" s="102">
        <f>VLOOKUP(L208,工程合同!$L$6:$CC$299,15,0)</f>
        <v>0</v>
      </c>
      <c r="AA208" s="102">
        <f>VLOOKUP(L208,工程合同!$L$6:$CC$299,16,0)</f>
        <v>0</v>
      </c>
      <c r="AB208" s="102">
        <f>VLOOKUP(L208,工程合同!$L$6:$CC$299,17,0)</f>
        <v>0</v>
      </c>
      <c r="AC208" s="102">
        <f>VLOOKUP(L208,工程合同!$L$6:$CC$299,18,0)</f>
        <v>0</v>
      </c>
      <c r="AD208" s="102">
        <f>VLOOKUP(L208,工程合同!$L$6:$CC$299,19,0)</f>
        <v>0</v>
      </c>
      <c r="AE208" s="102">
        <f>VLOOKUP(L208,工程合同!$L$6:$CC$299,20,0)</f>
        <v>0</v>
      </c>
      <c r="AF208" s="102">
        <f>VLOOKUP(L208,工程合同!$L$6:$CC$299,21,0)</f>
        <v>0</v>
      </c>
      <c r="AG208" s="102">
        <f>VLOOKUP(L208,工程合同!$L$6:$CC$299,22,0)</f>
        <v>0</v>
      </c>
      <c r="AH208" s="102">
        <f>VLOOKUP(L208,工程合同!$L$6:$CC$299,23,0)</f>
        <v>0</v>
      </c>
      <c r="AI208" s="102">
        <f>VLOOKUP(L208,工程合同!$L$6:$CC$299,24,0)</f>
        <v>0</v>
      </c>
      <c r="AJ208" s="102">
        <f>VLOOKUP(L208,工程合同!$L$6:$CC$299,25,0)</f>
        <v>0</v>
      </c>
      <c r="AK208" s="102">
        <f>VLOOKUP(L208,工程合同!$L$6:$CC$299,26,0)</f>
        <v>0</v>
      </c>
      <c r="AL208" s="102">
        <f>VLOOKUP(L208,工程合同!$L$6:$CC$299,27,0)</f>
        <v>0</v>
      </c>
      <c r="AM208" s="102">
        <f>VLOOKUP(L208,工程合同!$L$6:$CC$299,28,0)</f>
        <v>0</v>
      </c>
      <c r="AN208" s="102">
        <f>VLOOKUP(L208,工程合同!$L$6:$CC$299,29,0)</f>
        <v>0</v>
      </c>
      <c r="AO208" s="102">
        <f>VLOOKUP(L208,工程合同!$L$6:$CC$299,30,0)</f>
        <v>0</v>
      </c>
      <c r="AP208" s="102">
        <f>VLOOKUP(L208,工程合同!$L$6:$CC$299,31,0)</f>
        <v>0</v>
      </c>
      <c r="AQ208" s="102">
        <f>VLOOKUP(L208,工程合同!$L$6:$CC$299,32,0)</f>
        <v>0</v>
      </c>
      <c r="AR208" s="102">
        <f>VLOOKUP(L208,工程合同!$L$6:$CC$299,33,0)</f>
        <v>0</v>
      </c>
      <c r="AS208" s="102">
        <f>VLOOKUP(L208,工程合同!$L$6:$CC$299,34,0)</f>
        <v>0</v>
      </c>
      <c r="AT208" s="102">
        <f>VLOOKUP(L208,工程合同!$L$6:$CC$299,35,0)</f>
        <v>0</v>
      </c>
      <c r="AU208" s="102">
        <f>VLOOKUP(L208,工程合同!$L$6:$CC$299,36,0)</f>
        <v>0</v>
      </c>
      <c r="AV208" s="102">
        <f>VLOOKUP(L208,工程合同!$L$6:$CC$299,37,0)</f>
        <v>0</v>
      </c>
      <c r="AW208" s="102">
        <f>VLOOKUP(L208,工程合同!$L$6:$CC$299,38,0)</f>
        <v>0</v>
      </c>
      <c r="AX208" s="102">
        <f>VLOOKUP(L208,工程合同!$L$6:$CC$299,39,0)</f>
        <v>0</v>
      </c>
      <c r="AY208" s="102">
        <f>VLOOKUP(L208,工程合同!$L$6:$CC$299,40,0)</f>
        <v>0</v>
      </c>
      <c r="AZ208" s="102">
        <f>VLOOKUP(L208,工程合同!$L$6:$CC$299,41,0)</f>
        <v>0</v>
      </c>
      <c r="BA208" s="102">
        <f>VLOOKUP(L208,工程合同!$L$6:$CC$299,42,0)</f>
        <v>0</v>
      </c>
      <c r="BB208" s="102">
        <f>VLOOKUP(L208,工程合同!$L$6:$CC$299,43,0)</f>
        <v>0</v>
      </c>
      <c r="BC208" s="102">
        <f>VLOOKUP(L208,工程合同!$L$6:$CC$299,44,0)</f>
        <v>0</v>
      </c>
      <c r="BD208" s="102">
        <f>VLOOKUP(L208,工程合同!$L$6:$CC$299,45,0)</f>
        <v>0</v>
      </c>
      <c r="BE208" s="102">
        <f>VLOOKUP(L208,工程合同!$L$6:$CC$299,46,0)</f>
        <v>0</v>
      </c>
      <c r="BF208" s="102">
        <f>VLOOKUP(L208,工程合同!$L$6:$CC$299,47,0)</f>
        <v>0</v>
      </c>
      <c r="BG208" s="102">
        <f>VLOOKUP(L208,工程合同!$L$6:$CC$299,48,0)</f>
        <v>0</v>
      </c>
      <c r="BH208" s="102">
        <f>VLOOKUP(L208,工程合同!$L$6:$CC$299,49,0)</f>
        <v>0</v>
      </c>
      <c r="BI208" s="102">
        <f>VLOOKUP(L208,工程合同!$L$6:$CC$299,50,0)</f>
        <v>0</v>
      </c>
      <c r="BJ208" s="102">
        <f>VLOOKUP(L208,工程合同!$L$6:$CC$299,51,0)</f>
        <v>0</v>
      </c>
      <c r="BK208" s="102">
        <f>VLOOKUP(L208,工程合同!$L$6:$CC$299,52,0)</f>
        <v>0</v>
      </c>
      <c r="BL208" s="102">
        <f>VLOOKUP(L208,工程合同!$L$6:$CC$299,53,0)</f>
        <v>0</v>
      </c>
      <c r="BM208" s="102">
        <f>VLOOKUP(L208,工程合同!$L$6:$CC$299,54,0)</f>
        <v>0</v>
      </c>
      <c r="BN208" s="102">
        <f>VLOOKUP(L208,工程合同!$L$6:$CC$299,55,0)</f>
        <v>0</v>
      </c>
      <c r="BO208" s="102">
        <f>VLOOKUP(L208,工程合同!$L$6:$CC$299,56,0)</f>
        <v>0</v>
      </c>
      <c r="BP208" s="102">
        <f>VLOOKUP(L208,工程合同!$L$6:$CC$299,57,0)</f>
        <v>0</v>
      </c>
      <c r="BQ208" s="102">
        <f>VLOOKUP(L208,工程合同!$L$6:$CC$299,58,0)</f>
        <v>0</v>
      </c>
      <c r="BR208" s="102">
        <f>VLOOKUP(L208,工程合同!$L$6:$CC$299,59,0)</f>
        <v>0</v>
      </c>
      <c r="BS208" s="102">
        <f>VLOOKUP(L208,工程合同!$L$6:$CC$299,60,0)</f>
        <v>0</v>
      </c>
      <c r="BT208" s="102">
        <f>VLOOKUP(L208,工程合同!$L$6:$CC$299,61,0)</f>
        <v>0</v>
      </c>
      <c r="BU208" s="102">
        <f>VLOOKUP(L208,工程合同!$L$6:$CC$299,62,0)</f>
        <v>0</v>
      </c>
      <c r="BV208" s="102">
        <f>VLOOKUP(L208,工程合同!$L$6:$CC$299,63,0)</f>
        <v>0</v>
      </c>
      <c r="BW208" s="102">
        <f>VLOOKUP(L208,工程合同!$L$6:$CC$299,64,0)</f>
        <v>0</v>
      </c>
      <c r="BX208" s="102">
        <f>VLOOKUP(L208,工程合同!$L$6:$CC$299,65,0)</f>
        <v>0</v>
      </c>
      <c r="BY208" s="102">
        <f>VLOOKUP(L208,工程合同!$L$6:$CC$299,66,0)</f>
        <v>0</v>
      </c>
      <c r="BZ208" s="102">
        <f>VLOOKUP(L208,工程合同!$L$6:$CC$299,67,0)</f>
        <v>0</v>
      </c>
      <c r="CA208" s="102">
        <f>VLOOKUP(L208,工程合同!$L$6:$CC$299,68,0)</f>
        <v>0</v>
      </c>
      <c r="CB208" s="102">
        <f>VLOOKUP(L208,工程合同!$L$6:$CC$299,69,0)</f>
        <v>0</v>
      </c>
      <c r="CC208" s="102">
        <f>VLOOKUP(L208,工程合同!$L$6:$CC$299,70,0)</f>
        <v>0</v>
      </c>
      <c r="CD208" s="123">
        <f t="shared" si="55"/>
        <v>58000000</v>
      </c>
      <c r="CE208" s="102">
        <f t="shared" si="56"/>
        <v>0</v>
      </c>
      <c r="CF208" s="102">
        <f t="shared" si="57"/>
        <v>0</v>
      </c>
      <c r="CG208" s="102">
        <f t="shared" si="58"/>
        <v>0</v>
      </c>
      <c r="CH208" s="124">
        <f t="shared" si="59"/>
        <v>58000000</v>
      </c>
      <c r="CI208" s="125">
        <f t="shared" si="60"/>
        <v>0</v>
      </c>
      <c r="CJ208" s="126" t="str">
        <f t="shared" si="61"/>
        <v>数据正确</v>
      </c>
    </row>
    <row r="209" s="60" customFormat="1" customHeight="1" spans="2:88">
      <c r="B209" s="70" t="str">
        <f t="shared" si="51"/>
        <v>申请中</v>
      </c>
      <c r="C209" s="71" t="str">
        <f t="shared" si="52"/>
        <v>-</v>
      </c>
      <c r="D209" s="181">
        <f t="shared" si="53"/>
        <v>2715294</v>
      </c>
      <c r="E209" s="181">
        <f>SUMIF(工程合同!$L$6:$L$299,L209,工程合同!$E$6:$E$299)</f>
        <v>180000</v>
      </c>
      <c r="F209" s="181">
        <f>SUMIF(工程合同!$L$6:$L$299,L209,工程合同!$F$6:$F$299)</f>
        <v>9706</v>
      </c>
      <c r="G209" s="181">
        <f>SUMIF(工程合同!$L$6:$L$299,L209,工程合同!$G$6:$G$299)</f>
        <v>0</v>
      </c>
      <c r="H209" s="181">
        <f>SUMIF(工程合同!$L$6:$L$299,L209,工程合同!$H$6:$H$299)</f>
        <v>0</v>
      </c>
      <c r="I209" s="181">
        <f t="shared" si="54"/>
        <v>3136000</v>
      </c>
      <c r="J209" s="86" t="s">
        <v>98</v>
      </c>
      <c r="K209" s="87"/>
      <c r="L209" s="88">
        <v>204</v>
      </c>
      <c r="M209" s="89" t="str">
        <f>VLOOKUP(L209,工程合同!$L$6:$CC$299,2,0)</f>
        <v>YRKJ-2017GC-SGHT014</v>
      </c>
      <c r="N209" s="90" t="str">
        <f>VLOOKUP(L209,工程合同!$L$6:$CC$299,3,0)</f>
        <v>工程合同</v>
      </c>
      <c r="O209" s="265" t="str">
        <f>VLOOKUP(L209,工程合同!$L$6:$CC$299,4,0)</f>
        <v>-</v>
      </c>
      <c r="P209" s="266">
        <f>VLOOKUP(L209,工程合同!$L$6:$CC$299,5,0)</f>
        <v>42944</v>
      </c>
      <c r="Q209" s="275">
        <f>VLOOKUP(L209,工程合同!$L$6:$CC$299,6,0)</f>
        <v>45000000</v>
      </c>
      <c r="R209" s="89" t="str">
        <f>VLOOKUP(L209,工程合同!$L$6:$CC$299,7,0)</f>
        <v>建筑安装工程(Ⅲ标段) </v>
      </c>
      <c r="S209" s="89" t="str">
        <f>VLOOKUP(L209,工程合同!$L$6:$CC$299,8,0)</f>
        <v>湖南省工业设备安装有限公司</v>
      </c>
      <c r="T209" s="107">
        <f>VLOOKUP(L209,工程合同!$L$6:$CC$299,9,0)</f>
        <v>0</v>
      </c>
      <c r="U209" s="103" t="str">
        <f>VLOOKUP(L209,工程合同!$L$6:$CC$299,10,0)</f>
        <v>6个月承兑汇票/电汇下浮3%</v>
      </c>
      <c r="V209" s="276" t="str">
        <f>VLOOKUP(L209,工程合同!$L$6:$CC$299,11,0)</f>
        <v>无预付款，按月支付进度款，支付至验收完成工程对应价的80%</v>
      </c>
      <c r="W209" s="102">
        <f>VLOOKUP(L209,工程合同!$L$6:$CC$299,12,0)</f>
        <v>45000000</v>
      </c>
      <c r="X209" s="102">
        <f>VLOOKUP(L209,工程合同!$L$6:$CC$299,13,0)</f>
        <v>2051000</v>
      </c>
      <c r="Y209" s="102">
        <f>VLOOKUP(L209,工程合同!$L$6:$CC$299,14,0)</f>
        <v>1868116</v>
      </c>
      <c r="Z209" s="102" t="str">
        <f>VLOOKUP(L209,工程合同!$L$6:$CC$299,15,0)</f>
        <v>无预付款，按月支付进度款，支付至验收完成工程对应价的80%</v>
      </c>
      <c r="AA209" s="102">
        <f>VLOOKUP(L209,工程合同!$L$6:$CC$299,16,0)</f>
        <v>0</v>
      </c>
      <c r="AB209" s="102">
        <f>VLOOKUP(L209,工程合同!$L$6:$CC$299,17,0)</f>
        <v>854000</v>
      </c>
      <c r="AC209" s="102">
        <f>VLOOKUP(L209,工程合同!$L$6:$CC$299,18,0)</f>
        <v>847178</v>
      </c>
      <c r="AD209" s="102" t="str">
        <f>VLOOKUP(L209,工程合同!$L$6:$CC$299,19,0)</f>
        <v>无预付款，按月支付进度款，支付至验收完成工程对应价的80%</v>
      </c>
      <c r="AE209" s="102">
        <f>VLOOKUP(L209,工程合同!$L$6:$CC$299,20,0)</f>
        <v>0</v>
      </c>
      <c r="AF209" s="102">
        <f>VLOOKUP(L209,工程合同!$L$6:$CC$299,21,0)</f>
        <v>3136000</v>
      </c>
      <c r="AG209" s="102">
        <f>VLOOKUP(L209,工程合同!$L$6:$CC$299,22,0)</f>
        <v>0</v>
      </c>
      <c r="AH209" s="102">
        <f>VLOOKUP(L209,工程合同!$L$6:$CC$299,23,0)</f>
        <v>0</v>
      </c>
      <c r="AI209" s="102">
        <f>VLOOKUP(L209,工程合同!$L$6:$CC$299,24,0)</f>
        <v>0</v>
      </c>
      <c r="AJ209" s="102">
        <f>VLOOKUP(L209,工程合同!$L$6:$CC$299,25,0)</f>
        <v>0</v>
      </c>
      <c r="AK209" s="102">
        <f>VLOOKUP(L209,工程合同!$L$6:$CC$299,26,0)</f>
        <v>0</v>
      </c>
      <c r="AL209" s="102">
        <f>VLOOKUP(L209,工程合同!$L$6:$CC$299,27,0)</f>
        <v>0</v>
      </c>
      <c r="AM209" s="102">
        <f>VLOOKUP(L209,工程合同!$L$6:$CC$299,28,0)</f>
        <v>0</v>
      </c>
      <c r="AN209" s="102">
        <f>VLOOKUP(L209,工程合同!$L$6:$CC$299,29,0)</f>
        <v>0</v>
      </c>
      <c r="AO209" s="102">
        <f>VLOOKUP(L209,工程合同!$L$6:$CC$299,30,0)</f>
        <v>0</v>
      </c>
      <c r="AP209" s="102">
        <f>VLOOKUP(L209,工程合同!$L$6:$CC$299,31,0)</f>
        <v>0</v>
      </c>
      <c r="AQ209" s="102">
        <f>VLOOKUP(L209,工程合同!$L$6:$CC$299,32,0)</f>
        <v>0</v>
      </c>
      <c r="AR209" s="102">
        <f>VLOOKUP(L209,工程合同!$L$6:$CC$299,33,0)</f>
        <v>0</v>
      </c>
      <c r="AS209" s="102">
        <f>VLOOKUP(L209,工程合同!$L$6:$CC$299,34,0)</f>
        <v>0</v>
      </c>
      <c r="AT209" s="102">
        <f>VLOOKUP(L209,工程合同!$L$6:$CC$299,35,0)</f>
        <v>0</v>
      </c>
      <c r="AU209" s="102">
        <f>VLOOKUP(L209,工程合同!$L$6:$CC$299,36,0)</f>
        <v>0</v>
      </c>
      <c r="AV209" s="102">
        <f>VLOOKUP(L209,工程合同!$L$6:$CC$299,37,0)</f>
        <v>0</v>
      </c>
      <c r="AW209" s="102">
        <f>VLOOKUP(L209,工程合同!$L$6:$CC$299,38,0)</f>
        <v>0</v>
      </c>
      <c r="AX209" s="102">
        <f>VLOOKUP(L209,工程合同!$L$6:$CC$299,39,0)</f>
        <v>0</v>
      </c>
      <c r="AY209" s="102">
        <f>VLOOKUP(L209,工程合同!$L$6:$CC$299,40,0)</f>
        <v>0</v>
      </c>
      <c r="AZ209" s="102">
        <f>VLOOKUP(L209,工程合同!$L$6:$CC$299,41,0)</f>
        <v>0</v>
      </c>
      <c r="BA209" s="102">
        <f>VLOOKUP(L209,工程合同!$L$6:$CC$299,42,0)</f>
        <v>0</v>
      </c>
      <c r="BB209" s="102">
        <f>VLOOKUP(L209,工程合同!$L$6:$CC$299,43,0)</f>
        <v>0</v>
      </c>
      <c r="BC209" s="102">
        <f>VLOOKUP(L209,工程合同!$L$6:$CC$299,44,0)</f>
        <v>0</v>
      </c>
      <c r="BD209" s="102">
        <f>VLOOKUP(L209,工程合同!$L$6:$CC$299,45,0)</f>
        <v>0</v>
      </c>
      <c r="BE209" s="102">
        <f>VLOOKUP(L209,工程合同!$L$6:$CC$299,46,0)</f>
        <v>0</v>
      </c>
      <c r="BF209" s="102">
        <f>VLOOKUP(L209,工程合同!$L$6:$CC$299,47,0)</f>
        <v>0</v>
      </c>
      <c r="BG209" s="102">
        <f>VLOOKUP(L209,工程合同!$L$6:$CC$299,48,0)</f>
        <v>0</v>
      </c>
      <c r="BH209" s="102">
        <f>VLOOKUP(L209,工程合同!$L$6:$CC$299,49,0)</f>
        <v>0</v>
      </c>
      <c r="BI209" s="102">
        <f>VLOOKUP(L209,工程合同!$L$6:$CC$299,50,0)</f>
        <v>0</v>
      </c>
      <c r="BJ209" s="102">
        <f>VLOOKUP(L209,工程合同!$L$6:$CC$299,51,0)</f>
        <v>0</v>
      </c>
      <c r="BK209" s="102">
        <f>VLOOKUP(L209,工程合同!$L$6:$CC$299,52,0)</f>
        <v>0</v>
      </c>
      <c r="BL209" s="102">
        <f>VLOOKUP(L209,工程合同!$L$6:$CC$299,53,0)</f>
        <v>0</v>
      </c>
      <c r="BM209" s="102">
        <f>VLOOKUP(L209,工程合同!$L$6:$CC$299,54,0)</f>
        <v>0</v>
      </c>
      <c r="BN209" s="102">
        <f>VLOOKUP(L209,工程合同!$L$6:$CC$299,55,0)</f>
        <v>0</v>
      </c>
      <c r="BO209" s="102">
        <f>VLOOKUP(L209,工程合同!$L$6:$CC$299,56,0)</f>
        <v>0</v>
      </c>
      <c r="BP209" s="102">
        <f>VLOOKUP(L209,工程合同!$L$6:$CC$299,57,0)</f>
        <v>0</v>
      </c>
      <c r="BQ209" s="102">
        <f>VLOOKUP(L209,工程合同!$L$6:$CC$299,58,0)</f>
        <v>0</v>
      </c>
      <c r="BR209" s="102">
        <f>VLOOKUP(L209,工程合同!$L$6:$CC$299,59,0)</f>
        <v>0</v>
      </c>
      <c r="BS209" s="102">
        <f>VLOOKUP(L209,工程合同!$L$6:$CC$299,60,0)</f>
        <v>0</v>
      </c>
      <c r="BT209" s="102">
        <f>VLOOKUP(L209,工程合同!$L$6:$CC$299,61,0)</f>
        <v>0</v>
      </c>
      <c r="BU209" s="102">
        <f>VLOOKUP(L209,工程合同!$L$6:$CC$299,62,0)</f>
        <v>0</v>
      </c>
      <c r="BV209" s="102">
        <f>VLOOKUP(L209,工程合同!$L$6:$CC$299,63,0)</f>
        <v>0</v>
      </c>
      <c r="BW209" s="102">
        <f>VLOOKUP(L209,工程合同!$L$6:$CC$299,64,0)</f>
        <v>0</v>
      </c>
      <c r="BX209" s="102">
        <f>VLOOKUP(L209,工程合同!$L$6:$CC$299,65,0)</f>
        <v>0</v>
      </c>
      <c r="BY209" s="102">
        <f>VLOOKUP(L209,工程合同!$L$6:$CC$299,66,0)</f>
        <v>0</v>
      </c>
      <c r="BZ209" s="102">
        <f>VLOOKUP(L209,工程合同!$L$6:$CC$299,67,0)</f>
        <v>0</v>
      </c>
      <c r="CA209" s="102">
        <f>VLOOKUP(L209,工程合同!$L$6:$CC$299,68,0)</f>
        <v>0</v>
      </c>
      <c r="CB209" s="102">
        <f>VLOOKUP(L209,工程合同!$L$6:$CC$299,69,0)</f>
        <v>0</v>
      </c>
      <c r="CC209" s="102">
        <f>VLOOKUP(L209,工程合同!$L$6:$CC$299,70,0)</f>
        <v>0</v>
      </c>
      <c r="CD209" s="123">
        <f t="shared" si="55"/>
        <v>45000000</v>
      </c>
      <c r="CE209" s="102">
        <f t="shared" si="56"/>
        <v>6041000</v>
      </c>
      <c r="CF209" s="102">
        <f t="shared" si="57"/>
        <v>2715294</v>
      </c>
      <c r="CG209" s="102">
        <f t="shared" si="58"/>
        <v>189706</v>
      </c>
      <c r="CH209" s="124">
        <f t="shared" si="59"/>
        <v>42095000</v>
      </c>
      <c r="CI209" s="125">
        <f t="shared" si="60"/>
        <v>0.0645555555555556</v>
      </c>
      <c r="CJ209" s="126" t="str">
        <f t="shared" si="61"/>
        <v>数据正确</v>
      </c>
    </row>
    <row r="210" s="60" customFormat="1" customHeight="1" spans="2:88">
      <c r="B210" s="70" t="str">
        <f t="shared" si="51"/>
        <v>申请中</v>
      </c>
      <c r="C210" s="71" t="str">
        <f t="shared" si="52"/>
        <v>-</v>
      </c>
      <c r="D210" s="181">
        <f t="shared" si="53"/>
        <v>0</v>
      </c>
      <c r="E210" s="181">
        <f>SUMIF(EPC合同!$L$6:$L$300,L210,EPC合同!$E$6:$E$300)</f>
        <v>0</v>
      </c>
      <c r="F210" s="181">
        <f>SUMIF(EPC合同!$L$6:$L$300,L210,EPC合同!$F$6:$F$300)</f>
        <v>0</v>
      </c>
      <c r="G210" s="181">
        <f>SUMIF(EPC合同!$L$6:$L$300,L210,EPC合同!$G$6:$G$300)</f>
        <v>0</v>
      </c>
      <c r="H210" s="181">
        <f>SUMIF(EPC合同!$L$6:$L$300,L210,EPC合同!$H$6:$H$300)</f>
        <v>0</v>
      </c>
      <c r="I210" s="181">
        <f t="shared" si="54"/>
        <v>4834000</v>
      </c>
      <c r="J210" s="86" t="s">
        <v>98</v>
      </c>
      <c r="K210" s="87"/>
      <c r="L210" s="88">
        <v>205</v>
      </c>
      <c r="M210" s="89" t="str">
        <f>VLOOKUP(L210,EPC合同!$L$6:$CC$300,2,0)</f>
        <v>-</v>
      </c>
      <c r="N210" s="90" t="str">
        <f>VLOOKUP(L210,EPC合同!$L$6:$CC$300,3,0)</f>
        <v>EPC合同</v>
      </c>
      <c r="O210" s="265" t="str">
        <f>VLOOKUP(L210,EPC合同!$L$6:$CC$300,4,0)</f>
        <v>-</v>
      </c>
      <c r="P210" s="266" t="str">
        <f>VLOOKUP(L210,EPC合同!$L$6:$CC$300,5,0)</f>
        <v>-</v>
      </c>
      <c r="Q210" s="275">
        <f>VLOOKUP(L210,EPC合同!$L$6:$CC$300,6,0)</f>
        <v>119000000</v>
      </c>
      <c r="R210" s="89" t="str">
        <f>VLOOKUP(L210,EPC合同!$L$6:$CC$300,7,0)</f>
        <v>污水处理场PC  合计</v>
      </c>
      <c r="S210" s="89" t="str">
        <f>VLOOKUP(L210,EPC合同!$L$6:$CC$300,8,0)</f>
        <v>苏州科环环保科技有限公司/湖南新金诚建设工程有限公司</v>
      </c>
      <c r="T210" s="107" t="str">
        <f>VLOOKUP(L210,EPC合同!$L$6:$CC$300,9,0)</f>
        <v>污水处理场</v>
      </c>
      <c r="U210" s="103" t="str">
        <f>VLOOKUP(L210,EPC合同!$L$6:$CC$300,10,0)</f>
        <v>6个月承兑汇汇票/电汇下浮9%</v>
      </c>
      <c r="V210" s="276">
        <f>VLOOKUP(L210,EPC合同!$L$6:$CC$300,11,0)</f>
        <v>0</v>
      </c>
      <c r="W210" s="102">
        <f>VLOOKUP(L210,EPC合同!$L$6:$CC$300,12,0)</f>
        <v>119000000</v>
      </c>
      <c r="X210" s="102">
        <f>VLOOKUP(L210,EPC合同!$L$6:$CC$300,13,0)</f>
        <v>4834000</v>
      </c>
      <c r="Y210" s="102">
        <f>VLOOKUP(L210,EPC合同!$L$6:$CC$300,14,0)</f>
        <v>0</v>
      </c>
      <c r="Z210" s="102">
        <f>VLOOKUP(L210,EPC合同!$L$6:$CC$300,15,0)</f>
        <v>0</v>
      </c>
      <c r="AA210" s="102">
        <f>VLOOKUP(L210,EPC合同!$L$6:$CC$300,16,0)</f>
        <v>0</v>
      </c>
      <c r="AB210" s="102">
        <f>VLOOKUP(L210,EPC合同!$L$6:$CC$300,17,0)</f>
        <v>0</v>
      </c>
      <c r="AC210" s="102">
        <f>VLOOKUP(L210,EPC合同!$L$6:$CC$300,18,0)</f>
        <v>0</v>
      </c>
      <c r="AD210" s="102">
        <f>VLOOKUP(L210,EPC合同!$L$6:$CC$300,19,0)</f>
        <v>0</v>
      </c>
      <c r="AE210" s="102">
        <f>VLOOKUP(L210,EPC合同!$L$6:$CC$300,20,0)</f>
        <v>0</v>
      </c>
      <c r="AF210" s="102">
        <f>VLOOKUP(L210,EPC合同!$L$6:$CC$300,21,0)</f>
        <v>0</v>
      </c>
      <c r="AG210" s="102">
        <f>VLOOKUP(L210,EPC合同!$L$6:$CC$300,22,0)</f>
        <v>0</v>
      </c>
      <c r="AH210" s="102">
        <f>VLOOKUP(L210,EPC合同!$L$6:$CC$300,23,0)</f>
        <v>0</v>
      </c>
      <c r="AI210" s="102">
        <f>VLOOKUP(L210,EPC合同!$L$6:$CC$300,24,0)</f>
        <v>0</v>
      </c>
      <c r="AJ210" s="102">
        <f>VLOOKUP(L210,EPC合同!$L$6:$CC$300,25,0)</f>
        <v>0</v>
      </c>
      <c r="AK210" s="102">
        <f>VLOOKUP(L210,EPC合同!$L$6:$CC$300,26,0)</f>
        <v>0</v>
      </c>
      <c r="AL210" s="102">
        <f>VLOOKUP(L210,EPC合同!$L$6:$CC$300,27,0)</f>
        <v>0</v>
      </c>
      <c r="AM210" s="102">
        <f>VLOOKUP(L210,EPC合同!$L$6:$CC$300,28,0)</f>
        <v>0</v>
      </c>
      <c r="AN210" s="102">
        <f>VLOOKUP(L210,EPC合同!$L$6:$CC$300,29,0)</f>
        <v>0</v>
      </c>
      <c r="AO210" s="102">
        <f>VLOOKUP(L210,EPC合同!$L$6:$CC$300,30,0)</f>
        <v>0</v>
      </c>
      <c r="AP210" s="102">
        <f>VLOOKUP(L210,EPC合同!$L$6:$CC$300,31,0)</f>
        <v>0</v>
      </c>
      <c r="AQ210" s="102">
        <f>VLOOKUP(L210,EPC合同!$L$6:$CC$300,32,0)</f>
        <v>0</v>
      </c>
      <c r="AR210" s="102">
        <f>VLOOKUP(L210,EPC合同!$L$6:$CC$300,33,0)</f>
        <v>0</v>
      </c>
      <c r="AS210" s="102">
        <f>VLOOKUP(L210,EPC合同!$L$6:$CC$300,34,0)</f>
        <v>0</v>
      </c>
      <c r="AT210" s="102">
        <f>VLOOKUP(L210,EPC合同!$L$6:$CC$300,35,0)</f>
        <v>0</v>
      </c>
      <c r="AU210" s="102">
        <f>VLOOKUP(L210,EPC合同!$L$6:$CC$300,36,0)</f>
        <v>0</v>
      </c>
      <c r="AV210" s="102">
        <f>VLOOKUP(L210,EPC合同!$L$6:$CC$300,37,0)</f>
        <v>0</v>
      </c>
      <c r="AW210" s="102">
        <f>VLOOKUP(L210,EPC合同!$L$6:$CC$300,38,0)</f>
        <v>0</v>
      </c>
      <c r="AX210" s="102">
        <f>VLOOKUP(L210,EPC合同!$L$6:$CC$300,39,0)</f>
        <v>0</v>
      </c>
      <c r="AY210" s="102">
        <f>VLOOKUP(L210,EPC合同!$L$6:$CC$300,40,0)</f>
        <v>0</v>
      </c>
      <c r="AZ210" s="102">
        <f>VLOOKUP(L210,EPC合同!$L$6:$CC$300,41,0)</f>
        <v>0</v>
      </c>
      <c r="BA210" s="102">
        <f>VLOOKUP(L210,EPC合同!$L$6:$CC$300,42,0)</f>
        <v>0</v>
      </c>
      <c r="BB210" s="102">
        <f>VLOOKUP(L210,EPC合同!$L$6:$CC$300,43,0)</f>
        <v>0</v>
      </c>
      <c r="BC210" s="102">
        <f>VLOOKUP(L210,EPC合同!$L$6:$CC$300,44,0)</f>
        <v>0</v>
      </c>
      <c r="BD210" s="102">
        <f>VLOOKUP(L210,EPC合同!$L$6:$CC$300,45,0)</f>
        <v>0</v>
      </c>
      <c r="BE210" s="102">
        <f>VLOOKUP(L210,EPC合同!$L$6:$CC$300,46,0)</f>
        <v>0</v>
      </c>
      <c r="BF210" s="102">
        <f>VLOOKUP(L210,EPC合同!$L$6:$CC$300,47,0)</f>
        <v>0</v>
      </c>
      <c r="BG210" s="102">
        <f>VLOOKUP(L210,EPC合同!$L$6:$CC$300,48,0)</f>
        <v>0</v>
      </c>
      <c r="BH210" s="102">
        <f>VLOOKUP(L210,EPC合同!$L$6:$CC$300,49,0)</f>
        <v>0</v>
      </c>
      <c r="BI210" s="102">
        <f>VLOOKUP(L210,EPC合同!$L$6:$CC$300,50,0)</f>
        <v>0</v>
      </c>
      <c r="BJ210" s="102">
        <f>VLOOKUP(L210,EPC合同!$L$6:$CC$300,51,0)</f>
        <v>0</v>
      </c>
      <c r="BK210" s="102">
        <f>VLOOKUP(L210,EPC合同!$L$6:$CC$300,52,0)</f>
        <v>0</v>
      </c>
      <c r="BL210" s="102">
        <f>VLOOKUP(L210,EPC合同!$L$6:$CC$300,53,0)</f>
        <v>0</v>
      </c>
      <c r="BM210" s="102">
        <f>VLOOKUP(L210,EPC合同!$L$6:$CC$300,54,0)</f>
        <v>0</v>
      </c>
      <c r="BN210" s="102">
        <f>VLOOKUP(L210,EPC合同!$L$6:$CC$300,55,0)</f>
        <v>0</v>
      </c>
      <c r="BO210" s="102">
        <f>VLOOKUP(L210,EPC合同!$L$6:$CC$300,56,0)</f>
        <v>0</v>
      </c>
      <c r="BP210" s="102">
        <f>VLOOKUP(L210,EPC合同!$L$6:$CC$300,57,0)</f>
        <v>0</v>
      </c>
      <c r="BQ210" s="102">
        <f>VLOOKUP(L210,EPC合同!$L$6:$CC$300,58,0)</f>
        <v>0</v>
      </c>
      <c r="BR210" s="102">
        <f>VLOOKUP(L210,EPC合同!$L$6:$CC$300,59,0)</f>
        <v>0</v>
      </c>
      <c r="BS210" s="102">
        <f>VLOOKUP(L210,EPC合同!$L$6:$CC$300,60,0)</f>
        <v>0</v>
      </c>
      <c r="BT210" s="102">
        <f>VLOOKUP(L210,EPC合同!$L$6:$CC$300,61,0)</f>
        <v>0</v>
      </c>
      <c r="BU210" s="102">
        <f>VLOOKUP(L210,EPC合同!$L$6:$CC$300,62,0)</f>
        <v>0</v>
      </c>
      <c r="BV210" s="102">
        <f>VLOOKUP(L210,EPC合同!$L$6:$CC$300,63,0)</f>
        <v>0</v>
      </c>
      <c r="BW210" s="102">
        <f>VLOOKUP(L210,EPC合同!$L$6:$CC$300,64,0)</f>
        <v>0</v>
      </c>
      <c r="BX210" s="102">
        <f>VLOOKUP(L210,EPC合同!$L$6:$CC$300,65,0)</f>
        <v>0</v>
      </c>
      <c r="BY210" s="102">
        <f>VLOOKUP(L210,EPC合同!$L$6:$CC$300,66,0)</f>
        <v>0</v>
      </c>
      <c r="BZ210" s="102">
        <f>VLOOKUP(L210,EPC合同!$L$6:$CC$300,67,0)</f>
        <v>0</v>
      </c>
      <c r="CA210" s="102">
        <f>VLOOKUP(L210,EPC合同!$L$6:$CC$300,68,0)</f>
        <v>0</v>
      </c>
      <c r="CB210" s="102">
        <f>VLOOKUP(L210,EPC合同!$L$6:$CC$300,69,0)</f>
        <v>0</v>
      </c>
      <c r="CC210" s="102">
        <f>VLOOKUP(L210,EPC合同!$L$6:$CC$300,70,0)</f>
        <v>0</v>
      </c>
      <c r="CD210" s="123">
        <f t="shared" si="55"/>
        <v>119000000</v>
      </c>
      <c r="CE210" s="102">
        <f t="shared" si="56"/>
        <v>4834000</v>
      </c>
      <c r="CF210" s="102">
        <f t="shared" si="57"/>
        <v>0</v>
      </c>
      <c r="CG210" s="102">
        <f t="shared" si="58"/>
        <v>0</v>
      </c>
      <c r="CH210" s="124">
        <f t="shared" si="59"/>
        <v>119000000</v>
      </c>
      <c r="CI210" s="125">
        <f t="shared" si="60"/>
        <v>0</v>
      </c>
      <c r="CJ210" s="126" t="str">
        <f t="shared" si="61"/>
        <v>数据正确</v>
      </c>
    </row>
    <row r="211" s="60" customFormat="1" customHeight="1" spans="2:88">
      <c r="B211" s="70" t="str">
        <f t="shared" si="51"/>
        <v>-</v>
      </c>
      <c r="C211" s="71" t="str">
        <f t="shared" si="52"/>
        <v>-</v>
      </c>
      <c r="D211" s="181">
        <f t="shared" si="53"/>
        <v>0</v>
      </c>
      <c r="E211" s="181">
        <f>SUMIF(服务合同!$L$6:$L$300,L211,服务合同!$E$6:$E$300)</f>
        <v>0</v>
      </c>
      <c r="F211" s="181">
        <f>SUMIF(服务合同!$L$6:$L$300,L211,服务合同!$F$6:$F$300)</f>
        <v>0</v>
      </c>
      <c r="G211" s="181">
        <f>SUMIF(服务合同!$L$6:$L$300,L211,服务合同!$G$6:$G$300)</f>
        <v>0</v>
      </c>
      <c r="H211" s="181">
        <f>SUMIF(服务合同!$L$6:$L$300,L211,服务合同!$H$6:$H$300)</f>
        <v>0</v>
      </c>
      <c r="I211" s="181">
        <f t="shared" si="54"/>
        <v>0</v>
      </c>
      <c r="J211" s="86" t="s">
        <v>98</v>
      </c>
      <c r="K211" s="87"/>
      <c r="L211" s="88">
        <v>206</v>
      </c>
      <c r="M211" s="89" t="str">
        <f>VLOOKUP(L211,服务合同!$L$6:$CC$300,2,0)</f>
        <v>AG-KJ-20170001</v>
      </c>
      <c r="N211" s="90" t="str">
        <f>VLOOKUP(L211,服务合同!$L$6:$CC$300,3,0)</f>
        <v>服务合同</v>
      </c>
      <c r="O211" s="265" t="str">
        <f>VLOOKUP(L211,服务合同!$L$6:$CC$300,4,0)</f>
        <v>-</v>
      </c>
      <c r="P211" s="266">
        <f>VLOOKUP(L211,服务合同!$L$6:$CC$300,5,0)</f>
        <v>42977</v>
      </c>
      <c r="Q211" s="275">
        <f>VLOOKUP(L211,服务合同!$L$6:$CC$300,6,0)</f>
        <v>1800000</v>
      </c>
      <c r="R211" s="89" t="str">
        <f>VLOOKUP(L211,服务合同!$L$6:$CC$300,7,0)</f>
        <v>安装工程第三方无损检测（Ⅱ标段）</v>
      </c>
      <c r="S211" s="89" t="str">
        <f>VLOOKUP(L211,服务合同!$L$6:$CC$300,8,0)</f>
        <v>福建省特安安全技术服务中心</v>
      </c>
      <c r="T211" s="107">
        <f>VLOOKUP(L211,服务合同!$L$6:$CC$300,9,0)</f>
        <v>0</v>
      </c>
      <c r="U211" s="103">
        <f>VLOOKUP(L211,服务合同!$L$6:$CC$300,10,0)</f>
        <v>0</v>
      </c>
      <c r="V211" s="276" t="str">
        <f>VLOOKUP(L211,服务合同!$L$6:$CC$300,11,0)</f>
        <v>-</v>
      </c>
      <c r="W211" s="102">
        <f>VLOOKUP(L211,服务合同!$L$6:$CC$300,12,0)</f>
        <v>1800000</v>
      </c>
      <c r="X211" s="102">
        <f>VLOOKUP(L211,服务合同!$L$6:$CC$300,13,0)</f>
        <v>0</v>
      </c>
      <c r="Y211" s="102">
        <f>VLOOKUP(L211,服务合同!$L$6:$CC$300,14,0)</f>
        <v>0</v>
      </c>
      <c r="Z211" s="102">
        <f>VLOOKUP(L211,服务合同!$L$6:$CC$300,15,0)</f>
        <v>0</v>
      </c>
      <c r="AA211" s="102">
        <f>VLOOKUP(L211,服务合同!$L$6:$CC$300,16,0)</f>
        <v>0</v>
      </c>
      <c r="AB211" s="102">
        <f>VLOOKUP(L211,服务合同!$L$6:$CC$300,17,0)</f>
        <v>0</v>
      </c>
      <c r="AC211" s="102">
        <f>VLOOKUP(L211,服务合同!$L$6:$CC$300,18,0)</f>
        <v>0</v>
      </c>
      <c r="AD211" s="102">
        <f>VLOOKUP(L211,服务合同!$L$6:$CC$300,19,0)</f>
        <v>0</v>
      </c>
      <c r="AE211" s="102">
        <f>VLOOKUP(L211,服务合同!$L$6:$CC$300,20,0)</f>
        <v>0</v>
      </c>
      <c r="AF211" s="102">
        <f>VLOOKUP(L211,服务合同!$L$6:$CC$300,21,0)</f>
        <v>0</v>
      </c>
      <c r="AG211" s="102">
        <f>VLOOKUP(L211,服务合同!$L$6:$CC$300,22,0)</f>
        <v>0</v>
      </c>
      <c r="AH211" s="102">
        <f>VLOOKUP(L211,服务合同!$L$6:$CC$300,23,0)</f>
        <v>0</v>
      </c>
      <c r="AI211" s="102">
        <f>VLOOKUP(L211,服务合同!$L$6:$CC$300,24,0)</f>
        <v>0</v>
      </c>
      <c r="AJ211" s="102">
        <f>VLOOKUP(L211,服务合同!$L$6:$CC$300,25,0)</f>
        <v>0</v>
      </c>
      <c r="AK211" s="102">
        <f>VLOOKUP(L211,服务合同!$L$6:$CC$300,26,0)</f>
        <v>0</v>
      </c>
      <c r="AL211" s="102">
        <f>VLOOKUP(L211,服务合同!$L$6:$CC$300,27,0)</f>
        <v>0</v>
      </c>
      <c r="AM211" s="102">
        <f>VLOOKUP(L211,服务合同!$L$6:$CC$300,28,0)</f>
        <v>0</v>
      </c>
      <c r="AN211" s="102">
        <f>VLOOKUP(L211,服务合同!$L$6:$CC$300,29,0)</f>
        <v>0</v>
      </c>
      <c r="AO211" s="102">
        <f>VLOOKUP(L211,服务合同!$L$6:$CC$300,30,0)</f>
        <v>0</v>
      </c>
      <c r="AP211" s="102">
        <f>VLOOKUP(L211,服务合同!$L$6:$CC$300,31,0)</f>
        <v>0</v>
      </c>
      <c r="AQ211" s="102">
        <f>VLOOKUP(L211,服务合同!$L$6:$CC$300,32,0)</f>
        <v>0</v>
      </c>
      <c r="AR211" s="102">
        <f>VLOOKUP(L211,服务合同!$L$6:$CC$300,33,0)</f>
        <v>0</v>
      </c>
      <c r="AS211" s="102">
        <f>VLOOKUP(L211,服务合同!$L$6:$CC$300,34,0)</f>
        <v>0</v>
      </c>
      <c r="AT211" s="102">
        <f>VLOOKUP(L211,服务合同!$L$6:$CC$300,35,0)</f>
        <v>0</v>
      </c>
      <c r="AU211" s="102">
        <f>VLOOKUP(L211,服务合同!$L$6:$CC$300,36,0)</f>
        <v>0</v>
      </c>
      <c r="AV211" s="102">
        <f>VLOOKUP(L211,服务合同!$L$6:$CC$300,37,0)</f>
        <v>0</v>
      </c>
      <c r="AW211" s="102">
        <f>VLOOKUP(L211,服务合同!$L$6:$CC$300,38,0)</f>
        <v>0</v>
      </c>
      <c r="AX211" s="102">
        <f>VLOOKUP(L211,服务合同!$L$6:$CC$300,39,0)</f>
        <v>0</v>
      </c>
      <c r="AY211" s="102">
        <f>VLOOKUP(L211,服务合同!$L$6:$CC$300,40,0)</f>
        <v>0</v>
      </c>
      <c r="AZ211" s="102">
        <f>VLOOKUP(L211,服务合同!$L$6:$CC$300,41,0)</f>
        <v>0</v>
      </c>
      <c r="BA211" s="102">
        <f>VLOOKUP(L211,服务合同!$L$6:$CC$300,42,0)</f>
        <v>0</v>
      </c>
      <c r="BB211" s="102">
        <f>VLOOKUP(L211,服务合同!$L$6:$CC$300,43,0)</f>
        <v>0</v>
      </c>
      <c r="BC211" s="102">
        <f>VLOOKUP(L211,服务合同!$L$6:$CC$300,44,0)</f>
        <v>0</v>
      </c>
      <c r="BD211" s="102">
        <f>VLOOKUP(L211,服务合同!$L$6:$CC$300,45,0)</f>
        <v>0</v>
      </c>
      <c r="BE211" s="102">
        <f>VLOOKUP(L211,服务合同!$L$6:$CC$300,46,0)</f>
        <v>0</v>
      </c>
      <c r="BF211" s="102">
        <f>VLOOKUP(L211,服务合同!$L$6:$CC$300,47,0)</f>
        <v>0</v>
      </c>
      <c r="BG211" s="102">
        <f>VLOOKUP(L211,服务合同!$L$6:$CC$300,48,0)</f>
        <v>0</v>
      </c>
      <c r="BH211" s="102">
        <f>VLOOKUP(L211,服务合同!$L$6:$CC$300,49,0)</f>
        <v>0</v>
      </c>
      <c r="BI211" s="102">
        <f>VLOOKUP(L211,服务合同!$L$6:$CC$300,50,0)</f>
        <v>0</v>
      </c>
      <c r="BJ211" s="102">
        <f>VLOOKUP(L211,服务合同!$L$6:$CC$300,51,0)</f>
        <v>0</v>
      </c>
      <c r="BK211" s="102">
        <f>VLOOKUP(L211,服务合同!$L$6:$CC$300,52,0)</f>
        <v>0</v>
      </c>
      <c r="BL211" s="102">
        <f>VLOOKUP(L211,服务合同!$L$6:$CC$300,53,0)</f>
        <v>0</v>
      </c>
      <c r="BM211" s="102">
        <f>VLOOKUP(L211,服务合同!$L$6:$CC$300,54,0)</f>
        <v>0</v>
      </c>
      <c r="BN211" s="102">
        <f>VLOOKUP(L211,服务合同!$L$6:$CC$300,55,0)</f>
        <v>0</v>
      </c>
      <c r="BO211" s="102">
        <f>VLOOKUP(L211,服务合同!$L$6:$CC$300,56,0)</f>
        <v>0</v>
      </c>
      <c r="BP211" s="102">
        <f>VLOOKUP(L211,服务合同!$L$6:$CC$300,57,0)</f>
        <v>0</v>
      </c>
      <c r="BQ211" s="102">
        <f>VLOOKUP(L211,服务合同!$L$6:$CC$300,58,0)</f>
        <v>0</v>
      </c>
      <c r="BR211" s="102">
        <f>VLOOKUP(L211,服务合同!$L$6:$CC$300,59,0)</f>
        <v>0</v>
      </c>
      <c r="BS211" s="102">
        <f>VLOOKUP(L211,服务合同!$L$6:$CC$300,60,0)</f>
        <v>0</v>
      </c>
      <c r="BT211" s="102">
        <f>VLOOKUP(L211,服务合同!$L$6:$CC$300,61,0)</f>
        <v>0</v>
      </c>
      <c r="BU211" s="102">
        <f>VLOOKUP(L211,服务合同!$L$6:$CC$300,62,0)</f>
        <v>0</v>
      </c>
      <c r="BV211" s="102">
        <f>VLOOKUP(L211,服务合同!$L$6:$CC$300,63,0)</f>
        <v>0</v>
      </c>
      <c r="BW211" s="102">
        <f>VLOOKUP(L211,服务合同!$L$6:$CC$300,64,0)</f>
        <v>0</v>
      </c>
      <c r="BX211" s="102">
        <f>VLOOKUP(L211,服务合同!$L$6:$CC$300,65,0)</f>
        <v>0</v>
      </c>
      <c r="BY211" s="102">
        <f>VLOOKUP(L211,服务合同!$L$6:$CC$300,66,0)</f>
        <v>0</v>
      </c>
      <c r="BZ211" s="102">
        <f>VLOOKUP(L211,服务合同!$L$6:$CC$300,67,0)</f>
        <v>0</v>
      </c>
      <c r="CA211" s="102">
        <f>VLOOKUP(L211,服务合同!$L$6:$CC$300,68,0)</f>
        <v>0</v>
      </c>
      <c r="CB211" s="102">
        <f>VLOOKUP(L211,服务合同!$L$6:$CC$300,69,0)</f>
        <v>0</v>
      </c>
      <c r="CC211" s="102">
        <f>VLOOKUP(L211,服务合同!$L$6:$CC$300,70,0)</f>
        <v>0</v>
      </c>
      <c r="CD211" s="123">
        <f t="shared" si="55"/>
        <v>1800000</v>
      </c>
      <c r="CE211" s="102">
        <f t="shared" si="56"/>
        <v>0</v>
      </c>
      <c r="CF211" s="102">
        <f t="shared" si="57"/>
        <v>0</v>
      </c>
      <c r="CG211" s="102">
        <f t="shared" si="58"/>
        <v>0</v>
      </c>
      <c r="CH211" s="124">
        <f t="shared" si="59"/>
        <v>1800000</v>
      </c>
      <c r="CI211" s="125">
        <f t="shared" si="60"/>
        <v>0</v>
      </c>
      <c r="CJ211" s="126" t="str">
        <f t="shared" si="61"/>
        <v>数据正确</v>
      </c>
    </row>
    <row r="212" s="60" customFormat="1" customHeight="1" spans="2:88">
      <c r="B212" s="70" t="str">
        <f t="shared" si="51"/>
        <v>-</v>
      </c>
      <c r="C212" s="71" t="str">
        <f t="shared" si="52"/>
        <v>-</v>
      </c>
      <c r="D212" s="181">
        <f t="shared" si="53"/>
        <v>4221630</v>
      </c>
      <c r="E212" s="181">
        <f>SUMIF(工程合同!$L$6:$L$299,L212,工程合同!$E$6:$E$299)</f>
        <v>210000</v>
      </c>
      <c r="F212" s="181">
        <f>SUMIF(工程合同!$L$6:$L$299,L212,工程合同!$F$6:$F$299)</f>
        <v>33370</v>
      </c>
      <c r="G212" s="181">
        <f>SUMIF(工程合同!$L$6:$L$299,L212,工程合同!$G$6:$G$299)</f>
        <v>0</v>
      </c>
      <c r="H212" s="181">
        <f>SUMIF(工程合同!$L$6:$L$299,L212,工程合同!$H$6:$H$299)</f>
        <v>0</v>
      </c>
      <c r="I212" s="181">
        <f t="shared" si="54"/>
        <v>0</v>
      </c>
      <c r="J212" s="86" t="s">
        <v>98</v>
      </c>
      <c r="K212" s="87"/>
      <c r="L212" s="88">
        <v>207</v>
      </c>
      <c r="M212" s="89" t="str">
        <f>VLOOKUP(L212,工程合同!$L$6:$CC$299,2,0)</f>
        <v>YRKJ-2017GC-SGHT012</v>
      </c>
      <c r="N212" s="90" t="str">
        <f>VLOOKUP(L212,工程合同!$L$6:$CC$299,3,0)</f>
        <v>工程合同</v>
      </c>
      <c r="O212" s="265" t="str">
        <f>VLOOKUP(L212,工程合同!$L$6:$CC$299,4,0)</f>
        <v>-</v>
      </c>
      <c r="P212" s="266">
        <f>VLOOKUP(L212,工程合同!$L$6:$CC$299,5,0)</f>
        <v>42944</v>
      </c>
      <c r="Q212" s="275">
        <f>VLOOKUP(L212,工程合同!$L$6:$CC$299,6,0)</f>
        <v>70000000</v>
      </c>
      <c r="R212" s="89" t="str">
        <f>VLOOKUP(L212,工程合同!$L$6:$CC$299,7,0)</f>
        <v>建筑安装工程(Ⅰ标段)  合计</v>
      </c>
      <c r="S212" s="89" t="str">
        <f>VLOOKUP(L212,工程合同!$L$6:$CC$299,8,0)</f>
        <v>中国化学工程第十六建设有限公司</v>
      </c>
      <c r="T212" s="107">
        <f>VLOOKUP(L212,工程合同!$L$6:$CC$299,9,0)</f>
        <v>0</v>
      </c>
      <c r="U212" s="103">
        <f>VLOOKUP(L212,工程合同!$L$6:$CC$299,10,0)</f>
        <v>0</v>
      </c>
      <c r="V212" s="276" t="str">
        <f>VLOOKUP(L212,工程合同!$L$6:$CC$299,11,0)</f>
        <v>按实际完成工程价款的80%支付</v>
      </c>
      <c r="W212" s="102">
        <f>VLOOKUP(L212,工程合同!$L$6:$CC$299,12,0)</f>
        <v>723247</v>
      </c>
      <c r="X212" s="102">
        <f>VLOOKUP(L212,工程合同!$L$6:$CC$299,13,0)</f>
        <v>578000</v>
      </c>
      <c r="Y212" s="102">
        <f>VLOOKUP(L212,工程合同!$L$6:$CC$299,14,0)</f>
        <v>359376</v>
      </c>
      <c r="Z212" s="102">
        <f>VLOOKUP(L212,工程合同!$L$6:$CC$299,15,0)</f>
        <v>0</v>
      </c>
      <c r="AA212" s="102">
        <f>VLOOKUP(L212,工程合同!$L$6:$CC$299,16,0)</f>
        <v>4859131</v>
      </c>
      <c r="AB212" s="102">
        <f>VLOOKUP(L212,工程合同!$L$6:$CC$299,17,0)</f>
        <v>3887000</v>
      </c>
      <c r="AC212" s="102">
        <f>VLOOKUP(L212,工程合同!$L$6:$CC$299,18,0)</f>
        <v>3862254</v>
      </c>
      <c r="AD212" s="102">
        <f>VLOOKUP(L212,工程合同!$L$6:$CC$299,19,0)</f>
        <v>0</v>
      </c>
      <c r="AE212" s="102">
        <f>VLOOKUP(L212,工程合同!$L$6:$CC$299,20,0)</f>
        <v>0</v>
      </c>
      <c r="AF212" s="102">
        <f>VLOOKUP(L212,工程合同!$L$6:$CC$299,21,0)</f>
        <v>0</v>
      </c>
      <c r="AG212" s="102">
        <f>VLOOKUP(L212,工程合同!$L$6:$CC$299,22,0)</f>
        <v>0</v>
      </c>
      <c r="AH212" s="102">
        <f>VLOOKUP(L212,工程合同!$L$6:$CC$299,23,0)</f>
        <v>0</v>
      </c>
      <c r="AI212" s="102">
        <f>VLOOKUP(L212,工程合同!$L$6:$CC$299,24,0)</f>
        <v>0</v>
      </c>
      <c r="AJ212" s="102">
        <f>VLOOKUP(L212,工程合同!$L$6:$CC$299,25,0)</f>
        <v>0</v>
      </c>
      <c r="AK212" s="102">
        <f>VLOOKUP(L212,工程合同!$L$6:$CC$299,26,0)</f>
        <v>0</v>
      </c>
      <c r="AL212" s="102">
        <f>VLOOKUP(L212,工程合同!$L$6:$CC$299,27,0)</f>
        <v>0</v>
      </c>
      <c r="AM212" s="102">
        <f>VLOOKUP(L212,工程合同!$L$6:$CC$299,28,0)</f>
        <v>0</v>
      </c>
      <c r="AN212" s="102">
        <f>VLOOKUP(L212,工程合同!$L$6:$CC$299,29,0)</f>
        <v>0</v>
      </c>
      <c r="AO212" s="102">
        <f>VLOOKUP(L212,工程合同!$L$6:$CC$299,30,0)</f>
        <v>0</v>
      </c>
      <c r="AP212" s="102">
        <f>VLOOKUP(L212,工程合同!$L$6:$CC$299,31,0)</f>
        <v>0</v>
      </c>
      <c r="AQ212" s="102">
        <f>VLOOKUP(L212,工程合同!$L$6:$CC$299,32,0)</f>
        <v>0</v>
      </c>
      <c r="AR212" s="102">
        <f>VLOOKUP(L212,工程合同!$L$6:$CC$299,33,0)</f>
        <v>0</v>
      </c>
      <c r="AS212" s="102">
        <f>VLOOKUP(L212,工程合同!$L$6:$CC$299,34,0)</f>
        <v>0</v>
      </c>
      <c r="AT212" s="102">
        <f>VLOOKUP(L212,工程合同!$L$6:$CC$299,35,0)</f>
        <v>0</v>
      </c>
      <c r="AU212" s="102">
        <f>VLOOKUP(L212,工程合同!$L$6:$CC$299,36,0)</f>
        <v>0</v>
      </c>
      <c r="AV212" s="102">
        <f>VLOOKUP(L212,工程合同!$L$6:$CC$299,37,0)</f>
        <v>0</v>
      </c>
      <c r="AW212" s="102">
        <f>VLOOKUP(L212,工程合同!$L$6:$CC$299,38,0)</f>
        <v>0</v>
      </c>
      <c r="AX212" s="102">
        <f>VLOOKUP(L212,工程合同!$L$6:$CC$299,39,0)</f>
        <v>0</v>
      </c>
      <c r="AY212" s="102">
        <f>VLOOKUP(L212,工程合同!$L$6:$CC$299,40,0)</f>
        <v>64417622</v>
      </c>
      <c r="AZ212" s="102">
        <f>VLOOKUP(L212,工程合同!$L$6:$CC$299,41,0)</f>
        <v>0</v>
      </c>
      <c r="BA212" s="102">
        <f>VLOOKUP(L212,工程合同!$L$6:$CC$299,42,0)</f>
        <v>0</v>
      </c>
      <c r="BB212" s="102">
        <f>VLOOKUP(L212,工程合同!$L$6:$CC$299,43,0)</f>
        <v>0</v>
      </c>
      <c r="BC212" s="102">
        <f>VLOOKUP(L212,工程合同!$L$6:$CC$299,44,0)</f>
        <v>0</v>
      </c>
      <c r="BD212" s="102">
        <f>VLOOKUP(L212,工程合同!$L$6:$CC$299,45,0)</f>
        <v>0</v>
      </c>
      <c r="BE212" s="102">
        <f>VLOOKUP(L212,工程合同!$L$6:$CC$299,46,0)</f>
        <v>0</v>
      </c>
      <c r="BF212" s="102">
        <f>VLOOKUP(L212,工程合同!$L$6:$CC$299,47,0)</f>
        <v>0</v>
      </c>
      <c r="BG212" s="102">
        <f>VLOOKUP(L212,工程合同!$L$6:$CC$299,48,0)</f>
        <v>0</v>
      </c>
      <c r="BH212" s="102">
        <f>VLOOKUP(L212,工程合同!$L$6:$CC$299,49,0)</f>
        <v>0</v>
      </c>
      <c r="BI212" s="102">
        <f>VLOOKUP(L212,工程合同!$L$6:$CC$299,50,0)</f>
        <v>0</v>
      </c>
      <c r="BJ212" s="102">
        <f>VLOOKUP(L212,工程合同!$L$6:$CC$299,51,0)</f>
        <v>0</v>
      </c>
      <c r="BK212" s="102">
        <f>VLOOKUP(L212,工程合同!$L$6:$CC$299,52,0)</f>
        <v>0</v>
      </c>
      <c r="BL212" s="102">
        <f>VLOOKUP(L212,工程合同!$L$6:$CC$299,53,0)</f>
        <v>0</v>
      </c>
      <c r="BM212" s="102">
        <f>VLOOKUP(L212,工程合同!$L$6:$CC$299,54,0)</f>
        <v>0</v>
      </c>
      <c r="BN212" s="102">
        <f>VLOOKUP(L212,工程合同!$L$6:$CC$299,55,0)</f>
        <v>0</v>
      </c>
      <c r="BO212" s="102">
        <f>VLOOKUP(L212,工程合同!$L$6:$CC$299,56,0)</f>
        <v>0</v>
      </c>
      <c r="BP212" s="102">
        <f>VLOOKUP(L212,工程合同!$L$6:$CC$299,57,0)</f>
        <v>0</v>
      </c>
      <c r="BQ212" s="102">
        <f>VLOOKUP(L212,工程合同!$L$6:$CC$299,58,0)</f>
        <v>0</v>
      </c>
      <c r="BR212" s="102">
        <f>VLOOKUP(L212,工程合同!$L$6:$CC$299,59,0)</f>
        <v>0</v>
      </c>
      <c r="BS212" s="102">
        <f>VLOOKUP(L212,工程合同!$L$6:$CC$299,60,0)</f>
        <v>0</v>
      </c>
      <c r="BT212" s="102">
        <f>VLOOKUP(L212,工程合同!$L$6:$CC$299,61,0)</f>
        <v>0</v>
      </c>
      <c r="BU212" s="102">
        <f>VLOOKUP(L212,工程合同!$L$6:$CC$299,62,0)</f>
        <v>0</v>
      </c>
      <c r="BV212" s="102">
        <f>VLOOKUP(L212,工程合同!$L$6:$CC$299,63,0)</f>
        <v>0</v>
      </c>
      <c r="BW212" s="102">
        <f>VLOOKUP(L212,工程合同!$L$6:$CC$299,64,0)</f>
        <v>0</v>
      </c>
      <c r="BX212" s="102">
        <f>VLOOKUP(L212,工程合同!$L$6:$CC$299,65,0)</f>
        <v>0</v>
      </c>
      <c r="BY212" s="102">
        <f>VLOOKUP(L212,工程合同!$L$6:$CC$299,66,0)</f>
        <v>0</v>
      </c>
      <c r="BZ212" s="102">
        <f>VLOOKUP(L212,工程合同!$L$6:$CC$299,67,0)</f>
        <v>0</v>
      </c>
      <c r="CA212" s="102">
        <f>VLOOKUP(L212,工程合同!$L$6:$CC$299,68,0)</f>
        <v>0</v>
      </c>
      <c r="CB212" s="102">
        <f>VLOOKUP(L212,工程合同!$L$6:$CC$299,69,0)</f>
        <v>0</v>
      </c>
      <c r="CC212" s="102">
        <f>VLOOKUP(L212,工程合同!$L$6:$CC$299,70,0)</f>
        <v>0</v>
      </c>
      <c r="CD212" s="123">
        <f t="shared" si="55"/>
        <v>70000000</v>
      </c>
      <c r="CE212" s="102">
        <f t="shared" si="56"/>
        <v>4465000</v>
      </c>
      <c r="CF212" s="102">
        <f t="shared" si="57"/>
        <v>4221630</v>
      </c>
      <c r="CG212" s="102">
        <f t="shared" si="58"/>
        <v>243370</v>
      </c>
      <c r="CH212" s="124">
        <f t="shared" si="59"/>
        <v>65535000</v>
      </c>
      <c r="CI212" s="125">
        <f t="shared" si="60"/>
        <v>0.0637857142857143</v>
      </c>
      <c r="CJ212" s="126" t="str">
        <f t="shared" si="61"/>
        <v>数据正确</v>
      </c>
    </row>
    <row r="213" s="60" customFormat="1" customHeight="1" spans="2:88">
      <c r="B213" s="70" t="str">
        <f t="shared" si="51"/>
        <v>-</v>
      </c>
      <c r="C213" s="71" t="str">
        <f t="shared" si="52"/>
        <v>-</v>
      </c>
      <c r="D213" s="181">
        <f t="shared" si="53"/>
        <v>273306.74</v>
      </c>
      <c r="E213" s="181">
        <f>SUMIF(材料合同!$L$6:$L$305,L213,材料合同!$E$6:$E$305)</f>
        <v>0</v>
      </c>
      <c r="F213" s="181">
        <f>SUMIF(材料合同!$L$6:$L$305,L213,材料合同!$F$6:$F$305)</f>
        <v>0</v>
      </c>
      <c r="G213" s="181">
        <f>SUMIF(材料合同!$L$6:$L$305,L213,材料合同!$G$6:$G$305)</f>
        <v>0</v>
      </c>
      <c r="H213" s="181">
        <f>SUMIF(材料合同!$L$6:$L$305,L213,材料合同!$H$6:$H$305)</f>
        <v>0</v>
      </c>
      <c r="I213" s="181">
        <f t="shared" si="54"/>
        <v>0</v>
      </c>
      <c r="J213" s="86" t="s">
        <v>98</v>
      </c>
      <c r="K213" s="87"/>
      <c r="L213" s="88">
        <v>208</v>
      </c>
      <c r="M213" s="89" t="str">
        <f>VLOOKUP(L213,材料合同!$L$6:$CC$305,2,0)</f>
        <v>YRKJGC-170045</v>
      </c>
      <c r="N213" s="90" t="str">
        <f>VLOOKUP(L213,材料合同!$L$6:$CC$305,3,0)</f>
        <v>材料合同</v>
      </c>
      <c r="O213" s="265">
        <f>VLOOKUP(L213,材料合同!$L$6:$CC$305,4,0)</f>
        <v>0</v>
      </c>
      <c r="P213" s="266">
        <f>VLOOKUP(L213,材料合同!$L$6:$CC$305,5,0)</f>
        <v>42977</v>
      </c>
      <c r="Q213" s="275">
        <f>VLOOKUP(L213,材料合同!$L$6:$CC$305,6,0)</f>
        <v>630890.42</v>
      </c>
      <c r="R213" s="89" t="str">
        <f>VLOOKUP(L213,材料合同!$L$6:$CC$305,7,0)</f>
        <v>10KV电力电缆协议</v>
      </c>
      <c r="S213" s="89" t="str">
        <f>VLOOKUP(L213,材料合同!$L$6:$CC$305,8,0)</f>
        <v>安徽天彩电缆集团有限公司</v>
      </c>
      <c r="T213" s="107">
        <f>VLOOKUP(L213,材料合同!$L$6:$CC$305,9,0)</f>
        <v>0</v>
      </c>
      <c r="U213" s="103" t="str">
        <f>VLOOKUP(L213,材料合同!$L$6:$CC$305,10,0)</f>
        <v>电汇</v>
      </c>
      <c r="V213" s="276" t="str">
        <f>VLOOKUP(L213,材料合同!$L$6:$CC$305,11,0)</f>
        <v>甲方到乙方检验合格，签发发货同意书，收到全额17%专票，支付80%货款；乙方提供60万履约保函</v>
      </c>
      <c r="W213" s="102">
        <f>VLOOKUP(L213,材料合同!$L$6:$CC$305,12,0)</f>
        <v>504712.336</v>
      </c>
      <c r="X213" s="102">
        <f>VLOOKUP(L213,材料合同!$L$6:$CC$305,13,0)</f>
        <v>273306.74</v>
      </c>
      <c r="Y213" s="102">
        <f>VLOOKUP(L213,材料合同!$L$6:$CC$305,14,0)</f>
        <v>273306.74</v>
      </c>
      <c r="Z213" s="102">
        <f>VLOOKUP(L213,材料合同!$L$6:$CC$305,15,0)</f>
        <v>0</v>
      </c>
      <c r="AA213" s="102">
        <f>VLOOKUP(L213,材料合同!$L$6:$CC$305,16,0)</f>
        <v>94633.563</v>
      </c>
      <c r="AB213" s="102">
        <f>VLOOKUP(L213,材料合同!$L$6:$CC$305,17,0)</f>
        <v>0</v>
      </c>
      <c r="AC213" s="102">
        <f>VLOOKUP(L213,材料合同!$L$6:$CC$305,18,0)</f>
        <v>0</v>
      </c>
      <c r="AD213" s="102">
        <f>VLOOKUP(L213,材料合同!$L$6:$CC$305,19,0)</f>
        <v>0</v>
      </c>
      <c r="AE213" s="102">
        <f>VLOOKUP(L213,材料合同!$L$6:$CC$305,20,0)</f>
        <v>31544.521</v>
      </c>
      <c r="AF213" s="102">
        <f>VLOOKUP(L213,材料合同!$L$6:$CC$305,21,0)</f>
        <v>0</v>
      </c>
      <c r="AG213" s="102">
        <f>VLOOKUP(L213,材料合同!$L$6:$CC$305,22,0)</f>
        <v>0</v>
      </c>
      <c r="AH213" s="102">
        <f>VLOOKUP(L213,材料合同!$L$6:$CC$305,23,0)</f>
        <v>0</v>
      </c>
      <c r="AI213" s="102">
        <f>VLOOKUP(L213,材料合同!$L$6:$CC$305,24,0)</f>
        <v>0</v>
      </c>
      <c r="AJ213" s="102">
        <f>VLOOKUP(L213,材料合同!$L$6:$CC$305,25,0)</f>
        <v>0</v>
      </c>
      <c r="AK213" s="102">
        <f>VLOOKUP(L213,材料合同!$L$6:$CC$305,26,0)</f>
        <v>0</v>
      </c>
      <c r="AL213" s="102">
        <f>VLOOKUP(L213,材料合同!$L$6:$CC$305,27,0)</f>
        <v>0</v>
      </c>
      <c r="AM213" s="102">
        <f>VLOOKUP(L213,材料合同!$L$6:$CC$305,28,0)</f>
        <v>0</v>
      </c>
      <c r="AN213" s="102">
        <f>VLOOKUP(L213,材料合同!$L$6:$CC$305,29,0)</f>
        <v>0</v>
      </c>
      <c r="AO213" s="102">
        <f>VLOOKUP(L213,材料合同!$L$6:$CC$305,30,0)</f>
        <v>0</v>
      </c>
      <c r="AP213" s="102">
        <f>VLOOKUP(L213,材料合同!$L$6:$CC$305,31,0)</f>
        <v>0</v>
      </c>
      <c r="AQ213" s="102">
        <f>VLOOKUP(L213,材料合同!$L$6:$CC$305,32,0)</f>
        <v>0</v>
      </c>
      <c r="AR213" s="102">
        <f>VLOOKUP(L213,材料合同!$L$6:$CC$305,33,0)</f>
        <v>0</v>
      </c>
      <c r="AS213" s="102">
        <f>VLOOKUP(L213,材料合同!$L$6:$CC$305,34,0)</f>
        <v>0</v>
      </c>
      <c r="AT213" s="102">
        <f>VLOOKUP(L213,材料合同!$L$6:$CC$305,35,0)</f>
        <v>0</v>
      </c>
      <c r="AU213" s="102">
        <f>VLOOKUP(L213,材料合同!$L$6:$CC$305,36,0)</f>
        <v>0</v>
      </c>
      <c r="AV213" s="102">
        <f>VLOOKUP(L213,材料合同!$L$6:$CC$305,37,0)</f>
        <v>0</v>
      </c>
      <c r="AW213" s="102">
        <f>VLOOKUP(L213,材料合同!$L$6:$CC$305,38,0)</f>
        <v>0</v>
      </c>
      <c r="AX213" s="102">
        <f>VLOOKUP(L213,材料合同!$L$6:$CC$305,39,0)</f>
        <v>0</v>
      </c>
      <c r="AY213" s="102">
        <f>VLOOKUP(L213,材料合同!$L$6:$CC$305,40,0)</f>
        <v>0</v>
      </c>
      <c r="AZ213" s="102">
        <f>VLOOKUP(L213,材料合同!$L$6:$CC$305,41,0)</f>
        <v>0</v>
      </c>
      <c r="BA213" s="102">
        <f>VLOOKUP(L213,材料合同!$L$6:$CC$305,42,0)</f>
        <v>0</v>
      </c>
      <c r="BB213" s="102">
        <f>VLOOKUP(L213,材料合同!$L$6:$CC$305,43,0)</f>
        <v>0</v>
      </c>
      <c r="BC213" s="102">
        <f>VLOOKUP(L213,材料合同!$L$6:$CC$305,44,0)</f>
        <v>0</v>
      </c>
      <c r="BD213" s="102">
        <f>VLOOKUP(L213,材料合同!$L$6:$CC$305,45,0)</f>
        <v>0</v>
      </c>
      <c r="BE213" s="102">
        <f>VLOOKUP(L213,材料合同!$L$6:$CC$305,46,0)</f>
        <v>0</v>
      </c>
      <c r="BF213" s="102">
        <f>VLOOKUP(L213,材料合同!$L$6:$CC$305,47,0)</f>
        <v>0</v>
      </c>
      <c r="BG213" s="102">
        <f>VLOOKUP(L213,材料合同!$L$6:$CC$305,48,0)</f>
        <v>0</v>
      </c>
      <c r="BH213" s="102">
        <f>VLOOKUP(L213,材料合同!$L$6:$CC$305,49,0)</f>
        <v>0</v>
      </c>
      <c r="BI213" s="102">
        <f>VLOOKUP(L213,材料合同!$L$6:$CC$305,50,0)</f>
        <v>0</v>
      </c>
      <c r="BJ213" s="102">
        <f>VLOOKUP(L213,材料合同!$L$6:$CC$305,51,0)</f>
        <v>0</v>
      </c>
      <c r="BK213" s="102">
        <f>VLOOKUP(L213,材料合同!$L$6:$CC$305,52,0)</f>
        <v>0</v>
      </c>
      <c r="BL213" s="102">
        <f>VLOOKUP(L213,材料合同!$L$6:$CC$305,53,0)</f>
        <v>0</v>
      </c>
      <c r="BM213" s="102">
        <f>VLOOKUP(L213,材料合同!$L$6:$CC$305,54,0)</f>
        <v>0</v>
      </c>
      <c r="BN213" s="102">
        <f>VLOOKUP(L213,材料合同!$L$6:$CC$305,55,0)</f>
        <v>0</v>
      </c>
      <c r="BO213" s="102">
        <f>VLOOKUP(L213,材料合同!$L$6:$CC$305,56,0)</f>
        <v>0</v>
      </c>
      <c r="BP213" s="102">
        <f>VLOOKUP(L213,材料合同!$L$6:$CC$305,57,0)</f>
        <v>0</v>
      </c>
      <c r="BQ213" s="102">
        <f>VLOOKUP(L213,材料合同!$L$6:$CC$305,58,0)</f>
        <v>0</v>
      </c>
      <c r="BR213" s="102">
        <f>VLOOKUP(L213,材料合同!$L$6:$CC$305,59,0)</f>
        <v>0</v>
      </c>
      <c r="BS213" s="102">
        <f>VLOOKUP(L213,材料合同!$L$6:$CC$305,60,0)</f>
        <v>0</v>
      </c>
      <c r="BT213" s="102">
        <f>VLOOKUP(L213,材料合同!$L$6:$CC$305,61,0)</f>
        <v>0</v>
      </c>
      <c r="BU213" s="102">
        <f>VLOOKUP(L213,材料合同!$L$6:$CC$305,62,0)</f>
        <v>0</v>
      </c>
      <c r="BV213" s="102">
        <f>VLOOKUP(L213,材料合同!$L$6:$CC$305,63,0)</f>
        <v>0</v>
      </c>
      <c r="BW213" s="102">
        <f>VLOOKUP(L213,材料合同!$L$6:$CC$305,64,0)</f>
        <v>0</v>
      </c>
      <c r="BX213" s="102">
        <f>VLOOKUP(L213,材料合同!$L$6:$CC$305,65,0)</f>
        <v>0</v>
      </c>
      <c r="BY213" s="102">
        <f>VLOOKUP(L213,材料合同!$L$6:$CC$305,66,0)</f>
        <v>0</v>
      </c>
      <c r="BZ213" s="102">
        <f>VLOOKUP(L213,材料合同!$L$6:$CC$305,67,0)</f>
        <v>0</v>
      </c>
      <c r="CA213" s="102">
        <f>VLOOKUP(L213,材料合同!$L$6:$CC$305,68,0)</f>
        <v>0</v>
      </c>
      <c r="CB213" s="102">
        <f>VLOOKUP(L213,材料合同!$L$6:$CC$305,69,0)</f>
        <v>0</v>
      </c>
      <c r="CC213" s="102">
        <f>VLOOKUP(L213,材料合同!$L$6:$CC$305,70,0)</f>
        <v>0</v>
      </c>
      <c r="CD213" s="123">
        <f t="shared" si="55"/>
        <v>630890.42</v>
      </c>
      <c r="CE213" s="102">
        <f t="shared" si="56"/>
        <v>273306.74</v>
      </c>
      <c r="CF213" s="102">
        <f t="shared" si="57"/>
        <v>273306.74</v>
      </c>
      <c r="CG213" s="102">
        <f t="shared" si="58"/>
        <v>0</v>
      </c>
      <c r="CH213" s="124">
        <f t="shared" si="59"/>
        <v>357583.68</v>
      </c>
      <c r="CI213" s="125">
        <f t="shared" si="60"/>
        <v>0.433207941245962</v>
      </c>
      <c r="CJ213" s="126" t="str">
        <f t="shared" si="61"/>
        <v>数据正确</v>
      </c>
    </row>
    <row r="214" s="60" customFormat="1" customHeight="1" spans="2:88">
      <c r="B214" s="70" t="str">
        <f t="shared" si="51"/>
        <v>-</v>
      </c>
      <c r="C214" s="71" t="str">
        <f t="shared" si="52"/>
        <v>-</v>
      </c>
      <c r="D214" s="181">
        <f t="shared" si="53"/>
        <v>1225880</v>
      </c>
      <c r="E214" s="181">
        <f>SUMIF(材料合同!$L$6:$L$305,L214,材料合同!$E$6:$E$305)</f>
        <v>0</v>
      </c>
      <c r="F214" s="181">
        <f>SUMIF(材料合同!$L$6:$L$305,L214,材料合同!$F$6:$F$305)</f>
        <v>0</v>
      </c>
      <c r="G214" s="181">
        <f>SUMIF(材料合同!$L$6:$L$305,L214,材料合同!$G$6:$G$305)</f>
        <v>0</v>
      </c>
      <c r="H214" s="181">
        <f>SUMIF(材料合同!$L$6:$L$305,L214,材料合同!$H$6:$H$305)</f>
        <v>0</v>
      </c>
      <c r="I214" s="181">
        <f t="shared" si="54"/>
        <v>0</v>
      </c>
      <c r="J214" s="86" t="s">
        <v>98</v>
      </c>
      <c r="K214" s="87"/>
      <c r="L214" s="88">
        <v>209</v>
      </c>
      <c r="M214" s="89" t="str">
        <f>VLOOKUP(L214,材料合同!$L$6:$CC$305,2,0)</f>
        <v>YRKJGC-170046</v>
      </c>
      <c r="N214" s="90" t="str">
        <f>VLOOKUP(L214,材料合同!$L$6:$CC$305,3,0)</f>
        <v>材料合同</v>
      </c>
      <c r="O214" s="265">
        <f>VLOOKUP(L214,材料合同!$L$6:$CC$305,4,0)</f>
        <v>0</v>
      </c>
      <c r="P214" s="266">
        <f>VLOOKUP(L214,材料合同!$L$6:$CC$305,5,0)</f>
        <v>42977</v>
      </c>
      <c r="Q214" s="275">
        <f>VLOOKUP(L214,材料合同!$L$6:$CC$305,6,0)</f>
        <v>1282350</v>
      </c>
      <c r="R214" s="89" t="str">
        <f>VLOOKUP(L214,材料合同!$L$6:$CC$305,7,0)</f>
        <v>10KV电力电缆协议</v>
      </c>
      <c r="S214" s="89" t="str">
        <f>VLOOKUP(L214,材料合同!$L$6:$CC$305,8,0)</f>
        <v>江苏上上电缆集团有限公司  合计</v>
      </c>
      <c r="T214" s="107">
        <f>VLOOKUP(L214,材料合同!$L$6:$CC$305,9,0)</f>
        <v>0</v>
      </c>
      <c r="U214" s="103" t="str">
        <f>VLOOKUP(L214,材料合同!$L$6:$CC$305,10,0)</f>
        <v>电汇</v>
      </c>
      <c r="V214" s="276" t="str">
        <f>VLOOKUP(L214,材料合同!$L$6:$CC$305,11,0)</f>
        <v>甲方到乙方检验合格，签发发货同意书，收到全额17%专票，支付80%货款；乙方提供60万履约保函；乙方开具100万预付款保函，甲方支付100万元预付款，在最后一笔订单支付80%中扣除，多退少补</v>
      </c>
      <c r="W214" s="102">
        <f>VLOOKUP(L214,材料合同!$L$6:$CC$305,12,0)</f>
        <v>1225880</v>
      </c>
      <c r="X214" s="102">
        <f>VLOOKUP(L214,材料合同!$L$6:$CC$305,13,0)</f>
        <v>1225880</v>
      </c>
      <c r="Y214" s="102">
        <f>VLOOKUP(L214,材料合同!$L$6:$CC$305,14,0)</f>
        <v>1225880</v>
      </c>
      <c r="Z214" s="102">
        <f>VLOOKUP(L214,材料合同!$L$6:$CC$305,15,0)</f>
        <v>0</v>
      </c>
      <c r="AA214" s="102">
        <f>VLOOKUP(L214,材料合同!$L$6:$CC$305,16,0)</f>
        <v>42352.5</v>
      </c>
      <c r="AB214" s="102">
        <f>VLOOKUP(L214,材料合同!$L$6:$CC$305,17,0)</f>
        <v>0</v>
      </c>
      <c r="AC214" s="102">
        <f>VLOOKUP(L214,材料合同!$L$6:$CC$305,18,0)</f>
        <v>0</v>
      </c>
      <c r="AD214" s="102">
        <f>VLOOKUP(L214,材料合同!$L$6:$CC$305,19,0)</f>
        <v>0</v>
      </c>
      <c r="AE214" s="102">
        <f>VLOOKUP(L214,材料合同!$L$6:$CC$305,20,0)</f>
        <v>14117.5</v>
      </c>
      <c r="AF214" s="102">
        <f>VLOOKUP(L214,材料合同!$L$6:$CC$305,21,0)</f>
        <v>0</v>
      </c>
      <c r="AG214" s="102">
        <f>VLOOKUP(L214,材料合同!$L$6:$CC$305,22,0)</f>
        <v>0</v>
      </c>
      <c r="AH214" s="102">
        <f>VLOOKUP(L214,材料合同!$L$6:$CC$305,23,0)</f>
        <v>0</v>
      </c>
      <c r="AI214" s="102">
        <f>VLOOKUP(L214,材料合同!$L$6:$CC$305,24,0)</f>
        <v>0</v>
      </c>
      <c r="AJ214" s="102">
        <f>VLOOKUP(L214,材料合同!$L$6:$CC$305,25,0)</f>
        <v>0</v>
      </c>
      <c r="AK214" s="102">
        <f>VLOOKUP(L214,材料合同!$L$6:$CC$305,26,0)</f>
        <v>0</v>
      </c>
      <c r="AL214" s="102">
        <f>VLOOKUP(L214,材料合同!$L$6:$CC$305,27,0)</f>
        <v>0</v>
      </c>
      <c r="AM214" s="102">
        <f>VLOOKUP(L214,材料合同!$L$6:$CC$305,28,0)</f>
        <v>0</v>
      </c>
      <c r="AN214" s="102">
        <f>VLOOKUP(L214,材料合同!$L$6:$CC$305,29,0)</f>
        <v>0</v>
      </c>
      <c r="AO214" s="102">
        <f>VLOOKUP(L214,材料合同!$L$6:$CC$305,30,0)</f>
        <v>0</v>
      </c>
      <c r="AP214" s="102">
        <f>VLOOKUP(L214,材料合同!$L$6:$CC$305,31,0)</f>
        <v>0</v>
      </c>
      <c r="AQ214" s="102">
        <f>VLOOKUP(L214,材料合同!$L$6:$CC$305,32,0)</f>
        <v>0</v>
      </c>
      <c r="AR214" s="102">
        <f>VLOOKUP(L214,材料合同!$L$6:$CC$305,33,0)</f>
        <v>0</v>
      </c>
      <c r="AS214" s="102">
        <f>VLOOKUP(L214,材料合同!$L$6:$CC$305,34,0)</f>
        <v>0</v>
      </c>
      <c r="AT214" s="102">
        <f>VLOOKUP(L214,材料合同!$L$6:$CC$305,35,0)</f>
        <v>0</v>
      </c>
      <c r="AU214" s="102">
        <f>VLOOKUP(L214,材料合同!$L$6:$CC$305,36,0)</f>
        <v>0</v>
      </c>
      <c r="AV214" s="102">
        <f>VLOOKUP(L214,材料合同!$L$6:$CC$305,37,0)</f>
        <v>0</v>
      </c>
      <c r="AW214" s="102">
        <f>VLOOKUP(L214,材料合同!$L$6:$CC$305,38,0)</f>
        <v>0</v>
      </c>
      <c r="AX214" s="102">
        <f>VLOOKUP(L214,材料合同!$L$6:$CC$305,39,0)</f>
        <v>0</v>
      </c>
      <c r="AY214" s="102">
        <f>VLOOKUP(L214,材料合同!$L$6:$CC$305,40,0)</f>
        <v>0</v>
      </c>
      <c r="AZ214" s="102">
        <f>VLOOKUP(L214,材料合同!$L$6:$CC$305,41,0)</f>
        <v>0</v>
      </c>
      <c r="BA214" s="102">
        <f>VLOOKUP(L214,材料合同!$L$6:$CC$305,42,0)</f>
        <v>0</v>
      </c>
      <c r="BB214" s="102">
        <f>VLOOKUP(L214,材料合同!$L$6:$CC$305,43,0)</f>
        <v>0</v>
      </c>
      <c r="BC214" s="102">
        <f>VLOOKUP(L214,材料合同!$L$6:$CC$305,44,0)</f>
        <v>0</v>
      </c>
      <c r="BD214" s="102">
        <f>VLOOKUP(L214,材料合同!$L$6:$CC$305,45,0)</f>
        <v>0</v>
      </c>
      <c r="BE214" s="102">
        <f>VLOOKUP(L214,材料合同!$L$6:$CC$305,46,0)</f>
        <v>0</v>
      </c>
      <c r="BF214" s="102">
        <f>VLOOKUP(L214,材料合同!$L$6:$CC$305,47,0)</f>
        <v>0</v>
      </c>
      <c r="BG214" s="102">
        <f>VLOOKUP(L214,材料合同!$L$6:$CC$305,48,0)</f>
        <v>0</v>
      </c>
      <c r="BH214" s="102">
        <f>VLOOKUP(L214,材料合同!$L$6:$CC$305,49,0)</f>
        <v>0</v>
      </c>
      <c r="BI214" s="102">
        <f>VLOOKUP(L214,材料合同!$L$6:$CC$305,50,0)</f>
        <v>0</v>
      </c>
      <c r="BJ214" s="102">
        <f>VLOOKUP(L214,材料合同!$L$6:$CC$305,51,0)</f>
        <v>0</v>
      </c>
      <c r="BK214" s="102">
        <f>VLOOKUP(L214,材料合同!$L$6:$CC$305,52,0)</f>
        <v>0</v>
      </c>
      <c r="BL214" s="102">
        <f>VLOOKUP(L214,材料合同!$L$6:$CC$305,53,0)</f>
        <v>0</v>
      </c>
      <c r="BM214" s="102">
        <f>VLOOKUP(L214,材料合同!$L$6:$CC$305,54,0)</f>
        <v>0</v>
      </c>
      <c r="BN214" s="102">
        <f>VLOOKUP(L214,材料合同!$L$6:$CC$305,55,0)</f>
        <v>0</v>
      </c>
      <c r="BO214" s="102">
        <f>VLOOKUP(L214,材料合同!$L$6:$CC$305,56,0)</f>
        <v>0</v>
      </c>
      <c r="BP214" s="102">
        <f>VLOOKUP(L214,材料合同!$L$6:$CC$305,57,0)</f>
        <v>0</v>
      </c>
      <c r="BQ214" s="102">
        <f>VLOOKUP(L214,材料合同!$L$6:$CC$305,58,0)</f>
        <v>0</v>
      </c>
      <c r="BR214" s="102">
        <f>VLOOKUP(L214,材料合同!$L$6:$CC$305,59,0)</f>
        <v>0</v>
      </c>
      <c r="BS214" s="102">
        <f>VLOOKUP(L214,材料合同!$L$6:$CC$305,60,0)</f>
        <v>0</v>
      </c>
      <c r="BT214" s="102">
        <f>VLOOKUP(L214,材料合同!$L$6:$CC$305,61,0)</f>
        <v>0</v>
      </c>
      <c r="BU214" s="102">
        <f>VLOOKUP(L214,材料合同!$L$6:$CC$305,62,0)</f>
        <v>0</v>
      </c>
      <c r="BV214" s="102">
        <f>VLOOKUP(L214,材料合同!$L$6:$CC$305,63,0)</f>
        <v>0</v>
      </c>
      <c r="BW214" s="102">
        <f>VLOOKUP(L214,材料合同!$L$6:$CC$305,64,0)</f>
        <v>0</v>
      </c>
      <c r="BX214" s="102">
        <f>VLOOKUP(L214,材料合同!$L$6:$CC$305,65,0)</f>
        <v>0</v>
      </c>
      <c r="BY214" s="102">
        <f>VLOOKUP(L214,材料合同!$L$6:$CC$305,66,0)</f>
        <v>0</v>
      </c>
      <c r="BZ214" s="102">
        <f>VLOOKUP(L214,材料合同!$L$6:$CC$305,67,0)</f>
        <v>0</v>
      </c>
      <c r="CA214" s="102">
        <f>VLOOKUP(L214,材料合同!$L$6:$CC$305,68,0)</f>
        <v>0</v>
      </c>
      <c r="CB214" s="102">
        <f>VLOOKUP(L214,材料合同!$L$6:$CC$305,69,0)</f>
        <v>0</v>
      </c>
      <c r="CC214" s="102">
        <f>VLOOKUP(L214,材料合同!$L$6:$CC$305,70,0)</f>
        <v>0</v>
      </c>
      <c r="CD214" s="123">
        <f t="shared" si="55"/>
        <v>1282350</v>
      </c>
      <c r="CE214" s="102">
        <f t="shared" si="56"/>
        <v>1225880</v>
      </c>
      <c r="CF214" s="102">
        <f t="shared" si="57"/>
        <v>1225880</v>
      </c>
      <c r="CG214" s="102">
        <f t="shared" si="58"/>
        <v>0</v>
      </c>
      <c r="CH214" s="124">
        <f t="shared" si="59"/>
        <v>56470</v>
      </c>
      <c r="CI214" s="125">
        <f t="shared" si="60"/>
        <v>0.955963660467111</v>
      </c>
      <c r="CJ214" s="126" t="str">
        <f t="shared" si="61"/>
        <v>数据正确</v>
      </c>
    </row>
    <row r="215" s="60" customFormat="1" customHeight="1" spans="2:88">
      <c r="B215" s="70" t="str">
        <f t="shared" si="51"/>
        <v>-</v>
      </c>
      <c r="C215" s="71" t="str">
        <f t="shared" si="52"/>
        <v>-</v>
      </c>
      <c r="D215" s="181">
        <f t="shared" si="53"/>
        <v>805389.7</v>
      </c>
      <c r="E215" s="181">
        <f>SUMIF(材料合同!$L$6:$L$305,L215,材料合同!$E$6:$E$305)</f>
        <v>0</v>
      </c>
      <c r="F215" s="181">
        <f>SUMIF(材料合同!$L$6:$L$305,L215,材料合同!$F$6:$F$305)</f>
        <v>0</v>
      </c>
      <c r="G215" s="181">
        <f>SUMIF(材料合同!$L$6:$L$305,L215,材料合同!$G$6:$G$305)</f>
        <v>0</v>
      </c>
      <c r="H215" s="181">
        <f>SUMIF(材料合同!$L$6:$L$305,L215,材料合同!$H$6:$H$305)</f>
        <v>0</v>
      </c>
      <c r="I215" s="181">
        <f t="shared" si="54"/>
        <v>0</v>
      </c>
      <c r="J215" s="86" t="s">
        <v>98</v>
      </c>
      <c r="K215" s="87"/>
      <c r="L215" s="88">
        <v>210</v>
      </c>
      <c r="M215" s="89" t="str">
        <f>VLOOKUP(L215,材料合同!$L$6:$CC$305,2,0)</f>
        <v>YRKJGC-170047</v>
      </c>
      <c r="N215" s="90" t="str">
        <f>VLOOKUP(L215,材料合同!$L$6:$CC$305,3,0)</f>
        <v>材料合同</v>
      </c>
      <c r="O215" s="265">
        <f>VLOOKUP(L215,材料合同!$L$6:$CC$305,4,0)</f>
        <v>0</v>
      </c>
      <c r="P215" s="266">
        <f>VLOOKUP(L215,材料合同!$L$6:$CC$305,5,0)</f>
        <v>42977</v>
      </c>
      <c r="Q215" s="275">
        <f>VLOOKUP(L215,材料合同!$L$6:$CC$305,6,0)</f>
        <v>881737.2</v>
      </c>
      <c r="R215" s="89" t="str">
        <f>VLOOKUP(L215,材料合同!$L$6:$CC$305,7,0)</f>
        <v>10KV电力电缆协议</v>
      </c>
      <c r="S215" s="89" t="str">
        <f>VLOOKUP(L215,材料合同!$L$6:$CC$305,8,0)</f>
        <v>福建南平太阳电缆股份有限公司  合计</v>
      </c>
      <c r="T215" s="107">
        <f>VLOOKUP(L215,材料合同!$L$6:$CC$305,9,0)</f>
        <v>0</v>
      </c>
      <c r="U215" s="103" t="str">
        <f>VLOOKUP(L215,材料合同!$L$6:$CC$305,10,0)</f>
        <v>电汇</v>
      </c>
      <c r="V215" s="276" t="str">
        <f>VLOOKUP(L215,材料合同!$L$6:$CC$305,11,0)</f>
        <v>甲方到乙方检验合格，签发发货同意书，收到全额17%专票，支付80%货款；乙方提供60万履约保函；乙方开具50万预付款保函，甲方支付50万元预付款，在最后一笔订单支付80%中扣除，多退少补</v>
      </c>
      <c r="W215" s="102">
        <f>VLOOKUP(L215,材料合同!$L$6:$CC$305,12,0)</f>
        <v>805389.76</v>
      </c>
      <c r="X215" s="102">
        <f>VLOOKUP(L215,材料合同!$L$6:$CC$305,13,0)</f>
        <v>805389.7</v>
      </c>
      <c r="Y215" s="102">
        <f>VLOOKUP(L215,材料合同!$L$6:$CC$305,14,0)</f>
        <v>805389.7</v>
      </c>
      <c r="Z215" s="102">
        <f>VLOOKUP(L215,材料合同!$L$6:$CC$305,15,0)</f>
        <v>0</v>
      </c>
      <c r="AA215" s="102">
        <f>VLOOKUP(L215,材料合同!$L$6:$CC$305,16,0)</f>
        <v>57260.58</v>
      </c>
      <c r="AB215" s="102">
        <f>VLOOKUP(L215,材料合同!$L$6:$CC$305,17,0)</f>
        <v>0</v>
      </c>
      <c r="AC215" s="102">
        <f>VLOOKUP(L215,材料合同!$L$6:$CC$305,18,0)</f>
        <v>0</v>
      </c>
      <c r="AD215" s="102">
        <f>VLOOKUP(L215,材料合同!$L$6:$CC$305,19,0)</f>
        <v>0</v>
      </c>
      <c r="AE215" s="102">
        <f>VLOOKUP(L215,材料合同!$L$6:$CC$305,20,0)</f>
        <v>19086.86</v>
      </c>
      <c r="AF215" s="102">
        <f>VLOOKUP(L215,材料合同!$L$6:$CC$305,21,0)</f>
        <v>0</v>
      </c>
      <c r="AG215" s="102">
        <f>VLOOKUP(L215,材料合同!$L$6:$CC$305,22,0)</f>
        <v>0</v>
      </c>
      <c r="AH215" s="102">
        <f>VLOOKUP(L215,材料合同!$L$6:$CC$305,23,0)</f>
        <v>0</v>
      </c>
      <c r="AI215" s="102">
        <f>VLOOKUP(L215,材料合同!$L$6:$CC$305,24,0)</f>
        <v>0</v>
      </c>
      <c r="AJ215" s="102">
        <f>VLOOKUP(L215,材料合同!$L$6:$CC$305,25,0)</f>
        <v>0</v>
      </c>
      <c r="AK215" s="102">
        <f>VLOOKUP(L215,材料合同!$L$6:$CC$305,26,0)</f>
        <v>0</v>
      </c>
      <c r="AL215" s="102">
        <f>VLOOKUP(L215,材料合同!$L$6:$CC$305,27,0)</f>
        <v>0</v>
      </c>
      <c r="AM215" s="102">
        <f>VLOOKUP(L215,材料合同!$L$6:$CC$305,28,0)</f>
        <v>0</v>
      </c>
      <c r="AN215" s="102">
        <f>VLOOKUP(L215,材料合同!$L$6:$CC$305,29,0)</f>
        <v>0</v>
      </c>
      <c r="AO215" s="102">
        <f>VLOOKUP(L215,材料合同!$L$6:$CC$305,30,0)</f>
        <v>0</v>
      </c>
      <c r="AP215" s="102">
        <f>VLOOKUP(L215,材料合同!$L$6:$CC$305,31,0)</f>
        <v>0</v>
      </c>
      <c r="AQ215" s="102">
        <f>VLOOKUP(L215,材料合同!$L$6:$CC$305,32,0)</f>
        <v>0</v>
      </c>
      <c r="AR215" s="102">
        <f>VLOOKUP(L215,材料合同!$L$6:$CC$305,33,0)</f>
        <v>0</v>
      </c>
      <c r="AS215" s="102">
        <f>VLOOKUP(L215,材料合同!$L$6:$CC$305,34,0)</f>
        <v>0</v>
      </c>
      <c r="AT215" s="102">
        <f>VLOOKUP(L215,材料合同!$L$6:$CC$305,35,0)</f>
        <v>0</v>
      </c>
      <c r="AU215" s="102">
        <f>VLOOKUP(L215,材料合同!$L$6:$CC$305,36,0)</f>
        <v>0</v>
      </c>
      <c r="AV215" s="102">
        <f>VLOOKUP(L215,材料合同!$L$6:$CC$305,37,0)</f>
        <v>0</v>
      </c>
      <c r="AW215" s="102">
        <f>VLOOKUP(L215,材料合同!$L$6:$CC$305,38,0)</f>
        <v>0</v>
      </c>
      <c r="AX215" s="102">
        <f>VLOOKUP(L215,材料合同!$L$6:$CC$305,39,0)</f>
        <v>0</v>
      </c>
      <c r="AY215" s="102">
        <f>VLOOKUP(L215,材料合同!$L$6:$CC$305,40,0)</f>
        <v>0</v>
      </c>
      <c r="AZ215" s="102">
        <f>VLOOKUP(L215,材料合同!$L$6:$CC$305,41,0)</f>
        <v>0</v>
      </c>
      <c r="BA215" s="102">
        <f>VLOOKUP(L215,材料合同!$L$6:$CC$305,42,0)</f>
        <v>0</v>
      </c>
      <c r="BB215" s="102">
        <f>VLOOKUP(L215,材料合同!$L$6:$CC$305,43,0)</f>
        <v>0</v>
      </c>
      <c r="BC215" s="102">
        <f>VLOOKUP(L215,材料合同!$L$6:$CC$305,44,0)</f>
        <v>0</v>
      </c>
      <c r="BD215" s="102">
        <f>VLOOKUP(L215,材料合同!$L$6:$CC$305,45,0)</f>
        <v>0</v>
      </c>
      <c r="BE215" s="102">
        <f>VLOOKUP(L215,材料合同!$L$6:$CC$305,46,0)</f>
        <v>0</v>
      </c>
      <c r="BF215" s="102">
        <f>VLOOKUP(L215,材料合同!$L$6:$CC$305,47,0)</f>
        <v>0</v>
      </c>
      <c r="BG215" s="102">
        <f>VLOOKUP(L215,材料合同!$L$6:$CC$305,48,0)</f>
        <v>0</v>
      </c>
      <c r="BH215" s="102">
        <f>VLOOKUP(L215,材料合同!$L$6:$CC$305,49,0)</f>
        <v>0</v>
      </c>
      <c r="BI215" s="102">
        <f>VLOOKUP(L215,材料合同!$L$6:$CC$305,50,0)</f>
        <v>0</v>
      </c>
      <c r="BJ215" s="102">
        <f>VLOOKUP(L215,材料合同!$L$6:$CC$305,51,0)</f>
        <v>0</v>
      </c>
      <c r="BK215" s="102">
        <f>VLOOKUP(L215,材料合同!$L$6:$CC$305,52,0)</f>
        <v>0</v>
      </c>
      <c r="BL215" s="102">
        <f>VLOOKUP(L215,材料合同!$L$6:$CC$305,53,0)</f>
        <v>0</v>
      </c>
      <c r="BM215" s="102">
        <f>VLOOKUP(L215,材料合同!$L$6:$CC$305,54,0)</f>
        <v>0</v>
      </c>
      <c r="BN215" s="102">
        <f>VLOOKUP(L215,材料合同!$L$6:$CC$305,55,0)</f>
        <v>0</v>
      </c>
      <c r="BO215" s="102">
        <f>VLOOKUP(L215,材料合同!$L$6:$CC$305,56,0)</f>
        <v>0</v>
      </c>
      <c r="BP215" s="102">
        <f>VLOOKUP(L215,材料合同!$L$6:$CC$305,57,0)</f>
        <v>0</v>
      </c>
      <c r="BQ215" s="102">
        <f>VLOOKUP(L215,材料合同!$L$6:$CC$305,58,0)</f>
        <v>0</v>
      </c>
      <c r="BR215" s="102">
        <f>VLOOKUP(L215,材料合同!$L$6:$CC$305,59,0)</f>
        <v>0</v>
      </c>
      <c r="BS215" s="102">
        <f>VLOOKUP(L215,材料合同!$L$6:$CC$305,60,0)</f>
        <v>0</v>
      </c>
      <c r="BT215" s="102">
        <f>VLOOKUP(L215,材料合同!$L$6:$CC$305,61,0)</f>
        <v>0</v>
      </c>
      <c r="BU215" s="102">
        <f>VLOOKUP(L215,材料合同!$L$6:$CC$305,62,0)</f>
        <v>0</v>
      </c>
      <c r="BV215" s="102">
        <f>VLOOKUP(L215,材料合同!$L$6:$CC$305,63,0)</f>
        <v>0</v>
      </c>
      <c r="BW215" s="102">
        <f>VLOOKUP(L215,材料合同!$L$6:$CC$305,64,0)</f>
        <v>0</v>
      </c>
      <c r="BX215" s="102">
        <f>VLOOKUP(L215,材料合同!$L$6:$CC$305,65,0)</f>
        <v>0</v>
      </c>
      <c r="BY215" s="102">
        <f>VLOOKUP(L215,材料合同!$L$6:$CC$305,66,0)</f>
        <v>0</v>
      </c>
      <c r="BZ215" s="102">
        <f>VLOOKUP(L215,材料合同!$L$6:$CC$305,67,0)</f>
        <v>0</v>
      </c>
      <c r="CA215" s="102">
        <f>VLOOKUP(L215,材料合同!$L$6:$CC$305,68,0)</f>
        <v>0</v>
      </c>
      <c r="CB215" s="102">
        <f>VLOOKUP(L215,材料合同!$L$6:$CC$305,69,0)</f>
        <v>0</v>
      </c>
      <c r="CC215" s="102">
        <f>VLOOKUP(L215,材料合同!$L$6:$CC$305,70,0)</f>
        <v>0</v>
      </c>
      <c r="CD215" s="123">
        <f t="shared" si="55"/>
        <v>881737.2</v>
      </c>
      <c r="CE215" s="102">
        <f t="shared" si="56"/>
        <v>805389.7</v>
      </c>
      <c r="CF215" s="102">
        <f t="shared" si="57"/>
        <v>805389.7</v>
      </c>
      <c r="CG215" s="102">
        <f t="shared" si="58"/>
        <v>0</v>
      </c>
      <c r="CH215" s="124">
        <f t="shared" si="59"/>
        <v>76347.5</v>
      </c>
      <c r="CI215" s="125">
        <f t="shared" si="60"/>
        <v>0.913412409048864</v>
      </c>
      <c r="CJ215" s="126" t="str">
        <f t="shared" si="61"/>
        <v>数据正确</v>
      </c>
    </row>
    <row r="216" s="60" customFormat="1" customHeight="1" spans="2:88">
      <c r="B216" s="70" t="str">
        <f t="shared" si="51"/>
        <v>-</v>
      </c>
      <c r="C216" s="71" t="str">
        <f t="shared" si="52"/>
        <v>-</v>
      </c>
      <c r="D216" s="181">
        <f t="shared" si="53"/>
        <v>738373.93</v>
      </c>
      <c r="E216" s="181">
        <f>SUMIF(材料合同!$L$6:$L$305,L216,材料合同!$E$6:$E$305)</f>
        <v>0</v>
      </c>
      <c r="F216" s="181">
        <f>SUMIF(材料合同!$L$6:$L$305,L216,材料合同!$F$6:$F$305)</f>
        <v>0</v>
      </c>
      <c r="G216" s="181">
        <f>SUMIF(材料合同!$L$6:$L$305,L216,材料合同!$G$6:$G$305)</f>
        <v>0</v>
      </c>
      <c r="H216" s="181">
        <f>SUMIF(材料合同!$L$6:$L$305,L216,材料合同!$H$6:$H$305)</f>
        <v>0</v>
      </c>
      <c r="I216" s="181">
        <f t="shared" si="54"/>
        <v>0</v>
      </c>
      <c r="J216" s="86" t="s">
        <v>98</v>
      </c>
      <c r="K216" s="87"/>
      <c r="L216" s="88">
        <v>211</v>
      </c>
      <c r="M216" s="89" t="str">
        <f>VLOOKUP(L216,材料合同!$L$6:$CC$305,2,0)</f>
        <v>-</v>
      </c>
      <c r="N216" s="90" t="str">
        <f>VLOOKUP(L216,材料合同!$L$6:$CC$305,3,0)</f>
        <v>材料合同</v>
      </c>
      <c r="O216" s="265">
        <f>VLOOKUP(L216,材料合同!$L$6:$CC$305,4,0)</f>
        <v>0</v>
      </c>
      <c r="P216" s="266">
        <f>VLOOKUP(L216,材料合同!$L$6:$CC$305,5,0)</f>
        <v>42977</v>
      </c>
      <c r="Q216" s="275">
        <f>VLOOKUP(L216,材料合同!$L$6:$CC$305,6,0)</f>
        <v>957521.03</v>
      </c>
      <c r="R216" s="89" t="str">
        <f>VLOOKUP(L216,材料合同!$L$6:$CC$305,7,0)</f>
        <v>10KV电力电缆协议</v>
      </c>
      <c r="S216" s="89" t="str">
        <f>VLOOKUP(L216,材料合同!$L$6:$CC$305,8,0)</f>
        <v>明星电缆销售有限公司  合计</v>
      </c>
      <c r="T216" s="107">
        <f>VLOOKUP(L216,材料合同!$L$6:$CC$305,9,0)</f>
        <v>0</v>
      </c>
      <c r="U216" s="103" t="str">
        <f>VLOOKUP(L216,材料合同!$L$6:$CC$305,10,0)</f>
        <v>电汇</v>
      </c>
      <c r="V216" s="276" t="str">
        <f>VLOOKUP(L216,材料合同!$L$6:$CC$305,11,0)</f>
        <v>甲方到乙方检验合格，签发发货同意书，收到全额17%专票，支付80%货款；乙方提供60万履约保函；乙方开具50万预付款保函，甲方支付50万元预付款，在最后一笔订单支付81%中扣除，多退少补</v>
      </c>
      <c r="W216" s="102">
        <f>VLOOKUP(L216,材料合同!$L$6:$CC$305,12,0)</f>
        <v>776614.21</v>
      </c>
      <c r="X216" s="102">
        <f>VLOOKUP(L216,材料合同!$L$6:$CC$305,13,0)</f>
        <v>738373.93</v>
      </c>
      <c r="Y216" s="102">
        <f>VLOOKUP(L216,材料合同!$L$6:$CC$305,14,0)</f>
        <v>738373.93</v>
      </c>
      <c r="Z216" s="102">
        <f>VLOOKUP(L216,材料合同!$L$6:$CC$305,15,0)</f>
        <v>0</v>
      </c>
      <c r="AA216" s="102">
        <f>VLOOKUP(L216,材料合同!$L$6:$CC$305,16,0)</f>
        <v>135680.115</v>
      </c>
      <c r="AB216" s="102">
        <f>VLOOKUP(L216,材料合同!$L$6:$CC$305,17,0)</f>
        <v>0</v>
      </c>
      <c r="AC216" s="102">
        <f>VLOOKUP(L216,材料合同!$L$6:$CC$305,18,0)</f>
        <v>0</v>
      </c>
      <c r="AD216" s="102">
        <f>VLOOKUP(L216,材料合同!$L$6:$CC$305,19,0)</f>
        <v>0</v>
      </c>
      <c r="AE216" s="102">
        <f>VLOOKUP(L216,材料合同!$L$6:$CC$305,20,0)</f>
        <v>45226.705</v>
      </c>
      <c r="AF216" s="102">
        <f>VLOOKUP(L216,材料合同!$L$6:$CC$305,21,0)</f>
        <v>0</v>
      </c>
      <c r="AG216" s="102">
        <f>VLOOKUP(L216,材料合同!$L$6:$CC$305,22,0)</f>
        <v>0</v>
      </c>
      <c r="AH216" s="102">
        <f>VLOOKUP(L216,材料合同!$L$6:$CC$305,23,0)</f>
        <v>0</v>
      </c>
      <c r="AI216" s="102">
        <f>VLOOKUP(L216,材料合同!$L$6:$CC$305,24,0)</f>
        <v>0</v>
      </c>
      <c r="AJ216" s="102">
        <f>VLOOKUP(L216,材料合同!$L$6:$CC$305,25,0)</f>
        <v>0</v>
      </c>
      <c r="AK216" s="102">
        <f>VLOOKUP(L216,材料合同!$L$6:$CC$305,26,0)</f>
        <v>0</v>
      </c>
      <c r="AL216" s="102">
        <f>VLOOKUP(L216,材料合同!$L$6:$CC$305,27,0)</f>
        <v>0</v>
      </c>
      <c r="AM216" s="102">
        <f>VLOOKUP(L216,材料合同!$L$6:$CC$305,28,0)</f>
        <v>0</v>
      </c>
      <c r="AN216" s="102">
        <f>VLOOKUP(L216,材料合同!$L$6:$CC$305,29,0)</f>
        <v>0</v>
      </c>
      <c r="AO216" s="102">
        <f>VLOOKUP(L216,材料合同!$L$6:$CC$305,30,0)</f>
        <v>0</v>
      </c>
      <c r="AP216" s="102">
        <f>VLOOKUP(L216,材料合同!$L$6:$CC$305,31,0)</f>
        <v>0</v>
      </c>
      <c r="AQ216" s="102">
        <f>VLOOKUP(L216,材料合同!$L$6:$CC$305,32,0)</f>
        <v>0</v>
      </c>
      <c r="AR216" s="102">
        <f>VLOOKUP(L216,材料合同!$L$6:$CC$305,33,0)</f>
        <v>0</v>
      </c>
      <c r="AS216" s="102">
        <f>VLOOKUP(L216,材料合同!$L$6:$CC$305,34,0)</f>
        <v>0</v>
      </c>
      <c r="AT216" s="102">
        <f>VLOOKUP(L216,材料合同!$L$6:$CC$305,35,0)</f>
        <v>0</v>
      </c>
      <c r="AU216" s="102">
        <f>VLOOKUP(L216,材料合同!$L$6:$CC$305,36,0)</f>
        <v>0</v>
      </c>
      <c r="AV216" s="102">
        <f>VLOOKUP(L216,材料合同!$L$6:$CC$305,37,0)</f>
        <v>0</v>
      </c>
      <c r="AW216" s="102">
        <f>VLOOKUP(L216,材料合同!$L$6:$CC$305,38,0)</f>
        <v>0</v>
      </c>
      <c r="AX216" s="102">
        <f>VLOOKUP(L216,材料合同!$L$6:$CC$305,39,0)</f>
        <v>0</v>
      </c>
      <c r="AY216" s="102">
        <f>VLOOKUP(L216,材料合同!$L$6:$CC$305,40,0)</f>
        <v>0</v>
      </c>
      <c r="AZ216" s="102">
        <f>VLOOKUP(L216,材料合同!$L$6:$CC$305,41,0)</f>
        <v>0</v>
      </c>
      <c r="BA216" s="102">
        <f>VLOOKUP(L216,材料合同!$L$6:$CC$305,42,0)</f>
        <v>0</v>
      </c>
      <c r="BB216" s="102">
        <f>VLOOKUP(L216,材料合同!$L$6:$CC$305,43,0)</f>
        <v>0</v>
      </c>
      <c r="BC216" s="102">
        <f>VLOOKUP(L216,材料合同!$L$6:$CC$305,44,0)</f>
        <v>0</v>
      </c>
      <c r="BD216" s="102">
        <f>VLOOKUP(L216,材料合同!$L$6:$CC$305,45,0)</f>
        <v>0</v>
      </c>
      <c r="BE216" s="102">
        <f>VLOOKUP(L216,材料合同!$L$6:$CC$305,46,0)</f>
        <v>0</v>
      </c>
      <c r="BF216" s="102">
        <f>VLOOKUP(L216,材料合同!$L$6:$CC$305,47,0)</f>
        <v>0</v>
      </c>
      <c r="BG216" s="102">
        <f>VLOOKUP(L216,材料合同!$L$6:$CC$305,48,0)</f>
        <v>0</v>
      </c>
      <c r="BH216" s="102">
        <f>VLOOKUP(L216,材料合同!$L$6:$CC$305,49,0)</f>
        <v>0</v>
      </c>
      <c r="BI216" s="102">
        <f>VLOOKUP(L216,材料合同!$L$6:$CC$305,50,0)</f>
        <v>0</v>
      </c>
      <c r="BJ216" s="102">
        <f>VLOOKUP(L216,材料合同!$L$6:$CC$305,51,0)</f>
        <v>0</v>
      </c>
      <c r="BK216" s="102">
        <f>VLOOKUP(L216,材料合同!$L$6:$CC$305,52,0)</f>
        <v>0</v>
      </c>
      <c r="BL216" s="102">
        <f>VLOOKUP(L216,材料合同!$L$6:$CC$305,53,0)</f>
        <v>0</v>
      </c>
      <c r="BM216" s="102">
        <f>VLOOKUP(L216,材料合同!$L$6:$CC$305,54,0)</f>
        <v>0</v>
      </c>
      <c r="BN216" s="102">
        <f>VLOOKUP(L216,材料合同!$L$6:$CC$305,55,0)</f>
        <v>0</v>
      </c>
      <c r="BO216" s="102">
        <f>VLOOKUP(L216,材料合同!$L$6:$CC$305,56,0)</f>
        <v>0</v>
      </c>
      <c r="BP216" s="102">
        <f>VLOOKUP(L216,材料合同!$L$6:$CC$305,57,0)</f>
        <v>0</v>
      </c>
      <c r="BQ216" s="102">
        <f>VLOOKUP(L216,材料合同!$L$6:$CC$305,58,0)</f>
        <v>0</v>
      </c>
      <c r="BR216" s="102">
        <f>VLOOKUP(L216,材料合同!$L$6:$CC$305,59,0)</f>
        <v>0</v>
      </c>
      <c r="BS216" s="102">
        <f>VLOOKUP(L216,材料合同!$L$6:$CC$305,60,0)</f>
        <v>0</v>
      </c>
      <c r="BT216" s="102">
        <f>VLOOKUP(L216,材料合同!$L$6:$CC$305,61,0)</f>
        <v>0</v>
      </c>
      <c r="BU216" s="102">
        <f>VLOOKUP(L216,材料合同!$L$6:$CC$305,62,0)</f>
        <v>0</v>
      </c>
      <c r="BV216" s="102">
        <f>VLOOKUP(L216,材料合同!$L$6:$CC$305,63,0)</f>
        <v>0</v>
      </c>
      <c r="BW216" s="102">
        <f>VLOOKUP(L216,材料合同!$L$6:$CC$305,64,0)</f>
        <v>0</v>
      </c>
      <c r="BX216" s="102">
        <f>VLOOKUP(L216,材料合同!$L$6:$CC$305,65,0)</f>
        <v>0</v>
      </c>
      <c r="BY216" s="102">
        <f>VLOOKUP(L216,材料合同!$L$6:$CC$305,66,0)</f>
        <v>0</v>
      </c>
      <c r="BZ216" s="102">
        <f>VLOOKUP(L216,材料合同!$L$6:$CC$305,67,0)</f>
        <v>0</v>
      </c>
      <c r="CA216" s="102">
        <f>VLOOKUP(L216,材料合同!$L$6:$CC$305,68,0)</f>
        <v>0</v>
      </c>
      <c r="CB216" s="102">
        <f>VLOOKUP(L216,材料合同!$L$6:$CC$305,69,0)</f>
        <v>0</v>
      </c>
      <c r="CC216" s="102">
        <f>VLOOKUP(L216,材料合同!$L$6:$CC$305,70,0)</f>
        <v>0</v>
      </c>
      <c r="CD216" s="123">
        <f t="shared" si="55"/>
        <v>957521.03</v>
      </c>
      <c r="CE216" s="102">
        <f t="shared" si="56"/>
        <v>738373.93</v>
      </c>
      <c r="CF216" s="102">
        <f t="shared" si="57"/>
        <v>738373.93</v>
      </c>
      <c r="CG216" s="102">
        <f t="shared" si="58"/>
        <v>0</v>
      </c>
      <c r="CH216" s="124">
        <f t="shared" si="59"/>
        <v>219147.1</v>
      </c>
      <c r="CI216" s="125">
        <f t="shared" si="60"/>
        <v>0.77113077088239</v>
      </c>
      <c r="CJ216" s="126" t="str">
        <f t="shared" si="61"/>
        <v>数据正确</v>
      </c>
    </row>
    <row r="217" s="60" customFormat="1" customHeight="1" spans="2:88">
      <c r="B217" s="70" t="str">
        <f t="shared" si="51"/>
        <v>-</v>
      </c>
      <c r="C217" s="71" t="str">
        <f t="shared" si="52"/>
        <v>-</v>
      </c>
      <c r="D217" s="181">
        <f t="shared" si="53"/>
        <v>0</v>
      </c>
      <c r="E217" s="181">
        <f>SUMIF(设备合同!$L$6:$L$302,L217,设备合同!$E$6:$E$302)</f>
        <v>0</v>
      </c>
      <c r="F217" s="181">
        <f>SUMIF(设备合同!$L$6:$L$302,L217,设备合同!$F$6:$F$302)</f>
        <v>0</v>
      </c>
      <c r="G217" s="181">
        <f>SUMIF(设备合同!$L$6:$L$302,L217,设备合同!$G$6:$G$302)</f>
        <v>0</v>
      </c>
      <c r="H217" s="181">
        <f>SUMIF(设备合同!$L$6:$L$302,L217,设备合同!$H$6:$H$302)</f>
        <v>0</v>
      </c>
      <c r="I217" s="181">
        <f t="shared" si="54"/>
        <v>0</v>
      </c>
      <c r="J217" s="86" t="s">
        <v>98</v>
      </c>
      <c r="K217" s="87"/>
      <c r="L217" s="88">
        <v>212</v>
      </c>
      <c r="M217" s="89" t="str">
        <f>VLOOKUP(L217,设备合同!$L$6:$CC$302,2,0)</f>
        <v>YRKJEQ-170012-1</v>
      </c>
      <c r="N217" s="90" t="str">
        <f>VLOOKUP(L217,设备合同!$L$6:$CC$302,3,0)</f>
        <v>设备合同</v>
      </c>
      <c r="O217" s="265">
        <f>VLOOKUP(L217,设备合同!$L$6:$CC$302,4,0)</f>
        <v>2017020025</v>
      </c>
      <c r="P217" s="266">
        <f>VLOOKUP(L217,设备合同!$L$6:$CC$302,5,0)</f>
        <v>42833</v>
      </c>
      <c r="Q217" s="275">
        <f>VLOOKUP(L217,设备合同!$L$6:$CC$302,6,0)</f>
        <v>36000</v>
      </c>
      <c r="R217" s="89" t="str">
        <f>VLOOKUP(L217,设备合同!$L$6:$CC$302,7,0)</f>
        <v>化工流程泵共83台（加签一台）</v>
      </c>
      <c r="S217" s="89" t="str">
        <f>VLOOKUP(L217,设备合同!$L$6:$CC$302,8,0)</f>
        <v>江苏双达泵阀集团有限公司</v>
      </c>
      <c r="T217" s="107" t="str">
        <f>VLOOKUP(L217,设备合同!$L$6:$CC$302,9,0)</f>
        <v>氨肟化装置</v>
      </c>
      <c r="U217" s="103" t="str">
        <f>VLOOKUP(L217,设备合同!$L$6:$CC$302,10,0)</f>
        <v>6个月承兑汇票，如采用现金转账，扣除付款金额的2%</v>
      </c>
      <c r="V217" s="276" t="str">
        <f>VLOOKUP(L217,设备合同!$L$6:$CC$302,11,0)</f>
        <v>-</v>
      </c>
      <c r="W217" s="102">
        <f>VLOOKUP(L217,设备合同!$L$6:$CC$302,12,0)</f>
        <v>36000</v>
      </c>
      <c r="X217" s="102">
        <f>VLOOKUP(L217,设备合同!$L$6:$CC$302,13,0)</f>
        <v>0</v>
      </c>
      <c r="Y217" s="102">
        <f>VLOOKUP(L217,设备合同!$L$6:$CC$302,14,0)</f>
        <v>0</v>
      </c>
      <c r="Z217" s="102">
        <f>VLOOKUP(L217,设备合同!$L$6:$CC$302,15,0)</f>
        <v>0</v>
      </c>
      <c r="AA217" s="102">
        <f>VLOOKUP(L217,设备合同!$L$6:$CC$302,16,0)</f>
        <v>0</v>
      </c>
      <c r="AB217" s="102">
        <f>VLOOKUP(L217,设备合同!$L$6:$CC$302,17,0)</f>
        <v>0</v>
      </c>
      <c r="AC217" s="102">
        <f>VLOOKUP(L217,设备合同!$L$6:$CC$302,18,0)</f>
        <v>0</v>
      </c>
      <c r="AD217" s="102">
        <f>VLOOKUP(L217,设备合同!$L$6:$CC$302,19,0)</f>
        <v>0</v>
      </c>
      <c r="AE217" s="102">
        <f>VLOOKUP(L217,设备合同!$L$6:$CC$302,20,0)</f>
        <v>0</v>
      </c>
      <c r="AF217" s="102">
        <f>VLOOKUP(L217,设备合同!$L$6:$CC$302,21,0)</f>
        <v>0</v>
      </c>
      <c r="AG217" s="102">
        <f>VLOOKUP(L217,设备合同!$L$6:$CC$302,22,0)</f>
        <v>0</v>
      </c>
      <c r="AH217" s="102">
        <f>VLOOKUP(L217,设备合同!$L$6:$CC$302,23,0)</f>
        <v>0</v>
      </c>
      <c r="AI217" s="102">
        <f>VLOOKUP(L217,设备合同!$L$6:$CC$302,24,0)</f>
        <v>0</v>
      </c>
      <c r="AJ217" s="102">
        <f>VLOOKUP(L217,设备合同!$L$6:$CC$302,25,0)</f>
        <v>0</v>
      </c>
      <c r="AK217" s="102">
        <f>VLOOKUP(L217,设备合同!$L$6:$CC$302,26,0)</f>
        <v>0</v>
      </c>
      <c r="AL217" s="102">
        <f>VLOOKUP(L217,设备合同!$L$6:$CC$302,27,0)</f>
        <v>0</v>
      </c>
      <c r="AM217" s="102">
        <f>VLOOKUP(L217,设备合同!$L$6:$CC$302,28,0)</f>
        <v>0</v>
      </c>
      <c r="AN217" s="102">
        <f>VLOOKUP(L217,设备合同!$L$6:$CC$302,29,0)</f>
        <v>0</v>
      </c>
      <c r="AO217" s="102">
        <f>VLOOKUP(L217,设备合同!$L$6:$CC$302,30,0)</f>
        <v>0</v>
      </c>
      <c r="AP217" s="102">
        <f>VLOOKUP(L217,设备合同!$L$6:$CC$302,31,0)</f>
        <v>0</v>
      </c>
      <c r="AQ217" s="102">
        <f>VLOOKUP(L217,设备合同!$L$6:$CC$302,32,0)</f>
        <v>0</v>
      </c>
      <c r="AR217" s="102">
        <f>VLOOKUP(L217,设备合同!$L$6:$CC$302,33,0)</f>
        <v>0</v>
      </c>
      <c r="AS217" s="102">
        <f>VLOOKUP(L217,设备合同!$L$6:$CC$302,34,0)</f>
        <v>0</v>
      </c>
      <c r="AT217" s="102">
        <f>VLOOKUP(L217,设备合同!$L$6:$CC$302,35,0)</f>
        <v>0</v>
      </c>
      <c r="AU217" s="102">
        <f>VLOOKUP(L217,设备合同!$L$6:$CC$302,36,0)</f>
        <v>0</v>
      </c>
      <c r="AV217" s="102">
        <f>VLOOKUP(L217,设备合同!$L$6:$CC$302,37,0)</f>
        <v>0</v>
      </c>
      <c r="AW217" s="102">
        <f>VLOOKUP(L217,设备合同!$L$6:$CC$302,38,0)</f>
        <v>0</v>
      </c>
      <c r="AX217" s="102">
        <f>VLOOKUP(L217,设备合同!$L$6:$CC$302,39,0)</f>
        <v>0</v>
      </c>
      <c r="AY217" s="102">
        <f>VLOOKUP(L217,设备合同!$L$6:$CC$302,40,0)</f>
        <v>0</v>
      </c>
      <c r="AZ217" s="102">
        <f>VLOOKUP(L217,设备合同!$L$6:$CC$302,41,0)</f>
        <v>0</v>
      </c>
      <c r="BA217" s="102">
        <f>VLOOKUP(L217,设备合同!$L$6:$CC$302,42,0)</f>
        <v>0</v>
      </c>
      <c r="BB217" s="102">
        <f>VLOOKUP(L217,设备合同!$L$6:$CC$302,43,0)</f>
        <v>0</v>
      </c>
      <c r="BC217" s="102">
        <f>VLOOKUP(L217,设备合同!$L$6:$CC$302,44,0)</f>
        <v>0</v>
      </c>
      <c r="BD217" s="102">
        <f>VLOOKUP(L217,设备合同!$L$6:$CC$302,45,0)</f>
        <v>0</v>
      </c>
      <c r="BE217" s="102">
        <f>VLOOKUP(L217,设备合同!$L$6:$CC$302,46,0)</f>
        <v>0</v>
      </c>
      <c r="BF217" s="102">
        <f>VLOOKUP(L217,设备合同!$L$6:$CC$302,47,0)</f>
        <v>0</v>
      </c>
      <c r="BG217" s="102">
        <f>VLOOKUP(L217,设备合同!$L$6:$CC$302,48,0)</f>
        <v>0</v>
      </c>
      <c r="BH217" s="102">
        <f>VLOOKUP(L217,设备合同!$L$6:$CC$302,49,0)</f>
        <v>0</v>
      </c>
      <c r="BI217" s="102">
        <f>VLOOKUP(L217,设备合同!$L$6:$CC$302,50,0)</f>
        <v>0</v>
      </c>
      <c r="BJ217" s="102">
        <f>VLOOKUP(L217,设备合同!$L$6:$CC$302,51,0)</f>
        <v>0</v>
      </c>
      <c r="BK217" s="102">
        <f>VLOOKUP(L217,设备合同!$L$6:$CC$302,52,0)</f>
        <v>0</v>
      </c>
      <c r="BL217" s="102">
        <f>VLOOKUP(L217,设备合同!$L$6:$CC$302,53,0)</f>
        <v>0</v>
      </c>
      <c r="BM217" s="102">
        <f>VLOOKUP(L217,设备合同!$L$6:$CC$302,54,0)</f>
        <v>0</v>
      </c>
      <c r="BN217" s="102">
        <f>VLOOKUP(L217,设备合同!$L$6:$CC$302,55,0)</f>
        <v>0</v>
      </c>
      <c r="BO217" s="102">
        <f>VLOOKUP(L217,设备合同!$L$6:$CC$302,56,0)</f>
        <v>0</v>
      </c>
      <c r="BP217" s="102">
        <f>VLOOKUP(L217,设备合同!$L$6:$CC$302,57,0)</f>
        <v>0</v>
      </c>
      <c r="BQ217" s="102">
        <f>VLOOKUP(L217,设备合同!$L$6:$CC$302,58,0)</f>
        <v>0</v>
      </c>
      <c r="BR217" s="102">
        <f>VLOOKUP(L217,设备合同!$L$6:$CC$302,59,0)</f>
        <v>0</v>
      </c>
      <c r="BS217" s="102">
        <f>VLOOKUP(L217,设备合同!$L$6:$CC$302,60,0)</f>
        <v>0</v>
      </c>
      <c r="BT217" s="102">
        <f>VLOOKUP(L217,设备合同!$L$6:$CC$302,61,0)</f>
        <v>0</v>
      </c>
      <c r="BU217" s="102">
        <f>VLOOKUP(L217,设备合同!$L$6:$CC$302,62,0)</f>
        <v>0</v>
      </c>
      <c r="BV217" s="102">
        <f>VLOOKUP(L217,设备合同!$L$6:$CC$302,63,0)</f>
        <v>0</v>
      </c>
      <c r="BW217" s="102">
        <f>VLOOKUP(L217,设备合同!$L$6:$CC$302,64,0)</f>
        <v>0</v>
      </c>
      <c r="BX217" s="102">
        <f>VLOOKUP(L217,设备合同!$L$6:$CC$302,65,0)</f>
        <v>0</v>
      </c>
      <c r="BY217" s="102">
        <f>VLOOKUP(L217,设备合同!$L$6:$CC$302,66,0)</f>
        <v>0</v>
      </c>
      <c r="BZ217" s="102">
        <f>VLOOKUP(L217,设备合同!$L$6:$CC$302,67,0)</f>
        <v>0</v>
      </c>
      <c r="CA217" s="102">
        <f>VLOOKUP(L217,设备合同!$L$6:$CC$302,68,0)</f>
        <v>0</v>
      </c>
      <c r="CB217" s="102">
        <f>VLOOKUP(L217,设备合同!$L$6:$CC$302,69,0)</f>
        <v>0</v>
      </c>
      <c r="CC217" s="102">
        <f>VLOOKUP(L217,设备合同!$L$6:$CC$302,70,0)</f>
        <v>0</v>
      </c>
      <c r="CD217" s="123">
        <f t="shared" si="55"/>
        <v>36000</v>
      </c>
      <c r="CE217" s="102">
        <f t="shared" si="56"/>
        <v>0</v>
      </c>
      <c r="CF217" s="102">
        <f t="shared" si="57"/>
        <v>0</v>
      </c>
      <c r="CG217" s="102">
        <f t="shared" si="58"/>
        <v>0</v>
      </c>
      <c r="CH217" s="124">
        <f t="shared" si="59"/>
        <v>36000</v>
      </c>
      <c r="CI217" s="125">
        <f t="shared" si="60"/>
        <v>0</v>
      </c>
      <c r="CJ217" s="126" t="str">
        <f t="shared" si="61"/>
        <v>数据正确</v>
      </c>
    </row>
    <row r="218" s="60" customFormat="1" customHeight="1" spans="2:88">
      <c r="B218" s="70" t="str">
        <f t="shared" si="51"/>
        <v>-</v>
      </c>
      <c r="C218" s="71" t="str">
        <f t="shared" si="52"/>
        <v>-</v>
      </c>
      <c r="D218" s="181">
        <f t="shared" si="53"/>
        <v>796000</v>
      </c>
      <c r="E218" s="181">
        <f>SUMIF(设备合同!$L$6:$L$302,L218,设备合同!$E$6:$E$302)</f>
        <v>0</v>
      </c>
      <c r="F218" s="181">
        <f>SUMIF(设备合同!$L$6:$L$302,L218,设备合同!$F$6:$F$302)</f>
        <v>0</v>
      </c>
      <c r="G218" s="181">
        <f>SUMIF(设备合同!$L$6:$L$302,L218,设备合同!$G$6:$G$302)</f>
        <v>0</v>
      </c>
      <c r="H218" s="181">
        <f>SUMIF(设备合同!$L$6:$L$302,L218,设备合同!$H$6:$H$302)</f>
        <v>0</v>
      </c>
      <c r="I218" s="181">
        <f t="shared" si="54"/>
        <v>0</v>
      </c>
      <c r="J218" s="86" t="s">
        <v>98</v>
      </c>
      <c r="K218" s="87"/>
      <c r="L218" s="88">
        <v>213</v>
      </c>
      <c r="M218" s="89" t="str">
        <f>VLOOKUP(L218,设备合同!$L$6:$CC$302,2,0)</f>
        <v>YRKJEQ-170034</v>
      </c>
      <c r="N218" s="90" t="str">
        <f>VLOOKUP(L218,设备合同!$L$6:$CC$302,3,0)</f>
        <v>设备合同</v>
      </c>
      <c r="O218" s="265">
        <f>VLOOKUP(L218,设备合同!$L$6:$CC$302,4,0)</f>
        <v>2017050012</v>
      </c>
      <c r="P218" s="266">
        <f>VLOOKUP(L218,设备合同!$L$6:$CC$302,5,0)</f>
        <v>42906</v>
      </c>
      <c r="Q218" s="275">
        <f>VLOOKUP(L218,设备合同!$L$6:$CC$302,6,0)</f>
        <v>3980000</v>
      </c>
      <c r="R218" s="89" t="str">
        <f>VLOOKUP(L218,设备合同!$L$6:$CC$302,7,0)</f>
        <v>浆料泵4台</v>
      </c>
      <c r="S218" s="89" t="str">
        <f>VLOOKUP(L218,设备合同!$L$6:$CC$302,8,0)</f>
        <v>大连海密梯克泵业有限公司</v>
      </c>
      <c r="T218" s="107" t="str">
        <f>VLOOKUP(L218,设备合同!$L$6:$CC$302,9,0)</f>
        <v>环己酮装置</v>
      </c>
      <c r="U218" s="103" t="str">
        <f>VLOOKUP(L218,设备合同!$L$6:$CC$302,10,0)</f>
        <v>6个月承兑汇票/电汇不下浮</v>
      </c>
      <c r="V218" s="276" t="str">
        <f>VLOOKUP(L218,设备合同!$L$6:$CC$302,11,0)</f>
        <v>甲方收到乙方20%的预付款保函以及本合同的10%履约保函，等额专票后15个工作日支付20%预付款</v>
      </c>
      <c r="W218" s="102">
        <f>VLOOKUP(L218,设备合同!$L$6:$CC$302,12,0)</f>
        <v>796000</v>
      </c>
      <c r="X218" s="102">
        <f>VLOOKUP(L218,设备合同!$L$6:$CC$302,13,0)</f>
        <v>796000</v>
      </c>
      <c r="Y218" s="102">
        <f>VLOOKUP(L218,设备合同!$L$6:$CC$302,14,0)</f>
        <v>796000</v>
      </c>
      <c r="Z218" s="102" t="str">
        <f>VLOOKUP(L218,设备合同!$L$6:$CC$302,15,0)</f>
        <v>甲方到乙方现场确认无误后，收到17%等额专票，15个工作日内支付40%发货款</v>
      </c>
      <c r="AA218" s="102">
        <f>VLOOKUP(L218,设备合同!$L$6:$CC$302,16,0)</f>
        <v>1592000</v>
      </c>
      <c r="AB218" s="102">
        <f>VLOOKUP(L218,设备合同!$L$6:$CC$302,17,0)</f>
        <v>0</v>
      </c>
      <c r="AC218" s="102">
        <f>VLOOKUP(L218,设备合同!$L$6:$CC$302,18,0)</f>
        <v>0</v>
      </c>
      <c r="AD218" s="102" t="str">
        <f>VLOOKUP(L218,设备合同!$L$6:$CC$302,19,0)</f>
        <v>开车验收合格后，提供全额专票，一个月内支付30%验收款</v>
      </c>
      <c r="AE218" s="102">
        <f>VLOOKUP(L218,设备合同!$L$6:$CC$302,20,0)</f>
        <v>1194000</v>
      </c>
      <c r="AF218" s="102">
        <f>VLOOKUP(L218,设备合同!$L$6:$CC$302,21,0)</f>
        <v>0</v>
      </c>
      <c r="AG218" s="102">
        <f>VLOOKUP(L218,设备合同!$L$6:$CC$302,22,0)</f>
        <v>0</v>
      </c>
      <c r="AH218" s="102" t="str">
        <f>VLOOKUP(L218,设备合同!$L$6:$CC$302,23,0)</f>
        <v>10%质保金，验收合格12个月或到货现场18个月</v>
      </c>
      <c r="AI218" s="102">
        <f>VLOOKUP(L218,设备合同!$L$6:$CC$302,24,0)</f>
        <v>398000</v>
      </c>
      <c r="AJ218" s="102">
        <f>VLOOKUP(L218,设备合同!$L$6:$CC$302,25,0)</f>
        <v>0</v>
      </c>
      <c r="AK218" s="102">
        <f>VLOOKUP(L218,设备合同!$L$6:$CC$302,26,0)</f>
        <v>0</v>
      </c>
      <c r="AL218" s="102">
        <f>VLOOKUP(L218,设备合同!$L$6:$CC$302,27,0)</f>
        <v>0</v>
      </c>
      <c r="AM218" s="102">
        <f>VLOOKUP(L218,设备合同!$L$6:$CC$302,28,0)</f>
        <v>0</v>
      </c>
      <c r="AN218" s="102">
        <f>VLOOKUP(L218,设备合同!$L$6:$CC$302,29,0)</f>
        <v>0</v>
      </c>
      <c r="AO218" s="102">
        <f>VLOOKUP(L218,设备合同!$L$6:$CC$302,30,0)</f>
        <v>0</v>
      </c>
      <c r="AP218" s="102">
        <f>VLOOKUP(L218,设备合同!$L$6:$CC$302,31,0)</f>
        <v>0</v>
      </c>
      <c r="AQ218" s="102">
        <f>VLOOKUP(L218,设备合同!$L$6:$CC$302,32,0)</f>
        <v>0</v>
      </c>
      <c r="AR218" s="102">
        <f>VLOOKUP(L218,设备合同!$L$6:$CC$302,33,0)</f>
        <v>0</v>
      </c>
      <c r="AS218" s="102">
        <f>VLOOKUP(L218,设备合同!$L$6:$CC$302,34,0)</f>
        <v>0</v>
      </c>
      <c r="AT218" s="102">
        <f>VLOOKUP(L218,设备合同!$L$6:$CC$302,35,0)</f>
        <v>0</v>
      </c>
      <c r="AU218" s="102">
        <f>VLOOKUP(L218,设备合同!$L$6:$CC$302,36,0)</f>
        <v>0</v>
      </c>
      <c r="AV218" s="102">
        <f>VLOOKUP(L218,设备合同!$L$6:$CC$302,37,0)</f>
        <v>0</v>
      </c>
      <c r="AW218" s="102">
        <f>VLOOKUP(L218,设备合同!$L$6:$CC$302,38,0)</f>
        <v>0</v>
      </c>
      <c r="AX218" s="102">
        <f>VLOOKUP(L218,设备合同!$L$6:$CC$302,39,0)</f>
        <v>0</v>
      </c>
      <c r="AY218" s="102">
        <f>VLOOKUP(L218,设备合同!$L$6:$CC$302,40,0)</f>
        <v>0</v>
      </c>
      <c r="AZ218" s="102">
        <f>VLOOKUP(L218,设备合同!$L$6:$CC$302,41,0)</f>
        <v>0</v>
      </c>
      <c r="BA218" s="102">
        <f>VLOOKUP(L218,设备合同!$L$6:$CC$302,42,0)</f>
        <v>0</v>
      </c>
      <c r="BB218" s="102">
        <f>VLOOKUP(L218,设备合同!$L$6:$CC$302,43,0)</f>
        <v>0</v>
      </c>
      <c r="BC218" s="102">
        <f>VLOOKUP(L218,设备合同!$L$6:$CC$302,44,0)</f>
        <v>0</v>
      </c>
      <c r="BD218" s="102">
        <f>VLOOKUP(L218,设备合同!$L$6:$CC$302,45,0)</f>
        <v>0</v>
      </c>
      <c r="BE218" s="102">
        <f>VLOOKUP(L218,设备合同!$L$6:$CC$302,46,0)</f>
        <v>0</v>
      </c>
      <c r="BF218" s="102">
        <f>VLOOKUP(L218,设备合同!$L$6:$CC$302,47,0)</f>
        <v>0</v>
      </c>
      <c r="BG218" s="102">
        <f>VLOOKUP(L218,设备合同!$L$6:$CC$302,48,0)</f>
        <v>0</v>
      </c>
      <c r="BH218" s="102">
        <f>VLOOKUP(L218,设备合同!$L$6:$CC$302,49,0)</f>
        <v>0</v>
      </c>
      <c r="BI218" s="102">
        <f>VLOOKUP(L218,设备合同!$L$6:$CC$302,50,0)</f>
        <v>0</v>
      </c>
      <c r="BJ218" s="102">
        <f>VLOOKUP(L218,设备合同!$L$6:$CC$302,51,0)</f>
        <v>0</v>
      </c>
      <c r="BK218" s="102">
        <f>VLOOKUP(L218,设备合同!$L$6:$CC$302,52,0)</f>
        <v>0</v>
      </c>
      <c r="BL218" s="102">
        <f>VLOOKUP(L218,设备合同!$L$6:$CC$302,53,0)</f>
        <v>0</v>
      </c>
      <c r="BM218" s="102">
        <f>VLOOKUP(L218,设备合同!$L$6:$CC$302,54,0)</f>
        <v>0</v>
      </c>
      <c r="BN218" s="102">
        <f>VLOOKUP(L218,设备合同!$L$6:$CC$302,55,0)</f>
        <v>0</v>
      </c>
      <c r="BO218" s="102">
        <f>VLOOKUP(L218,设备合同!$L$6:$CC$302,56,0)</f>
        <v>0</v>
      </c>
      <c r="BP218" s="102">
        <f>VLOOKUP(L218,设备合同!$L$6:$CC$302,57,0)</f>
        <v>0</v>
      </c>
      <c r="BQ218" s="102">
        <f>VLOOKUP(L218,设备合同!$L$6:$CC$302,58,0)</f>
        <v>0</v>
      </c>
      <c r="BR218" s="102">
        <f>VLOOKUP(L218,设备合同!$L$6:$CC$302,59,0)</f>
        <v>0</v>
      </c>
      <c r="BS218" s="102">
        <f>VLOOKUP(L218,设备合同!$L$6:$CC$302,60,0)</f>
        <v>0</v>
      </c>
      <c r="BT218" s="102">
        <f>VLOOKUP(L218,设备合同!$L$6:$CC$302,61,0)</f>
        <v>0</v>
      </c>
      <c r="BU218" s="102">
        <f>VLOOKUP(L218,设备合同!$L$6:$CC$302,62,0)</f>
        <v>0</v>
      </c>
      <c r="BV218" s="102">
        <f>VLOOKUP(L218,设备合同!$L$6:$CC$302,63,0)</f>
        <v>0</v>
      </c>
      <c r="BW218" s="102">
        <f>VLOOKUP(L218,设备合同!$L$6:$CC$302,64,0)</f>
        <v>0</v>
      </c>
      <c r="BX218" s="102">
        <f>VLOOKUP(L218,设备合同!$L$6:$CC$302,65,0)</f>
        <v>0</v>
      </c>
      <c r="BY218" s="102">
        <f>VLOOKUP(L218,设备合同!$L$6:$CC$302,66,0)</f>
        <v>0</v>
      </c>
      <c r="BZ218" s="102">
        <f>VLOOKUP(L218,设备合同!$L$6:$CC$302,67,0)</f>
        <v>0</v>
      </c>
      <c r="CA218" s="102">
        <f>VLOOKUP(L218,设备合同!$L$6:$CC$302,68,0)</f>
        <v>0</v>
      </c>
      <c r="CB218" s="102">
        <f>VLOOKUP(L218,设备合同!$L$6:$CC$302,69,0)</f>
        <v>0</v>
      </c>
      <c r="CC218" s="102">
        <f>VLOOKUP(L218,设备合同!$L$6:$CC$302,70,0)</f>
        <v>0</v>
      </c>
      <c r="CD218" s="123">
        <f t="shared" si="55"/>
        <v>3980000</v>
      </c>
      <c r="CE218" s="102">
        <f t="shared" si="56"/>
        <v>796000</v>
      </c>
      <c r="CF218" s="102">
        <f t="shared" si="57"/>
        <v>796000</v>
      </c>
      <c r="CG218" s="102">
        <f t="shared" si="58"/>
        <v>0</v>
      </c>
      <c r="CH218" s="124">
        <f t="shared" si="59"/>
        <v>3184000</v>
      </c>
      <c r="CI218" s="125">
        <f t="shared" si="60"/>
        <v>0.2</v>
      </c>
      <c r="CJ218" s="126" t="str">
        <f t="shared" si="61"/>
        <v>数据正确</v>
      </c>
    </row>
    <row r="219" s="60" customFormat="1" customHeight="1" spans="2:88">
      <c r="B219" s="70" t="str">
        <f t="shared" si="51"/>
        <v>-</v>
      </c>
      <c r="C219" s="71" t="str">
        <f t="shared" si="52"/>
        <v>-</v>
      </c>
      <c r="D219" s="181">
        <f t="shared" si="53"/>
        <v>0</v>
      </c>
      <c r="E219" s="181">
        <f>SUMIF(设备合同!$L$6:$L$302,L219,设备合同!$E$6:$E$302)</f>
        <v>0</v>
      </c>
      <c r="F219" s="181">
        <f>SUMIF(设备合同!$L$6:$L$302,L219,设备合同!$F$6:$F$302)</f>
        <v>0</v>
      </c>
      <c r="G219" s="181">
        <f>SUMIF(设备合同!$L$6:$L$302,L219,设备合同!$G$6:$G$302)</f>
        <v>0</v>
      </c>
      <c r="H219" s="181">
        <f>SUMIF(设备合同!$L$6:$L$302,L219,设备合同!$H$6:$H$302)</f>
        <v>0</v>
      </c>
      <c r="I219" s="181">
        <f t="shared" si="54"/>
        <v>0</v>
      </c>
      <c r="J219" s="86" t="s">
        <v>98</v>
      </c>
      <c r="K219" s="87"/>
      <c r="L219" s="88">
        <v>214</v>
      </c>
      <c r="M219" s="89" t="str">
        <f>VLOOKUP(L219,设备合同!$L$6:$CC$302,2,0)</f>
        <v>YRKJEQ-170036</v>
      </c>
      <c r="N219" s="90" t="str">
        <f>VLOOKUP(L219,设备合同!$L$6:$CC$302,3,0)</f>
        <v>设备合同</v>
      </c>
      <c r="O219" s="265">
        <f>VLOOKUP(L219,设备合同!$L$6:$CC$302,4,0)</f>
        <v>2017050044</v>
      </c>
      <c r="P219" s="266">
        <f>VLOOKUP(L219,设备合同!$L$6:$CC$302,5,0)</f>
        <v>42909</v>
      </c>
      <c r="Q219" s="275">
        <f>VLOOKUP(L219,设备合同!$L$6:$CC$302,6,0)</f>
        <v>560000</v>
      </c>
      <c r="R219" s="89" t="str">
        <f>VLOOKUP(L219,设备合同!$L$6:$CC$302,7,0)</f>
        <v>自吸泵51台</v>
      </c>
      <c r="S219" s="89" t="str">
        <f>VLOOKUP(L219,设备合同!$L$6:$CC$302,8,0)</f>
        <v>江苏长凯机械设备有限公司</v>
      </c>
      <c r="T219" s="107">
        <f>VLOOKUP(L219,设备合同!$L$6:$CC$302,9,0)</f>
        <v>0</v>
      </c>
      <c r="U219" s="103" t="str">
        <f>VLOOKUP(L219,设备合同!$L$6:$CC$302,10,0)</f>
        <v>6个月承兑汇票/电汇不下浮</v>
      </c>
      <c r="V219" s="276" t="str">
        <f>VLOOKUP(L219,设备合同!$L$6:$CC$302,11,0)</f>
        <v>甲方收到乙方20%的预付款保函以及本合同的10%履约保函，等额专票后15个工作日支付20%预付款</v>
      </c>
      <c r="W219" s="102">
        <f>VLOOKUP(L219,设备合同!$L$6:$CC$302,12,0)</f>
        <v>112000</v>
      </c>
      <c r="X219" s="102">
        <f>VLOOKUP(L219,设备合同!$L$6:$CC$302,13,0)</f>
        <v>0</v>
      </c>
      <c r="Y219" s="102">
        <f>VLOOKUP(L219,设备合同!$L$6:$CC$302,14,0)</f>
        <v>0</v>
      </c>
      <c r="Z219" s="102" t="str">
        <f>VLOOKUP(L219,设备合同!$L$6:$CC$302,15,0)</f>
        <v>甲方到乙方现场确认无误后，收到17%等额专票，15个工作日内支付40%发货款</v>
      </c>
      <c r="AA219" s="102">
        <f>VLOOKUP(L219,设备合同!$L$6:$CC$302,16,0)</f>
        <v>224000</v>
      </c>
      <c r="AB219" s="102">
        <f>VLOOKUP(L219,设备合同!$L$6:$CC$302,17,0)</f>
        <v>0</v>
      </c>
      <c r="AC219" s="102">
        <f>VLOOKUP(L219,设备合同!$L$6:$CC$302,18,0)</f>
        <v>0</v>
      </c>
      <c r="AD219" s="102" t="str">
        <f>VLOOKUP(L219,设备合同!$L$6:$CC$302,19,0)</f>
        <v>开车验收合格后，提供全额专票，一个月内支付30%验收款</v>
      </c>
      <c r="AE219" s="102">
        <f>VLOOKUP(L219,设备合同!$L$6:$CC$302,20,0)</f>
        <v>168000</v>
      </c>
      <c r="AF219" s="102">
        <f>VLOOKUP(L219,设备合同!$L$6:$CC$302,21,0)</f>
        <v>0</v>
      </c>
      <c r="AG219" s="102">
        <f>VLOOKUP(L219,设备合同!$L$6:$CC$302,22,0)</f>
        <v>0</v>
      </c>
      <c r="AH219" s="102" t="str">
        <f>VLOOKUP(L219,设备合同!$L$6:$CC$302,23,0)</f>
        <v>10%质保金，验收合格12个月或到货现场18个月</v>
      </c>
      <c r="AI219" s="102">
        <f>VLOOKUP(L219,设备合同!$L$6:$CC$302,24,0)</f>
        <v>56000</v>
      </c>
      <c r="AJ219" s="102">
        <f>VLOOKUP(L219,设备合同!$L$6:$CC$302,25,0)</f>
        <v>0</v>
      </c>
      <c r="AK219" s="102">
        <f>VLOOKUP(L219,设备合同!$L$6:$CC$302,26,0)</f>
        <v>0</v>
      </c>
      <c r="AL219" s="102">
        <f>VLOOKUP(L219,设备合同!$L$6:$CC$302,27,0)</f>
        <v>0</v>
      </c>
      <c r="AM219" s="102">
        <f>VLOOKUP(L219,设备合同!$L$6:$CC$302,28,0)</f>
        <v>0</v>
      </c>
      <c r="AN219" s="102">
        <f>VLOOKUP(L219,设备合同!$L$6:$CC$302,29,0)</f>
        <v>0</v>
      </c>
      <c r="AO219" s="102">
        <f>VLOOKUP(L219,设备合同!$L$6:$CC$302,30,0)</f>
        <v>0</v>
      </c>
      <c r="AP219" s="102">
        <f>VLOOKUP(L219,设备合同!$L$6:$CC$302,31,0)</f>
        <v>0</v>
      </c>
      <c r="AQ219" s="102">
        <f>VLOOKUP(L219,设备合同!$L$6:$CC$302,32,0)</f>
        <v>0</v>
      </c>
      <c r="AR219" s="102">
        <f>VLOOKUP(L219,设备合同!$L$6:$CC$302,33,0)</f>
        <v>0</v>
      </c>
      <c r="AS219" s="102">
        <f>VLOOKUP(L219,设备合同!$L$6:$CC$302,34,0)</f>
        <v>0</v>
      </c>
      <c r="AT219" s="102">
        <f>VLOOKUP(L219,设备合同!$L$6:$CC$302,35,0)</f>
        <v>0</v>
      </c>
      <c r="AU219" s="102">
        <f>VLOOKUP(L219,设备合同!$L$6:$CC$302,36,0)</f>
        <v>0</v>
      </c>
      <c r="AV219" s="102">
        <f>VLOOKUP(L219,设备合同!$L$6:$CC$302,37,0)</f>
        <v>0</v>
      </c>
      <c r="AW219" s="102">
        <f>VLOOKUP(L219,设备合同!$L$6:$CC$302,38,0)</f>
        <v>0</v>
      </c>
      <c r="AX219" s="102">
        <f>VLOOKUP(L219,设备合同!$L$6:$CC$302,39,0)</f>
        <v>0</v>
      </c>
      <c r="AY219" s="102">
        <f>VLOOKUP(L219,设备合同!$L$6:$CC$302,40,0)</f>
        <v>0</v>
      </c>
      <c r="AZ219" s="102">
        <f>VLOOKUP(L219,设备合同!$L$6:$CC$302,41,0)</f>
        <v>0</v>
      </c>
      <c r="BA219" s="102">
        <f>VLOOKUP(L219,设备合同!$L$6:$CC$302,42,0)</f>
        <v>0</v>
      </c>
      <c r="BB219" s="102">
        <f>VLOOKUP(L219,设备合同!$L$6:$CC$302,43,0)</f>
        <v>0</v>
      </c>
      <c r="BC219" s="102">
        <f>VLOOKUP(L219,设备合同!$L$6:$CC$302,44,0)</f>
        <v>0</v>
      </c>
      <c r="BD219" s="102">
        <f>VLOOKUP(L219,设备合同!$L$6:$CC$302,45,0)</f>
        <v>0</v>
      </c>
      <c r="BE219" s="102">
        <f>VLOOKUP(L219,设备合同!$L$6:$CC$302,46,0)</f>
        <v>0</v>
      </c>
      <c r="BF219" s="102">
        <f>VLOOKUP(L219,设备合同!$L$6:$CC$302,47,0)</f>
        <v>0</v>
      </c>
      <c r="BG219" s="102">
        <f>VLOOKUP(L219,设备合同!$L$6:$CC$302,48,0)</f>
        <v>0</v>
      </c>
      <c r="BH219" s="102">
        <f>VLOOKUP(L219,设备合同!$L$6:$CC$302,49,0)</f>
        <v>0</v>
      </c>
      <c r="BI219" s="102">
        <f>VLOOKUP(L219,设备合同!$L$6:$CC$302,50,0)</f>
        <v>0</v>
      </c>
      <c r="BJ219" s="102">
        <f>VLOOKUP(L219,设备合同!$L$6:$CC$302,51,0)</f>
        <v>0</v>
      </c>
      <c r="BK219" s="102">
        <f>VLOOKUP(L219,设备合同!$L$6:$CC$302,52,0)</f>
        <v>0</v>
      </c>
      <c r="BL219" s="102">
        <f>VLOOKUP(L219,设备合同!$L$6:$CC$302,53,0)</f>
        <v>0</v>
      </c>
      <c r="BM219" s="102">
        <f>VLOOKUP(L219,设备合同!$L$6:$CC$302,54,0)</f>
        <v>0</v>
      </c>
      <c r="BN219" s="102">
        <f>VLOOKUP(L219,设备合同!$L$6:$CC$302,55,0)</f>
        <v>0</v>
      </c>
      <c r="BO219" s="102">
        <f>VLOOKUP(L219,设备合同!$L$6:$CC$302,56,0)</f>
        <v>0</v>
      </c>
      <c r="BP219" s="102">
        <f>VLOOKUP(L219,设备合同!$L$6:$CC$302,57,0)</f>
        <v>0</v>
      </c>
      <c r="BQ219" s="102">
        <f>VLOOKUP(L219,设备合同!$L$6:$CC$302,58,0)</f>
        <v>0</v>
      </c>
      <c r="BR219" s="102">
        <f>VLOOKUP(L219,设备合同!$L$6:$CC$302,59,0)</f>
        <v>0</v>
      </c>
      <c r="BS219" s="102">
        <f>VLOOKUP(L219,设备合同!$L$6:$CC$302,60,0)</f>
        <v>0</v>
      </c>
      <c r="BT219" s="102">
        <f>VLOOKUP(L219,设备合同!$L$6:$CC$302,61,0)</f>
        <v>0</v>
      </c>
      <c r="BU219" s="102">
        <f>VLOOKUP(L219,设备合同!$L$6:$CC$302,62,0)</f>
        <v>0</v>
      </c>
      <c r="BV219" s="102">
        <f>VLOOKUP(L219,设备合同!$L$6:$CC$302,63,0)</f>
        <v>0</v>
      </c>
      <c r="BW219" s="102">
        <f>VLOOKUP(L219,设备合同!$L$6:$CC$302,64,0)</f>
        <v>0</v>
      </c>
      <c r="BX219" s="102">
        <f>VLOOKUP(L219,设备合同!$L$6:$CC$302,65,0)</f>
        <v>0</v>
      </c>
      <c r="BY219" s="102">
        <f>VLOOKUP(L219,设备合同!$L$6:$CC$302,66,0)</f>
        <v>0</v>
      </c>
      <c r="BZ219" s="102">
        <f>VLOOKUP(L219,设备合同!$L$6:$CC$302,67,0)</f>
        <v>0</v>
      </c>
      <c r="CA219" s="102">
        <f>VLOOKUP(L219,设备合同!$L$6:$CC$302,68,0)</f>
        <v>0</v>
      </c>
      <c r="CB219" s="102">
        <f>VLOOKUP(L219,设备合同!$L$6:$CC$302,69,0)</f>
        <v>0</v>
      </c>
      <c r="CC219" s="102">
        <f>VLOOKUP(L219,设备合同!$L$6:$CC$302,70,0)</f>
        <v>0</v>
      </c>
      <c r="CD219" s="123">
        <f t="shared" si="55"/>
        <v>560000</v>
      </c>
      <c r="CE219" s="102">
        <f t="shared" si="56"/>
        <v>0</v>
      </c>
      <c r="CF219" s="102">
        <f t="shared" si="57"/>
        <v>0</v>
      </c>
      <c r="CG219" s="102">
        <f t="shared" si="58"/>
        <v>0</v>
      </c>
      <c r="CH219" s="124">
        <f t="shared" si="59"/>
        <v>560000</v>
      </c>
      <c r="CI219" s="125">
        <f t="shared" si="60"/>
        <v>0</v>
      </c>
      <c r="CJ219" s="126" t="str">
        <f t="shared" si="61"/>
        <v>数据正确</v>
      </c>
    </row>
    <row r="220" s="60" customFormat="1" customHeight="1" spans="2:88">
      <c r="B220" s="70" t="str">
        <f t="shared" si="51"/>
        <v>-</v>
      </c>
      <c r="C220" s="71" t="str">
        <f t="shared" si="52"/>
        <v>-</v>
      </c>
      <c r="D220" s="181">
        <f t="shared" si="53"/>
        <v>0</v>
      </c>
      <c r="E220" s="181">
        <f>SUMIF(设备合同!$L$6:$L$302,L220,设备合同!$E$6:$E$302)</f>
        <v>0</v>
      </c>
      <c r="F220" s="181">
        <f>SUMIF(设备合同!$L$6:$L$302,L220,设备合同!$F$6:$F$302)</f>
        <v>0</v>
      </c>
      <c r="G220" s="181">
        <f>SUMIF(设备合同!$L$6:$L$302,L220,设备合同!$G$6:$G$302)</f>
        <v>0</v>
      </c>
      <c r="H220" s="181">
        <f>SUMIF(设备合同!$L$6:$L$302,L220,设备合同!$H$6:$H$302)</f>
        <v>0</v>
      </c>
      <c r="I220" s="181">
        <f t="shared" si="54"/>
        <v>0</v>
      </c>
      <c r="J220" s="86" t="s">
        <v>98</v>
      </c>
      <c r="K220" s="87"/>
      <c r="L220" s="88">
        <v>215</v>
      </c>
      <c r="M220" s="89" t="str">
        <f>VLOOKUP(L220,设备合同!$L$6:$CC$302,2,0)</f>
        <v>YRKJEQ-170043</v>
      </c>
      <c r="N220" s="90" t="str">
        <f>VLOOKUP(L220,设备合同!$L$6:$CC$302,3,0)</f>
        <v>设备合同</v>
      </c>
      <c r="O220" s="265">
        <f>VLOOKUP(L220,设备合同!$L$6:$CC$302,4,0)</f>
        <v>2017060010</v>
      </c>
      <c r="P220" s="266">
        <f>VLOOKUP(L220,设备合同!$L$6:$CC$302,5,0)</f>
        <v>42920</v>
      </c>
      <c r="Q220" s="275">
        <f>VLOOKUP(L220,设备合同!$L$6:$CC$302,6,0)</f>
        <v>85000</v>
      </c>
      <c r="R220" s="89" t="str">
        <f>VLOOKUP(L220,设备合同!$L$6:$CC$302,7,0)</f>
        <v>液下泵4台</v>
      </c>
      <c r="S220" s="89" t="str">
        <f>VLOOKUP(L220,设备合同!$L$6:$CC$302,8,0)</f>
        <v>江苏长凯机械设备有限公司</v>
      </c>
      <c r="T220" s="107">
        <f>VLOOKUP(L220,设备合同!$L$6:$CC$302,9,0)</f>
        <v>0</v>
      </c>
      <c r="U220" s="103" t="str">
        <f>VLOOKUP(L220,设备合同!$L$6:$CC$302,10,0)</f>
        <v>6个月承兑汇票/电汇不下浮</v>
      </c>
      <c r="V220" s="276" t="str">
        <f>VLOOKUP(L220,设备合同!$L$6:$CC$302,11,0)</f>
        <v>甲方收到乙方20%的预付款保函以等额专票后15个工作日支付20%预付款</v>
      </c>
      <c r="W220" s="102">
        <f>VLOOKUP(L220,设备合同!$L$6:$CC$302,12,0)</f>
        <v>17000</v>
      </c>
      <c r="X220" s="102">
        <f>VLOOKUP(L220,设备合同!$L$6:$CC$302,13,0)</f>
        <v>0</v>
      </c>
      <c r="Y220" s="102">
        <f>VLOOKUP(L220,设备合同!$L$6:$CC$302,14,0)</f>
        <v>0</v>
      </c>
      <c r="Z220" s="102" t="str">
        <f>VLOOKUP(L220,设备合同!$L$6:$CC$302,15,0)</f>
        <v>甲方到乙方现场确认无误后，收到17%等额专票，15个工作日内支付40%发货款</v>
      </c>
      <c r="AA220" s="102">
        <f>VLOOKUP(L220,设备合同!$L$6:$CC$302,16,0)</f>
        <v>34000</v>
      </c>
      <c r="AB220" s="102">
        <f>VLOOKUP(L220,设备合同!$L$6:$CC$302,17,0)</f>
        <v>0</v>
      </c>
      <c r="AC220" s="102">
        <f>VLOOKUP(L220,设备合同!$L$6:$CC$302,18,0)</f>
        <v>0</v>
      </c>
      <c r="AD220" s="102" t="str">
        <f>VLOOKUP(L220,设备合同!$L$6:$CC$302,19,0)</f>
        <v>开车验收合格后，提供全额专票，一个月内支付30%验收款</v>
      </c>
      <c r="AE220" s="102">
        <f>VLOOKUP(L220,设备合同!$L$6:$CC$302,20,0)</f>
        <v>25500</v>
      </c>
      <c r="AF220" s="102">
        <f>VLOOKUP(L220,设备合同!$L$6:$CC$302,21,0)</f>
        <v>0</v>
      </c>
      <c r="AG220" s="102">
        <f>VLOOKUP(L220,设备合同!$L$6:$CC$302,22,0)</f>
        <v>0</v>
      </c>
      <c r="AH220" s="102" t="str">
        <f>VLOOKUP(L220,设备合同!$L$6:$CC$302,23,0)</f>
        <v>10%质保金，验收合格12个月或到货现场18个月</v>
      </c>
      <c r="AI220" s="102">
        <f>VLOOKUP(L220,设备合同!$L$6:$CC$302,24,0)</f>
        <v>8500</v>
      </c>
      <c r="AJ220" s="102">
        <f>VLOOKUP(L220,设备合同!$L$6:$CC$302,25,0)</f>
        <v>0</v>
      </c>
      <c r="AK220" s="102">
        <f>VLOOKUP(L220,设备合同!$L$6:$CC$302,26,0)</f>
        <v>0</v>
      </c>
      <c r="AL220" s="102">
        <f>VLOOKUP(L220,设备合同!$L$6:$CC$302,27,0)</f>
        <v>0</v>
      </c>
      <c r="AM220" s="102">
        <f>VLOOKUP(L220,设备合同!$L$6:$CC$302,28,0)</f>
        <v>0</v>
      </c>
      <c r="AN220" s="102">
        <f>VLOOKUP(L220,设备合同!$L$6:$CC$302,29,0)</f>
        <v>0</v>
      </c>
      <c r="AO220" s="102">
        <f>VLOOKUP(L220,设备合同!$L$6:$CC$302,30,0)</f>
        <v>0</v>
      </c>
      <c r="AP220" s="102">
        <f>VLOOKUP(L220,设备合同!$L$6:$CC$302,31,0)</f>
        <v>0</v>
      </c>
      <c r="AQ220" s="102">
        <f>VLOOKUP(L220,设备合同!$L$6:$CC$302,32,0)</f>
        <v>0</v>
      </c>
      <c r="AR220" s="102">
        <f>VLOOKUP(L220,设备合同!$L$6:$CC$302,33,0)</f>
        <v>0</v>
      </c>
      <c r="AS220" s="102">
        <f>VLOOKUP(L220,设备合同!$L$6:$CC$302,34,0)</f>
        <v>0</v>
      </c>
      <c r="AT220" s="102">
        <f>VLOOKUP(L220,设备合同!$L$6:$CC$302,35,0)</f>
        <v>0</v>
      </c>
      <c r="AU220" s="102">
        <f>VLOOKUP(L220,设备合同!$L$6:$CC$302,36,0)</f>
        <v>0</v>
      </c>
      <c r="AV220" s="102">
        <f>VLOOKUP(L220,设备合同!$L$6:$CC$302,37,0)</f>
        <v>0</v>
      </c>
      <c r="AW220" s="102">
        <f>VLOOKUP(L220,设备合同!$L$6:$CC$302,38,0)</f>
        <v>0</v>
      </c>
      <c r="AX220" s="102">
        <f>VLOOKUP(L220,设备合同!$L$6:$CC$302,39,0)</f>
        <v>0</v>
      </c>
      <c r="AY220" s="102">
        <f>VLOOKUP(L220,设备合同!$L$6:$CC$302,40,0)</f>
        <v>0</v>
      </c>
      <c r="AZ220" s="102">
        <f>VLOOKUP(L220,设备合同!$L$6:$CC$302,41,0)</f>
        <v>0</v>
      </c>
      <c r="BA220" s="102">
        <f>VLOOKUP(L220,设备合同!$L$6:$CC$302,42,0)</f>
        <v>0</v>
      </c>
      <c r="BB220" s="102">
        <f>VLOOKUP(L220,设备合同!$L$6:$CC$302,43,0)</f>
        <v>0</v>
      </c>
      <c r="BC220" s="102">
        <f>VLOOKUP(L220,设备合同!$L$6:$CC$302,44,0)</f>
        <v>0</v>
      </c>
      <c r="BD220" s="102">
        <f>VLOOKUP(L220,设备合同!$L$6:$CC$302,45,0)</f>
        <v>0</v>
      </c>
      <c r="BE220" s="102">
        <f>VLOOKUP(L220,设备合同!$L$6:$CC$302,46,0)</f>
        <v>0</v>
      </c>
      <c r="BF220" s="102">
        <f>VLOOKUP(L220,设备合同!$L$6:$CC$302,47,0)</f>
        <v>0</v>
      </c>
      <c r="BG220" s="102">
        <f>VLOOKUP(L220,设备合同!$L$6:$CC$302,48,0)</f>
        <v>0</v>
      </c>
      <c r="BH220" s="102">
        <f>VLOOKUP(L220,设备合同!$L$6:$CC$302,49,0)</f>
        <v>0</v>
      </c>
      <c r="BI220" s="102">
        <f>VLOOKUP(L220,设备合同!$L$6:$CC$302,50,0)</f>
        <v>0</v>
      </c>
      <c r="BJ220" s="102">
        <f>VLOOKUP(L220,设备合同!$L$6:$CC$302,51,0)</f>
        <v>0</v>
      </c>
      <c r="BK220" s="102">
        <f>VLOOKUP(L220,设备合同!$L$6:$CC$302,52,0)</f>
        <v>0</v>
      </c>
      <c r="BL220" s="102">
        <f>VLOOKUP(L220,设备合同!$L$6:$CC$302,53,0)</f>
        <v>0</v>
      </c>
      <c r="BM220" s="102">
        <f>VLOOKUP(L220,设备合同!$L$6:$CC$302,54,0)</f>
        <v>0</v>
      </c>
      <c r="BN220" s="102">
        <f>VLOOKUP(L220,设备合同!$L$6:$CC$302,55,0)</f>
        <v>0</v>
      </c>
      <c r="BO220" s="102">
        <f>VLOOKUP(L220,设备合同!$L$6:$CC$302,56,0)</f>
        <v>0</v>
      </c>
      <c r="BP220" s="102">
        <f>VLOOKUP(L220,设备合同!$L$6:$CC$302,57,0)</f>
        <v>0</v>
      </c>
      <c r="BQ220" s="102">
        <f>VLOOKUP(L220,设备合同!$L$6:$CC$302,58,0)</f>
        <v>0</v>
      </c>
      <c r="BR220" s="102">
        <f>VLOOKUP(L220,设备合同!$L$6:$CC$302,59,0)</f>
        <v>0</v>
      </c>
      <c r="BS220" s="102">
        <f>VLOOKUP(L220,设备合同!$L$6:$CC$302,60,0)</f>
        <v>0</v>
      </c>
      <c r="BT220" s="102">
        <f>VLOOKUP(L220,设备合同!$L$6:$CC$302,61,0)</f>
        <v>0</v>
      </c>
      <c r="BU220" s="102">
        <f>VLOOKUP(L220,设备合同!$L$6:$CC$302,62,0)</f>
        <v>0</v>
      </c>
      <c r="BV220" s="102">
        <f>VLOOKUP(L220,设备合同!$L$6:$CC$302,63,0)</f>
        <v>0</v>
      </c>
      <c r="BW220" s="102">
        <f>VLOOKUP(L220,设备合同!$L$6:$CC$302,64,0)</f>
        <v>0</v>
      </c>
      <c r="BX220" s="102">
        <f>VLOOKUP(L220,设备合同!$L$6:$CC$302,65,0)</f>
        <v>0</v>
      </c>
      <c r="BY220" s="102">
        <f>VLOOKUP(L220,设备合同!$L$6:$CC$302,66,0)</f>
        <v>0</v>
      </c>
      <c r="BZ220" s="102">
        <f>VLOOKUP(L220,设备合同!$L$6:$CC$302,67,0)</f>
        <v>0</v>
      </c>
      <c r="CA220" s="102">
        <f>VLOOKUP(L220,设备合同!$L$6:$CC$302,68,0)</f>
        <v>0</v>
      </c>
      <c r="CB220" s="102">
        <f>VLOOKUP(L220,设备合同!$L$6:$CC$302,69,0)</f>
        <v>0</v>
      </c>
      <c r="CC220" s="102">
        <f>VLOOKUP(L220,设备合同!$L$6:$CC$302,70,0)</f>
        <v>0</v>
      </c>
      <c r="CD220" s="123">
        <f t="shared" si="55"/>
        <v>85000</v>
      </c>
      <c r="CE220" s="102">
        <f t="shared" si="56"/>
        <v>0</v>
      </c>
      <c r="CF220" s="102">
        <f t="shared" si="57"/>
        <v>0</v>
      </c>
      <c r="CG220" s="102">
        <f t="shared" si="58"/>
        <v>0</v>
      </c>
      <c r="CH220" s="124">
        <f t="shared" si="59"/>
        <v>85000</v>
      </c>
      <c r="CI220" s="125">
        <f t="shared" si="60"/>
        <v>0</v>
      </c>
      <c r="CJ220" s="126" t="str">
        <f t="shared" si="61"/>
        <v>数据正确</v>
      </c>
    </row>
    <row r="221" s="60" customFormat="1" customHeight="1" spans="2:88">
      <c r="B221" s="70" t="str">
        <f t="shared" si="51"/>
        <v>申请中</v>
      </c>
      <c r="C221" s="71" t="str">
        <f t="shared" si="52"/>
        <v>-</v>
      </c>
      <c r="D221" s="181">
        <f t="shared" si="53"/>
        <v>0</v>
      </c>
      <c r="E221" s="181">
        <f>SUMIF(设备合同!$L$6:$L$302,L221,设备合同!$E$6:$E$302)</f>
        <v>0</v>
      </c>
      <c r="F221" s="181">
        <f>SUMIF(设备合同!$L$6:$L$302,L221,设备合同!$F$6:$F$302)</f>
        <v>0</v>
      </c>
      <c r="G221" s="181">
        <f>SUMIF(设备合同!$L$6:$L$302,L221,设备合同!$G$6:$G$302)</f>
        <v>0</v>
      </c>
      <c r="H221" s="181">
        <f>SUMIF(设备合同!$L$6:$L$302,L221,设备合同!$H$6:$H$302)</f>
        <v>0</v>
      </c>
      <c r="I221" s="181">
        <f t="shared" si="54"/>
        <v>84000</v>
      </c>
      <c r="J221" s="86" t="s">
        <v>98</v>
      </c>
      <c r="K221" s="87"/>
      <c r="L221" s="88">
        <v>216</v>
      </c>
      <c r="M221" s="89" t="str">
        <f>VLOOKUP(L221,设备合同!$L$6:$CC$302,2,0)</f>
        <v>YRKJEQ-170065</v>
      </c>
      <c r="N221" s="90" t="str">
        <f>VLOOKUP(L221,设备合同!$L$6:$CC$302,3,0)</f>
        <v>设备合同</v>
      </c>
      <c r="O221" s="265">
        <f>VLOOKUP(L221,设备合同!$L$6:$CC$302,4,0)</f>
        <v>2017060074</v>
      </c>
      <c r="P221" s="266">
        <f>VLOOKUP(L221,设备合同!$L$6:$CC$302,5,0)</f>
        <v>42942</v>
      </c>
      <c r="Q221" s="275">
        <f>VLOOKUP(L221,设备合同!$L$6:$CC$302,6,0)</f>
        <v>140000</v>
      </c>
      <c r="R221" s="89" t="str">
        <f>VLOOKUP(L221,设备合同!$L$6:$CC$302,7,0)</f>
        <v>罗茨风机2台</v>
      </c>
      <c r="S221" s="89" t="str">
        <f>VLOOKUP(L221,设备合同!$L$6:$CC$302,8,0)</f>
        <v>山东省章丘鼓风机股份有限公司</v>
      </c>
      <c r="T221" s="107" t="str">
        <f>VLOOKUP(L221,设备合同!$L$6:$CC$302,9,0)</f>
        <v>环己酮装置</v>
      </c>
      <c r="U221" s="103" t="str">
        <f>VLOOKUP(L221,设备合同!$L$6:$CC$302,10,0)</f>
        <v>6个月承兑汇票/电汇不下浮</v>
      </c>
      <c r="V221" s="276" t="str">
        <f>VLOOKUP(L221,设备合同!$L$6:$CC$302,11,0)</f>
        <v>甲方收到乙方30%的预付款保函以等额专票后15个工作日支付30%预付款</v>
      </c>
      <c r="W221" s="102">
        <f>VLOOKUP(L221,设备合同!$L$6:$CC$302,12,0)</f>
        <v>42000</v>
      </c>
      <c r="X221" s="102">
        <f>VLOOKUP(L221,设备合同!$L$6:$CC$302,13,0)</f>
        <v>0</v>
      </c>
      <c r="Y221" s="102">
        <f>VLOOKUP(L221,设备合同!$L$6:$CC$302,14,0)</f>
        <v>0</v>
      </c>
      <c r="Z221" s="102" t="str">
        <f>VLOOKUP(L221,设备合同!$L$6:$CC$302,15,0)</f>
        <v>甲方到乙方现场确认无误后，收到17%等额专票，15个工作日内支付60%发货款</v>
      </c>
      <c r="AA221" s="102">
        <f>VLOOKUP(L221,设备合同!$L$6:$CC$302,16,0)</f>
        <v>84000</v>
      </c>
      <c r="AB221" s="102">
        <f>VLOOKUP(L221,设备合同!$L$6:$CC$302,17,0)</f>
        <v>84000</v>
      </c>
      <c r="AC221" s="102">
        <f>VLOOKUP(L221,设备合同!$L$6:$CC$302,18,0)</f>
        <v>0</v>
      </c>
      <c r="AD221" s="102" t="str">
        <f>VLOOKUP(L221,设备合同!$L$6:$CC$302,19,0)</f>
        <v>10%质保金，验收合格12个月或到货现场18个月</v>
      </c>
      <c r="AE221" s="102">
        <f>VLOOKUP(L221,设备合同!$L$6:$CC$302,20,0)</f>
        <v>14000</v>
      </c>
      <c r="AF221" s="102">
        <f>VLOOKUP(L221,设备合同!$L$6:$CC$302,21,0)</f>
        <v>0</v>
      </c>
      <c r="AG221" s="102">
        <f>VLOOKUP(L221,设备合同!$L$6:$CC$302,22,0)</f>
        <v>0</v>
      </c>
      <c r="AH221" s="102">
        <f>VLOOKUP(L221,设备合同!$L$6:$CC$302,23,0)</f>
        <v>0</v>
      </c>
      <c r="AI221" s="102">
        <f>VLOOKUP(L221,设备合同!$L$6:$CC$302,24,0)</f>
        <v>0</v>
      </c>
      <c r="AJ221" s="102">
        <f>VLOOKUP(L221,设备合同!$L$6:$CC$302,25,0)</f>
        <v>0</v>
      </c>
      <c r="AK221" s="102">
        <f>VLOOKUP(L221,设备合同!$L$6:$CC$302,26,0)</f>
        <v>0</v>
      </c>
      <c r="AL221" s="102">
        <f>VLOOKUP(L221,设备合同!$L$6:$CC$302,27,0)</f>
        <v>0</v>
      </c>
      <c r="AM221" s="102">
        <f>VLOOKUP(L221,设备合同!$L$6:$CC$302,28,0)</f>
        <v>0</v>
      </c>
      <c r="AN221" s="102">
        <f>VLOOKUP(L221,设备合同!$L$6:$CC$302,29,0)</f>
        <v>0</v>
      </c>
      <c r="AO221" s="102">
        <f>VLOOKUP(L221,设备合同!$L$6:$CC$302,30,0)</f>
        <v>0</v>
      </c>
      <c r="AP221" s="102">
        <f>VLOOKUP(L221,设备合同!$L$6:$CC$302,31,0)</f>
        <v>0</v>
      </c>
      <c r="AQ221" s="102">
        <f>VLOOKUP(L221,设备合同!$L$6:$CC$302,32,0)</f>
        <v>0</v>
      </c>
      <c r="AR221" s="102">
        <f>VLOOKUP(L221,设备合同!$L$6:$CC$302,33,0)</f>
        <v>0</v>
      </c>
      <c r="AS221" s="102">
        <f>VLOOKUP(L221,设备合同!$L$6:$CC$302,34,0)</f>
        <v>0</v>
      </c>
      <c r="AT221" s="102">
        <f>VLOOKUP(L221,设备合同!$L$6:$CC$302,35,0)</f>
        <v>0</v>
      </c>
      <c r="AU221" s="102">
        <f>VLOOKUP(L221,设备合同!$L$6:$CC$302,36,0)</f>
        <v>0</v>
      </c>
      <c r="AV221" s="102">
        <f>VLOOKUP(L221,设备合同!$L$6:$CC$302,37,0)</f>
        <v>0</v>
      </c>
      <c r="AW221" s="102">
        <f>VLOOKUP(L221,设备合同!$L$6:$CC$302,38,0)</f>
        <v>0</v>
      </c>
      <c r="AX221" s="102">
        <f>VLOOKUP(L221,设备合同!$L$6:$CC$302,39,0)</f>
        <v>0</v>
      </c>
      <c r="AY221" s="102">
        <f>VLOOKUP(L221,设备合同!$L$6:$CC$302,40,0)</f>
        <v>0</v>
      </c>
      <c r="AZ221" s="102">
        <f>VLOOKUP(L221,设备合同!$L$6:$CC$302,41,0)</f>
        <v>0</v>
      </c>
      <c r="BA221" s="102">
        <f>VLOOKUP(L221,设备合同!$L$6:$CC$302,42,0)</f>
        <v>0</v>
      </c>
      <c r="BB221" s="102">
        <f>VLOOKUP(L221,设备合同!$L$6:$CC$302,43,0)</f>
        <v>0</v>
      </c>
      <c r="BC221" s="102">
        <f>VLOOKUP(L221,设备合同!$L$6:$CC$302,44,0)</f>
        <v>0</v>
      </c>
      <c r="BD221" s="102">
        <f>VLOOKUP(L221,设备合同!$L$6:$CC$302,45,0)</f>
        <v>0</v>
      </c>
      <c r="BE221" s="102">
        <f>VLOOKUP(L221,设备合同!$L$6:$CC$302,46,0)</f>
        <v>0</v>
      </c>
      <c r="BF221" s="102">
        <f>VLOOKUP(L221,设备合同!$L$6:$CC$302,47,0)</f>
        <v>0</v>
      </c>
      <c r="BG221" s="102">
        <f>VLOOKUP(L221,设备合同!$L$6:$CC$302,48,0)</f>
        <v>0</v>
      </c>
      <c r="BH221" s="102">
        <f>VLOOKUP(L221,设备合同!$L$6:$CC$302,49,0)</f>
        <v>0</v>
      </c>
      <c r="BI221" s="102">
        <f>VLOOKUP(L221,设备合同!$L$6:$CC$302,50,0)</f>
        <v>0</v>
      </c>
      <c r="BJ221" s="102">
        <f>VLOOKUP(L221,设备合同!$L$6:$CC$302,51,0)</f>
        <v>0</v>
      </c>
      <c r="BK221" s="102">
        <f>VLOOKUP(L221,设备合同!$L$6:$CC$302,52,0)</f>
        <v>0</v>
      </c>
      <c r="BL221" s="102">
        <f>VLOOKUP(L221,设备合同!$L$6:$CC$302,53,0)</f>
        <v>0</v>
      </c>
      <c r="BM221" s="102">
        <f>VLOOKUP(L221,设备合同!$L$6:$CC$302,54,0)</f>
        <v>0</v>
      </c>
      <c r="BN221" s="102">
        <f>VLOOKUP(L221,设备合同!$L$6:$CC$302,55,0)</f>
        <v>0</v>
      </c>
      <c r="BO221" s="102">
        <f>VLOOKUP(L221,设备合同!$L$6:$CC$302,56,0)</f>
        <v>0</v>
      </c>
      <c r="BP221" s="102">
        <f>VLOOKUP(L221,设备合同!$L$6:$CC$302,57,0)</f>
        <v>0</v>
      </c>
      <c r="BQ221" s="102">
        <f>VLOOKUP(L221,设备合同!$L$6:$CC$302,58,0)</f>
        <v>0</v>
      </c>
      <c r="BR221" s="102">
        <f>VLOOKUP(L221,设备合同!$L$6:$CC$302,59,0)</f>
        <v>0</v>
      </c>
      <c r="BS221" s="102">
        <f>VLOOKUP(L221,设备合同!$L$6:$CC$302,60,0)</f>
        <v>0</v>
      </c>
      <c r="BT221" s="102">
        <f>VLOOKUP(L221,设备合同!$L$6:$CC$302,61,0)</f>
        <v>0</v>
      </c>
      <c r="BU221" s="102">
        <f>VLOOKUP(L221,设备合同!$L$6:$CC$302,62,0)</f>
        <v>0</v>
      </c>
      <c r="BV221" s="102">
        <f>VLOOKUP(L221,设备合同!$L$6:$CC$302,63,0)</f>
        <v>0</v>
      </c>
      <c r="BW221" s="102">
        <f>VLOOKUP(L221,设备合同!$L$6:$CC$302,64,0)</f>
        <v>0</v>
      </c>
      <c r="BX221" s="102">
        <f>VLOOKUP(L221,设备合同!$L$6:$CC$302,65,0)</f>
        <v>0</v>
      </c>
      <c r="BY221" s="102">
        <f>VLOOKUP(L221,设备合同!$L$6:$CC$302,66,0)</f>
        <v>0</v>
      </c>
      <c r="BZ221" s="102">
        <f>VLOOKUP(L221,设备合同!$L$6:$CC$302,67,0)</f>
        <v>0</v>
      </c>
      <c r="CA221" s="102">
        <f>VLOOKUP(L221,设备合同!$L$6:$CC$302,68,0)</f>
        <v>0</v>
      </c>
      <c r="CB221" s="102">
        <f>VLOOKUP(L221,设备合同!$L$6:$CC$302,69,0)</f>
        <v>0</v>
      </c>
      <c r="CC221" s="102">
        <f>VLOOKUP(L221,设备合同!$L$6:$CC$302,70,0)</f>
        <v>0</v>
      </c>
      <c r="CD221" s="123">
        <f t="shared" si="55"/>
        <v>140000</v>
      </c>
      <c r="CE221" s="102">
        <f t="shared" si="56"/>
        <v>84000</v>
      </c>
      <c r="CF221" s="102">
        <f t="shared" si="57"/>
        <v>0</v>
      </c>
      <c r="CG221" s="102">
        <f t="shared" si="58"/>
        <v>0</v>
      </c>
      <c r="CH221" s="124">
        <f t="shared" si="59"/>
        <v>140000</v>
      </c>
      <c r="CI221" s="125">
        <f t="shared" si="60"/>
        <v>0</v>
      </c>
      <c r="CJ221" s="126" t="str">
        <f t="shared" si="61"/>
        <v>数据正确</v>
      </c>
    </row>
    <row r="222" s="60" customFormat="1" customHeight="1" spans="2:88">
      <c r="B222" s="70" t="str">
        <f t="shared" si="51"/>
        <v>-</v>
      </c>
      <c r="C222" s="71" t="str">
        <f t="shared" si="52"/>
        <v>-</v>
      </c>
      <c r="D222" s="181">
        <f t="shared" si="53"/>
        <v>0</v>
      </c>
      <c r="E222" s="181">
        <f>SUMIF(设备合同!$L$6:$L$302,L222,设备合同!$E$6:$E$302)</f>
        <v>0</v>
      </c>
      <c r="F222" s="181">
        <f>SUMIF(设备合同!$L$6:$L$302,L222,设备合同!$F$6:$F$302)</f>
        <v>0</v>
      </c>
      <c r="G222" s="181">
        <f>SUMIF(设备合同!$L$6:$L$302,L222,设备合同!$G$6:$G$302)</f>
        <v>0</v>
      </c>
      <c r="H222" s="181">
        <f>SUMIF(设备合同!$L$6:$L$302,L222,设备合同!$H$6:$H$302)</f>
        <v>0</v>
      </c>
      <c r="I222" s="181">
        <f t="shared" si="54"/>
        <v>0</v>
      </c>
      <c r="J222" s="86" t="s">
        <v>98</v>
      </c>
      <c r="K222" s="87"/>
      <c r="L222" s="88">
        <v>217</v>
      </c>
      <c r="M222" s="89" t="str">
        <f>VLOOKUP(L222,设备合同!$L$6:$CC$302,2,0)</f>
        <v>YRKJEQ-170067</v>
      </c>
      <c r="N222" s="90" t="str">
        <f>VLOOKUP(L222,设备合同!$L$6:$CC$302,3,0)</f>
        <v>设备合同</v>
      </c>
      <c r="O222" s="265">
        <f>VLOOKUP(L222,设备合同!$L$6:$CC$302,4,0)</f>
        <v>2017050009</v>
      </c>
      <c r="P222" s="266">
        <f>VLOOKUP(L222,设备合同!$L$6:$CC$302,5,0)</f>
        <v>42975</v>
      </c>
      <c r="Q222" s="275">
        <f>VLOOKUP(L222,设备合同!$L$6:$CC$302,6,0)</f>
        <v>288000</v>
      </c>
      <c r="R222" s="89" t="str">
        <f>VLOOKUP(L222,设备合同!$L$6:$CC$302,7,0)</f>
        <v>液氨卸车压缩机2台</v>
      </c>
      <c r="S222" s="89" t="str">
        <f>VLOOKUP(L222,设备合同!$L$6:$CC$302,8,0)</f>
        <v>蚌埠市中通压缩机制造有限公司</v>
      </c>
      <c r="T222" s="107">
        <f>VLOOKUP(L222,设备合同!$L$6:$CC$302,9,0)</f>
        <v>0</v>
      </c>
      <c r="U222" s="103" t="str">
        <f>VLOOKUP(L222,设备合同!$L$6:$CC$302,10,0)</f>
        <v>6个月承兑汇票/电汇没说明</v>
      </c>
      <c r="V222" s="276" t="str">
        <f>VLOOKUP(L222,设备合同!$L$6:$CC$302,11,0)</f>
        <v>甲方到乙方现场确认无误后，收到17%等额专票，15个工作日内支付60%发货款。10%履约保函</v>
      </c>
      <c r="W222" s="102">
        <f>VLOOKUP(L222,设备合同!$L$6:$CC$302,12,0)</f>
        <v>172800</v>
      </c>
      <c r="X222" s="102">
        <f>VLOOKUP(L222,设备合同!$L$6:$CC$302,13,0)</f>
        <v>0</v>
      </c>
      <c r="Y222" s="102">
        <f>VLOOKUP(L222,设备合同!$L$6:$CC$302,14,0)</f>
        <v>0</v>
      </c>
      <c r="Z222" s="102" t="str">
        <f>VLOOKUP(L222,设备合同!$L$6:$CC$302,15,0)</f>
        <v>甲方核定的调试合格报告及足额的发票后付30%的验收款</v>
      </c>
      <c r="AA222" s="102">
        <f>VLOOKUP(L222,设备合同!$L$6:$CC$302,16,0)</f>
        <v>86400</v>
      </c>
      <c r="AB222" s="102">
        <f>VLOOKUP(L222,设备合同!$L$6:$CC$302,17,0)</f>
        <v>0</v>
      </c>
      <c r="AC222" s="102">
        <f>VLOOKUP(L222,设备合同!$L$6:$CC$302,18,0)</f>
        <v>0</v>
      </c>
      <c r="AD222" s="102" t="str">
        <f>VLOOKUP(L222,设备合同!$L$6:$CC$302,19,0)</f>
        <v>10%质保金，验收合格12个月或到货现场18个月</v>
      </c>
      <c r="AE222" s="102">
        <f>VLOOKUP(L222,设备合同!$L$6:$CC$302,20,0)</f>
        <v>28800</v>
      </c>
      <c r="AF222" s="102">
        <f>VLOOKUP(L222,设备合同!$L$6:$CC$302,21,0)</f>
        <v>0</v>
      </c>
      <c r="AG222" s="102">
        <f>VLOOKUP(L222,设备合同!$L$6:$CC$302,22,0)</f>
        <v>0</v>
      </c>
      <c r="AH222" s="102">
        <f>VLOOKUP(L222,设备合同!$L$6:$CC$302,23,0)</f>
        <v>0</v>
      </c>
      <c r="AI222" s="102">
        <f>VLOOKUP(L222,设备合同!$L$6:$CC$302,24,0)</f>
        <v>0</v>
      </c>
      <c r="AJ222" s="102">
        <f>VLOOKUP(L222,设备合同!$L$6:$CC$302,25,0)</f>
        <v>0</v>
      </c>
      <c r="AK222" s="102">
        <f>VLOOKUP(L222,设备合同!$L$6:$CC$302,26,0)</f>
        <v>0</v>
      </c>
      <c r="AL222" s="102">
        <f>VLOOKUP(L222,设备合同!$L$6:$CC$302,27,0)</f>
        <v>0</v>
      </c>
      <c r="AM222" s="102">
        <f>VLOOKUP(L222,设备合同!$L$6:$CC$302,28,0)</f>
        <v>0</v>
      </c>
      <c r="AN222" s="102">
        <f>VLOOKUP(L222,设备合同!$L$6:$CC$302,29,0)</f>
        <v>0</v>
      </c>
      <c r="AO222" s="102">
        <f>VLOOKUP(L222,设备合同!$L$6:$CC$302,30,0)</f>
        <v>0</v>
      </c>
      <c r="AP222" s="102">
        <f>VLOOKUP(L222,设备合同!$L$6:$CC$302,31,0)</f>
        <v>0</v>
      </c>
      <c r="AQ222" s="102">
        <f>VLOOKUP(L222,设备合同!$L$6:$CC$302,32,0)</f>
        <v>0</v>
      </c>
      <c r="AR222" s="102">
        <f>VLOOKUP(L222,设备合同!$L$6:$CC$302,33,0)</f>
        <v>0</v>
      </c>
      <c r="AS222" s="102">
        <f>VLOOKUP(L222,设备合同!$L$6:$CC$302,34,0)</f>
        <v>0</v>
      </c>
      <c r="AT222" s="102">
        <f>VLOOKUP(L222,设备合同!$L$6:$CC$302,35,0)</f>
        <v>0</v>
      </c>
      <c r="AU222" s="102">
        <f>VLOOKUP(L222,设备合同!$L$6:$CC$302,36,0)</f>
        <v>0</v>
      </c>
      <c r="AV222" s="102">
        <f>VLOOKUP(L222,设备合同!$L$6:$CC$302,37,0)</f>
        <v>0</v>
      </c>
      <c r="AW222" s="102">
        <f>VLOOKUP(L222,设备合同!$L$6:$CC$302,38,0)</f>
        <v>0</v>
      </c>
      <c r="AX222" s="102">
        <f>VLOOKUP(L222,设备合同!$L$6:$CC$302,39,0)</f>
        <v>0</v>
      </c>
      <c r="AY222" s="102">
        <f>VLOOKUP(L222,设备合同!$L$6:$CC$302,40,0)</f>
        <v>0</v>
      </c>
      <c r="AZ222" s="102">
        <f>VLOOKUP(L222,设备合同!$L$6:$CC$302,41,0)</f>
        <v>0</v>
      </c>
      <c r="BA222" s="102">
        <f>VLOOKUP(L222,设备合同!$L$6:$CC$302,42,0)</f>
        <v>0</v>
      </c>
      <c r="BB222" s="102">
        <f>VLOOKUP(L222,设备合同!$L$6:$CC$302,43,0)</f>
        <v>0</v>
      </c>
      <c r="BC222" s="102">
        <f>VLOOKUP(L222,设备合同!$L$6:$CC$302,44,0)</f>
        <v>0</v>
      </c>
      <c r="BD222" s="102">
        <f>VLOOKUP(L222,设备合同!$L$6:$CC$302,45,0)</f>
        <v>0</v>
      </c>
      <c r="BE222" s="102">
        <f>VLOOKUP(L222,设备合同!$L$6:$CC$302,46,0)</f>
        <v>0</v>
      </c>
      <c r="BF222" s="102">
        <f>VLOOKUP(L222,设备合同!$L$6:$CC$302,47,0)</f>
        <v>0</v>
      </c>
      <c r="BG222" s="102">
        <f>VLOOKUP(L222,设备合同!$L$6:$CC$302,48,0)</f>
        <v>0</v>
      </c>
      <c r="BH222" s="102">
        <f>VLOOKUP(L222,设备合同!$L$6:$CC$302,49,0)</f>
        <v>0</v>
      </c>
      <c r="BI222" s="102">
        <f>VLOOKUP(L222,设备合同!$L$6:$CC$302,50,0)</f>
        <v>0</v>
      </c>
      <c r="BJ222" s="102">
        <f>VLOOKUP(L222,设备合同!$L$6:$CC$302,51,0)</f>
        <v>0</v>
      </c>
      <c r="BK222" s="102">
        <f>VLOOKUP(L222,设备合同!$L$6:$CC$302,52,0)</f>
        <v>0</v>
      </c>
      <c r="BL222" s="102">
        <f>VLOOKUP(L222,设备合同!$L$6:$CC$302,53,0)</f>
        <v>0</v>
      </c>
      <c r="BM222" s="102">
        <f>VLOOKUP(L222,设备合同!$L$6:$CC$302,54,0)</f>
        <v>0</v>
      </c>
      <c r="BN222" s="102">
        <f>VLOOKUP(L222,设备合同!$L$6:$CC$302,55,0)</f>
        <v>0</v>
      </c>
      <c r="BO222" s="102">
        <f>VLOOKUP(L222,设备合同!$L$6:$CC$302,56,0)</f>
        <v>0</v>
      </c>
      <c r="BP222" s="102">
        <f>VLOOKUP(L222,设备合同!$L$6:$CC$302,57,0)</f>
        <v>0</v>
      </c>
      <c r="BQ222" s="102">
        <f>VLOOKUP(L222,设备合同!$L$6:$CC$302,58,0)</f>
        <v>0</v>
      </c>
      <c r="BR222" s="102">
        <f>VLOOKUP(L222,设备合同!$L$6:$CC$302,59,0)</f>
        <v>0</v>
      </c>
      <c r="BS222" s="102">
        <f>VLOOKUP(L222,设备合同!$L$6:$CC$302,60,0)</f>
        <v>0</v>
      </c>
      <c r="BT222" s="102">
        <f>VLOOKUP(L222,设备合同!$L$6:$CC$302,61,0)</f>
        <v>0</v>
      </c>
      <c r="BU222" s="102">
        <f>VLOOKUP(L222,设备合同!$L$6:$CC$302,62,0)</f>
        <v>0</v>
      </c>
      <c r="BV222" s="102">
        <f>VLOOKUP(L222,设备合同!$L$6:$CC$302,63,0)</f>
        <v>0</v>
      </c>
      <c r="BW222" s="102">
        <f>VLOOKUP(L222,设备合同!$L$6:$CC$302,64,0)</f>
        <v>0</v>
      </c>
      <c r="BX222" s="102">
        <f>VLOOKUP(L222,设备合同!$L$6:$CC$302,65,0)</f>
        <v>0</v>
      </c>
      <c r="BY222" s="102">
        <f>VLOOKUP(L222,设备合同!$L$6:$CC$302,66,0)</f>
        <v>0</v>
      </c>
      <c r="BZ222" s="102">
        <f>VLOOKUP(L222,设备合同!$L$6:$CC$302,67,0)</f>
        <v>0</v>
      </c>
      <c r="CA222" s="102">
        <f>VLOOKUP(L222,设备合同!$L$6:$CC$302,68,0)</f>
        <v>0</v>
      </c>
      <c r="CB222" s="102">
        <f>VLOOKUP(L222,设备合同!$L$6:$CC$302,69,0)</f>
        <v>0</v>
      </c>
      <c r="CC222" s="102">
        <f>VLOOKUP(L222,设备合同!$L$6:$CC$302,70,0)</f>
        <v>0</v>
      </c>
      <c r="CD222" s="123">
        <f t="shared" si="55"/>
        <v>288000</v>
      </c>
      <c r="CE222" s="102">
        <f t="shared" si="56"/>
        <v>0</v>
      </c>
      <c r="CF222" s="102">
        <f t="shared" si="57"/>
        <v>0</v>
      </c>
      <c r="CG222" s="102">
        <f t="shared" si="58"/>
        <v>0</v>
      </c>
      <c r="CH222" s="124">
        <f t="shared" si="59"/>
        <v>288000</v>
      </c>
      <c r="CI222" s="125">
        <f t="shared" si="60"/>
        <v>0</v>
      </c>
      <c r="CJ222" s="126" t="str">
        <f t="shared" si="61"/>
        <v>数据正确</v>
      </c>
    </row>
    <row r="223" s="60" customFormat="1" customHeight="1" spans="2:88">
      <c r="B223" s="70" t="str">
        <f t="shared" si="51"/>
        <v>-</v>
      </c>
      <c r="C223" s="71" t="str">
        <f t="shared" si="52"/>
        <v>-</v>
      </c>
      <c r="D223" s="181">
        <f t="shared" si="53"/>
        <v>300000</v>
      </c>
      <c r="E223" s="181">
        <f>SUMIF(设备合同!$L$6:$L$302,L223,设备合同!$E$6:$E$302)</f>
        <v>0</v>
      </c>
      <c r="F223" s="181">
        <f>SUMIF(设备合同!$L$6:$L$302,L223,设备合同!$F$6:$F$302)</f>
        <v>0</v>
      </c>
      <c r="G223" s="181">
        <f>SUMIF(设备合同!$L$6:$L$302,L223,设备合同!$G$6:$G$302)</f>
        <v>0</v>
      </c>
      <c r="H223" s="181">
        <f>SUMIF(设备合同!$L$6:$L$302,L223,设备合同!$H$6:$H$302)</f>
        <v>0</v>
      </c>
      <c r="I223" s="181">
        <f t="shared" si="54"/>
        <v>0</v>
      </c>
      <c r="J223" s="86" t="s">
        <v>98</v>
      </c>
      <c r="K223" s="87"/>
      <c r="L223" s="88">
        <v>218</v>
      </c>
      <c r="M223" s="89" t="str">
        <f>VLOOKUP(L223,设备合同!$L$6:$CC$302,2,0)</f>
        <v>YRKJEQ-170068</v>
      </c>
      <c r="N223" s="90" t="str">
        <f>VLOOKUP(L223,设备合同!$L$6:$CC$302,3,0)</f>
        <v>设备合同</v>
      </c>
      <c r="O223" s="265">
        <f>VLOOKUP(L223,设备合同!$L$6:$CC$302,4,0)</f>
        <v>2017060079</v>
      </c>
      <c r="P223" s="266">
        <f>VLOOKUP(L223,设备合同!$L$6:$CC$302,5,0)</f>
        <v>42948</v>
      </c>
      <c r="Q223" s="275">
        <f>VLOOKUP(L223,设备合同!$L$6:$CC$302,6,0)</f>
        <v>1500000</v>
      </c>
      <c r="R223" s="89" t="str">
        <f>VLOOKUP(L223,设备合同!$L$6:$CC$302,7,0)</f>
        <v>循环水泵驱动用汽轮机</v>
      </c>
      <c r="S223" s="89" t="str">
        <f>VLOOKUP(L223,设备合同!$L$6:$CC$302,8,0)</f>
        <v>杭州大路实业有限公司</v>
      </c>
      <c r="T223" s="107">
        <f>VLOOKUP(L223,设备合同!$L$6:$CC$302,9,0)</f>
        <v>0</v>
      </c>
      <c r="U223" s="103" t="str">
        <f>VLOOKUP(L223,设备合同!$L$6:$CC$302,10,0)</f>
        <v>6个月承兑汇票/电汇不下浮</v>
      </c>
      <c r="V223" s="276" t="str">
        <f>VLOOKUP(L223,设备合同!$L$6:$CC$302,11,0)</f>
        <v>甲方收到乙方20%的预付款保函以等额专票后15个工作日支付20%预付款  10%履约保函</v>
      </c>
      <c r="W223" s="102">
        <f>VLOOKUP(L223,设备合同!$L$6:$CC$302,12,0)</f>
        <v>300000</v>
      </c>
      <c r="X223" s="102">
        <f>VLOOKUP(L223,设备合同!$L$6:$CC$302,13,0)</f>
        <v>300000</v>
      </c>
      <c r="Y223" s="102">
        <f>VLOOKUP(L223,设备合同!$L$6:$CC$302,14,0)</f>
        <v>300000</v>
      </c>
      <c r="Z223" s="102" t="str">
        <f>VLOOKUP(L223,设备合同!$L$6:$CC$302,15,0)</f>
        <v>甲方到乙方现场确认无误后，收到17%等额专票，15个工作日内支付40%发货款</v>
      </c>
      <c r="AA223" s="102">
        <f>VLOOKUP(L223,设备合同!$L$6:$CC$302,16,0)</f>
        <v>600000</v>
      </c>
      <c r="AB223" s="102">
        <f>VLOOKUP(L223,设备合同!$L$6:$CC$302,17,0)</f>
        <v>0</v>
      </c>
      <c r="AC223" s="102">
        <f>VLOOKUP(L223,设备合同!$L$6:$CC$302,18,0)</f>
        <v>0</v>
      </c>
      <c r="AD223" s="102" t="str">
        <f>VLOOKUP(L223,设备合同!$L$6:$CC$302,19,0)</f>
        <v>甲方核定的调试合格报告及足额的发票后付30%的验收款</v>
      </c>
      <c r="AE223" s="102">
        <f>VLOOKUP(L223,设备合同!$L$6:$CC$302,20,0)</f>
        <v>450000</v>
      </c>
      <c r="AF223" s="102">
        <f>VLOOKUP(L223,设备合同!$L$6:$CC$302,21,0)</f>
        <v>0</v>
      </c>
      <c r="AG223" s="102">
        <f>VLOOKUP(L223,设备合同!$L$6:$CC$302,22,0)</f>
        <v>0</v>
      </c>
      <c r="AH223" s="102" t="str">
        <f>VLOOKUP(L223,设备合同!$L$6:$CC$302,23,0)</f>
        <v>10%质保金，验收合格12个月或到货现场18个月</v>
      </c>
      <c r="AI223" s="102">
        <f>VLOOKUP(L223,设备合同!$L$6:$CC$302,24,0)</f>
        <v>150000</v>
      </c>
      <c r="AJ223" s="102">
        <f>VLOOKUP(L223,设备合同!$L$6:$CC$302,25,0)</f>
        <v>0</v>
      </c>
      <c r="AK223" s="102">
        <f>VLOOKUP(L223,设备合同!$L$6:$CC$302,26,0)</f>
        <v>0</v>
      </c>
      <c r="AL223" s="102">
        <f>VLOOKUP(L223,设备合同!$L$6:$CC$302,27,0)</f>
        <v>0</v>
      </c>
      <c r="AM223" s="102">
        <f>VLOOKUP(L223,设备合同!$L$6:$CC$302,28,0)</f>
        <v>0</v>
      </c>
      <c r="AN223" s="102">
        <f>VLOOKUP(L223,设备合同!$L$6:$CC$302,29,0)</f>
        <v>0</v>
      </c>
      <c r="AO223" s="102">
        <f>VLOOKUP(L223,设备合同!$L$6:$CC$302,30,0)</f>
        <v>0</v>
      </c>
      <c r="AP223" s="102">
        <f>VLOOKUP(L223,设备合同!$L$6:$CC$302,31,0)</f>
        <v>0</v>
      </c>
      <c r="AQ223" s="102">
        <f>VLOOKUP(L223,设备合同!$L$6:$CC$302,32,0)</f>
        <v>0</v>
      </c>
      <c r="AR223" s="102">
        <f>VLOOKUP(L223,设备合同!$L$6:$CC$302,33,0)</f>
        <v>0</v>
      </c>
      <c r="AS223" s="102">
        <f>VLOOKUP(L223,设备合同!$L$6:$CC$302,34,0)</f>
        <v>0</v>
      </c>
      <c r="AT223" s="102">
        <f>VLOOKUP(L223,设备合同!$L$6:$CC$302,35,0)</f>
        <v>0</v>
      </c>
      <c r="AU223" s="102">
        <f>VLOOKUP(L223,设备合同!$L$6:$CC$302,36,0)</f>
        <v>0</v>
      </c>
      <c r="AV223" s="102">
        <f>VLOOKUP(L223,设备合同!$L$6:$CC$302,37,0)</f>
        <v>0</v>
      </c>
      <c r="AW223" s="102">
        <f>VLOOKUP(L223,设备合同!$L$6:$CC$302,38,0)</f>
        <v>0</v>
      </c>
      <c r="AX223" s="102">
        <f>VLOOKUP(L223,设备合同!$L$6:$CC$302,39,0)</f>
        <v>0</v>
      </c>
      <c r="AY223" s="102">
        <f>VLOOKUP(L223,设备合同!$L$6:$CC$302,40,0)</f>
        <v>0</v>
      </c>
      <c r="AZ223" s="102">
        <f>VLOOKUP(L223,设备合同!$L$6:$CC$302,41,0)</f>
        <v>0</v>
      </c>
      <c r="BA223" s="102">
        <f>VLOOKUP(L223,设备合同!$L$6:$CC$302,42,0)</f>
        <v>0</v>
      </c>
      <c r="BB223" s="102">
        <f>VLOOKUP(L223,设备合同!$L$6:$CC$302,43,0)</f>
        <v>0</v>
      </c>
      <c r="BC223" s="102">
        <f>VLOOKUP(L223,设备合同!$L$6:$CC$302,44,0)</f>
        <v>0</v>
      </c>
      <c r="BD223" s="102">
        <f>VLOOKUP(L223,设备合同!$L$6:$CC$302,45,0)</f>
        <v>0</v>
      </c>
      <c r="BE223" s="102">
        <f>VLOOKUP(L223,设备合同!$L$6:$CC$302,46,0)</f>
        <v>0</v>
      </c>
      <c r="BF223" s="102">
        <f>VLOOKUP(L223,设备合同!$L$6:$CC$302,47,0)</f>
        <v>0</v>
      </c>
      <c r="BG223" s="102">
        <f>VLOOKUP(L223,设备合同!$L$6:$CC$302,48,0)</f>
        <v>0</v>
      </c>
      <c r="BH223" s="102">
        <f>VLOOKUP(L223,设备合同!$L$6:$CC$302,49,0)</f>
        <v>0</v>
      </c>
      <c r="BI223" s="102">
        <f>VLOOKUP(L223,设备合同!$L$6:$CC$302,50,0)</f>
        <v>0</v>
      </c>
      <c r="BJ223" s="102">
        <f>VLOOKUP(L223,设备合同!$L$6:$CC$302,51,0)</f>
        <v>0</v>
      </c>
      <c r="BK223" s="102">
        <f>VLOOKUP(L223,设备合同!$L$6:$CC$302,52,0)</f>
        <v>0</v>
      </c>
      <c r="BL223" s="102">
        <f>VLOOKUP(L223,设备合同!$L$6:$CC$302,53,0)</f>
        <v>0</v>
      </c>
      <c r="BM223" s="102">
        <f>VLOOKUP(L223,设备合同!$L$6:$CC$302,54,0)</f>
        <v>0</v>
      </c>
      <c r="BN223" s="102">
        <f>VLOOKUP(L223,设备合同!$L$6:$CC$302,55,0)</f>
        <v>0</v>
      </c>
      <c r="BO223" s="102">
        <f>VLOOKUP(L223,设备合同!$L$6:$CC$302,56,0)</f>
        <v>0</v>
      </c>
      <c r="BP223" s="102">
        <f>VLOOKUP(L223,设备合同!$L$6:$CC$302,57,0)</f>
        <v>0</v>
      </c>
      <c r="BQ223" s="102">
        <f>VLOOKUP(L223,设备合同!$L$6:$CC$302,58,0)</f>
        <v>0</v>
      </c>
      <c r="BR223" s="102">
        <f>VLOOKUP(L223,设备合同!$L$6:$CC$302,59,0)</f>
        <v>0</v>
      </c>
      <c r="BS223" s="102">
        <f>VLOOKUP(L223,设备合同!$L$6:$CC$302,60,0)</f>
        <v>0</v>
      </c>
      <c r="BT223" s="102">
        <f>VLOOKUP(L223,设备合同!$L$6:$CC$302,61,0)</f>
        <v>0</v>
      </c>
      <c r="BU223" s="102">
        <f>VLOOKUP(L223,设备合同!$L$6:$CC$302,62,0)</f>
        <v>0</v>
      </c>
      <c r="BV223" s="102">
        <f>VLOOKUP(L223,设备合同!$L$6:$CC$302,63,0)</f>
        <v>0</v>
      </c>
      <c r="BW223" s="102">
        <f>VLOOKUP(L223,设备合同!$L$6:$CC$302,64,0)</f>
        <v>0</v>
      </c>
      <c r="BX223" s="102">
        <f>VLOOKUP(L223,设备合同!$L$6:$CC$302,65,0)</f>
        <v>0</v>
      </c>
      <c r="BY223" s="102">
        <f>VLOOKUP(L223,设备合同!$L$6:$CC$302,66,0)</f>
        <v>0</v>
      </c>
      <c r="BZ223" s="102">
        <f>VLOOKUP(L223,设备合同!$L$6:$CC$302,67,0)</f>
        <v>0</v>
      </c>
      <c r="CA223" s="102">
        <f>VLOOKUP(L223,设备合同!$L$6:$CC$302,68,0)</f>
        <v>0</v>
      </c>
      <c r="CB223" s="102">
        <f>VLOOKUP(L223,设备合同!$L$6:$CC$302,69,0)</f>
        <v>0</v>
      </c>
      <c r="CC223" s="102">
        <f>VLOOKUP(L223,设备合同!$L$6:$CC$302,70,0)</f>
        <v>0</v>
      </c>
      <c r="CD223" s="123">
        <f t="shared" si="55"/>
        <v>1500000</v>
      </c>
      <c r="CE223" s="102">
        <f t="shared" si="56"/>
        <v>300000</v>
      </c>
      <c r="CF223" s="102">
        <f t="shared" si="57"/>
        <v>300000</v>
      </c>
      <c r="CG223" s="102">
        <f t="shared" si="58"/>
        <v>0</v>
      </c>
      <c r="CH223" s="124">
        <f t="shared" si="59"/>
        <v>1200000</v>
      </c>
      <c r="CI223" s="125">
        <f t="shared" si="60"/>
        <v>0.2</v>
      </c>
      <c r="CJ223" s="126" t="str">
        <f t="shared" si="61"/>
        <v>数据正确</v>
      </c>
    </row>
    <row r="224" s="60" customFormat="1" customHeight="1" spans="2:88">
      <c r="B224" s="70" t="str">
        <f t="shared" si="51"/>
        <v>-</v>
      </c>
      <c r="C224" s="71" t="str">
        <f t="shared" si="52"/>
        <v>-</v>
      </c>
      <c r="D224" s="181">
        <f t="shared" si="53"/>
        <v>44000</v>
      </c>
      <c r="E224" s="181">
        <f>SUMIF(设备合同!$L$6:$L$302,L224,设备合同!$E$6:$E$302)</f>
        <v>0</v>
      </c>
      <c r="F224" s="181">
        <f>SUMIF(设备合同!$L$6:$L$302,L224,设备合同!$F$6:$F$302)</f>
        <v>0</v>
      </c>
      <c r="G224" s="181">
        <f>SUMIF(设备合同!$L$6:$L$302,L224,设备合同!$G$6:$G$302)</f>
        <v>0</v>
      </c>
      <c r="H224" s="181">
        <f>SUMIF(设备合同!$L$6:$L$302,L224,设备合同!$H$6:$H$302)</f>
        <v>0</v>
      </c>
      <c r="I224" s="181">
        <f t="shared" si="54"/>
        <v>0</v>
      </c>
      <c r="J224" s="86" t="s">
        <v>98</v>
      </c>
      <c r="K224" s="87"/>
      <c r="L224" s="88">
        <v>219</v>
      </c>
      <c r="M224" s="89" t="str">
        <f>VLOOKUP(L224,设备合同!$L$6:$CC$302,2,0)</f>
        <v>YRKJEQ-170069</v>
      </c>
      <c r="N224" s="90" t="str">
        <f>VLOOKUP(L224,设备合同!$L$6:$CC$302,3,0)</f>
        <v>设备合同</v>
      </c>
      <c r="O224" s="265">
        <f>VLOOKUP(L224,设备合同!$L$6:$CC$302,4,0)</f>
        <v>2017060078</v>
      </c>
      <c r="P224" s="266">
        <f>VLOOKUP(L224,设备合同!$L$6:$CC$302,5,0)</f>
        <v>42951</v>
      </c>
      <c r="Q224" s="275">
        <f>VLOOKUP(L224,设备合同!$L$6:$CC$302,6,0)</f>
        <v>238000</v>
      </c>
      <c r="R224" s="89" t="str">
        <f>VLOOKUP(L224,设备合同!$L$6:$CC$302,7,0)</f>
        <v>喷射器16台</v>
      </c>
      <c r="S224" s="89" t="str">
        <f>VLOOKUP(L224,设备合同!$L$6:$CC$302,8,0)</f>
        <v>浙江杭真能源科技股份有限公司</v>
      </c>
      <c r="T224" s="107" t="str">
        <f>VLOOKUP(L224,设备合同!$L$6:$CC$302,9,0)</f>
        <v>环己酮装置</v>
      </c>
      <c r="U224" s="103" t="str">
        <f>VLOOKUP(L224,设备合同!$L$6:$CC$302,10,0)</f>
        <v>6个月承兑汇票/电汇不下浮</v>
      </c>
      <c r="V224" s="276" t="str">
        <f>VLOOKUP(L224,设备合同!$L$6:$CC$302,11,0)</f>
        <v>甲方收到乙方20%的预付款保函以等额专票后15个工作日支付20%预付款 </v>
      </c>
      <c r="W224" s="102">
        <f>VLOOKUP(L224,设备合同!$L$6:$CC$302,12,0)</f>
        <v>44000</v>
      </c>
      <c r="X224" s="102">
        <f>VLOOKUP(L224,设备合同!$L$6:$CC$302,13,0)</f>
        <v>44000</v>
      </c>
      <c r="Y224" s="102">
        <f>VLOOKUP(L224,设备合同!$L$6:$CC$302,14,0)</f>
        <v>44000</v>
      </c>
      <c r="Z224" s="102" t="str">
        <f>VLOOKUP(L224,设备合同!$L$6:$CC$302,15,0)</f>
        <v>甲方到乙方现场确认无误后，收到17%等额专票，15个工作日内支付40%发货款</v>
      </c>
      <c r="AA224" s="102">
        <f>VLOOKUP(L224,设备合同!$L$6:$CC$302,16,0)</f>
        <v>98800</v>
      </c>
      <c r="AB224" s="102">
        <f>VLOOKUP(L224,设备合同!$L$6:$CC$302,17,0)</f>
        <v>0</v>
      </c>
      <c r="AC224" s="102">
        <f>VLOOKUP(L224,设备合同!$L$6:$CC$302,18,0)</f>
        <v>0</v>
      </c>
      <c r="AD224" s="102" t="str">
        <f>VLOOKUP(L224,设备合同!$L$6:$CC$302,19,0)</f>
        <v>甲方核定的调试合格报告及足额的发票后付30%的验收款</v>
      </c>
      <c r="AE224" s="102">
        <f>VLOOKUP(L224,设备合同!$L$6:$CC$302,20,0)</f>
        <v>71400</v>
      </c>
      <c r="AF224" s="102">
        <f>VLOOKUP(L224,设备合同!$L$6:$CC$302,21,0)</f>
        <v>0</v>
      </c>
      <c r="AG224" s="102">
        <f>VLOOKUP(L224,设备合同!$L$6:$CC$302,22,0)</f>
        <v>0</v>
      </c>
      <c r="AH224" s="102" t="str">
        <f>VLOOKUP(L224,设备合同!$L$6:$CC$302,23,0)</f>
        <v>10%质保金，验收合格12个月或到货现场18个月</v>
      </c>
      <c r="AI224" s="102">
        <f>VLOOKUP(L224,设备合同!$L$6:$CC$302,24,0)</f>
        <v>23800</v>
      </c>
      <c r="AJ224" s="102">
        <f>VLOOKUP(L224,设备合同!$L$6:$CC$302,25,0)</f>
        <v>0</v>
      </c>
      <c r="AK224" s="102">
        <f>VLOOKUP(L224,设备合同!$L$6:$CC$302,26,0)</f>
        <v>0</v>
      </c>
      <c r="AL224" s="102">
        <f>VLOOKUP(L224,设备合同!$L$6:$CC$302,27,0)</f>
        <v>0</v>
      </c>
      <c r="AM224" s="102">
        <f>VLOOKUP(L224,设备合同!$L$6:$CC$302,28,0)</f>
        <v>0</v>
      </c>
      <c r="AN224" s="102">
        <f>VLOOKUP(L224,设备合同!$L$6:$CC$302,29,0)</f>
        <v>0</v>
      </c>
      <c r="AO224" s="102">
        <f>VLOOKUP(L224,设备合同!$L$6:$CC$302,30,0)</f>
        <v>0</v>
      </c>
      <c r="AP224" s="102">
        <f>VLOOKUP(L224,设备合同!$L$6:$CC$302,31,0)</f>
        <v>0</v>
      </c>
      <c r="AQ224" s="102">
        <f>VLOOKUP(L224,设备合同!$L$6:$CC$302,32,0)</f>
        <v>0</v>
      </c>
      <c r="AR224" s="102">
        <f>VLOOKUP(L224,设备合同!$L$6:$CC$302,33,0)</f>
        <v>0</v>
      </c>
      <c r="AS224" s="102">
        <f>VLOOKUP(L224,设备合同!$L$6:$CC$302,34,0)</f>
        <v>0</v>
      </c>
      <c r="AT224" s="102">
        <f>VLOOKUP(L224,设备合同!$L$6:$CC$302,35,0)</f>
        <v>0</v>
      </c>
      <c r="AU224" s="102">
        <f>VLOOKUP(L224,设备合同!$L$6:$CC$302,36,0)</f>
        <v>0</v>
      </c>
      <c r="AV224" s="102">
        <f>VLOOKUP(L224,设备合同!$L$6:$CC$302,37,0)</f>
        <v>0</v>
      </c>
      <c r="AW224" s="102">
        <f>VLOOKUP(L224,设备合同!$L$6:$CC$302,38,0)</f>
        <v>0</v>
      </c>
      <c r="AX224" s="102">
        <f>VLOOKUP(L224,设备合同!$L$6:$CC$302,39,0)</f>
        <v>0</v>
      </c>
      <c r="AY224" s="102">
        <f>VLOOKUP(L224,设备合同!$L$6:$CC$302,40,0)</f>
        <v>0</v>
      </c>
      <c r="AZ224" s="102">
        <f>VLOOKUP(L224,设备合同!$L$6:$CC$302,41,0)</f>
        <v>0</v>
      </c>
      <c r="BA224" s="102">
        <f>VLOOKUP(L224,设备合同!$L$6:$CC$302,42,0)</f>
        <v>0</v>
      </c>
      <c r="BB224" s="102">
        <f>VLOOKUP(L224,设备合同!$L$6:$CC$302,43,0)</f>
        <v>0</v>
      </c>
      <c r="BC224" s="102">
        <f>VLOOKUP(L224,设备合同!$L$6:$CC$302,44,0)</f>
        <v>0</v>
      </c>
      <c r="BD224" s="102">
        <f>VLOOKUP(L224,设备合同!$L$6:$CC$302,45,0)</f>
        <v>0</v>
      </c>
      <c r="BE224" s="102">
        <f>VLOOKUP(L224,设备合同!$L$6:$CC$302,46,0)</f>
        <v>0</v>
      </c>
      <c r="BF224" s="102">
        <f>VLOOKUP(L224,设备合同!$L$6:$CC$302,47,0)</f>
        <v>0</v>
      </c>
      <c r="BG224" s="102">
        <f>VLOOKUP(L224,设备合同!$L$6:$CC$302,48,0)</f>
        <v>0</v>
      </c>
      <c r="BH224" s="102">
        <f>VLOOKUP(L224,设备合同!$L$6:$CC$302,49,0)</f>
        <v>0</v>
      </c>
      <c r="BI224" s="102">
        <f>VLOOKUP(L224,设备合同!$L$6:$CC$302,50,0)</f>
        <v>0</v>
      </c>
      <c r="BJ224" s="102">
        <f>VLOOKUP(L224,设备合同!$L$6:$CC$302,51,0)</f>
        <v>0</v>
      </c>
      <c r="BK224" s="102">
        <f>VLOOKUP(L224,设备合同!$L$6:$CC$302,52,0)</f>
        <v>0</v>
      </c>
      <c r="BL224" s="102">
        <f>VLOOKUP(L224,设备合同!$L$6:$CC$302,53,0)</f>
        <v>0</v>
      </c>
      <c r="BM224" s="102">
        <f>VLOOKUP(L224,设备合同!$L$6:$CC$302,54,0)</f>
        <v>0</v>
      </c>
      <c r="BN224" s="102">
        <f>VLOOKUP(L224,设备合同!$L$6:$CC$302,55,0)</f>
        <v>0</v>
      </c>
      <c r="BO224" s="102">
        <f>VLOOKUP(L224,设备合同!$L$6:$CC$302,56,0)</f>
        <v>0</v>
      </c>
      <c r="BP224" s="102">
        <f>VLOOKUP(L224,设备合同!$L$6:$CC$302,57,0)</f>
        <v>0</v>
      </c>
      <c r="BQ224" s="102">
        <f>VLOOKUP(L224,设备合同!$L$6:$CC$302,58,0)</f>
        <v>0</v>
      </c>
      <c r="BR224" s="102">
        <f>VLOOKUP(L224,设备合同!$L$6:$CC$302,59,0)</f>
        <v>0</v>
      </c>
      <c r="BS224" s="102">
        <f>VLOOKUP(L224,设备合同!$L$6:$CC$302,60,0)</f>
        <v>0</v>
      </c>
      <c r="BT224" s="102">
        <f>VLOOKUP(L224,设备合同!$L$6:$CC$302,61,0)</f>
        <v>0</v>
      </c>
      <c r="BU224" s="102">
        <f>VLOOKUP(L224,设备合同!$L$6:$CC$302,62,0)</f>
        <v>0</v>
      </c>
      <c r="BV224" s="102">
        <f>VLOOKUP(L224,设备合同!$L$6:$CC$302,63,0)</f>
        <v>0</v>
      </c>
      <c r="BW224" s="102">
        <f>VLOOKUP(L224,设备合同!$L$6:$CC$302,64,0)</f>
        <v>0</v>
      </c>
      <c r="BX224" s="102">
        <f>VLOOKUP(L224,设备合同!$L$6:$CC$302,65,0)</f>
        <v>0</v>
      </c>
      <c r="BY224" s="102">
        <f>VLOOKUP(L224,设备合同!$L$6:$CC$302,66,0)</f>
        <v>0</v>
      </c>
      <c r="BZ224" s="102">
        <f>VLOOKUP(L224,设备合同!$L$6:$CC$302,67,0)</f>
        <v>0</v>
      </c>
      <c r="CA224" s="102">
        <f>VLOOKUP(L224,设备合同!$L$6:$CC$302,68,0)</f>
        <v>0</v>
      </c>
      <c r="CB224" s="102">
        <f>VLOOKUP(L224,设备合同!$L$6:$CC$302,69,0)</f>
        <v>0</v>
      </c>
      <c r="CC224" s="102">
        <f>VLOOKUP(L224,设备合同!$L$6:$CC$302,70,0)</f>
        <v>0</v>
      </c>
      <c r="CD224" s="123">
        <f t="shared" si="55"/>
        <v>238000</v>
      </c>
      <c r="CE224" s="102">
        <f t="shared" si="56"/>
        <v>44000</v>
      </c>
      <c r="CF224" s="102">
        <f t="shared" si="57"/>
        <v>44000</v>
      </c>
      <c r="CG224" s="102">
        <f t="shared" si="58"/>
        <v>0</v>
      </c>
      <c r="CH224" s="124">
        <f t="shared" si="59"/>
        <v>194000</v>
      </c>
      <c r="CI224" s="125">
        <f t="shared" si="60"/>
        <v>0.184873949579832</v>
      </c>
      <c r="CJ224" s="126" t="str">
        <f t="shared" si="61"/>
        <v>数据正确</v>
      </c>
    </row>
    <row r="225" s="60" customFormat="1" customHeight="1" spans="2:88">
      <c r="B225" s="70" t="str">
        <f t="shared" si="51"/>
        <v>-</v>
      </c>
      <c r="C225" s="71" t="str">
        <f t="shared" si="52"/>
        <v>-</v>
      </c>
      <c r="D225" s="181">
        <f t="shared" si="53"/>
        <v>0</v>
      </c>
      <c r="E225" s="181">
        <f>SUMIF(设备合同!$L$6:$L$302,L225,设备合同!$E$6:$E$302)</f>
        <v>0</v>
      </c>
      <c r="F225" s="181">
        <f>SUMIF(设备合同!$L$6:$L$302,L225,设备合同!$F$6:$F$302)</f>
        <v>0</v>
      </c>
      <c r="G225" s="181">
        <f>SUMIF(设备合同!$L$6:$L$302,L225,设备合同!$G$6:$G$302)</f>
        <v>0</v>
      </c>
      <c r="H225" s="181">
        <f>SUMIF(设备合同!$L$6:$L$302,L225,设备合同!$H$6:$H$302)</f>
        <v>0</v>
      </c>
      <c r="I225" s="181">
        <f t="shared" si="54"/>
        <v>0</v>
      </c>
      <c r="J225" s="86" t="s">
        <v>98</v>
      </c>
      <c r="K225" s="87"/>
      <c r="L225" s="88">
        <v>220</v>
      </c>
      <c r="M225" s="89" t="str">
        <f>VLOOKUP(L225,设备合同!$L$6:$CC$302,2,0)</f>
        <v>YRKJEQ-170071</v>
      </c>
      <c r="N225" s="90" t="str">
        <f>VLOOKUP(L225,设备合同!$L$6:$CC$302,3,0)</f>
        <v>设备合同</v>
      </c>
      <c r="O225" s="265">
        <f>VLOOKUP(L225,设备合同!$L$6:$CC$302,4,0)</f>
        <v>2017070057</v>
      </c>
      <c r="P225" s="266">
        <f>VLOOKUP(L225,设备合同!$L$6:$CC$302,5,0)</f>
        <v>42958</v>
      </c>
      <c r="Q225" s="275">
        <f>VLOOKUP(L225,设备合同!$L$6:$CC$302,6,0)</f>
        <v>5790000</v>
      </c>
      <c r="R225" s="89" t="str">
        <f>VLOOKUP(L225,设备合同!$L$6:$CC$302,7,0)</f>
        <v>环己酮肟化非标设备包2（29台）</v>
      </c>
      <c r="S225" s="89" t="str">
        <f>VLOOKUP(L225,设备合同!$L$6:$CC$302,8,0)</f>
        <v>常州市东方锅炉压力容器制造有限公司</v>
      </c>
      <c r="T225" s="107">
        <f>VLOOKUP(L225,设备合同!$L$6:$CC$302,9,0)</f>
        <v>0</v>
      </c>
      <c r="U225" s="103" t="str">
        <f>VLOOKUP(L225,设备合同!$L$6:$CC$302,10,0)</f>
        <v>电汇</v>
      </c>
      <c r="V225" s="276" t="str">
        <f>VLOOKUP(L225,设备合同!$L$6:$CC$302,11,0)</f>
        <v>甲方收到乙方20%的预付款保函以等额专票后15个工作日支付20%预付款  10%履约保函</v>
      </c>
      <c r="W225" s="102">
        <f>VLOOKUP(L225,设备合同!$L$6:$CC$302,12,0)</f>
        <v>1158000</v>
      </c>
      <c r="X225" s="102">
        <f>VLOOKUP(L225,设备合同!$L$6:$CC$302,13,0)</f>
        <v>0</v>
      </c>
      <c r="Y225" s="102">
        <f>VLOOKUP(L225,设备合同!$L$6:$CC$302,14,0)</f>
        <v>0</v>
      </c>
      <c r="Z225" s="102" t="str">
        <f>VLOOKUP(L225,设备合同!$L$6:$CC$302,15,0)</f>
        <v>甲方到乙方现场确认无误后，收到17%等额专票，15个工作日内支付60%发货款</v>
      </c>
      <c r="AA225" s="102">
        <f>VLOOKUP(L225,设备合同!$L$6:$CC$302,16,0)</f>
        <v>3474000</v>
      </c>
      <c r="AB225" s="102">
        <f>VLOOKUP(L225,设备合同!$L$6:$CC$302,17,0)</f>
        <v>0</v>
      </c>
      <c r="AC225" s="102">
        <f>VLOOKUP(L225,设备合同!$L$6:$CC$302,18,0)</f>
        <v>0</v>
      </c>
      <c r="AD225" s="102" t="str">
        <f>VLOOKUP(L225,设备合同!$L$6:$CC$302,19,0)</f>
        <v>甲方核定的调试合格报告及足额的发票后付10%的验收款</v>
      </c>
      <c r="AE225" s="102">
        <f>VLOOKUP(L225,设备合同!$L$6:$CC$302,20,0)</f>
        <v>579000</v>
      </c>
      <c r="AF225" s="102">
        <f>VLOOKUP(L225,设备合同!$L$6:$CC$302,21,0)</f>
        <v>0</v>
      </c>
      <c r="AG225" s="102">
        <f>VLOOKUP(L225,设备合同!$L$6:$CC$302,22,0)</f>
        <v>0</v>
      </c>
      <c r="AH225" s="102" t="str">
        <f>VLOOKUP(L225,设备合同!$L$6:$CC$302,23,0)</f>
        <v>10%质保金，验收合格12个月或到货现场18个月</v>
      </c>
      <c r="AI225" s="102">
        <f>VLOOKUP(L225,设备合同!$L$6:$CC$302,24,0)</f>
        <v>579000</v>
      </c>
      <c r="AJ225" s="102">
        <f>VLOOKUP(L225,设备合同!$L$6:$CC$302,25,0)</f>
        <v>0</v>
      </c>
      <c r="AK225" s="102">
        <f>VLOOKUP(L225,设备合同!$L$6:$CC$302,26,0)</f>
        <v>0</v>
      </c>
      <c r="AL225" s="102">
        <f>VLOOKUP(L225,设备合同!$L$6:$CC$302,27,0)</f>
        <v>0</v>
      </c>
      <c r="AM225" s="102">
        <f>VLOOKUP(L225,设备合同!$L$6:$CC$302,28,0)</f>
        <v>0</v>
      </c>
      <c r="AN225" s="102">
        <f>VLOOKUP(L225,设备合同!$L$6:$CC$302,29,0)</f>
        <v>0</v>
      </c>
      <c r="AO225" s="102">
        <f>VLOOKUP(L225,设备合同!$L$6:$CC$302,30,0)</f>
        <v>0</v>
      </c>
      <c r="AP225" s="102">
        <f>VLOOKUP(L225,设备合同!$L$6:$CC$302,31,0)</f>
        <v>0</v>
      </c>
      <c r="AQ225" s="102">
        <f>VLOOKUP(L225,设备合同!$L$6:$CC$302,32,0)</f>
        <v>0</v>
      </c>
      <c r="AR225" s="102">
        <f>VLOOKUP(L225,设备合同!$L$6:$CC$302,33,0)</f>
        <v>0</v>
      </c>
      <c r="AS225" s="102">
        <f>VLOOKUP(L225,设备合同!$L$6:$CC$302,34,0)</f>
        <v>0</v>
      </c>
      <c r="AT225" s="102">
        <f>VLOOKUP(L225,设备合同!$L$6:$CC$302,35,0)</f>
        <v>0</v>
      </c>
      <c r="AU225" s="102">
        <f>VLOOKUP(L225,设备合同!$L$6:$CC$302,36,0)</f>
        <v>0</v>
      </c>
      <c r="AV225" s="102">
        <f>VLOOKUP(L225,设备合同!$L$6:$CC$302,37,0)</f>
        <v>0</v>
      </c>
      <c r="AW225" s="102">
        <f>VLOOKUP(L225,设备合同!$L$6:$CC$302,38,0)</f>
        <v>0</v>
      </c>
      <c r="AX225" s="102">
        <f>VLOOKUP(L225,设备合同!$L$6:$CC$302,39,0)</f>
        <v>0</v>
      </c>
      <c r="AY225" s="102">
        <f>VLOOKUP(L225,设备合同!$L$6:$CC$302,40,0)</f>
        <v>0</v>
      </c>
      <c r="AZ225" s="102">
        <f>VLOOKUP(L225,设备合同!$L$6:$CC$302,41,0)</f>
        <v>0</v>
      </c>
      <c r="BA225" s="102">
        <f>VLOOKUP(L225,设备合同!$L$6:$CC$302,42,0)</f>
        <v>0</v>
      </c>
      <c r="BB225" s="102">
        <f>VLOOKUP(L225,设备合同!$L$6:$CC$302,43,0)</f>
        <v>0</v>
      </c>
      <c r="BC225" s="102">
        <f>VLOOKUP(L225,设备合同!$L$6:$CC$302,44,0)</f>
        <v>0</v>
      </c>
      <c r="BD225" s="102">
        <f>VLOOKUP(L225,设备合同!$L$6:$CC$302,45,0)</f>
        <v>0</v>
      </c>
      <c r="BE225" s="102">
        <f>VLOOKUP(L225,设备合同!$L$6:$CC$302,46,0)</f>
        <v>0</v>
      </c>
      <c r="BF225" s="102">
        <f>VLOOKUP(L225,设备合同!$L$6:$CC$302,47,0)</f>
        <v>0</v>
      </c>
      <c r="BG225" s="102">
        <f>VLOOKUP(L225,设备合同!$L$6:$CC$302,48,0)</f>
        <v>0</v>
      </c>
      <c r="BH225" s="102">
        <f>VLOOKUP(L225,设备合同!$L$6:$CC$302,49,0)</f>
        <v>0</v>
      </c>
      <c r="BI225" s="102">
        <f>VLOOKUP(L225,设备合同!$L$6:$CC$302,50,0)</f>
        <v>0</v>
      </c>
      <c r="BJ225" s="102">
        <f>VLOOKUP(L225,设备合同!$L$6:$CC$302,51,0)</f>
        <v>0</v>
      </c>
      <c r="BK225" s="102">
        <f>VLOOKUP(L225,设备合同!$L$6:$CC$302,52,0)</f>
        <v>0</v>
      </c>
      <c r="BL225" s="102">
        <f>VLOOKUP(L225,设备合同!$L$6:$CC$302,53,0)</f>
        <v>0</v>
      </c>
      <c r="BM225" s="102">
        <f>VLOOKUP(L225,设备合同!$L$6:$CC$302,54,0)</f>
        <v>0</v>
      </c>
      <c r="BN225" s="102">
        <f>VLOOKUP(L225,设备合同!$L$6:$CC$302,55,0)</f>
        <v>0</v>
      </c>
      <c r="BO225" s="102">
        <f>VLOOKUP(L225,设备合同!$L$6:$CC$302,56,0)</f>
        <v>0</v>
      </c>
      <c r="BP225" s="102">
        <f>VLOOKUP(L225,设备合同!$L$6:$CC$302,57,0)</f>
        <v>0</v>
      </c>
      <c r="BQ225" s="102">
        <f>VLOOKUP(L225,设备合同!$L$6:$CC$302,58,0)</f>
        <v>0</v>
      </c>
      <c r="BR225" s="102">
        <f>VLOOKUP(L225,设备合同!$L$6:$CC$302,59,0)</f>
        <v>0</v>
      </c>
      <c r="BS225" s="102">
        <f>VLOOKUP(L225,设备合同!$L$6:$CC$302,60,0)</f>
        <v>0</v>
      </c>
      <c r="BT225" s="102">
        <f>VLOOKUP(L225,设备合同!$L$6:$CC$302,61,0)</f>
        <v>0</v>
      </c>
      <c r="BU225" s="102">
        <f>VLOOKUP(L225,设备合同!$L$6:$CC$302,62,0)</f>
        <v>0</v>
      </c>
      <c r="BV225" s="102">
        <f>VLOOKUP(L225,设备合同!$L$6:$CC$302,63,0)</f>
        <v>0</v>
      </c>
      <c r="BW225" s="102">
        <f>VLOOKUP(L225,设备合同!$L$6:$CC$302,64,0)</f>
        <v>0</v>
      </c>
      <c r="BX225" s="102">
        <f>VLOOKUP(L225,设备合同!$L$6:$CC$302,65,0)</f>
        <v>0</v>
      </c>
      <c r="BY225" s="102">
        <f>VLOOKUP(L225,设备合同!$L$6:$CC$302,66,0)</f>
        <v>0</v>
      </c>
      <c r="BZ225" s="102">
        <f>VLOOKUP(L225,设备合同!$L$6:$CC$302,67,0)</f>
        <v>0</v>
      </c>
      <c r="CA225" s="102">
        <f>VLOOKUP(L225,设备合同!$L$6:$CC$302,68,0)</f>
        <v>0</v>
      </c>
      <c r="CB225" s="102">
        <f>VLOOKUP(L225,设备合同!$L$6:$CC$302,69,0)</f>
        <v>0</v>
      </c>
      <c r="CC225" s="102">
        <f>VLOOKUP(L225,设备合同!$L$6:$CC$302,70,0)</f>
        <v>0</v>
      </c>
      <c r="CD225" s="123">
        <f t="shared" si="55"/>
        <v>5790000</v>
      </c>
      <c r="CE225" s="102">
        <f t="shared" si="56"/>
        <v>0</v>
      </c>
      <c r="CF225" s="102">
        <f t="shared" si="57"/>
        <v>0</v>
      </c>
      <c r="CG225" s="102">
        <f t="shared" si="58"/>
        <v>0</v>
      </c>
      <c r="CH225" s="124">
        <f t="shared" si="59"/>
        <v>5790000</v>
      </c>
      <c r="CI225" s="125">
        <f t="shared" si="60"/>
        <v>0</v>
      </c>
      <c r="CJ225" s="126" t="str">
        <f t="shared" si="61"/>
        <v>数据正确</v>
      </c>
    </row>
    <row r="226" s="60" customFormat="1" customHeight="1" spans="2:88">
      <c r="B226" s="70" t="str">
        <f t="shared" si="51"/>
        <v>-</v>
      </c>
      <c r="C226" s="71" t="str">
        <f t="shared" si="52"/>
        <v>-</v>
      </c>
      <c r="D226" s="181">
        <f t="shared" si="53"/>
        <v>0</v>
      </c>
      <c r="E226" s="181">
        <f>SUMIF(设备合同!$L$6:$L$302,L226,设备合同!$E$6:$E$302)</f>
        <v>0</v>
      </c>
      <c r="F226" s="181">
        <f>SUMIF(设备合同!$L$6:$L$302,L226,设备合同!$F$6:$F$302)</f>
        <v>0</v>
      </c>
      <c r="G226" s="181">
        <f>SUMIF(设备合同!$L$6:$L$302,L226,设备合同!$G$6:$G$302)</f>
        <v>0</v>
      </c>
      <c r="H226" s="181">
        <f>SUMIF(设备合同!$L$6:$L$302,L226,设备合同!$H$6:$H$302)</f>
        <v>0</v>
      </c>
      <c r="I226" s="181">
        <f t="shared" si="54"/>
        <v>0</v>
      </c>
      <c r="J226" s="86" t="s">
        <v>98</v>
      </c>
      <c r="K226" s="87"/>
      <c r="L226" s="88">
        <v>221</v>
      </c>
      <c r="M226" s="89" t="str">
        <f>VLOOKUP(L226,设备合同!$L$6:$CC$302,2,0)</f>
        <v>YRKJEQ-170079</v>
      </c>
      <c r="N226" s="90" t="str">
        <f>VLOOKUP(L226,设备合同!$L$6:$CC$302,3,0)</f>
        <v>设备合同</v>
      </c>
      <c r="O226" s="265">
        <f>VLOOKUP(L226,设备合同!$L$6:$CC$302,4,0)</f>
        <v>2017070065</v>
      </c>
      <c r="P226" s="266">
        <f>VLOOKUP(L226,设备合同!$L$6:$CC$302,5,0)</f>
        <v>42973</v>
      </c>
      <c r="Q226" s="275">
        <f>VLOOKUP(L226,设备合同!$L$6:$CC$302,6,0)</f>
        <v>3366000</v>
      </c>
      <c r="R226" s="89" t="str">
        <f>VLOOKUP(L226,设备合同!$L$6:$CC$302,7,0)</f>
        <v>非标设备包3</v>
      </c>
      <c r="S226" s="89" t="str">
        <f>VLOOKUP(L226,设备合同!$L$6:$CC$302,8,0)</f>
        <v>常州市东方锅炉压力容器制造有限公司</v>
      </c>
      <c r="T226" s="107">
        <f>VLOOKUP(L226,设备合同!$L$6:$CC$302,9,0)</f>
        <v>0</v>
      </c>
      <c r="U226" s="103" t="str">
        <f>VLOOKUP(L226,设备合同!$L$6:$CC$302,10,0)</f>
        <v>电汇</v>
      </c>
      <c r="V226" s="276" t="str">
        <f>VLOOKUP(L226,设备合同!$L$6:$CC$302,11,0)</f>
        <v>甲方收到乙方20%的预付款保函以等额专票后15个工作日支付20%预付款  10%履约保函</v>
      </c>
      <c r="W226" s="102">
        <f>VLOOKUP(L226,设备合同!$L$6:$CC$302,12,0)</f>
        <v>673200</v>
      </c>
      <c r="X226" s="102">
        <f>VLOOKUP(L226,设备合同!$L$6:$CC$302,13,0)</f>
        <v>0</v>
      </c>
      <c r="Y226" s="102">
        <f>VLOOKUP(L226,设备合同!$L$6:$CC$302,14,0)</f>
        <v>0</v>
      </c>
      <c r="Z226" s="102" t="str">
        <f>VLOOKUP(L226,设备合同!$L$6:$CC$302,15,0)</f>
        <v>甲方到乙方现场确认无误后，收到17%等额专票，15个工作日内支付60%发货款</v>
      </c>
      <c r="AA226" s="102">
        <f>VLOOKUP(L226,设备合同!$L$6:$CC$302,16,0)</f>
        <v>2019600</v>
      </c>
      <c r="AB226" s="102">
        <f>VLOOKUP(L226,设备合同!$L$6:$CC$302,17,0)</f>
        <v>0</v>
      </c>
      <c r="AC226" s="102">
        <f>VLOOKUP(L226,设备合同!$L$6:$CC$302,18,0)</f>
        <v>0</v>
      </c>
      <c r="AD226" s="102" t="str">
        <f>VLOOKUP(L226,设备合同!$L$6:$CC$302,19,0)</f>
        <v>甲方核定的调试合格报告及足额的发票后付10%的验收款</v>
      </c>
      <c r="AE226" s="102">
        <f>VLOOKUP(L226,设备合同!$L$6:$CC$302,20,0)</f>
        <v>336600</v>
      </c>
      <c r="AF226" s="102">
        <f>VLOOKUP(L226,设备合同!$L$6:$CC$302,21,0)</f>
        <v>0</v>
      </c>
      <c r="AG226" s="102">
        <f>VLOOKUP(L226,设备合同!$L$6:$CC$302,22,0)</f>
        <v>0</v>
      </c>
      <c r="AH226" s="102" t="str">
        <f>VLOOKUP(L226,设备合同!$L$6:$CC$302,23,0)</f>
        <v>10%质保金，验收合格12个月或到货现场18个月</v>
      </c>
      <c r="AI226" s="102">
        <f>VLOOKUP(L226,设备合同!$L$6:$CC$302,24,0)</f>
        <v>336600</v>
      </c>
      <c r="AJ226" s="102">
        <f>VLOOKUP(L226,设备合同!$L$6:$CC$302,25,0)</f>
        <v>0</v>
      </c>
      <c r="AK226" s="102">
        <f>VLOOKUP(L226,设备合同!$L$6:$CC$302,26,0)</f>
        <v>0</v>
      </c>
      <c r="AL226" s="102">
        <f>VLOOKUP(L226,设备合同!$L$6:$CC$302,27,0)</f>
        <v>0</v>
      </c>
      <c r="AM226" s="102">
        <f>VLOOKUP(L226,设备合同!$L$6:$CC$302,28,0)</f>
        <v>0</v>
      </c>
      <c r="AN226" s="102">
        <f>VLOOKUP(L226,设备合同!$L$6:$CC$302,29,0)</f>
        <v>0</v>
      </c>
      <c r="AO226" s="102">
        <f>VLOOKUP(L226,设备合同!$L$6:$CC$302,30,0)</f>
        <v>0</v>
      </c>
      <c r="AP226" s="102">
        <f>VLOOKUP(L226,设备合同!$L$6:$CC$302,31,0)</f>
        <v>0</v>
      </c>
      <c r="AQ226" s="102">
        <f>VLOOKUP(L226,设备合同!$L$6:$CC$302,32,0)</f>
        <v>0</v>
      </c>
      <c r="AR226" s="102">
        <f>VLOOKUP(L226,设备合同!$L$6:$CC$302,33,0)</f>
        <v>0</v>
      </c>
      <c r="AS226" s="102">
        <f>VLOOKUP(L226,设备合同!$L$6:$CC$302,34,0)</f>
        <v>0</v>
      </c>
      <c r="AT226" s="102">
        <f>VLOOKUP(L226,设备合同!$L$6:$CC$302,35,0)</f>
        <v>0</v>
      </c>
      <c r="AU226" s="102">
        <f>VLOOKUP(L226,设备合同!$L$6:$CC$302,36,0)</f>
        <v>0</v>
      </c>
      <c r="AV226" s="102">
        <f>VLOOKUP(L226,设备合同!$L$6:$CC$302,37,0)</f>
        <v>0</v>
      </c>
      <c r="AW226" s="102">
        <f>VLOOKUP(L226,设备合同!$L$6:$CC$302,38,0)</f>
        <v>0</v>
      </c>
      <c r="AX226" s="102">
        <f>VLOOKUP(L226,设备合同!$L$6:$CC$302,39,0)</f>
        <v>0</v>
      </c>
      <c r="AY226" s="102">
        <f>VLOOKUP(L226,设备合同!$L$6:$CC$302,40,0)</f>
        <v>0</v>
      </c>
      <c r="AZ226" s="102">
        <f>VLOOKUP(L226,设备合同!$L$6:$CC$302,41,0)</f>
        <v>0</v>
      </c>
      <c r="BA226" s="102">
        <f>VLOOKUP(L226,设备合同!$L$6:$CC$302,42,0)</f>
        <v>0</v>
      </c>
      <c r="BB226" s="102">
        <f>VLOOKUP(L226,设备合同!$L$6:$CC$302,43,0)</f>
        <v>0</v>
      </c>
      <c r="BC226" s="102">
        <f>VLOOKUP(L226,设备合同!$L$6:$CC$302,44,0)</f>
        <v>0</v>
      </c>
      <c r="BD226" s="102">
        <f>VLOOKUP(L226,设备合同!$L$6:$CC$302,45,0)</f>
        <v>0</v>
      </c>
      <c r="BE226" s="102">
        <f>VLOOKUP(L226,设备合同!$L$6:$CC$302,46,0)</f>
        <v>0</v>
      </c>
      <c r="BF226" s="102">
        <f>VLOOKUP(L226,设备合同!$L$6:$CC$302,47,0)</f>
        <v>0</v>
      </c>
      <c r="BG226" s="102">
        <f>VLOOKUP(L226,设备合同!$L$6:$CC$302,48,0)</f>
        <v>0</v>
      </c>
      <c r="BH226" s="102">
        <f>VLOOKUP(L226,设备合同!$L$6:$CC$302,49,0)</f>
        <v>0</v>
      </c>
      <c r="BI226" s="102">
        <f>VLOOKUP(L226,设备合同!$L$6:$CC$302,50,0)</f>
        <v>0</v>
      </c>
      <c r="BJ226" s="102">
        <f>VLOOKUP(L226,设备合同!$L$6:$CC$302,51,0)</f>
        <v>0</v>
      </c>
      <c r="BK226" s="102">
        <f>VLOOKUP(L226,设备合同!$L$6:$CC$302,52,0)</f>
        <v>0</v>
      </c>
      <c r="BL226" s="102">
        <f>VLOOKUP(L226,设备合同!$L$6:$CC$302,53,0)</f>
        <v>0</v>
      </c>
      <c r="BM226" s="102">
        <f>VLOOKUP(L226,设备合同!$L$6:$CC$302,54,0)</f>
        <v>0</v>
      </c>
      <c r="BN226" s="102">
        <f>VLOOKUP(L226,设备合同!$L$6:$CC$302,55,0)</f>
        <v>0</v>
      </c>
      <c r="BO226" s="102">
        <f>VLOOKUP(L226,设备合同!$L$6:$CC$302,56,0)</f>
        <v>0</v>
      </c>
      <c r="BP226" s="102">
        <f>VLOOKUP(L226,设备合同!$L$6:$CC$302,57,0)</f>
        <v>0</v>
      </c>
      <c r="BQ226" s="102">
        <f>VLOOKUP(L226,设备合同!$L$6:$CC$302,58,0)</f>
        <v>0</v>
      </c>
      <c r="BR226" s="102">
        <f>VLOOKUP(L226,设备合同!$L$6:$CC$302,59,0)</f>
        <v>0</v>
      </c>
      <c r="BS226" s="102">
        <f>VLOOKUP(L226,设备合同!$L$6:$CC$302,60,0)</f>
        <v>0</v>
      </c>
      <c r="BT226" s="102">
        <f>VLOOKUP(L226,设备合同!$L$6:$CC$302,61,0)</f>
        <v>0</v>
      </c>
      <c r="BU226" s="102">
        <f>VLOOKUP(L226,设备合同!$L$6:$CC$302,62,0)</f>
        <v>0</v>
      </c>
      <c r="BV226" s="102">
        <f>VLOOKUP(L226,设备合同!$L$6:$CC$302,63,0)</f>
        <v>0</v>
      </c>
      <c r="BW226" s="102">
        <f>VLOOKUP(L226,设备合同!$L$6:$CC$302,64,0)</f>
        <v>0</v>
      </c>
      <c r="BX226" s="102">
        <f>VLOOKUP(L226,设备合同!$L$6:$CC$302,65,0)</f>
        <v>0</v>
      </c>
      <c r="BY226" s="102">
        <f>VLOOKUP(L226,设备合同!$L$6:$CC$302,66,0)</f>
        <v>0</v>
      </c>
      <c r="BZ226" s="102">
        <f>VLOOKUP(L226,设备合同!$L$6:$CC$302,67,0)</f>
        <v>0</v>
      </c>
      <c r="CA226" s="102">
        <f>VLOOKUP(L226,设备合同!$L$6:$CC$302,68,0)</f>
        <v>0</v>
      </c>
      <c r="CB226" s="102">
        <f>VLOOKUP(L226,设备合同!$L$6:$CC$302,69,0)</f>
        <v>0</v>
      </c>
      <c r="CC226" s="102">
        <f>VLOOKUP(L226,设备合同!$L$6:$CC$302,70,0)</f>
        <v>0</v>
      </c>
      <c r="CD226" s="123">
        <f t="shared" si="55"/>
        <v>3366000</v>
      </c>
      <c r="CE226" s="102">
        <f t="shared" si="56"/>
        <v>0</v>
      </c>
      <c r="CF226" s="102">
        <f t="shared" si="57"/>
        <v>0</v>
      </c>
      <c r="CG226" s="102">
        <f t="shared" si="58"/>
        <v>0</v>
      </c>
      <c r="CH226" s="124">
        <f t="shared" si="59"/>
        <v>3366000</v>
      </c>
      <c r="CI226" s="125">
        <f t="shared" si="60"/>
        <v>0</v>
      </c>
      <c r="CJ226" s="126" t="str">
        <f t="shared" si="61"/>
        <v>数据正确</v>
      </c>
    </row>
    <row r="227" s="60" customFormat="1" customHeight="1" spans="2:88">
      <c r="B227" s="70" t="str">
        <f t="shared" si="51"/>
        <v>-</v>
      </c>
      <c r="C227" s="71" t="str">
        <f t="shared" si="52"/>
        <v>-</v>
      </c>
      <c r="D227" s="181">
        <f t="shared" si="53"/>
        <v>256000</v>
      </c>
      <c r="E227" s="181">
        <f>SUMIF(设备合同!$L$6:$L$302,L227,设备合同!$E$6:$E$302)</f>
        <v>0</v>
      </c>
      <c r="F227" s="181">
        <f>SUMIF(设备合同!$L$6:$L$302,L227,设备合同!$F$6:$F$302)</f>
        <v>0</v>
      </c>
      <c r="G227" s="181">
        <f>SUMIF(设备合同!$L$6:$L$302,L227,设备合同!$G$6:$G$302)</f>
        <v>0</v>
      </c>
      <c r="H227" s="181">
        <f>SUMIF(设备合同!$L$6:$L$302,L227,设备合同!$H$6:$H$302)</f>
        <v>0</v>
      </c>
      <c r="I227" s="181">
        <f t="shared" si="54"/>
        <v>0</v>
      </c>
      <c r="J227" s="86" t="s">
        <v>98</v>
      </c>
      <c r="K227" s="87"/>
      <c r="L227" s="88">
        <v>222</v>
      </c>
      <c r="M227" s="89" t="str">
        <f>VLOOKUP(L227,设备合同!$L$6:$CC$302,2,0)</f>
        <v>YRKJEQ-170087</v>
      </c>
      <c r="N227" s="90" t="str">
        <f>VLOOKUP(L227,设备合同!$L$6:$CC$302,3,0)</f>
        <v>设备合同</v>
      </c>
      <c r="O227" s="265">
        <f>VLOOKUP(L227,设备合同!$L$6:$CC$302,4,0)</f>
        <v>2017050023</v>
      </c>
      <c r="P227" s="266">
        <f>VLOOKUP(L227,设备合同!$L$6:$CC$302,5,0)</f>
        <v>42979</v>
      </c>
      <c r="Q227" s="275">
        <f>VLOOKUP(L227,设备合同!$L$6:$CC$302,6,0)</f>
        <v>1280000</v>
      </c>
      <c r="R227" s="89" t="str">
        <f>VLOOKUP(L227,设备合同!$L$6:$CC$302,7,0)</f>
        <v>硫铵输送设备5套</v>
      </c>
      <c r="S227" s="89" t="str">
        <f>VLOOKUP(L227,设备合同!$L$6:$CC$302,8,0)</f>
        <v>湖北宜都运机机电股份有限公司</v>
      </c>
      <c r="T227" s="107" t="str">
        <f>VLOOKUP(L227,设备合同!$L$6:$CC$302,9,0)</f>
        <v>硫铵装置</v>
      </c>
      <c r="U227" s="103" t="str">
        <f>VLOOKUP(L227,设备合同!$L$6:$CC$302,10,0)</f>
        <v>电汇</v>
      </c>
      <c r="V227" s="276" t="str">
        <f>VLOOKUP(L227,设备合同!$L$6:$CC$302,11,0)</f>
        <v>甲方收到乙方20%的预付款保函以等额专票后15个工作日支付20%预付款  10%履约保函</v>
      </c>
      <c r="W227" s="102">
        <f>VLOOKUP(L227,设备合同!$L$6:$CC$302,12,0)</f>
        <v>256000</v>
      </c>
      <c r="X227" s="102">
        <f>VLOOKUP(L227,设备合同!$L$6:$CC$302,13,0)</f>
        <v>256000</v>
      </c>
      <c r="Y227" s="102">
        <f>VLOOKUP(L227,设备合同!$L$6:$CC$302,14,0)</f>
        <v>256000</v>
      </c>
      <c r="Z227" s="102" t="str">
        <f>VLOOKUP(L227,设备合同!$L$6:$CC$302,15,0)</f>
        <v>甲方到乙方现场确认无误后，收到17%等额专票，15个工作日内支付60%发货款</v>
      </c>
      <c r="AA227" s="102">
        <f>VLOOKUP(L227,设备合同!$L$6:$CC$302,16,0)</f>
        <v>768000</v>
      </c>
      <c r="AB227" s="102">
        <f>VLOOKUP(L227,设备合同!$L$6:$CC$302,17,0)</f>
        <v>0</v>
      </c>
      <c r="AC227" s="102">
        <f>VLOOKUP(L227,设备合同!$L$6:$CC$302,18,0)</f>
        <v>0</v>
      </c>
      <c r="AD227" s="102" t="str">
        <f>VLOOKUP(L227,设备合同!$L$6:$CC$302,19,0)</f>
        <v>甲方核定的调试合格报告及足额的发票后付10%的验收款</v>
      </c>
      <c r="AE227" s="102">
        <f>VLOOKUP(L227,设备合同!$L$6:$CC$302,20,0)</f>
        <v>128000</v>
      </c>
      <c r="AF227" s="102">
        <f>VLOOKUP(L227,设备合同!$L$6:$CC$302,21,0)</f>
        <v>0</v>
      </c>
      <c r="AG227" s="102">
        <f>VLOOKUP(L227,设备合同!$L$6:$CC$302,22,0)</f>
        <v>0</v>
      </c>
      <c r="AH227" s="102" t="str">
        <f>VLOOKUP(L227,设备合同!$L$6:$CC$302,23,0)</f>
        <v>10%质保金，验收合格12个月或到货现场18个月</v>
      </c>
      <c r="AI227" s="102">
        <f>VLOOKUP(L227,设备合同!$L$6:$CC$302,24,0)</f>
        <v>128000</v>
      </c>
      <c r="AJ227" s="102">
        <f>VLOOKUP(L227,设备合同!$L$6:$CC$302,25,0)</f>
        <v>0</v>
      </c>
      <c r="AK227" s="102">
        <f>VLOOKUP(L227,设备合同!$L$6:$CC$302,26,0)</f>
        <v>0</v>
      </c>
      <c r="AL227" s="102">
        <f>VLOOKUP(L227,设备合同!$L$6:$CC$302,27,0)</f>
        <v>0</v>
      </c>
      <c r="AM227" s="102">
        <f>VLOOKUP(L227,设备合同!$L$6:$CC$302,28,0)</f>
        <v>0</v>
      </c>
      <c r="AN227" s="102">
        <f>VLOOKUP(L227,设备合同!$L$6:$CC$302,29,0)</f>
        <v>0</v>
      </c>
      <c r="AO227" s="102">
        <f>VLOOKUP(L227,设备合同!$L$6:$CC$302,30,0)</f>
        <v>0</v>
      </c>
      <c r="AP227" s="102">
        <f>VLOOKUP(L227,设备合同!$L$6:$CC$302,31,0)</f>
        <v>0</v>
      </c>
      <c r="AQ227" s="102">
        <f>VLOOKUP(L227,设备合同!$L$6:$CC$302,32,0)</f>
        <v>0</v>
      </c>
      <c r="AR227" s="102">
        <f>VLOOKUP(L227,设备合同!$L$6:$CC$302,33,0)</f>
        <v>0</v>
      </c>
      <c r="AS227" s="102">
        <f>VLOOKUP(L227,设备合同!$L$6:$CC$302,34,0)</f>
        <v>0</v>
      </c>
      <c r="AT227" s="102">
        <f>VLOOKUP(L227,设备合同!$L$6:$CC$302,35,0)</f>
        <v>0</v>
      </c>
      <c r="AU227" s="102">
        <f>VLOOKUP(L227,设备合同!$L$6:$CC$302,36,0)</f>
        <v>0</v>
      </c>
      <c r="AV227" s="102">
        <f>VLOOKUP(L227,设备合同!$L$6:$CC$302,37,0)</f>
        <v>0</v>
      </c>
      <c r="AW227" s="102">
        <f>VLOOKUP(L227,设备合同!$L$6:$CC$302,38,0)</f>
        <v>0</v>
      </c>
      <c r="AX227" s="102">
        <f>VLOOKUP(L227,设备合同!$L$6:$CC$302,39,0)</f>
        <v>0</v>
      </c>
      <c r="AY227" s="102">
        <f>VLOOKUP(L227,设备合同!$L$6:$CC$302,40,0)</f>
        <v>0</v>
      </c>
      <c r="AZ227" s="102">
        <f>VLOOKUP(L227,设备合同!$L$6:$CC$302,41,0)</f>
        <v>0</v>
      </c>
      <c r="BA227" s="102">
        <f>VLOOKUP(L227,设备合同!$L$6:$CC$302,42,0)</f>
        <v>0</v>
      </c>
      <c r="BB227" s="102">
        <f>VLOOKUP(L227,设备合同!$L$6:$CC$302,43,0)</f>
        <v>0</v>
      </c>
      <c r="BC227" s="102">
        <f>VLOOKUP(L227,设备合同!$L$6:$CC$302,44,0)</f>
        <v>0</v>
      </c>
      <c r="BD227" s="102">
        <f>VLOOKUP(L227,设备合同!$L$6:$CC$302,45,0)</f>
        <v>0</v>
      </c>
      <c r="BE227" s="102">
        <f>VLOOKUP(L227,设备合同!$L$6:$CC$302,46,0)</f>
        <v>0</v>
      </c>
      <c r="BF227" s="102">
        <f>VLOOKUP(L227,设备合同!$L$6:$CC$302,47,0)</f>
        <v>0</v>
      </c>
      <c r="BG227" s="102">
        <f>VLOOKUP(L227,设备合同!$L$6:$CC$302,48,0)</f>
        <v>0</v>
      </c>
      <c r="BH227" s="102">
        <f>VLOOKUP(L227,设备合同!$L$6:$CC$302,49,0)</f>
        <v>0</v>
      </c>
      <c r="BI227" s="102">
        <f>VLOOKUP(L227,设备合同!$L$6:$CC$302,50,0)</f>
        <v>0</v>
      </c>
      <c r="BJ227" s="102">
        <f>VLOOKUP(L227,设备合同!$L$6:$CC$302,51,0)</f>
        <v>0</v>
      </c>
      <c r="BK227" s="102">
        <f>VLOOKUP(L227,设备合同!$L$6:$CC$302,52,0)</f>
        <v>0</v>
      </c>
      <c r="BL227" s="102">
        <f>VLOOKUP(L227,设备合同!$L$6:$CC$302,53,0)</f>
        <v>0</v>
      </c>
      <c r="BM227" s="102">
        <f>VLOOKUP(L227,设备合同!$L$6:$CC$302,54,0)</f>
        <v>0</v>
      </c>
      <c r="BN227" s="102">
        <f>VLOOKUP(L227,设备合同!$L$6:$CC$302,55,0)</f>
        <v>0</v>
      </c>
      <c r="BO227" s="102">
        <f>VLOOKUP(L227,设备合同!$L$6:$CC$302,56,0)</f>
        <v>0</v>
      </c>
      <c r="BP227" s="102">
        <f>VLOOKUP(L227,设备合同!$L$6:$CC$302,57,0)</f>
        <v>0</v>
      </c>
      <c r="BQ227" s="102">
        <f>VLOOKUP(L227,设备合同!$L$6:$CC$302,58,0)</f>
        <v>0</v>
      </c>
      <c r="BR227" s="102">
        <f>VLOOKUP(L227,设备合同!$L$6:$CC$302,59,0)</f>
        <v>0</v>
      </c>
      <c r="BS227" s="102">
        <f>VLOOKUP(L227,设备合同!$L$6:$CC$302,60,0)</f>
        <v>0</v>
      </c>
      <c r="BT227" s="102">
        <f>VLOOKUP(L227,设备合同!$L$6:$CC$302,61,0)</f>
        <v>0</v>
      </c>
      <c r="BU227" s="102">
        <f>VLOOKUP(L227,设备合同!$L$6:$CC$302,62,0)</f>
        <v>0</v>
      </c>
      <c r="BV227" s="102">
        <f>VLOOKUP(L227,设备合同!$L$6:$CC$302,63,0)</f>
        <v>0</v>
      </c>
      <c r="BW227" s="102">
        <f>VLOOKUP(L227,设备合同!$L$6:$CC$302,64,0)</f>
        <v>0</v>
      </c>
      <c r="BX227" s="102">
        <f>VLOOKUP(L227,设备合同!$L$6:$CC$302,65,0)</f>
        <v>0</v>
      </c>
      <c r="BY227" s="102">
        <f>VLOOKUP(L227,设备合同!$L$6:$CC$302,66,0)</f>
        <v>0</v>
      </c>
      <c r="BZ227" s="102">
        <f>VLOOKUP(L227,设备合同!$L$6:$CC$302,67,0)</f>
        <v>0</v>
      </c>
      <c r="CA227" s="102">
        <f>VLOOKUP(L227,设备合同!$L$6:$CC$302,68,0)</f>
        <v>0</v>
      </c>
      <c r="CB227" s="102">
        <f>VLOOKUP(L227,设备合同!$L$6:$CC$302,69,0)</f>
        <v>0</v>
      </c>
      <c r="CC227" s="102">
        <f>VLOOKUP(L227,设备合同!$L$6:$CC$302,70,0)</f>
        <v>0</v>
      </c>
      <c r="CD227" s="123">
        <f t="shared" si="55"/>
        <v>1280000</v>
      </c>
      <c r="CE227" s="102">
        <f t="shared" si="56"/>
        <v>256000</v>
      </c>
      <c r="CF227" s="102">
        <f t="shared" si="57"/>
        <v>256000</v>
      </c>
      <c r="CG227" s="102">
        <f t="shared" si="58"/>
        <v>0</v>
      </c>
      <c r="CH227" s="124">
        <f t="shared" si="59"/>
        <v>1024000</v>
      </c>
      <c r="CI227" s="125">
        <f t="shared" si="60"/>
        <v>0.2</v>
      </c>
      <c r="CJ227" s="126" t="str">
        <f t="shared" si="61"/>
        <v>数据正确</v>
      </c>
    </row>
    <row r="228" s="60" customFormat="1" customHeight="1" spans="2:88">
      <c r="B228" s="70" t="str">
        <f t="shared" si="51"/>
        <v>-</v>
      </c>
      <c r="C228" s="71" t="str">
        <f t="shared" si="52"/>
        <v>-</v>
      </c>
      <c r="D228" s="181">
        <f t="shared" si="53"/>
        <v>2346000</v>
      </c>
      <c r="E228" s="181">
        <f>SUMIF(设备合同!$L$6:$L$302,L228,设备合同!$E$6:$E$302)</f>
        <v>0</v>
      </c>
      <c r="F228" s="181">
        <f>SUMIF(设备合同!$L$6:$L$302,L228,设备合同!$F$6:$F$302)</f>
        <v>0</v>
      </c>
      <c r="G228" s="181">
        <f>SUMIF(设备合同!$L$6:$L$302,L228,设备合同!$G$6:$G$302)</f>
        <v>0</v>
      </c>
      <c r="H228" s="181">
        <f>SUMIF(设备合同!$L$6:$L$302,L228,设备合同!$H$6:$H$302)</f>
        <v>0</v>
      </c>
      <c r="I228" s="181">
        <f t="shared" si="54"/>
        <v>0</v>
      </c>
      <c r="J228" s="86" t="s">
        <v>98</v>
      </c>
      <c r="K228" s="87"/>
      <c r="L228" s="88">
        <v>223</v>
      </c>
      <c r="M228" s="89" t="str">
        <f>VLOOKUP(L228,设备合同!$L$6:$CC$302,2,0)</f>
        <v>YRKJEQ-170086</v>
      </c>
      <c r="N228" s="90" t="str">
        <f>VLOOKUP(L228,设备合同!$L$6:$CC$302,3,0)</f>
        <v>设备合同</v>
      </c>
      <c r="O228" s="265">
        <f>VLOOKUP(L228,设备合同!$L$6:$CC$302,4,0)</f>
        <v>2017070066</v>
      </c>
      <c r="P228" s="266">
        <f>VLOOKUP(L228,设备合同!$L$6:$CC$302,5,0)</f>
        <v>42972</v>
      </c>
      <c r="Q228" s="275">
        <f>VLOOKUP(L228,设备合同!$L$6:$CC$302,6,0)</f>
        <v>7820000</v>
      </c>
      <c r="R228" s="89" t="str">
        <f>VLOOKUP(L228,设备合同!$L$6:$CC$302,7,0)</f>
        <v>非标设备包4</v>
      </c>
      <c r="S228" s="89" t="str">
        <f>VLOOKUP(L228,设备合同!$L$6:$CC$302,8,0)</f>
        <v>湖北凯毅石化设备制造有限公司</v>
      </c>
      <c r="T228" s="107">
        <f>VLOOKUP(L228,设备合同!$L$6:$CC$302,9,0)</f>
        <v>0</v>
      </c>
      <c r="U228" s="103" t="str">
        <f>VLOOKUP(L228,设备合同!$L$6:$CC$302,10,0)</f>
        <v>6个月承兑汇票/电汇下浮2%</v>
      </c>
      <c r="V228" s="276" t="str">
        <f>VLOOKUP(L228,设备合同!$L$6:$CC$302,11,0)</f>
        <v>甲方收到乙方30%的预付款保函以等额专票后15个工作日支付30%预付款  10%履约保函</v>
      </c>
      <c r="W228" s="102">
        <f>VLOOKUP(L228,设备合同!$L$6:$CC$302,12,0)</f>
        <v>2346000</v>
      </c>
      <c r="X228" s="102">
        <f>VLOOKUP(L228,设备合同!$L$6:$CC$302,13,0)</f>
        <v>2346000</v>
      </c>
      <c r="Y228" s="102">
        <f>VLOOKUP(L228,设备合同!$L$6:$CC$302,14,0)</f>
        <v>2346000</v>
      </c>
      <c r="Z228" s="102" t="str">
        <f>VLOOKUP(L228,设备合同!$L$6:$CC$302,15,0)</f>
        <v>甲方到乙方现场确认无误后，收到17%等额专票，15个工作日内支付50%发货款</v>
      </c>
      <c r="AA228" s="102">
        <f>VLOOKUP(L228,设备合同!$L$6:$CC$302,16,0)</f>
        <v>3910000</v>
      </c>
      <c r="AB228" s="102">
        <f>VLOOKUP(L228,设备合同!$L$6:$CC$302,17,0)</f>
        <v>0</v>
      </c>
      <c r="AC228" s="102">
        <f>VLOOKUP(L228,设备合同!$L$6:$CC$302,18,0)</f>
        <v>0</v>
      </c>
      <c r="AD228" s="102" t="str">
        <f>VLOOKUP(L228,设备合同!$L$6:$CC$302,19,0)</f>
        <v>甲方核定的调试合格报告及足额的发票后付10%的验收款</v>
      </c>
      <c r="AE228" s="102">
        <f>VLOOKUP(L228,设备合同!$L$6:$CC$302,20,0)</f>
        <v>782000</v>
      </c>
      <c r="AF228" s="102">
        <f>VLOOKUP(L228,设备合同!$L$6:$CC$302,21,0)</f>
        <v>0</v>
      </c>
      <c r="AG228" s="102">
        <f>VLOOKUP(L228,设备合同!$L$6:$CC$302,22,0)</f>
        <v>0</v>
      </c>
      <c r="AH228" s="102" t="str">
        <f>VLOOKUP(L228,设备合同!$L$6:$CC$302,23,0)</f>
        <v>10%质保金，验收合格12个月或到货现场18个月</v>
      </c>
      <c r="AI228" s="102">
        <f>VLOOKUP(L228,设备合同!$L$6:$CC$302,24,0)</f>
        <v>782000</v>
      </c>
      <c r="AJ228" s="102">
        <f>VLOOKUP(L228,设备合同!$L$6:$CC$302,25,0)</f>
        <v>0</v>
      </c>
      <c r="AK228" s="102">
        <f>VLOOKUP(L228,设备合同!$L$6:$CC$302,26,0)</f>
        <v>0</v>
      </c>
      <c r="AL228" s="102">
        <f>VLOOKUP(L228,设备合同!$L$6:$CC$302,27,0)</f>
        <v>0</v>
      </c>
      <c r="AM228" s="102">
        <f>VLOOKUP(L228,设备合同!$L$6:$CC$302,28,0)</f>
        <v>0</v>
      </c>
      <c r="AN228" s="102">
        <f>VLOOKUP(L228,设备合同!$L$6:$CC$302,29,0)</f>
        <v>0</v>
      </c>
      <c r="AO228" s="102">
        <f>VLOOKUP(L228,设备合同!$L$6:$CC$302,30,0)</f>
        <v>0</v>
      </c>
      <c r="AP228" s="102">
        <f>VLOOKUP(L228,设备合同!$L$6:$CC$302,31,0)</f>
        <v>0</v>
      </c>
      <c r="AQ228" s="102">
        <f>VLOOKUP(L228,设备合同!$L$6:$CC$302,32,0)</f>
        <v>0</v>
      </c>
      <c r="AR228" s="102">
        <f>VLOOKUP(L228,设备合同!$L$6:$CC$302,33,0)</f>
        <v>0</v>
      </c>
      <c r="AS228" s="102">
        <f>VLOOKUP(L228,设备合同!$L$6:$CC$302,34,0)</f>
        <v>0</v>
      </c>
      <c r="AT228" s="102">
        <f>VLOOKUP(L228,设备合同!$L$6:$CC$302,35,0)</f>
        <v>0</v>
      </c>
      <c r="AU228" s="102">
        <f>VLOOKUP(L228,设备合同!$L$6:$CC$302,36,0)</f>
        <v>0</v>
      </c>
      <c r="AV228" s="102">
        <f>VLOOKUP(L228,设备合同!$L$6:$CC$302,37,0)</f>
        <v>0</v>
      </c>
      <c r="AW228" s="102">
        <f>VLOOKUP(L228,设备合同!$L$6:$CC$302,38,0)</f>
        <v>0</v>
      </c>
      <c r="AX228" s="102">
        <f>VLOOKUP(L228,设备合同!$L$6:$CC$302,39,0)</f>
        <v>0</v>
      </c>
      <c r="AY228" s="102">
        <f>VLOOKUP(L228,设备合同!$L$6:$CC$302,40,0)</f>
        <v>0</v>
      </c>
      <c r="AZ228" s="102">
        <f>VLOOKUP(L228,设备合同!$L$6:$CC$302,41,0)</f>
        <v>0</v>
      </c>
      <c r="BA228" s="102">
        <f>VLOOKUP(L228,设备合同!$L$6:$CC$302,42,0)</f>
        <v>0</v>
      </c>
      <c r="BB228" s="102">
        <f>VLOOKUP(L228,设备合同!$L$6:$CC$302,43,0)</f>
        <v>0</v>
      </c>
      <c r="BC228" s="102">
        <f>VLOOKUP(L228,设备合同!$L$6:$CC$302,44,0)</f>
        <v>0</v>
      </c>
      <c r="BD228" s="102">
        <f>VLOOKUP(L228,设备合同!$L$6:$CC$302,45,0)</f>
        <v>0</v>
      </c>
      <c r="BE228" s="102">
        <f>VLOOKUP(L228,设备合同!$L$6:$CC$302,46,0)</f>
        <v>0</v>
      </c>
      <c r="BF228" s="102">
        <f>VLOOKUP(L228,设备合同!$L$6:$CC$302,47,0)</f>
        <v>0</v>
      </c>
      <c r="BG228" s="102">
        <f>VLOOKUP(L228,设备合同!$L$6:$CC$302,48,0)</f>
        <v>0</v>
      </c>
      <c r="BH228" s="102">
        <f>VLOOKUP(L228,设备合同!$L$6:$CC$302,49,0)</f>
        <v>0</v>
      </c>
      <c r="BI228" s="102">
        <f>VLOOKUP(L228,设备合同!$L$6:$CC$302,50,0)</f>
        <v>0</v>
      </c>
      <c r="BJ228" s="102">
        <f>VLOOKUP(L228,设备合同!$L$6:$CC$302,51,0)</f>
        <v>0</v>
      </c>
      <c r="BK228" s="102">
        <f>VLOOKUP(L228,设备合同!$L$6:$CC$302,52,0)</f>
        <v>0</v>
      </c>
      <c r="BL228" s="102">
        <f>VLOOKUP(L228,设备合同!$L$6:$CC$302,53,0)</f>
        <v>0</v>
      </c>
      <c r="BM228" s="102">
        <f>VLOOKUP(L228,设备合同!$L$6:$CC$302,54,0)</f>
        <v>0</v>
      </c>
      <c r="BN228" s="102">
        <f>VLOOKUP(L228,设备合同!$L$6:$CC$302,55,0)</f>
        <v>0</v>
      </c>
      <c r="BO228" s="102">
        <f>VLOOKUP(L228,设备合同!$L$6:$CC$302,56,0)</f>
        <v>0</v>
      </c>
      <c r="BP228" s="102">
        <f>VLOOKUP(L228,设备合同!$L$6:$CC$302,57,0)</f>
        <v>0</v>
      </c>
      <c r="BQ228" s="102">
        <f>VLOOKUP(L228,设备合同!$L$6:$CC$302,58,0)</f>
        <v>0</v>
      </c>
      <c r="BR228" s="102">
        <f>VLOOKUP(L228,设备合同!$L$6:$CC$302,59,0)</f>
        <v>0</v>
      </c>
      <c r="BS228" s="102">
        <f>VLOOKUP(L228,设备合同!$L$6:$CC$302,60,0)</f>
        <v>0</v>
      </c>
      <c r="BT228" s="102">
        <f>VLOOKUP(L228,设备合同!$L$6:$CC$302,61,0)</f>
        <v>0</v>
      </c>
      <c r="BU228" s="102">
        <f>VLOOKUP(L228,设备合同!$L$6:$CC$302,62,0)</f>
        <v>0</v>
      </c>
      <c r="BV228" s="102">
        <f>VLOOKUP(L228,设备合同!$L$6:$CC$302,63,0)</f>
        <v>0</v>
      </c>
      <c r="BW228" s="102">
        <f>VLOOKUP(L228,设备合同!$L$6:$CC$302,64,0)</f>
        <v>0</v>
      </c>
      <c r="BX228" s="102">
        <f>VLOOKUP(L228,设备合同!$L$6:$CC$302,65,0)</f>
        <v>0</v>
      </c>
      <c r="BY228" s="102">
        <f>VLOOKUP(L228,设备合同!$L$6:$CC$302,66,0)</f>
        <v>0</v>
      </c>
      <c r="BZ228" s="102">
        <f>VLOOKUP(L228,设备合同!$L$6:$CC$302,67,0)</f>
        <v>0</v>
      </c>
      <c r="CA228" s="102">
        <f>VLOOKUP(L228,设备合同!$L$6:$CC$302,68,0)</f>
        <v>0</v>
      </c>
      <c r="CB228" s="102">
        <f>VLOOKUP(L228,设备合同!$L$6:$CC$302,69,0)</f>
        <v>0</v>
      </c>
      <c r="CC228" s="102">
        <f>VLOOKUP(L228,设备合同!$L$6:$CC$302,70,0)</f>
        <v>0</v>
      </c>
      <c r="CD228" s="123">
        <f t="shared" si="55"/>
        <v>7820000</v>
      </c>
      <c r="CE228" s="102">
        <f t="shared" si="56"/>
        <v>2346000</v>
      </c>
      <c r="CF228" s="102">
        <f t="shared" si="57"/>
        <v>2346000</v>
      </c>
      <c r="CG228" s="102">
        <f t="shared" si="58"/>
        <v>0</v>
      </c>
      <c r="CH228" s="124">
        <f t="shared" si="59"/>
        <v>5474000</v>
      </c>
      <c r="CI228" s="125">
        <f t="shared" si="60"/>
        <v>0.3</v>
      </c>
      <c r="CJ228" s="126" t="str">
        <f t="shared" si="61"/>
        <v>数据正确</v>
      </c>
    </row>
    <row r="229" s="60" customFormat="1" customHeight="1" spans="2:88">
      <c r="B229" s="70" t="str">
        <f t="shared" si="51"/>
        <v>-</v>
      </c>
      <c r="C229" s="71" t="str">
        <f t="shared" si="52"/>
        <v>已付清</v>
      </c>
      <c r="D229" s="181">
        <f t="shared" si="53"/>
        <v>36176339.4549999</v>
      </c>
      <c r="E229" s="181">
        <f>SUMIF(其他合同!$L$6:$L$300,L229,其他合同!$E$6:$E$300)</f>
        <v>0</v>
      </c>
      <c r="F229" s="181">
        <f>SUMIF(其他合同!$L$6:$L$300,L229,其他合同!$F$6:$F$300)</f>
        <v>0</v>
      </c>
      <c r="G229" s="181">
        <f>SUMIF(其他合同!$L$6:$L$300,L229,其他合同!$G$6:$G$300)</f>
        <v>0</v>
      </c>
      <c r="H229" s="181">
        <f>SUMIF(其他合同!$L$6:$L$300,L229,其他合同!$H$6:$H$300)</f>
        <v>0</v>
      </c>
      <c r="I229" s="181">
        <f t="shared" si="54"/>
        <v>0</v>
      </c>
      <c r="J229" s="86" t="s">
        <v>98</v>
      </c>
      <c r="K229" s="87"/>
      <c r="L229" s="88">
        <v>224</v>
      </c>
      <c r="M229" s="89" t="str">
        <f>VLOOKUP(L229,其他合同!$L$6:$CC$300,2,0)</f>
        <v>-</v>
      </c>
      <c r="N229" s="90" t="str">
        <f>VLOOKUP(L229,其他合同!$L$6:$CC$300,3,0)</f>
        <v>其他合同</v>
      </c>
      <c r="O229" s="265" t="str">
        <f>VLOOKUP(L229,其他合同!$L$6:$CC$300,4,0)</f>
        <v>-</v>
      </c>
      <c r="P229" s="266">
        <f>VLOOKUP(L229,其他合同!$L$6:$CC$300,5,0)</f>
        <v>43008</v>
      </c>
      <c r="Q229" s="275">
        <f>VLOOKUP(L229,其他合同!$L$6:$CC$300,6,0)</f>
        <v>36176339.4549999</v>
      </c>
      <c r="R229" s="89" t="str">
        <f>VLOOKUP(L229,其他合同!$L$6:$CC$300,7,0)</f>
        <v>管理费统计（工资、报销单等）</v>
      </c>
      <c r="S229" s="89" t="str">
        <f>VLOOKUP(L229,其他合同!$L$6:$CC$300,8,0)</f>
        <v>永荣科技</v>
      </c>
      <c r="T229" s="107" t="str">
        <f>VLOOKUP(L229,其他合同!$L$6:$CC$300,9,0)</f>
        <v>-</v>
      </c>
      <c r="U229" s="103" t="str">
        <f>VLOOKUP(L229,其他合同!$L$6:$CC$300,10,0)</f>
        <v>电汇</v>
      </c>
      <c r="V229" s="276" t="str">
        <f>VLOOKUP(L229,其他合同!$L$6:$CC$300,11,0)</f>
        <v>-</v>
      </c>
      <c r="W229" s="102">
        <f>VLOOKUP(L229,其他合同!$L$6:$CC$300,12,0)</f>
        <v>36176339.4549999</v>
      </c>
      <c r="X229" s="102">
        <f>VLOOKUP(L229,其他合同!$L$6:$CC$300,13,0)</f>
        <v>36176339.4549999</v>
      </c>
      <c r="Y229" s="102">
        <f>VLOOKUP(L229,其他合同!$L$6:$CC$300,14,0)</f>
        <v>36176339.4549999</v>
      </c>
      <c r="Z229" s="102">
        <f>VLOOKUP(L229,其他合同!$L$6:$CC$300,15,0)</f>
        <v>0</v>
      </c>
      <c r="AA229" s="102">
        <f>VLOOKUP(L229,其他合同!$L$6:$CC$300,16,0)</f>
        <v>0</v>
      </c>
      <c r="AB229" s="102">
        <f>VLOOKUP(L229,其他合同!$L$6:$CC$300,17,0)</f>
        <v>0</v>
      </c>
      <c r="AC229" s="102">
        <f>VLOOKUP(L229,其他合同!$L$6:$CC$300,18,0)</f>
        <v>0</v>
      </c>
      <c r="AD229" s="102">
        <f>VLOOKUP(L229,其他合同!$L$6:$CC$300,19,0)</f>
        <v>0</v>
      </c>
      <c r="AE229" s="102">
        <f>VLOOKUP(L229,其他合同!$L$6:$CC$300,20,0)</f>
        <v>0</v>
      </c>
      <c r="AF229" s="102">
        <f>VLOOKUP(L229,其他合同!$L$6:$CC$300,21,0)</f>
        <v>0</v>
      </c>
      <c r="AG229" s="102">
        <f>VLOOKUP(L229,其他合同!$L$6:$CC$300,22,0)</f>
        <v>0</v>
      </c>
      <c r="AH229" s="102">
        <f>VLOOKUP(L229,其他合同!$L$6:$CC$300,23,0)</f>
        <v>0</v>
      </c>
      <c r="AI229" s="102">
        <f>VLOOKUP(L229,其他合同!$L$6:$CC$300,24,0)</f>
        <v>0</v>
      </c>
      <c r="AJ229" s="102">
        <f>VLOOKUP(L229,其他合同!$L$6:$CC$300,25,0)</f>
        <v>0</v>
      </c>
      <c r="AK229" s="102">
        <f>VLOOKUP(L229,其他合同!$L$6:$CC$300,26,0)</f>
        <v>0</v>
      </c>
      <c r="AL229" s="102">
        <f>VLOOKUP(L229,其他合同!$L$6:$CC$300,27,0)</f>
        <v>0</v>
      </c>
      <c r="AM229" s="102">
        <f>VLOOKUP(L229,其他合同!$L$6:$CC$300,28,0)</f>
        <v>0</v>
      </c>
      <c r="AN229" s="102">
        <f>VLOOKUP(L229,其他合同!$L$6:$CC$300,29,0)</f>
        <v>0</v>
      </c>
      <c r="AO229" s="102">
        <f>VLOOKUP(L229,其他合同!$L$6:$CC$300,30,0)</f>
        <v>0</v>
      </c>
      <c r="AP229" s="102">
        <f>VLOOKUP(L229,其他合同!$L$6:$CC$300,31,0)</f>
        <v>0</v>
      </c>
      <c r="AQ229" s="102">
        <f>VLOOKUP(L229,其他合同!$L$6:$CC$300,32,0)</f>
        <v>0</v>
      </c>
      <c r="AR229" s="102">
        <f>VLOOKUP(L229,其他合同!$L$6:$CC$300,33,0)</f>
        <v>0</v>
      </c>
      <c r="AS229" s="102">
        <f>VLOOKUP(L229,其他合同!$L$6:$CC$300,34,0)</f>
        <v>0</v>
      </c>
      <c r="AT229" s="102">
        <f>VLOOKUP(L229,其他合同!$L$6:$CC$300,35,0)</f>
        <v>0</v>
      </c>
      <c r="AU229" s="102">
        <f>VLOOKUP(L229,其他合同!$L$6:$CC$300,36,0)</f>
        <v>0</v>
      </c>
      <c r="AV229" s="102">
        <f>VLOOKUP(L229,其他合同!$L$6:$CC$300,37,0)</f>
        <v>0</v>
      </c>
      <c r="AW229" s="102">
        <f>VLOOKUP(L229,其他合同!$L$6:$CC$300,38,0)</f>
        <v>0</v>
      </c>
      <c r="AX229" s="102">
        <f>VLOOKUP(L229,其他合同!$L$6:$CC$300,39,0)</f>
        <v>0</v>
      </c>
      <c r="AY229" s="102">
        <f>VLOOKUP(L229,其他合同!$L$6:$CC$300,40,0)</f>
        <v>0</v>
      </c>
      <c r="AZ229" s="102">
        <f>VLOOKUP(L229,其他合同!$L$6:$CC$300,41,0)</f>
        <v>0</v>
      </c>
      <c r="BA229" s="102">
        <f>VLOOKUP(L229,其他合同!$L$6:$CC$300,42,0)</f>
        <v>0</v>
      </c>
      <c r="BB229" s="102">
        <f>VLOOKUP(L229,其他合同!$L$6:$CC$300,43,0)</f>
        <v>0</v>
      </c>
      <c r="BC229" s="102">
        <f>VLOOKUP(L229,其他合同!$L$6:$CC$300,44,0)</f>
        <v>0</v>
      </c>
      <c r="BD229" s="102">
        <f>VLOOKUP(L229,其他合同!$L$6:$CC$300,45,0)</f>
        <v>0</v>
      </c>
      <c r="BE229" s="102">
        <f>VLOOKUP(L229,其他合同!$L$6:$CC$300,46,0)</f>
        <v>0</v>
      </c>
      <c r="BF229" s="102">
        <f>VLOOKUP(L229,其他合同!$L$6:$CC$300,47,0)</f>
        <v>0</v>
      </c>
      <c r="BG229" s="102">
        <f>VLOOKUP(L229,其他合同!$L$6:$CC$300,48,0)</f>
        <v>0</v>
      </c>
      <c r="BH229" s="102">
        <f>VLOOKUP(L229,其他合同!$L$6:$CC$300,49,0)</f>
        <v>0</v>
      </c>
      <c r="BI229" s="102">
        <f>VLOOKUP(L229,其他合同!$L$6:$CC$300,50,0)</f>
        <v>0</v>
      </c>
      <c r="BJ229" s="102">
        <f>VLOOKUP(L229,其他合同!$L$6:$CC$300,51,0)</f>
        <v>0</v>
      </c>
      <c r="BK229" s="102">
        <f>VLOOKUP(L229,其他合同!$L$6:$CC$300,52,0)</f>
        <v>0</v>
      </c>
      <c r="BL229" s="102">
        <f>VLOOKUP(L229,其他合同!$L$6:$CC$300,53,0)</f>
        <v>0</v>
      </c>
      <c r="BM229" s="102">
        <f>VLOOKUP(L229,其他合同!$L$6:$CC$300,54,0)</f>
        <v>0</v>
      </c>
      <c r="BN229" s="102">
        <f>VLOOKUP(L229,其他合同!$L$6:$CC$300,55,0)</f>
        <v>0</v>
      </c>
      <c r="BO229" s="102">
        <f>VLOOKUP(L229,其他合同!$L$6:$CC$300,56,0)</f>
        <v>0</v>
      </c>
      <c r="BP229" s="102">
        <f>VLOOKUP(L229,其他合同!$L$6:$CC$300,57,0)</f>
        <v>0</v>
      </c>
      <c r="BQ229" s="102">
        <f>VLOOKUP(L229,其他合同!$L$6:$CC$300,58,0)</f>
        <v>0</v>
      </c>
      <c r="BR229" s="102">
        <f>VLOOKUP(L229,其他合同!$L$6:$CC$300,59,0)</f>
        <v>0</v>
      </c>
      <c r="BS229" s="102">
        <f>VLOOKUP(L229,其他合同!$L$6:$CC$300,60,0)</f>
        <v>0</v>
      </c>
      <c r="BT229" s="102">
        <f>VLOOKUP(L229,其他合同!$L$6:$CC$300,61,0)</f>
        <v>0</v>
      </c>
      <c r="BU229" s="102">
        <f>VLOOKUP(L229,其他合同!$L$6:$CC$300,62,0)</f>
        <v>0</v>
      </c>
      <c r="BV229" s="102">
        <f>VLOOKUP(L229,其他合同!$L$6:$CC$300,63,0)</f>
        <v>0</v>
      </c>
      <c r="BW229" s="102">
        <f>VLOOKUP(L229,其他合同!$L$6:$CC$300,64,0)</f>
        <v>0</v>
      </c>
      <c r="BX229" s="102">
        <f>VLOOKUP(L229,其他合同!$L$6:$CC$300,65,0)</f>
        <v>0</v>
      </c>
      <c r="BY229" s="102">
        <f>VLOOKUP(L229,其他合同!$L$6:$CC$300,66,0)</f>
        <v>0</v>
      </c>
      <c r="BZ229" s="102">
        <f>VLOOKUP(L229,其他合同!$L$6:$CC$300,67,0)</f>
        <v>0</v>
      </c>
      <c r="CA229" s="102">
        <f>VLOOKUP(L229,其他合同!$L$6:$CC$300,68,0)</f>
        <v>0</v>
      </c>
      <c r="CB229" s="102">
        <f>VLOOKUP(L229,其他合同!$L$6:$CC$300,69,0)</f>
        <v>0</v>
      </c>
      <c r="CC229" s="102">
        <f>VLOOKUP(L229,其他合同!$L$6:$CC$300,70,0)</f>
        <v>0</v>
      </c>
      <c r="CD229" s="123">
        <f t="shared" si="55"/>
        <v>36176339.4549999</v>
      </c>
      <c r="CE229" s="102">
        <f t="shared" si="56"/>
        <v>36176339.4549999</v>
      </c>
      <c r="CF229" s="102">
        <f t="shared" si="57"/>
        <v>36176339.4549999</v>
      </c>
      <c r="CG229" s="102">
        <f t="shared" si="58"/>
        <v>0</v>
      </c>
      <c r="CH229" s="124">
        <f t="shared" si="59"/>
        <v>0</v>
      </c>
      <c r="CI229" s="125">
        <f t="shared" si="60"/>
        <v>1</v>
      </c>
      <c r="CJ229" s="126" t="str">
        <f t="shared" si="61"/>
        <v>数据正确</v>
      </c>
    </row>
    <row r="230" s="60" customFormat="1" customHeight="1" spans="2:88">
      <c r="B230" s="70" t="str">
        <f t="shared" si="51"/>
        <v>-</v>
      </c>
      <c r="C230" s="71" t="str">
        <f t="shared" si="52"/>
        <v>-</v>
      </c>
      <c r="D230" s="181">
        <f t="shared" si="53"/>
        <v>690000</v>
      </c>
      <c r="E230" s="181">
        <f>SUMIF(设备合同!$L$6:$L$302,L230,设备合同!$E$6:$E$302)</f>
        <v>0</v>
      </c>
      <c r="F230" s="181">
        <f>SUMIF(设备合同!$L$6:$L$302,L230,设备合同!$F$6:$F$302)</f>
        <v>0</v>
      </c>
      <c r="G230" s="181">
        <f>SUMIF(设备合同!$L$6:$L$302,L230,设备合同!$G$6:$G$302)</f>
        <v>0</v>
      </c>
      <c r="H230" s="181">
        <f>SUMIF(设备合同!$L$6:$L$302,L230,设备合同!$H$6:$H$302)</f>
        <v>0</v>
      </c>
      <c r="I230" s="181">
        <f t="shared" si="54"/>
        <v>0</v>
      </c>
      <c r="J230" s="86" t="s">
        <v>98</v>
      </c>
      <c r="K230" s="87"/>
      <c r="L230" s="88">
        <v>225</v>
      </c>
      <c r="M230" s="89" t="str">
        <f>VLOOKUP(L230,设备合同!$L$6:$CC$302,2,0)</f>
        <v>YRKJEQ-170073</v>
      </c>
      <c r="N230" s="90" t="str">
        <f>VLOOKUP(L230,设备合同!$L$6:$CC$302,3,0)</f>
        <v>设备合同</v>
      </c>
      <c r="O230" s="265">
        <f>VLOOKUP(L230,设备合同!$L$6:$CC$302,4,0)</f>
        <v>0</v>
      </c>
      <c r="P230" s="266">
        <f>VLOOKUP(L230,设备合同!$L$6:$CC$302,5,0)</f>
        <v>42962</v>
      </c>
      <c r="Q230" s="275">
        <f>VLOOKUP(L230,设备合同!$L$6:$CC$302,6,0)</f>
        <v>1150000</v>
      </c>
      <c r="R230" s="89" t="str">
        <f>VLOOKUP(L230,设备合同!$L$6:$CC$302,7,0)</f>
        <v>电器一批</v>
      </c>
      <c r="S230" s="89" t="str">
        <f>VLOOKUP(L230,设备合同!$L$6:$CC$302,8,0)</f>
        <v>镇江默勒电器有限公司</v>
      </c>
      <c r="T230" s="107" t="str">
        <f>VLOOKUP(L230,设备合同!$L$6:$CC$302,9,0)</f>
        <v>厂前区配电所</v>
      </c>
      <c r="U230" s="103" t="str">
        <f>VLOOKUP(L230,设备合同!$L$6:$CC$302,10,0)</f>
        <v>6个月承兑汇票/电汇无说明</v>
      </c>
      <c r="V230" s="276" t="str">
        <f>VLOOKUP(L230,设备合同!$L$6:$CC$302,11,0)</f>
        <v>甲方到乙方现场确认无误后，收到17%等额专票，15个工作日内支付60%发货款。</v>
      </c>
      <c r="W230" s="102">
        <f>VLOOKUP(L230,设备合同!$L$6:$CC$302,12,0)</f>
        <v>690000</v>
      </c>
      <c r="X230" s="102">
        <f>VLOOKUP(L230,设备合同!$L$6:$CC$302,13,0)</f>
        <v>690000</v>
      </c>
      <c r="Y230" s="102">
        <f>VLOOKUP(L230,设备合同!$L$6:$CC$302,14,0)</f>
        <v>690000</v>
      </c>
      <c r="Z230" s="102" t="str">
        <f>VLOOKUP(L230,设备合同!$L$6:$CC$302,15,0)</f>
        <v>甲方核定的调试合格报告及足额的发票后付30%的验收款</v>
      </c>
      <c r="AA230" s="102">
        <f>VLOOKUP(L230,设备合同!$L$6:$CC$302,16,0)</f>
        <v>345000</v>
      </c>
      <c r="AB230" s="102">
        <f>VLOOKUP(L230,设备合同!$L$6:$CC$302,17,0)</f>
        <v>0</v>
      </c>
      <c r="AC230" s="102">
        <f>VLOOKUP(L230,设备合同!$L$6:$CC$302,18,0)</f>
        <v>0</v>
      </c>
      <c r="AD230" s="102" t="str">
        <f>VLOOKUP(L230,设备合同!$L$6:$CC$302,19,0)</f>
        <v>10%质保金，验收合格12个月或到货现场18个月</v>
      </c>
      <c r="AE230" s="102">
        <f>VLOOKUP(L230,设备合同!$L$6:$CC$302,20,0)</f>
        <v>115000</v>
      </c>
      <c r="AF230" s="102">
        <f>VLOOKUP(L230,设备合同!$L$6:$CC$302,21,0)</f>
        <v>0</v>
      </c>
      <c r="AG230" s="102">
        <f>VLOOKUP(L230,设备合同!$L$6:$CC$302,22,0)</f>
        <v>0</v>
      </c>
      <c r="AH230" s="102">
        <f>VLOOKUP(L230,设备合同!$L$6:$CC$302,23,0)</f>
        <v>0</v>
      </c>
      <c r="AI230" s="102">
        <f>VLOOKUP(L230,设备合同!$L$6:$CC$302,24,0)</f>
        <v>0</v>
      </c>
      <c r="AJ230" s="102">
        <f>VLOOKUP(L230,设备合同!$L$6:$CC$302,25,0)</f>
        <v>0</v>
      </c>
      <c r="AK230" s="102">
        <f>VLOOKUP(L230,设备合同!$L$6:$CC$302,26,0)</f>
        <v>0</v>
      </c>
      <c r="AL230" s="102">
        <f>VLOOKUP(L230,设备合同!$L$6:$CC$302,27,0)</f>
        <v>0</v>
      </c>
      <c r="AM230" s="102">
        <f>VLOOKUP(L230,设备合同!$L$6:$CC$302,28,0)</f>
        <v>0</v>
      </c>
      <c r="AN230" s="102">
        <f>VLOOKUP(L230,设备合同!$L$6:$CC$302,29,0)</f>
        <v>0</v>
      </c>
      <c r="AO230" s="102">
        <f>VLOOKUP(L230,设备合同!$L$6:$CC$302,30,0)</f>
        <v>0</v>
      </c>
      <c r="AP230" s="102">
        <f>VLOOKUP(L230,设备合同!$L$6:$CC$302,31,0)</f>
        <v>0</v>
      </c>
      <c r="AQ230" s="102">
        <f>VLOOKUP(L230,设备合同!$L$6:$CC$302,32,0)</f>
        <v>0</v>
      </c>
      <c r="AR230" s="102">
        <f>VLOOKUP(L230,设备合同!$L$6:$CC$302,33,0)</f>
        <v>0</v>
      </c>
      <c r="AS230" s="102">
        <f>VLOOKUP(L230,设备合同!$L$6:$CC$302,34,0)</f>
        <v>0</v>
      </c>
      <c r="AT230" s="102">
        <f>VLOOKUP(L230,设备合同!$L$6:$CC$302,35,0)</f>
        <v>0</v>
      </c>
      <c r="AU230" s="102">
        <f>VLOOKUP(L230,设备合同!$L$6:$CC$302,36,0)</f>
        <v>0</v>
      </c>
      <c r="AV230" s="102">
        <f>VLOOKUP(L230,设备合同!$L$6:$CC$302,37,0)</f>
        <v>0</v>
      </c>
      <c r="AW230" s="102">
        <f>VLOOKUP(L230,设备合同!$L$6:$CC$302,38,0)</f>
        <v>0</v>
      </c>
      <c r="AX230" s="102">
        <f>VLOOKUP(L230,设备合同!$L$6:$CC$302,39,0)</f>
        <v>0</v>
      </c>
      <c r="AY230" s="102">
        <f>VLOOKUP(L230,设备合同!$L$6:$CC$302,40,0)</f>
        <v>0</v>
      </c>
      <c r="AZ230" s="102">
        <f>VLOOKUP(L230,设备合同!$L$6:$CC$302,41,0)</f>
        <v>0</v>
      </c>
      <c r="BA230" s="102">
        <f>VLOOKUP(L230,设备合同!$L$6:$CC$302,42,0)</f>
        <v>0</v>
      </c>
      <c r="BB230" s="102">
        <f>VLOOKUP(L230,设备合同!$L$6:$CC$302,43,0)</f>
        <v>0</v>
      </c>
      <c r="BC230" s="102">
        <f>VLOOKUP(L230,设备合同!$L$6:$CC$302,44,0)</f>
        <v>0</v>
      </c>
      <c r="BD230" s="102">
        <f>VLOOKUP(L230,设备合同!$L$6:$CC$302,45,0)</f>
        <v>0</v>
      </c>
      <c r="BE230" s="102">
        <f>VLOOKUP(L230,设备合同!$L$6:$CC$302,46,0)</f>
        <v>0</v>
      </c>
      <c r="BF230" s="102">
        <f>VLOOKUP(L230,设备合同!$L$6:$CC$302,47,0)</f>
        <v>0</v>
      </c>
      <c r="BG230" s="102">
        <f>VLOOKUP(L230,设备合同!$L$6:$CC$302,48,0)</f>
        <v>0</v>
      </c>
      <c r="BH230" s="102">
        <f>VLOOKUP(L230,设备合同!$L$6:$CC$302,49,0)</f>
        <v>0</v>
      </c>
      <c r="BI230" s="102">
        <f>VLOOKUP(L230,设备合同!$L$6:$CC$302,50,0)</f>
        <v>0</v>
      </c>
      <c r="BJ230" s="102">
        <f>VLOOKUP(L230,设备合同!$L$6:$CC$302,51,0)</f>
        <v>0</v>
      </c>
      <c r="BK230" s="102">
        <f>VLOOKUP(L230,设备合同!$L$6:$CC$302,52,0)</f>
        <v>0</v>
      </c>
      <c r="BL230" s="102">
        <f>VLOOKUP(L230,设备合同!$L$6:$CC$302,53,0)</f>
        <v>0</v>
      </c>
      <c r="BM230" s="102">
        <f>VLOOKUP(L230,设备合同!$L$6:$CC$302,54,0)</f>
        <v>0</v>
      </c>
      <c r="BN230" s="102">
        <f>VLOOKUP(L230,设备合同!$L$6:$CC$302,55,0)</f>
        <v>0</v>
      </c>
      <c r="BO230" s="102">
        <f>VLOOKUP(L230,设备合同!$L$6:$CC$302,56,0)</f>
        <v>0</v>
      </c>
      <c r="BP230" s="102">
        <f>VLOOKUP(L230,设备合同!$L$6:$CC$302,57,0)</f>
        <v>0</v>
      </c>
      <c r="BQ230" s="102">
        <f>VLOOKUP(L230,设备合同!$L$6:$CC$302,58,0)</f>
        <v>0</v>
      </c>
      <c r="BR230" s="102">
        <f>VLOOKUP(L230,设备合同!$L$6:$CC$302,59,0)</f>
        <v>0</v>
      </c>
      <c r="BS230" s="102">
        <f>VLOOKUP(L230,设备合同!$L$6:$CC$302,60,0)</f>
        <v>0</v>
      </c>
      <c r="BT230" s="102">
        <f>VLOOKUP(L230,设备合同!$L$6:$CC$302,61,0)</f>
        <v>0</v>
      </c>
      <c r="BU230" s="102">
        <f>VLOOKUP(L230,设备合同!$L$6:$CC$302,62,0)</f>
        <v>0</v>
      </c>
      <c r="BV230" s="102">
        <f>VLOOKUP(L230,设备合同!$L$6:$CC$302,63,0)</f>
        <v>0</v>
      </c>
      <c r="BW230" s="102">
        <f>VLOOKUP(L230,设备合同!$L$6:$CC$302,64,0)</f>
        <v>0</v>
      </c>
      <c r="BX230" s="102">
        <f>VLOOKUP(L230,设备合同!$L$6:$CC$302,65,0)</f>
        <v>0</v>
      </c>
      <c r="BY230" s="102">
        <f>VLOOKUP(L230,设备合同!$L$6:$CC$302,66,0)</f>
        <v>0</v>
      </c>
      <c r="BZ230" s="102">
        <f>VLOOKUP(L230,设备合同!$L$6:$CC$302,67,0)</f>
        <v>0</v>
      </c>
      <c r="CA230" s="102">
        <f>VLOOKUP(L230,设备合同!$L$6:$CC$302,68,0)</f>
        <v>0</v>
      </c>
      <c r="CB230" s="102">
        <f>VLOOKUP(L230,设备合同!$L$6:$CC$302,69,0)</f>
        <v>0</v>
      </c>
      <c r="CC230" s="102">
        <f>VLOOKUP(L230,设备合同!$L$6:$CC$302,70,0)</f>
        <v>0</v>
      </c>
      <c r="CD230" s="123">
        <f t="shared" si="55"/>
        <v>1150000</v>
      </c>
      <c r="CE230" s="102">
        <f t="shared" si="56"/>
        <v>690000</v>
      </c>
      <c r="CF230" s="102">
        <f t="shared" si="57"/>
        <v>690000</v>
      </c>
      <c r="CG230" s="102">
        <f t="shared" si="58"/>
        <v>0</v>
      </c>
      <c r="CH230" s="124">
        <f t="shared" si="59"/>
        <v>460000</v>
      </c>
      <c r="CI230" s="125">
        <f t="shared" si="60"/>
        <v>0.6</v>
      </c>
      <c r="CJ230" s="126" t="str">
        <f t="shared" si="61"/>
        <v>数据正确</v>
      </c>
    </row>
    <row r="231" s="60" customFormat="1" customHeight="1" spans="2:88">
      <c r="B231" s="70" t="str">
        <f t="shared" si="51"/>
        <v>-</v>
      </c>
      <c r="C231" s="71" t="str">
        <f t="shared" si="52"/>
        <v>-</v>
      </c>
      <c r="D231" s="181">
        <f t="shared" si="53"/>
        <v>304000</v>
      </c>
      <c r="E231" s="181">
        <f>SUMIF(设备合同!$L$6:$L$302,L231,设备合同!$E$6:$E$302)</f>
        <v>0</v>
      </c>
      <c r="F231" s="181">
        <f>SUMIF(设备合同!$L$6:$L$302,L231,设备合同!$F$6:$F$302)</f>
        <v>0</v>
      </c>
      <c r="G231" s="181">
        <f>SUMIF(设备合同!$L$6:$L$302,L231,设备合同!$G$6:$G$302)</f>
        <v>0</v>
      </c>
      <c r="H231" s="181">
        <f>SUMIF(设备合同!$L$6:$L$302,L231,设备合同!$H$6:$H$302)</f>
        <v>0</v>
      </c>
      <c r="I231" s="181">
        <f t="shared" si="54"/>
        <v>0</v>
      </c>
      <c r="J231" s="86" t="s">
        <v>98</v>
      </c>
      <c r="K231" s="87"/>
      <c r="L231" s="88">
        <v>226</v>
      </c>
      <c r="M231" s="89" t="str">
        <f>VLOOKUP(L231,设备合同!$L$6:$CC$302,2,0)</f>
        <v>YRKJEQ-170077</v>
      </c>
      <c r="N231" s="90" t="str">
        <f>VLOOKUP(L231,设备合同!$L$6:$CC$302,3,0)</f>
        <v>设备合同</v>
      </c>
      <c r="O231" s="265">
        <f>VLOOKUP(L231,设备合同!$L$6:$CC$302,4,0)</f>
        <v>2017060090</v>
      </c>
      <c r="P231" s="266">
        <f>VLOOKUP(L231,设备合同!$L$6:$CC$302,5,0)</f>
        <v>42962</v>
      </c>
      <c r="Q231" s="275">
        <f>VLOOKUP(L231,设备合同!$L$6:$CC$302,6,0)</f>
        <v>1520000</v>
      </c>
      <c r="R231" s="89" t="str">
        <f>VLOOKUP(L231,设备合同!$L$6:$CC$302,7,0)</f>
        <v>柴油发动机</v>
      </c>
      <c r="S231" s="89" t="str">
        <f>VLOOKUP(L231,设备合同!$L$6:$CC$302,8,0)</f>
        <v>伟兴有限公司</v>
      </c>
      <c r="T231" s="107" t="str">
        <f>VLOOKUP(L231,设备合同!$L$6:$CC$302,9,0)</f>
        <v>西北区配电所</v>
      </c>
      <c r="U231" s="103" t="str">
        <f>VLOOKUP(L231,设备合同!$L$6:$CC$302,10,0)</f>
        <v>6个月承兑汇票/电汇无说明</v>
      </c>
      <c r="V231" s="276" t="str">
        <f>VLOOKUP(L231,设备合同!$L$6:$CC$302,11,0)</f>
        <v>甲方收到乙方20%的预付款保函以等额专票后15个工作日支付20%预付款  10%履约保函</v>
      </c>
      <c r="W231" s="102">
        <f>VLOOKUP(L231,设备合同!$L$6:$CC$302,12,0)</f>
        <v>304000</v>
      </c>
      <c r="X231" s="102">
        <f>VLOOKUP(L231,设备合同!$L$6:$CC$302,13,0)</f>
        <v>304000</v>
      </c>
      <c r="Y231" s="102">
        <f>VLOOKUP(L231,设备合同!$L$6:$CC$302,14,0)</f>
        <v>304000</v>
      </c>
      <c r="Z231" s="102" t="str">
        <f>VLOOKUP(L231,设备合同!$L$6:$CC$302,15,0)</f>
        <v>甲方到乙方现场确认无误后，收到17%等额专票，15个工作日内支付40%发货款</v>
      </c>
      <c r="AA231" s="102">
        <f>VLOOKUP(L231,设备合同!$L$6:$CC$302,16,0)</f>
        <v>608000</v>
      </c>
      <c r="AB231" s="102">
        <f>VLOOKUP(L231,设备合同!$L$6:$CC$302,17,0)</f>
        <v>0</v>
      </c>
      <c r="AC231" s="102">
        <f>VLOOKUP(L231,设备合同!$L$6:$CC$302,18,0)</f>
        <v>0</v>
      </c>
      <c r="AD231" s="102" t="str">
        <f>VLOOKUP(L231,设备合同!$L$6:$CC$302,19,0)</f>
        <v>甲方核定的调试合格报告及足额的发票后付30%的验收款</v>
      </c>
      <c r="AE231" s="102">
        <f>VLOOKUP(L231,设备合同!$L$6:$CC$302,20,0)</f>
        <v>456000</v>
      </c>
      <c r="AF231" s="102">
        <f>VLOOKUP(L231,设备合同!$L$6:$CC$302,21,0)</f>
        <v>0</v>
      </c>
      <c r="AG231" s="102">
        <f>VLOOKUP(L231,设备合同!$L$6:$CC$302,22,0)</f>
        <v>0</v>
      </c>
      <c r="AH231" s="102" t="str">
        <f>VLOOKUP(L231,设备合同!$L$6:$CC$302,23,0)</f>
        <v>10%质保金，验收合格12个月或到货现场18个月</v>
      </c>
      <c r="AI231" s="102">
        <f>VLOOKUP(L231,设备合同!$L$6:$CC$302,24,0)</f>
        <v>152000</v>
      </c>
      <c r="AJ231" s="102">
        <f>VLOOKUP(L231,设备合同!$L$6:$CC$302,25,0)</f>
        <v>0</v>
      </c>
      <c r="AK231" s="102">
        <f>VLOOKUP(L231,设备合同!$L$6:$CC$302,26,0)</f>
        <v>0</v>
      </c>
      <c r="AL231" s="102">
        <f>VLOOKUP(L231,设备合同!$L$6:$CC$302,27,0)</f>
        <v>0</v>
      </c>
      <c r="AM231" s="102">
        <f>VLOOKUP(L231,设备合同!$L$6:$CC$302,28,0)</f>
        <v>0</v>
      </c>
      <c r="AN231" s="102">
        <f>VLOOKUP(L231,设备合同!$L$6:$CC$302,29,0)</f>
        <v>0</v>
      </c>
      <c r="AO231" s="102">
        <f>VLOOKUP(L231,设备合同!$L$6:$CC$302,30,0)</f>
        <v>0</v>
      </c>
      <c r="AP231" s="102">
        <f>VLOOKUP(L231,设备合同!$L$6:$CC$302,31,0)</f>
        <v>0</v>
      </c>
      <c r="AQ231" s="102">
        <f>VLOOKUP(L231,设备合同!$L$6:$CC$302,32,0)</f>
        <v>0</v>
      </c>
      <c r="AR231" s="102">
        <f>VLOOKUP(L231,设备合同!$L$6:$CC$302,33,0)</f>
        <v>0</v>
      </c>
      <c r="AS231" s="102">
        <f>VLOOKUP(L231,设备合同!$L$6:$CC$302,34,0)</f>
        <v>0</v>
      </c>
      <c r="AT231" s="102">
        <f>VLOOKUP(L231,设备合同!$L$6:$CC$302,35,0)</f>
        <v>0</v>
      </c>
      <c r="AU231" s="102">
        <f>VLOOKUP(L231,设备合同!$L$6:$CC$302,36,0)</f>
        <v>0</v>
      </c>
      <c r="AV231" s="102">
        <f>VLOOKUP(L231,设备合同!$L$6:$CC$302,37,0)</f>
        <v>0</v>
      </c>
      <c r="AW231" s="102">
        <f>VLOOKUP(L231,设备合同!$L$6:$CC$302,38,0)</f>
        <v>0</v>
      </c>
      <c r="AX231" s="102">
        <f>VLOOKUP(L231,设备合同!$L$6:$CC$302,39,0)</f>
        <v>0</v>
      </c>
      <c r="AY231" s="102">
        <f>VLOOKUP(L231,设备合同!$L$6:$CC$302,40,0)</f>
        <v>0</v>
      </c>
      <c r="AZ231" s="102">
        <f>VLOOKUP(L231,设备合同!$L$6:$CC$302,41,0)</f>
        <v>0</v>
      </c>
      <c r="BA231" s="102">
        <f>VLOOKUP(L231,设备合同!$L$6:$CC$302,42,0)</f>
        <v>0</v>
      </c>
      <c r="BB231" s="102">
        <f>VLOOKUP(L231,设备合同!$L$6:$CC$302,43,0)</f>
        <v>0</v>
      </c>
      <c r="BC231" s="102">
        <f>VLOOKUP(L231,设备合同!$L$6:$CC$302,44,0)</f>
        <v>0</v>
      </c>
      <c r="BD231" s="102">
        <f>VLOOKUP(L231,设备合同!$L$6:$CC$302,45,0)</f>
        <v>0</v>
      </c>
      <c r="BE231" s="102">
        <f>VLOOKUP(L231,设备合同!$L$6:$CC$302,46,0)</f>
        <v>0</v>
      </c>
      <c r="BF231" s="102">
        <f>VLOOKUP(L231,设备合同!$L$6:$CC$302,47,0)</f>
        <v>0</v>
      </c>
      <c r="BG231" s="102">
        <f>VLOOKUP(L231,设备合同!$L$6:$CC$302,48,0)</f>
        <v>0</v>
      </c>
      <c r="BH231" s="102">
        <f>VLOOKUP(L231,设备合同!$L$6:$CC$302,49,0)</f>
        <v>0</v>
      </c>
      <c r="BI231" s="102">
        <f>VLOOKUP(L231,设备合同!$L$6:$CC$302,50,0)</f>
        <v>0</v>
      </c>
      <c r="BJ231" s="102">
        <f>VLOOKUP(L231,设备合同!$L$6:$CC$302,51,0)</f>
        <v>0</v>
      </c>
      <c r="BK231" s="102">
        <f>VLOOKUP(L231,设备合同!$L$6:$CC$302,52,0)</f>
        <v>0</v>
      </c>
      <c r="BL231" s="102">
        <f>VLOOKUP(L231,设备合同!$L$6:$CC$302,53,0)</f>
        <v>0</v>
      </c>
      <c r="BM231" s="102">
        <f>VLOOKUP(L231,设备合同!$L$6:$CC$302,54,0)</f>
        <v>0</v>
      </c>
      <c r="BN231" s="102">
        <f>VLOOKUP(L231,设备合同!$L$6:$CC$302,55,0)</f>
        <v>0</v>
      </c>
      <c r="BO231" s="102">
        <f>VLOOKUP(L231,设备合同!$L$6:$CC$302,56,0)</f>
        <v>0</v>
      </c>
      <c r="BP231" s="102">
        <f>VLOOKUP(L231,设备合同!$L$6:$CC$302,57,0)</f>
        <v>0</v>
      </c>
      <c r="BQ231" s="102">
        <f>VLOOKUP(L231,设备合同!$L$6:$CC$302,58,0)</f>
        <v>0</v>
      </c>
      <c r="BR231" s="102">
        <f>VLOOKUP(L231,设备合同!$L$6:$CC$302,59,0)</f>
        <v>0</v>
      </c>
      <c r="BS231" s="102">
        <f>VLOOKUP(L231,设备合同!$L$6:$CC$302,60,0)</f>
        <v>0</v>
      </c>
      <c r="BT231" s="102">
        <f>VLOOKUP(L231,设备合同!$L$6:$CC$302,61,0)</f>
        <v>0</v>
      </c>
      <c r="BU231" s="102">
        <f>VLOOKUP(L231,设备合同!$L$6:$CC$302,62,0)</f>
        <v>0</v>
      </c>
      <c r="BV231" s="102">
        <f>VLOOKUP(L231,设备合同!$L$6:$CC$302,63,0)</f>
        <v>0</v>
      </c>
      <c r="BW231" s="102">
        <f>VLOOKUP(L231,设备合同!$L$6:$CC$302,64,0)</f>
        <v>0</v>
      </c>
      <c r="BX231" s="102">
        <f>VLOOKUP(L231,设备合同!$L$6:$CC$302,65,0)</f>
        <v>0</v>
      </c>
      <c r="BY231" s="102">
        <f>VLOOKUP(L231,设备合同!$L$6:$CC$302,66,0)</f>
        <v>0</v>
      </c>
      <c r="BZ231" s="102">
        <f>VLOOKUP(L231,设备合同!$L$6:$CC$302,67,0)</f>
        <v>0</v>
      </c>
      <c r="CA231" s="102">
        <f>VLOOKUP(L231,设备合同!$L$6:$CC$302,68,0)</f>
        <v>0</v>
      </c>
      <c r="CB231" s="102">
        <f>VLOOKUP(L231,设备合同!$L$6:$CC$302,69,0)</f>
        <v>0</v>
      </c>
      <c r="CC231" s="102">
        <f>VLOOKUP(L231,设备合同!$L$6:$CC$302,70,0)</f>
        <v>0</v>
      </c>
      <c r="CD231" s="123">
        <f t="shared" si="55"/>
        <v>1520000</v>
      </c>
      <c r="CE231" s="102">
        <f t="shared" si="56"/>
        <v>304000</v>
      </c>
      <c r="CF231" s="102">
        <f t="shared" si="57"/>
        <v>304000</v>
      </c>
      <c r="CG231" s="102">
        <f t="shared" si="58"/>
        <v>0</v>
      </c>
      <c r="CH231" s="124">
        <f t="shared" si="59"/>
        <v>1216000</v>
      </c>
      <c r="CI231" s="125">
        <f t="shared" si="60"/>
        <v>0.2</v>
      </c>
      <c r="CJ231" s="126" t="str">
        <f t="shared" si="61"/>
        <v>数据正确</v>
      </c>
    </row>
    <row r="232" s="60" customFormat="1" customHeight="1" spans="2:88">
      <c r="B232" s="70" t="str">
        <f t="shared" si="51"/>
        <v>-</v>
      </c>
      <c r="C232" s="71" t="str">
        <f t="shared" si="52"/>
        <v>-</v>
      </c>
      <c r="D232" s="181">
        <f t="shared" si="53"/>
        <v>280000</v>
      </c>
      <c r="E232" s="181">
        <f>SUMIF(材料合同!$L$6:$L$305,L232,材料合同!$E$6:$E$305)</f>
        <v>0</v>
      </c>
      <c r="F232" s="181">
        <f>SUMIF(材料合同!$L$6:$L$305,L232,材料合同!$F$6:$F$305)</f>
        <v>0</v>
      </c>
      <c r="G232" s="181">
        <f>SUMIF(材料合同!$L$6:$L$305,L232,材料合同!$G$6:$G$305)</f>
        <v>0</v>
      </c>
      <c r="H232" s="181">
        <f>SUMIF(材料合同!$L$6:$L$305,L232,材料合同!$H$6:$H$305)</f>
        <v>0</v>
      </c>
      <c r="I232" s="181">
        <f t="shared" si="54"/>
        <v>0</v>
      </c>
      <c r="J232" s="86" t="s">
        <v>98</v>
      </c>
      <c r="K232" s="87"/>
      <c r="L232" s="88">
        <v>227</v>
      </c>
      <c r="M232" s="89" t="str">
        <f>VLOOKUP(L232,材料合同!$L$6:$CC$305,2,0)</f>
        <v>YRKJEQ-170080</v>
      </c>
      <c r="N232" s="90" t="str">
        <f>VLOOKUP(L232,材料合同!$L$6:$CC$305,3,0)</f>
        <v>材料合同</v>
      </c>
      <c r="O232" s="265">
        <f>VLOOKUP(L232,材料合同!$L$6:$CC$305,4,0)</f>
        <v>2017070048</v>
      </c>
      <c r="P232" s="266">
        <f>VLOOKUP(L232,材料合同!$L$6:$CC$305,5,0)</f>
        <v>42966</v>
      </c>
      <c r="Q232" s="275">
        <f>VLOOKUP(L232,材料合同!$L$6:$CC$305,6,0)</f>
        <v>350000</v>
      </c>
      <c r="R232" s="89" t="str">
        <f>VLOOKUP(L232,材料合同!$L$6:$CC$305,7,0)</f>
        <v>桥架一批</v>
      </c>
      <c r="S232" s="89" t="str">
        <f>VLOOKUP(L232,材料合同!$L$6:$CC$305,8,0)</f>
        <v>安徽天彩电缆集团有限公司</v>
      </c>
      <c r="T232" s="107" t="str">
        <f>VLOOKUP(L232,材料合同!$L$6:$CC$305,9,0)</f>
        <v>全厂工艺及供热外管</v>
      </c>
      <c r="U232" s="103" t="str">
        <f>VLOOKUP(L232,材料合同!$L$6:$CC$305,10,0)</f>
        <v>无说明</v>
      </c>
      <c r="V232" s="276" t="str">
        <f>VLOOKUP(L232,材料合同!$L$6:$CC$305,11,0)</f>
        <v>甲方全部收到货物，经验收合格，收到等额专票15个工作日支付80%货款</v>
      </c>
      <c r="W232" s="102">
        <f>VLOOKUP(L232,材料合同!$L$6:$CC$305,12,0)</f>
        <v>280000</v>
      </c>
      <c r="X232" s="102">
        <f>VLOOKUP(L232,材料合同!$L$6:$CC$305,13,0)</f>
        <v>280000</v>
      </c>
      <c r="Y232" s="102">
        <f>VLOOKUP(L232,材料合同!$L$6:$CC$305,14,0)</f>
        <v>280000</v>
      </c>
      <c r="Z232" s="102" t="str">
        <f>VLOOKUP(L232,材料合同!$L$6:$CC$305,15,0)</f>
        <v>安装完毕，验收合格，收到足额的专票后支付10%调试款</v>
      </c>
      <c r="AA232" s="102">
        <f>VLOOKUP(L232,材料合同!$L$6:$CC$305,16,0)</f>
        <v>35000</v>
      </c>
      <c r="AB232" s="102">
        <f>VLOOKUP(L232,材料合同!$L$6:$CC$305,17,0)</f>
        <v>0</v>
      </c>
      <c r="AC232" s="102">
        <f>VLOOKUP(L232,材料合同!$L$6:$CC$305,18,0)</f>
        <v>0</v>
      </c>
      <c r="AD232" s="102" t="str">
        <f>VLOOKUP(L232,材料合同!$L$6:$CC$305,19,0)</f>
        <v>10%质保金，验收合格12个月或到货现场18个月</v>
      </c>
      <c r="AE232" s="102">
        <f>VLOOKUP(L232,材料合同!$L$6:$CC$305,20,0)</f>
        <v>35000</v>
      </c>
      <c r="AF232" s="102">
        <f>VLOOKUP(L232,材料合同!$L$6:$CC$305,21,0)</f>
        <v>0</v>
      </c>
      <c r="AG232" s="102">
        <f>VLOOKUP(L232,材料合同!$L$6:$CC$305,22,0)</f>
        <v>0</v>
      </c>
      <c r="AH232" s="102">
        <f>VLOOKUP(L232,材料合同!$L$6:$CC$305,23,0)</f>
        <v>0</v>
      </c>
      <c r="AI232" s="102">
        <f>VLOOKUP(L232,材料合同!$L$6:$CC$305,24,0)</f>
        <v>0</v>
      </c>
      <c r="AJ232" s="102">
        <f>VLOOKUP(L232,材料合同!$L$6:$CC$305,25,0)</f>
        <v>0</v>
      </c>
      <c r="AK232" s="102">
        <f>VLOOKUP(L232,材料合同!$L$6:$CC$305,26,0)</f>
        <v>0</v>
      </c>
      <c r="AL232" s="102">
        <f>VLOOKUP(L232,材料合同!$L$6:$CC$305,27,0)</f>
        <v>0</v>
      </c>
      <c r="AM232" s="102">
        <f>VLOOKUP(L232,材料合同!$L$6:$CC$305,28,0)</f>
        <v>0</v>
      </c>
      <c r="AN232" s="102">
        <f>VLOOKUP(L232,材料合同!$L$6:$CC$305,29,0)</f>
        <v>0</v>
      </c>
      <c r="AO232" s="102">
        <f>VLOOKUP(L232,材料合同!$L$6:$CC$305,30,0)</f>
        <v>0</v>
      </c>
      <c r="AP232" s="102">
        <f>VLOOKUP(L232,材料合同!$L$6:$CC$305,31,0)</f>
        <v>0</v>
      </c>
      <c r="AQ232" s="102">
        <f>VLOOKUP(L232,材料合同!$L$6:$CC$305,32,0)</f>
        <v>0</v>
      </c>
      <c r="AR232" s="102">
        <f>VLOOKUP(L232,材料合同!$L$6:$CC$305,33,0)</f>
        <v>0</v>
      </c>
      <c r="AS232" s="102">
        <f>VLOOKUP(L232,材料合同!$L$6:$CC$305,34,0)</f>
        <v>0</v>
      </c>
      <c r="AT232" s="102">
        <f>VLOOKUP(L232,材料合同!$L$6:$CC$305,35,0)</f>
        <v>0</v>
      </c>
      <c r="AU232" s="102">
        <f>VLOOKUP(L232,材料合同!$L$6:$CC$305,36,0)</f>
        <v>0</v>
      </c>
      <c r="AV232" s="102">
        <f>VLOOKUP(L232,材料合同!$L$6:$CC$305,37,0)</f>
        <v>0</v>
      </c>
      <c r="AW232" s="102">
        <f>VLOOKUP(L232,材料合同!$L$6:$CC$305,38,0)</f>
        <v>0</v>
      </c>
      <c r="AX232" s="102">
        <f>VLOOKUP(L232,材料合同!$L$6:$CC$305,39,0)</f>
        <v>0</v>
      </c>
      <c r="AY232" s="102">
        <f>VLOOKUP(L232,材料合同!$L$6:$CC$305,40,0)</f>
        <v>0</v>
      </c>
      <c r="AZ232" s="102">
        <f>VLOOKUP(L232,材料合同!$L$6:$CC$305,41,0)</f>
        <v>0</v>
      </c>
      <c r="BA232" s="102">
        <f>VLOOKUP(L232,材料合同!$L$6:$CC$305,42,0)</f>
        <v>0</v>
      </c>
      <c r="BB232" s="102">
        <f>VLOOKUP(L232,材料合同!$L$6:$CC$305,43,0)</f>
        <v>0</v>
      </c>
      <c r="BC232" s="102">
        <f>VLOOKUP(L232,材料合同!$L$6:$CC$305,44,0)</f>
        <v>0</v>
      </c>
      <c r="BD232" s="102">
        <f>VLOOKUP(L232,材料合同!$L$6:$CC$305,45,0)</f>
        <v>0</v>
      </c>
      <c r="BE232" s="102">
        <f>VLOOKUP(L232,材料合同!$L$6:$CC$305,46,0)</f>
        <v>0</v>
      </c>
      <c r="BF232" s="102">
        <f>VLOOKUP(L232,材料合同!$L$6:$CC$305,47,0)</f>
        <v>0</v>
      </c>
      <c r="BG232" s="102">
        <f>VLOOKUP(L232,材料合同!$L$6:$CC$305,48,0)</f>
        <v>0</v>
      </c>
      <c r="BH232" s="102">
        <f>VLOOKUP(L232,材料合同!$L$6:$CC$305,49,0)</f>
        <v>0</v>
      </c>
      <c r="BI232" s="102">
        <f>VLOOKUP(L232,材料合同!$L$6:$CC$305,50,0)</f>
        <v>0</v>
      </c>
      <c r="BJ232" s="102">
        <f>VLOOKUP(L232,材料合同!$L$6:$CC$305,51,0)</f>
        <v>0</v>
      </c>
      <c r="BK232" s="102">
        <f>VLOOKUP(L232,材料合同!$L$6:$CC$305,52,0)</f>
        <v>0</v>
      </c>
      <c r="BL232" s="102">
        <f>VLOOKUP(L232,材料合同!$L$6:$CC$305,53,0)</f>
        <v>0</v>
      </c>
      <c r="BM232" s="102">
        <f>VLOOKUP(L232,材料合同!$L$6:$CC$305,54,0)</f>
        <v>0</v>
      </c>
      <c r="BN232" s="102">
        <f>VLOOKUP(L232,材料合同!$L$6:$CC$305,55,0)</f>
        <v>0</v>
      </c>
      <c r="BO232" s="102">
        <f>VLOOKUP(L232,材料合同!$L$6:$CC$305,56,0)</f>
        <v>0</v>
      </c>
      <c r="BP232" s="102">
        <f>VLOOKUP(L232,材料合同!$L$6:$CC$305,57,0)</f>
        <v>0</v>
      </c>
      <c r="BQ232" s="102">
        <f>VLOOKUP(L232,材料合同!$L$6:$CC$305,58,0)</f>
        <v>0</v>
      </c>
      <c r="BR232" s="102">
        <f>VLOOKUP(L232,材料合同!$L$6:$CC$305,59,0)</f>
        <v>0</v>
      </c>
      <c r="BS232" s="102">
        <f>VLOOKUP(L232,材料合同!$L$6:$CC$305,60,0)</f>
        <v>0</v>
      </c>
      <c r="BT232" s="102">
        <f>VLOOKUP(L232,材料合同!$L$6:$CC$305,61,0)</f>
        <v>0</v>
      </c>
      <c r="BU232" s="102">
        <f>VLOOKUP(L232,材料合同!$L$6:$CC$305,62,0)</f>
        <v>0</v>
      </c>
      <c r="BV232" s="102">
        <f>VLOOKUP(L232,材料合同!$L$6:$CC$305,63,0)</f>
        <v>0</v>
      </c>
      <c r="BW232" s="102">
        <f>VLOOKUP(L232,材料合同!$L$6:$CC$305,64,0)</f>
        <v>0</v>
      </c>
      <c r="BX232" s="102">
        <f>VLOOKUP(L232,材料合同!$L$6:$CC$305,65,0)</f>
        <v>0</v>
      </c>
      <c r="BY232" s="102">
        <f>VLOOKUP(L232,材料合同!$L$6:$CC$305,66,0)</f>
        <v>0</v>
      </c>
      <c r="BZ232" s="102">
        <f>VLOOKUP(L232,材料合同!$L$6:$CC$305,67,0)</f>
        <v>0</v>
      </c>
      <c r="CA232" s="102">
        <f>VLOOKUP(L232,材料合同!$L$6:$CC$305,68,0)</f>
        <v>0</v>
      </c>
      <c r="CB232" s="102">
        <f>VLOOKUP(L232,材料合同!$L$6:$CC$305,69,0)</f>
        <v>0</v>
      </c>
      <c r="CC232" s="102">
        <f>VLOOKUP(L232,材料合同!$L$6:$CC$305,70,0)</f>
        <v>0</v>
      </c>
      <c r="CD232" s="123">
        <f t="shared" si="55"/>
        <v>350000</v>
      </c>
      <c r="CE232" s="102">
        <f t="shared" si="56"/>
        <v>280000</v>
      </c>
      <c r="CF232" s="102">
        <f t="shared" si="57"/>
        <v>280000</v>
      </c>
      <c r="CG232" s="102">
        <f t="shared" si="58"/>
        <v>0</v>
      </c>
      <c r="CH232" s="124">
        <f t="shared" si="59"/>
        <v>70000</v>
      </c>
      <c r="CI232" s="125">
        <f t="shared" si="60"/>
        <v>0.8</v>
      </c>
      <c r="CJ232" s="126" t="str">
        <f t="shared" si="61"/>
        <v>数据正确</v>
      </c>
    </row>
    <row r="233" s="60" customFormat="1" customHeight="1" spans="2:88">
      <c r="B233" s="70" t="str">
        <f t="shared" si="51"/>
        <v>-</v>
      </c>
      <c r="C233" s="71" t="str">
        <f t="shared" si="52"/>
        <v>已付清</v>
      </c>
      <c r="D233" s="181">
        <f t="shared" si="53"/>
        <v>32880.96</v>
      </c>
      <c r="E233" s="181">
        <f>SUMIF(材料合同!$L$6:$L$305,L233,材料合同!$E$6:$E$305)</f>
        <v>0</v>
      </c>
      <c r="F233" s="181">
        <f>SUMIF(材料合同!$L$6:$L$305,L233,材料合同!$F$6:$F$305)</f>
        <v>0</v>
      </c>
      <c r="G233" s="181">
        <f>SUMIF(材料合同!$L$6:$L$305,L233,材料合同!$G$6:$G$305)</f>
        <v>0</v>
      </c>
      <c r="H233" s="181">
        <f>SUMIF(材料合同!$L$6:$L$305,L233,材料合同!$H$6:$H$305)</f>
        <v>0</v>
      </c>
      <c r="I233" s="181">
        <f t="shared" si="54"/>
        <v>0</v>
      </c>
      <c r="J233" s="86" t="s">
        <v>98</v>
      </c>
      <c r="K233" s="87"/>
      <c r="L233" s="88">
        <v>228</v>
      </c>
      <c r="M233" s="89" t="str">
        <f>VLOOKUP(L233,材料合同!$L$6:$CC$305,2,0)</f>
        <v>YRKJGC-170052</v>
      </c>
      <c r="N233" s="90" t="str">
        <f>VLOOKUP(L233,材料合同!$L$6:$CC$305,3,0)</f>
        <v>材料合同</v>
      </c>
      <c r="O233" s="265">
        <f>VLOOKUP(L233,材料合同!$L$6:$CC$305,4,0)</f>
        <v>0</v>
      </c>
      <c r="P233" s="266">
        <f>VLOOKUP(L233,材料合同!$L$6:$CC$305,5,0)</f>
        <v>42980</v>
      </c>
      <c r="Q233" s="275">
        <f>VLOOKUP(L233,材料合同!$L$6:$CC$305,6,0)</f>
        <v>32880.96</v>
      </c>
      <c r="R233" s="89" t="str">
        <f>VLOOKUP(L233,材料合同!$L$6:$CC$305,7,0)</f>
        <v>阻燃交联屏蔽控制电缆-A级阻燃</v>
      </c>
      <c r="S233" s="89" t="str">
        <f>VLOOKUP(L233,材料合同!$L$6:$CC$305,8,0)</f>
        <v>安徽天彩电缆集团有限公司</v>
      </c>
      <c r="T233" s="107">
        <f>VLOOKUP(L233,材料合同!$L$6:$CC$305,9,0)</f>
        <v>0</v>
      </c>
      <c r="U233" s="103" t="str">
        <f>VLOOKUP(L233,材料合同!$L$6:$CC$305,10,0)</f>
        <v>电汇</v>
      </c>
      <c r="V233" s="276" t="str">
        <f>VLOOKUP(L233,材料合同!$L$6:$CC$305,11,0)</f>
        <v>甲方验收合格后，收到100%的增值税发票后支付合同100%的价款</v>
      </c>
      <c r="W233" s="102">
        <f>VLOOKUP(L233,材料合同!$L$6:$CC$305,12,0)</f>
        <v>32880.96</v>
      </c>
      <c r="X233" s="102">
        <f>VLOOKUP(L233,材料合同!$L$6:$CC$305,13,0)</f>
        <v>32880.96</v>
      </c>
      <c r="Y233" s="102">
        <f>VLOOKUP(L233,材料合同!$L$6:$CC$305,14,0)</f>
        <v>32880.96</v>
      </c>
      <c r="Z233" s="102">
        <f>VLOOKUP(L233,材料合同!$L$6:$CC$305,15,0)</f>
        <v>0</v>
      </c>
      <c r="AA233" s="102">
        <f>VLOOKUP(L233,材料合同!$L$6:$CC$305,16,0)</f>
        <v>0</v>
      </c>
      <c r="AB233" s="102">
        <f>VLOOKUP(L233,材料合同!$L$6:$CC$305,17,0)</f>
        <v>0</v>
      </c>
      <c r="AC233" s="102">
        <f>VLOOKUP(L233,材料合同!$L$6:$CC$305,18,0)</f>
        <v>0</v>
      </c>
      <c r="AD233" s="102">
        <f>VLOOKUP(L233,材料合同!$L$6:$CC$305,19,0)</f>
        <v>0</v>
      </c>
      <c r="AE233" s="102">
        <f>VLOOKUP(L233,材料合同!$L$6:$CC$305,20,0)</f>
        <v>0</v>
      </c>
      <c r="AF233" s="102">
        <f>VLOOKUP(L233,材料合同!$L$6:$CC$305,21,0)</f>
        <v>0</v>
      </c>
      <c r="AG233" s="102">
        <f>VLOOKUP(L233,材料合同!$L$6:$CC$305,22,0)</f>
        <v>0</v>
      </c>
      <c r="AH233" s="102">
        <f>VLOOKUP(L233,材料合同!$L$6:$CC$305,23,0)</f>
        <v>0</v>
      </c>
      <c r="AI233" s="102">
        <f>VLOOKUP(L233,材料合同!$L$6:$CC$305,24,0)</f>
        <v>0</v>
      </c>
      <c r="AJ233" s="102">
        <f>VLOOKUP(L233,材料合同!$L$6:$CC$305,25,0)</f>
        <v>0</v>
      </c>
      <c r="AK233" s="102">
        <f>VLOOKUP(L233,材料合同!$L$6:$CC$305,26,0)</f>
        <v>0</v>
      </c>
      <c r="AL233" s="102">
        <f>VLOOKUP(L233,材料合同!$L$6:$CC$305,27,0)</f>
        <v>0</v>
      </c>
      <c r="AM233" s="102">
        <f>VLOOKUP(L233,材料合同!$L$6:$CC$305,28,0)</f>
        <v>0</v>
      </c>
      <c r="AN233" s="102">
        <f>VLOOKUP(L233,材料合同!$L$6:$CC$305,29,0)</f>
        <v>0</v>
      </c>
      <c r="AO233" s="102">
        <f>VLOOKUP(L233,材料合同!$L$6:$CC$305,30,0)</f>
        <v>0</v>
      </c>
      <c r="AP233" s="102">
        <f>VLOOKUP(L233,材料合同!$L$6:$CC$305,31,0)</f>
        <v>0</v>
      </c>
      <c r="AQ233" s="102">
        <f>VLOOKUP(L233,材料合同!$L$6:$CC$305,32,0)</f>
        <v>0</v>
      </c>
      <c r="AR233" s="102">
        <f>VLOOKUP(L233,材料合同!$L$6:$CC$305,33,0)</f>
        <v>0</v>
      </c>
      <c r="AS233" s="102">
        <f>VLOOKUP(L233,材料合同!$L$6:$CC$305,34,0)</f>
        <v>0</v>
      </c>
      <c r="AT233" s="102">
        <f>VLOOKUP(L233,材料合同!$L$6:$CC$305,35,0)</f>
        <v>0</v>
      </c>
      <c r="AU233" s="102">
        <f>VLOOKUP(L233,材料合同!$L$6:$CC$305,36,0)</f>
        <v>0</v>
      </c>
      <c r="AV233" s="102">
        <f>VLOOKUP(L233,材料合同!$L$6:$CC$305,37,0)</f>
        <v>0</v>
      </c>
      <c r="AW233" s="102">
        <f>VLOOKUP(L233,材料合同!$L$6:$CC$305,38,0)</f>
        <v>0</v>
      </c>
      <c r="AX233" s="102">
        <f>VLOOKUP(L233,材料合同!$L$6:$CC$305,39,0)</f>
        <v>0</v>
      </c>
      <c r="AY233" s="102">
        <f>VLOOKUP(L233,材料合同!$L$6:$CC$305,40,0)</f>
        <v>0</v>
      </c>
      <c r="AZ233" s="102">
        <f>VLOOKUP(L233,材料合同!$L$6:$CC$305,41,0)</f>
        <v>0</v>
      </c>
      <c r="BA233" s="102">
        <f>VLOOKUP(L233,材料合同!$L$6:$CC$305,42,0)</f>
        <v>0</v>
      </c>
      <c r="BB233" s="102">
        <f>VLOOKUP(L233,材料合同!$L$6:$CC$305,43,0)</f>
        <v>0</v>
      </c>
      <c r="BC233" s="102">
        <f>VLOOKUP(L233,材料合同!$L$6:$CC$305,44,0)</f>
        <v>0</v>
      </c>
      <c r="BD233" s="102">
        <f>VLOOKUP(L233,材料合同!$L$6:$CC$305,45,0)</f>
        <v>0</v>
      </c>
      <c r="BE233" s="102">
        <f>VLOOKUP(L233,材料合同!$L$6:$CC$305,46,0)</f>
        <v>0</v>
      </c>
      <c r="BF233" s="102">
        <f>VLOOKUP(L233,材料合同!$L$6:$CC$305,47,0)</f>
        <v>0</v>
      </c>
      <c r="BG233" s="102">
        <f>VLOOKUP(L233,材料合同!$L$6:$CC$305,48,0)</f>
        <v>0</v>
      </c>
      <c r="BH233" s="102">
        <f>VLOOKUP(L233,材料合同!$L$6:$CC$305,49,0)</f>
        <v>0</v>
      </c>
      <c r="BI233" s="102">
        <f>VLOOKUP(L233,材料合同!$L$6:$CC$305,50,0)</f>
        <v>0</v>
      </c>
      <c r="BJ233" s="102">
        <f>VLOOKUP(L233,材料合同!$L$6:$CC$305,51,0)</f>
        <v>0</v>
      </c>
      <c r="BK233" s="102">
        <f>VLOOKUP(L233,材料合同!$L$6:$CC$305,52,0)</f>
        <v>0</v>
      </c>
      <c r="BL233" s="102">
        <f>VLOOKUP(L233,材料合同!$L$6:$CC$305,53,0)</f>
        <v>0</v>
      </c>
      <c r="BM233" s="102">
        <f>VLOOKUP(L233,材料合同!$L$6:$CC$305,54,0)</f>
        <v>0</v>
      </c>
      <c r="BN233" s="102">
        <f>VLOOKUP(L233,材料合同!$L$6:$CC$305,55,0)</f>
        <v>0</v>
      </c>
      <c r="BO233" s="102">
        <f>VLOOKUP(L233,材料合同!$L$6:$CC$305,56,0)</f>
        <v>0</v>
      </c>
      <c r="BP233" s="102">
        <f>VLOOKUP(L233,材料合同!$L$6:$CC$305,57,0)</f>
        <v>0</v>
      </c>
      <c r="BQ233" s="102">
        <f>VLOOKUP(L233,材料合同!$L$6:$CC$305,58,0)</f>
        <v>0</v>
      </c>
      <c r="BR233" s="102">
        <f>VLOOKUP(L233,材料合同!$L$6:$CC$305,59,0)</f>
        <v>0</v>
      </c>
      <c r="BS233" s="102">
        <f>VLOOKUP(L233,材料合同!$L$6:$CC$305,60,0)</f>
        <v>0</v>
      </c>
      <c r="BT233" s="102">
        <f>VLOOKUP(L233,材料合同!$L$6:$CC$305,61,0)</f>
        <v>0</v>
      </c>
      <c r="BU233" s="102">
        <f>VLOOKUP(L233,材料合同!$L$6:$CC$305,62,0)</f>
        <v>0</v>
      </c>
      <c r="BV233" s="102">
        <f>VLOOKUP(L233,材料合同!$L$6:$CC$305,63,0)</f>
        <v>0</v>
      </c>
      <c r="BW233" s="102">
        <f>VLOOKUP(L233,材料合同!$L$6:$CC$305,64,0)</f>
        <v>0</v>
      </c>
      <c r="BX233" s="102">
        <f>VLOOKUP(L233,材料合同!$L$6:$CC$305,65,0)</f>
        <v>0</v>
      </c>
      <c r="BY233" s="102">
        <f>VLOOKUP(L233,材料合同!$L$6:$CC$305,66,0)</f>
        <v>0</v>
      </c>
      <c r="BZ233" s="102">
        <f>VLOOKUP(L233,材料合同!$L$6:$CC$305,67,0)</f>
        <v>0</v>
      </c>
      <c r="CA233" s="102">
        <f>VLOOKUP(L233,材料合同!$L$6:$CC$305,68,0)</f>
        <v>0</v>
      </c>
      <c r="CB233" s="102">
        <f>VLOOKUP(L233,材料合同!$L$6:$CC$305,69,0)</f>
        <v>0</v>
      </c>
      <c r="CC233" s="102">
        <f>VLOOKUP(L233,材料合同!$L$6:$CC$305,70,0)</f>
        <v>0</v>
      </c>
      <c r="CD233" s="123">
        <f t="shared" si="55"/>
        <v>32880.96</v>
      </c>
      <c r="CE233" s="102">
        <f t="shared" si="56"/>
        <v>32880.96</v>
      </c>
      <c r="CF233" s="102">
        <f t="shared" si="57"/>
        <v>32880.96</v>
      </c>
      <c r="CG233" s="102">
        <f t="shared" si="58"/>
        <v>0</v>
      </c>
      <c r="CH233" s="124">
        <f t="shared" si="59"/>
        <v>0</v>
      </c>
      <c r="CI233" s="125">
        <f t="shared" si="60"/>
        <v>1</v>
      </c>
      <c r="CJ233" s="126" t="str">
        <f t="shared" si="61"/>
        <v>数据正确</v>
      </c>
    </row>
    <row r="234" s="60" customFormat="1" customHeight="1" spans="2:88">
      <c r="B234" s="70" t="str">
        <f t="shared" si="51"/>
        <v>-</v>
      </c>
      <c r="C234" s="71" t="str">
        <f t="shared" si="52"/>
        <v>-</v>
      </c>
      <c r="D234" s="181">
        <f t="shared" si="53"/>
        <v>0</v>
      </c>
      <c r="E234" s="181">
        <f>SUMIF(工程合同!$L$6:$L$299,L234,工程合同!$E$6:$E$299)</f>
        <v>0</v>
      </c>
      <c r="F234" s="181">
        <f>SUMIF(工程合同!$L$6:$L$299,L234,工程合同!$F$6:$F$299)</f>
        <v>0</v>
      </c>
      <c r="G234" s="181">
        <f>SUMIF(工程合同!$L$6:$L$299,L234,工程合同!$G$6:$G$299)</f>
        <v>0</v>
      </c>
      <c r="H234" s="181">
        <f>SUMIF(工程合同!$L$6:$L$299,L234,工程合同!$H$6:$H$299)</f>
        <v>0</v>
      </c>
      <c r="I234" s="181">
        <f t="shared" si="54"/>
        <v>0</v>
      </c>
      <c r="J234" s="86" t="s">
        <v>98</v>
      </c>
      <c r="K234" s="87"/>
      <c r="L234" s="88">
        <v>229</v>
      </c>
      <c r="M234" s="89" t="str">
        <f>VLOOKUP(L234,工程合同!$L$6:$CC$299,2,0)</f>
        <v>YRKJ-2017GC-SGHT010</v>
      </c>
      <c r="N234" s="90" t="str">
        <f>VLOOKUP(L234,工程合同!$L$6:$CC$299,3,0)</f>
        <v>工程合同</v>
      </c>
      <c r="O234" s="265">
        <f>VLOOKUP(L234,工程合同!$L$6:$CC$299,4,0)</f>
        <v>0</v>
      </c>
      <c r="P234" s="266">
        <f>VLOOKUP(L234,工程合同!$L$6:$CC$299,5,0)</f>
        <v>42916</v>
      </c>
      <c r="Q234" s="275">
        <f>VLOOKUP(L234,工程合同!$L$6:$CC$299,6,0)</f>
        <v>1420000</v>
      </c>
      <c r="R234" s="89" t="str">
        <f>VLOOKUP(L234,工程合同!$L$6:$CC$299,7,0)</f>
        <v>临时库房工程</v>
      </c>
      <c r="S234" s="89" t="str">
        <f>VLOOKUP(L234,工程合同!$L$6:$CC$299,8,0)</f>
        <v>中鑫建设集团有限公司</v>
      </c>
      <c r="T234" s="107" t="str">
        <f>VLOOKUP(L234,工程合同!$L$6:$CC$299,9,0)</f>
        <v>临时设施费</v>
      </c>
      <c r="U234" s="103" t="str">
        <f>VLOOKUP(L234,工程合同!$L$6:$CC$299,10,0)</f>
        <v>无说明</v>
      </c>
      <c r="V234" s="276" t="str">
        <f>VLOOKUP(L234,工程合同!$L$6:$CC$299,11,0)</f>
        <v>承包人按图纸或甲方要求施工完成，工程竣工验收合格交付甲方使用后支付工程款90%</v>
      </c>
      <c r="W234" s="102">
        <f>VLOOKUP(L234,工程合同!$L$6:$CC$299,12,0)</f>
        <v>1278000</v>
      </c>
      <c r="X234" s="102">
        <f>VLOOKUP(L234,工程合同!$L$6:$CC$299,13,0)</f>
        <v>0</v>
      </c>
      <c r="Y234" s="102">
        <f>VLOOKUP(L234,工程合同!$L$6:$CC$299,14,0)</f>
        <v>0</v>
      </c>
      <c r="Z234" s="102" t="str">
        <f>VLOOKUP(L234,工程合同!$L$6:$CC$299,15,0)</f>
        <v>10%质保金，自验收合格，满12月或货到现场18个月支付</v>
      </c>
      <c r="AA234" s="102">
        <f>VLOOKUP(L234,工程合同!$L$6:$CC$299,16,0)</f>
        <v>142000</v>
      </c>
      <c r="AB234" s="102">
        <f>VLOOKUP(L234,工程合同!$L$6:$CC$299,17,0)</f>
        <v>0</v>
      </c>
      <c r="AC234" s="102">
        <f>VLOOKUP(L234,工程合同!$L$6:$CC$299,18,0)</f>
        <v>0</v>
      </c>
      <c r="AD234" s="102">
        <f>VLOOKUP(L234,工程合同!$L$6:$CC$299,19,0)</f>
        <v>0</v>
      </c>
      <c r="AE234" s="102">
        <f>VLOOKUP(L234,工程合同!$L$6:$CC$299,20,0)</f>
        <v>0</v>
      </c>
      <c r="AF234" s="102">
        <f>VLOOKUP(L234,工程合同!$L$6:$CC$299,21,0)</f>
        <v>0</v>
      </c>
      <c r="AG234" s="102">
        <f>VLOOKUP(L234,工程合同!$L$6:$CC$299,22,0)</f>
        <v>0</v>
      </c>
      <c r="AH234" s="102">
        <f>VLOOKUP(L234,工程合同!$L$6:$CC$299,23,0)</f>
        <v>0</v>
      </c>
      <c r="AI234" s="102">
        <f>VLOOKUP(L234,工程合同!$L$6:$CC$299,24,0)</f>
        <v>0</v>
      </c>
      <c r="AJ234" s="102">
        <f>VLOOKUP(L234,工程合同!$L$6:$CC$299,25,0)</f>
        <v>0</v>
      </c>
      <c r="AK234" s="102">
        <f>VLOOKUP(L234,工程合同!$L$6:$CC$299,26,0)</f>
        <v>0</v>
      </c>
      <c r="AL234" s="102">
        <f>VLOOKUP(L234,工程合同!$L$6:$CC$299,27,0)</f>
        <v>0</v>
      </c>
      <c r="AM234" s="102">
        <f>VLOOKUP(L234,工程合同!$L$6:$CC$299,28,0)</f>
        <v>0</v>
      </c>
      <c r="AN234" s="102">
        <f>VLOOKUP(L234,工程合同!$L$6:$CC$299,29,0)</f>
        <v>0</v>
      </c>
      <c r="AO234" s="102">
        <f>VLOOKUP(L234,工程合同!$L$6:$CC$299,30,0)</f>
        <v>0</v>
      </c>
      <c r="AP234" s="102">
        <f>VLOOKUP(L234,工程合同!$L$6:$CC$299,31,0)</f>
        <v>0</v>
      </c>
      <c r="AQ234" s="102">
        <f>VLOOKUP(L234,工程合同!$L$6:$CC$299,32,0)</f>
        <v>0</v>
      </c>
      <c r="AR234" s="102">
        <f>VLOOKUP(L234,工程合同!$L$6:$CC$299,33,0)</f>
        <v>0</v>
      </c>
      <c r="AS234" s="102">
        <f>VLOOKUP(L234,工程合同!$L$6:$CC$299,34,0)</f>
        <v>0</v>
      </c>
      <c r="AT234" s="102">
        <f>VLOOKUP(L234,工程合同!$L$6:$CC$299,35,0)</f>
        <v>0</v>
      </c>
      <c r="AU234" s="102">
        <f>VLOOKUP(L234,工程合同!$L$6:$CC$299,36,0)</f>
        <v>0</v>
      </c>
      <c r="AV234" s="102">
        <f>VLOOKUP(L234,工程合同!$L$6:$CC$299,37,0)</f>
        <v>0</v>
      </c>
      <c r="AW234" s="102">
        <f>VLOOKUP(L234,工程合同!$L$6:$CC$299,38,0)</f>
        <v>0</v>
      </c>
      <c r="AX234" s="102">
        <f>VLOOKUP(L234,工程合同!$L$6:$CC$299,39,0)</f>
        <v>0</v>
      </c>
      <c r="AY234" s="102">
        <f>VLOOKUP(L234,工程合同!$L$6:$CC$299,40,0)</f>
        <v>0</v>
      </c>
      <c r="AZ234" s="102">
        <f>VLOOKUP(L234,工程合同!$L$6:$CC$299,41,0)</f>
        <v>0</v>
      </c>
      <c r="BA234" s="102">
        <f>VLOOKUP(L234,工程合同!$L$6:$CC$299,42,0)</f>
        <v>0</v>
      </c>
      <c r="BB234" s="102">
        <f>VLOOKUP(L234,工程合同!$L$6:$CC$299,43,0)</f>
        <v>0</v>
      </c>
      <c r="BC234" s="102">
        <f>VLOOKUP(L234,工程合同!$L$6:$CC$299,44,0)</f>
        <v>0</v>
      </c>
      <c r="BD234" s="102">
        <f>VLOOKUP(L234,工程合同!$L$6:$CC$299,45,0)</f>
        <v>0</v>
      </c>
      <c r="BE234" s="102">
        <f>VLOOKUP(L234,工程合同!$L$6:$CC$299,46,0)</f>
        <v>0</v>
      </c>
      <c r="BF234" s="102">
        <f>VLOOKUP(L234,工程合同!$L$6:$CC$299,47,0)</f>
        <v>0</v>
      </c>
      <c r="BG234" s="102">
        <f>VLOOKUP(L234,工程合同!$L$6:$CC$299,48,0)</f>
        <v>0</v>
      </c>
      <c r="BH234" s="102">
        <f>VLOOKUP(L234,工程合同!$L$6:$CC$299,49,0)</f>
        <v>0</v>
      </c>
      <c r="BI234" s="102">
        <f>VLOOKUP(L234,工程合同!$L$6:$CC$299,50,0)</f>
        <v>0</v>
      </c>
      <c r="BJ234" s="102">
        <f>VLOOKUP(L234,工程合同!$L$6:$CC$299,51,0)</f>
        <v>0</v>
      </c>
      <c r="BK234" s="102">
        <f>VLOOKUP(L234,工程合同!$L$6:$CC$299,52,0)</f>
        <v>0</v>
      </c>
      <c r="BL234" s="102">
        <f>VLOOKUP(L234,工程合同!$L$6:$CC$299,53,0)</f>
        <v>0</v>
      </c>
      <c r="BM234" s="102">
        <f>VLOOKUP(L234,工程合同!$L$6:$CC$299,54,0)</f>
        <v>0</v>
      </c>
      <c r="BN234" s="102">
        <f>VLOOKUP(L234,工程合同!$L$6:$CC$299,55,0)</f>
        <v>0</v>
      </c>
      <c r="BO234" s="102">
        <f>VLOOKUP(L234,工程合同!$L$6:$CC$299,56,0)</f>
        <v>0</v>
      </c>
      <c r="BP234" s="102">
        <f>VLOOKUP(L234,工程合同!$L$6:$CC$299,57,0)</f>
        <v>0</v>
      </c>
      <c r="BQ234" s="102">
        <f>VLOOKUP(L234,工程合同!$L$6:$CC$299,58,0)</f>
        <v>0</v>
      </c>
      <c r="BR234" s="102">
        <f>VLOOKUP(L234,工程合同!$L$6:$CC$299,59,0)</f>
        <v>0</v>
      </c>
      <c r="BS234" s="102">
        <f>VLOOKUP(L234,工程合同!$L$6:$CC$299,60,0)</f>
        <v>0</v>
      </c>
      <c r="BT234" s="102">
        <f>VLOOKUP(L234,工程合同!$L$6:$CC$299,61,0)</f>
        <v>0</v>
      </c>
      <c r="BU234" s="102">
        <f>VLOOKUP(L234,工程合同!$L$6:$CC$299,62,0)</f>
        <v>0</v>
      </c>
      <c r="BV234" s="102">
        <f>VLOOKUP(L234,工程合同!$L$6:$CC$299,63,0)</f>
        <v>0</v>
      </c>
      <c r="BW234" s="102">
        <f>VLOOKUP(L234,工程合同!$L$6:$CC$299,64,0)</f>
        <v>0</v>
      </c>
      <c r="BX234" s="102">
        <f>VLOOKUP(L234,工程合同!$L$6:$CC$299,65,0)</f>
        <v>0</v>
      </c>
      <c r="BY234" s="102">
        <f>VLOOKUP(L234,工程合同!$L$6:$CC$299,66,0)</f>
        <v>0</v>
      </c>
      <c r="BZ234" s="102">
        <f>VLOOKUP(L234,工程合同!$L$6:$CC$299,67,0)</f>
        <v>0</v>
      </c>
      <c r="CA234" s="102">
        <f>VLOOKUP(L234,工程合同!$L$6:$CC$299,68,0)</f>
        <v>0</v>
      </c>
      <c r="CB234" s="102">
        <f>VLOOKUP(L234,工程合同!$L$6:$CC$299,69,0)</f>
        <v>0</v>
      </c>
      <c r="CC234" s="102">
        <f>VLOOKUP(L234,工程合同!$L$6:$CC$299,70,0)</f>
        <v>0</v>
      </c>
      <c r="CD234" s="123">
        <f t="shared" si="55"/>
        <v>1420000</v>
      </c>
      <c r="CE234" s="102">
        <f t="shared" si="56"/>
        <v>0</v>
      </c>
      <c r="CF234" s="102">
        <f t="shared" si="57"/>
        <v>0</v>
      </c>
      <c r="CG234" s="102">
        <f t="shared" si="58"/>
        <v>0</v>
      </c>
      <c r="CH234" s="124">
        <f t="shared" si="59"/>
        <v>1420000</v>
      </c>
      <c r="CI234" s="125">
        <f t="shared" si="60"/>
        <v>0</v>
      </c>
      <c r="CJ234" s="126" t="str">
        <f t="shared" si="61"/>
        <v>数据正确</v>
      </c>
    </row>
    <row r="235" s="60" customFormat="1" customHeight="1" spans="2:88">
      <c r="B235" s="70" t="str">
        <f t="shared" si="51"/>
        <v>申请中</v>
      </c>
      <c r="C235" s="71" t="str">
        <f t="shared" si="52"/>
        <v>-</v>
      </c>
      <c r="D235" s="181">
        <f t="shared" si="53"/>
        <v>13188994.014</v>
      </c>
      <c r="E235" s="181">
        <f>SUMIF(材料合同!$L$6:$L$305,L235,材料合同!$E$6:$E$305)</f>
        <v>0</v>
      </c>
      <c r="F235" s="181">
        <f>SUMIF(材料合同!$L$6:$L$305,L235,材料合同!$F$6:$F$305)</f>
        <v>0</v>
      </c>
      <c r="G235" s="181">
        <f>SUMIF(材料合同!$L$6:$L$305,L235,材料合同!$G$6:$G$305)</f>
        <v>0</v>
      </c>
      <c r="H235" s="181">
        <f>SUMIF(材料合同!$L$6:$L$305,L235,材料合同!$H$6:$H$305)</f>
        <v>0</v>
      </c>
      <c r="I235" s="181">
        <f t="shared" si="54"/>
        <v>668717.626499999</v>
      </c>
      <c r="J235" s="86" t="s">
        <v>98</v>
      </c>
      <c r="K235" s="87"/>
      <c r="L235" s="88">
        <v>230</v>
      </c>
      <c r="M235" s="89" t="str">
        <f>VLOOKUP(L235,材料合同!$L$6:$CC$305,2,0)</f>
        <v>-</v>
      </c>
      <c r="N235" s="90" t="str">
        <f>VLOOKUP(L235,材料合同!$L$6:$CC$305,3,0)</f>
        <v>材料合同</v>
      </c>
      <c r="O235" s="265" t="str">
        <f>VLOOKUP(L235,材料合同!$L$6:$CC$305,4,0)</f>
        <v>-</v>
      </c>
      <c r="P235" s="266">
        <f>VLOOKUP(L235,材料合同!$L$6:$CC$305,5,0)</f>
        <v>42981</v>
      </c>
      <c r="Q235" s="275">
        <f>VLOOKUP(L235,材料合同!$L$6:$CC$305,6,0)</f>
        <v>15258117.51</v>
      </c>
      <c r="R235" s="89" t="str">
        <f>VLOOKUP(L235,材料合同!$L$6:$CC$305,7,0)</f>
        <v>不锈钢板（共4单）</v>
      </c>
      <c r="S235" s="89" t="str">
        <f>VLOOKUP(L235,材料合同!$L$6:$CC$305,8,0)</f>
        <v>江苏大明金属制品有限公司  合计</v>
      </c>
      <c r="T235" s="107">
        <f>VLOOKUP(L235,材料合同!$L$6:$CC$305,9,0)</f>
        <v>0</v>
      </c>
      <c r="U235" s="103" t="str">
        <f>VLOOKUP(L235,材料合同!$L$6:$CC$305,10,0)</f>
        <v>无说明</v>
      </c>
      <c r="V235" s="276" t="str">
        <f>VLOOKUP(L235,材料合同!$L$6:$CC$305,11,0)</f>
        <v>甲方收到20%履约保函和收据，7个工作日支付20%预付款</v>
      </c>
      <c r="W235" s="102">
        <f>VLOOKUP(L235,材料合同!$L$6:$CC$305,12,0)</f>
        <v>3051623.502</v>
      </c>
      <c r="X235" s="102">
        <f>VLOOKUP(L235,材料合同!$L$6:$CC$305,13,0)</f>
        <v>3051623.506</v>
      </c>
      <c r="Y235" s="102">
        <f>VLOOKUP(L235,材料合同!$L$6:$CC$305,14,0)</f>
        <v>3051623.506</v>
      </c>
      <c r="Z235" s="102">
        <f>VLOOKUP(L235,材料合同!$L$6:$CC$305,15,0)</f>
        <v>0</v>
      </c>
      <c r="AA235" s="102">
        <f>VLOOKUP(L235,材料合同!$L$6:$CC$305,16,0)</f>
        <v>9154870.506</v>
      </c>
      <c r="AB235" s="102">
        <f>VLOOKUP(L235,材料合同!$L$6:$CC$305,17,0)</f>
        <v>9154870.508</v>
      </c>
      <c r="AC235" s="102">
        <f>VLOOKUP(L235,材料合同!$L$6:$CC$305,18,0)</f>
        <v>9154870.508</v>
      </c>
      <c r="AD235" s="102">
        <f>VLOOKUP(L235,材料合同!$L$6:$CC$305,19,0)</f>
        <v>0</v>
      </c>
      <c r="AE235" s="102">
        <f>VLOOKUP(L235,材料合同!$L$6:$CC$305,20,0)</f>
        <v>2288717.6265</v>
      </c>
      <c r="AF235" s="102">
        <f>VLOOKUP(L235,材料合同!$L$6:$CC$305,21,0)</f>
        <v>1651217.6265</v>
      </c>
      <c r="AG235" s="102">
        <f>VLOOKUP(L235,材料合同!$L$6:$CC$305,22,0)</f>
        <v>982500</v>
      </c>
      <c r="AH235" s="102">
        <f>VLOOKUP(L235,材料合同!$L$6:$CC$305,23,0)</f>
        <v>0</v>
      </c>
      <c r="AI235" s="102">
        <f>VLOOKUP(L235,材料合同!$L$6:$CC$305,24,0)</f>
        <v>762905.8755</v>
      </c>
      <c r="AJ235" s="102">
        <f>VLOOKUP(L235,材料合同!$L$6:$CC$305,25,0)</f>
        <v>0</v>
      </c>
      <c r="AK235" s="102">
        <f>VLOOKUP(L235,材料合同!$L$6:$CC$305,26,0)</f>
        <v>0</v>
      </c>
      <c r="AL235" s="102">
        <f>VLOOKUP(L235,材料合同!$L$6:$CC$305,27,0)</f>
        <v>0</v>
      </c>
      <c r="AM235" s="102">
        <f>VLOOKUP(L235,材料合同!$L$6:$CC$305,28,0)</f>
        <v>0</v>
      </c>
      <c r="AN235" s="102">
        <f>VLOOKUP(L235,材料合同!$L$6:$CC$305,29,0)</f>
        <v>0</v>
      </c>
      <c r="AO235" s="102">
        <f>VLOOKUP(L235,材料合同!$L$6:$CC$305,30,0)</f>
        <v>0</v>
      </c>
      <c r="AP235" s="102">
        <f>VLOOKUP(L235,材料合同!$L$6:$CC$305,31,0)</f>
        <v>0</v>
      </c>
      <c r="AQ235" s="102">
        <f>VLOOKUP(L235,材料合同!$L$6:$CC$305,32,0)</f>
        <v>0</v>
      </c>
      <c r="AR235" s="102">
        <f>VLOOKUP(L235,材料合同!$L$6:$CC$305,33,0)</f>
        <v>0</v>
      </c>
      <c r="AS235" s="102">
        <f>VLOOKUP(L235,材料合同!$L$6:$CC$305,34,0)</f>
        <v>0</v>
      </c>
      <c r="AT235" s="102">
        <f>VLOOKUP(L235,材料合同!$L$6:$CC$305,35,0)</f>
        <v>0</v>
      </c>
      <c r="AU235" s="102">
        <f>VLOOKUP(L235,材料合同!$L$6:$CC$305,36,0)</f>
        <v>0</v>
      </c>
      <c r="AV235" s="102">
        <f>VLOOKUP(L235,材料合同!$L$6:$CC$305,37,0)</f>
        <v>0</v>
      </c>
      <c r="AW235" s="102">
        <f>VLOOKUP(L235,材料合同!$L$6:$CC$305,38,0)</f>
        <v>0</v>
      </c>
      <c r="AX235" s="102">
        <f>VLOOKUP(L235,材料合同!$L$6:$CC$305,39,0)</f>
        <v>0</v>
      </c>
      <c r="AY235" s="102">
        <f>VLOOKUP(L235,材料合同!$L$6:$CC$305,40,0)</f>
        <v>0</v>
      </c>
      <c r="AZ235" s="102">
        <f>VLOOKUP(L235,材料合同!$L$6:$CC$305,41,0)</f>
        <v>0</v>
      </c>
      <c r="BA235" s="102">
        <f>VLOOKUP(L235,材料合同!$L$6:$CC$305,42,0)</f>
        <v>0</v>
      </c>
      <c r="BB235" s="102">
        <f>VLOOKUP(L235,材料合同!$L$6:$CC$305,43,0)</f>
        <v>0</v>
      </c>
      <c r="BC235" s="102">
        <f>VLOOKUP(L235,材料合同!$L$6:$CC$305,44,0)</f>
        <v>0</v>
      </c>
      <c r="BD235" s="102">
        <f>VLOOKUP(L235,材料合同!$L$6:$CC$305,45,0)</f>
        <v>0</v>
      </c>
      <c r="BE235" s="102">
        <f>VLOOKUP(L235,材料合同!$L$6:$CC$305,46,0)</f>
        <v>0</v>
      </c>
      <c r="BF235" s="102">
        <f>VLOOKUP(L235,材料合同!$L$6:$CC$305,47,0)</f>
        <v>0</v>
      </c>
      <c r="BG235" s="102">
        <f>VLOOKUP(L235,材料合同!$L$6:$CC$305,48,0)</f>
        <v>0</v>
      </c>
      <c r="BH235" s="102">
        <f>VLOOKUP(L235,材料合同!$L$6:$CC$305,49,0)</f>
        <v>0</v>
      </c>
      <c r="BI235" s="102">
        <f>VLOOKUP(L235,材料合同!$L$6:$CC$305,50,0)</f>
        <v>0</v>
      </c>
      <c r="BJ235" s="102">
        <f>VLOOKUP(L235,材料合同!$L$6:$CC$305,51,0)</f>
        <v>0</v>
      </c>
      <c r="BK235" s="102">
        <f>VLOOKUP(L235,材料合同!$L$6:$CC$305,52,0)</f>
        <v>0</v>
      </c>
      <c r="BL235" s="102">
        <f>VLOOKUP(L235,材料合同!$L$6:$CC$305,53,0)</f>
        <v>0</v>
      </c>
      <c r="BM235" s="102">
        <f>VLOOKUP(L235,材料合同!$L$6:$CC$305,54,0)</f>
        <v>0</v>
      </c>
      <c r="BN235" s="102">
        <f>VLOOKUP(L235,材料合同!$L$6:$CC$305,55,0)</f>
        <v>0</v>
      </c>
      <c r="BO235" s="102">
        <f>VLOOKUP(L235,材料合同!$L$6:$CC$305,56,0)</f>
        <v>0</v>
      </c>
      <c r="BP235" s="102">
        <f>VLOOKUP(L235,材料合同!$L$6:$CC$305,57,0)</f>
        <v>0</v>
      </c>
      <c r="BQ235" s="102">
        <f>VLOOKUP(L235,材料合同!$L$6:$CC$305,58,0)</f>
        <v>0</v>
      </c>
      <c r="BR235" s="102">
        <f>VLOOKUP(L235,材料合同!$L$6:$CC$305,59,0)</f>
        <v>0</v>
      </c>
      <c r="BS235" s="102">
        <f>VLOOKUP(L235,材料合同!$L$6:$CC$305,60,0)</f>
        <v>0</v>
      </c>
      <c r="BT235" s="102">
        <f>VLOOKUP(L235,材料合同!$L$6:$CC$305,61,0)</f>
        <v>0</v>
      </c>
      <c r="BU235" s="102">
        <f>VLOOKUP(L235,材料合同!$L$6:$CC$305,62,0)</f>
        <v>0</v>
      </c>
      <c r="BV235" s="102">
        <f>VLOOKUP(L235,材料合同!$L$6:$CC$305,63,0)</f>
        <v>0</v>
      </c>
      <c r="BW235" s="102">
        <f>VLOOKUP(L235,材料合同!$L$6:$CC$305,64,0)</f>
        <v>0</v>
      </c>
      <c r="BX235" s="102">
        <f>VLOOKUP(L235,材料合同!$L$6:$CC$305,65,0)</f>
        <v>0</v>
      </c>
      <c r="BY235" s="102">
        <f>VLOOKUP(L235,材料合同!$L$6:$CC$305,66,0)</f>
        <v>0</v>
      </c>
      <c r="BZ235" s="102">
        <f>VLOOKUP(L235,材料合同!$L$6:$CC$305,67,0)</f>
        <v>0</v>
      </c>
      <c r="CA235" s="102">
        <f>VLOOKUP(L235,材料合同!$L$6:$CC$305,68,0)</f>
        <v>0</v>
      </c>
      <c r="CB235" s="102">
        <f>VLOOKUP(L235,材料合同!$L$6:$CC$305,69,0)</f>
        <v>0</v>
      </c>
      <c r="CC235" s="102">
        <f>VLOOKUP(L235,材料合同!$L$6:$CC$305,70,0)</f>
        <v>0</v>
      </c>
      <c r="CD235" s="123">
        <f t="shared" si="55"/>
        <v>15258117.51</v>
      </c>
      <c r="CE235" s="102">
        <f t="shared" si="56"/>
        <v>13857711.6405</v>
      </c>
      <c r="CF235" s="102">
        <f t="shared" si="57"/>
        <v>13188994.014</v>
      </c>
      <c r="CG235" s="102">
        <f t="shared" si="58"/>
        <v>0</v>
      </c>
      <c r="CH235" s="124">
        <f t="shared" si="59"/>
        <v>2069123.496</v>
      </c>
      <c r="CI235" s="125">
        <f t="shared" si="60"/>
        <v>0.864391954338802</v>
      </c>
      <c r="CJ235" s="126" t="str">
        <f t="shared" si="61"/>
        <v>数据正确</v>
      </c>
    </row>
    <row r="236" s="60" customFormat="1" customHeight="1" spans="2:88">
      <c r="B236" s="70" t="str">
        <f t="shared" si="51"/>
        <v>-</v>
      </c>
      <c r="C236" s="71" t="str">
        <f t="shared" si="52"/>
        <v>-</v>
      </c>
      <c r="D236" s="181">
        <f t="shared" si="53"/>
        <v>350000</v>
      </c>
      <c r="E236" s="181">
        <f>SUMIF(材料合同!$L$6:$L$305,L236,材料合同!$E$6:$E$305)</f>
        <v>0</v>
      </c>
      <c r="F236" s="181">
        <f>SUMIF(材料合同!$L$6:$L$305,L236,材料合同!$F$6:$F$305)</f>
        <v>0</v>
      </c>
      <c r="G236" s="181">
        <f>SUMIF(材料合同!$L$6:$L$305,L236,材料合同!$G$6:$G$305)</f>
        <v>0</v>
      </c>
      <c r="H236" s="181">
        <f>SUMIF(材料合同!$L$6:$L$305,L236,材料合同!$H$6:$H$305)</f>
        <v>0</v>
      </c>
      <c r="I236" s="181">
        <f t="shared" si="54"/>
        <v>0</v>
      </c>
      <c r="J236" s="86" t="s">
        <v>98</v>
      </c>
      <c r="K236" s="87"/>
      <c r="L236" s="88">
        <v>231</v>
      </c>
      <c r="M236" s="89" t="str">
        <f>VLOOKUP(L236,材料合同!$L$6:$CC$305,2,0)</f>
        <v>YRKJGC-170043</v>
      </c>
      <c r="N236" s="90" t="str">
        <f>VLOOKUP(L236,材料合同!$L$6:$CC$305,3,0)</f>
        <v>材料合同</v>
      </c>
      <c r="O236" s="265">
        <f>VLOOKUP(L236,材料合同!$L$6:$CC$305,4,0)</f>
        <v>0</v>
      </c>
      <c r="P236" s="266">
        <f>VLOOKUP(L236,材料合同!$L$6:$CC$305,5,0)</f>
        <v>42962</v>
      </c>
      <c r="Q236" s="275">
        <f>VLOOKUP(L236,材料合同!$L$6:$CC$305,6,0)</f>
        <v>1750000</v>
      </c>
      <c r="R236" s="89" t="str">
        <f>VLOOKUP(L236,材料合同!$L$6:$CC$305,7,0)</f>
        <v>哈氏合金材料一批</v>
      </c>
      <c r="S236" s="89" t="str">
        <f>VLOOKUP(L236,材料合同!$L$6:$CC$305,8,0)</f>
        <v>上海一郎合金材料有限公司</v>
      </c>
      <c r="T236" s="107" t="str">
        <f>VLOOKUP(L236,材料合同!$L$6:$CC$305,9,0)</f>
        <v>环己酮装置</v>
      </c>
      <c r="U236" s="103" t="str">
        <f>VLOOKUP(L236,材料合同!$L$6:$CC$305,10,0)</f>
        <v>电汇</v>
      </c>
      <c r="V236" s="276" t="str">
        <f>VLOOKUP(L236,材料合同!$L$6:$CC$305,11,0)</f>
        <v>甲方收到10%履约保函和等额发票，15个工作日支付20%预付款</v>
      </c>
      <c r="W236" s="102">
        <f>VLOOKUP(L236,材料合同!$L$6:$CC$305,12,0)</f>
        <v>350000</v>
      </c>
      <c r="X236" s="102">
        <f>VLOOKUP(L236,材料合同!$L$6:$CC$305,13,0)</f>
        <v>350000</v>
      </c>
      <c r="Y236" s="102">
        <f>VLOOKUP(L236,材料合同!$L$6:$CC$305,14,0)</f>
        <v>350000</v>
      </c>
      <c r="Z236" s="102" t="str">
        <f>VLOOKUP(L236,材料合同!$L$6:$CC$305,15,0)</f>
        <v>甲方去乙方工厂验收，完成后，5个工作日支付60%发货款，开具等额发票</v>
      </c>
      <c r="AA236" s="102">
        <f>VLOOKUP(L236,材料合同!$L$6:$CC$305,16,0)</f>
        <v>1050000</v>
      </c>
      <c r="AB236" s="102">
        <f>VLOOKUP(L236,材料合同!$L$6:$CC$305,17,0)</f>
        <v>0</v>
      </c>
      <c r="AC236" s="102">
        <f>VLOOKUP(L236,材料合同!$L$6:$CC$305,18,0)</f>
        <v>0</v>
      </c>
      <c r="AD236" s="102" t="str">
        <f>VLOOKUP(L236,材料合同!$L$6:$CC$305,19,0)</f>
        <v>甲方经核定调试合格报告及本合同的足额发票后15个工作日支付10%调试款</v>
      </c>
      <c r="AE236" s="102">
        <f>VLOOKUP(L236,材料合同!$L$6:$CC$305,20,0)</f>
        <v>175000</v>
      </c>
      <c r="AF236" s="102">
        <f>VLOOKUP(L236,材料合同!$L$6:$CC$305,21,0)</f>
        <v>0</v>
      </c>
      <c r="AG236" s="102">
        <f>VLOOKUP(L236,材料合同!$L$6:$CC$305,22,0)</f>
        <v>0</v>
      </c>
      <c r="AH236" s="102" t="str">
        <f>VLOOKUP(L236,材料合同!$L$6:$CC$305,23,0)</f>
        <v>10%质量保证金</v>
      </c>
      <c r="AI236" s="102">
        <f>VLOOKUP(L236,材料合同!$L$6:$CC$305,24,0)</f>
        <v>175000</v>
      </c>
      <c r="AJ236" s="102">
        <f>VLOOKUP(L236,材料合同!$L$6:$CC$305,25,0)</f>
        <v>0</v>
      </c>
      <c r="AK236" s="102">
        <f>VLOOKUP(L236,材料合同!$L$6:$CC$305,26,0)</f>
        <v>0</v>
      </c>
      <c r="AL236" s="102">
        <f>VLOOKUP(L236,材料合同!$L$6:$CC$305,27,0)</f>
        <v>0</v>
      </c>
      <c r="AM236" s="102">
        <f>VLOOKUP(L236,材料合同!$L$6:$CC$305,28,0)</f>
        <v>0</v>
      </c>
      <c r="AN236" s="102">
        <f>VLOOKUP(L236,材料合同!$L$6:$CC$305,29,0)</f>
        <v>0</v>
      </c>
      <c r="AO236" s="102">
        <f>VLOOKUP(L236,材料合同!$L$6:$CC$305,30,0)</f>
        <v>0</v>
      </c>
      <c r="AP236" s="102">
        <f>VLOOKUP(L236,材料合同!$L$6:$CC$305,31,0)</f>
        <v>0</v>
      </c>
      <c r="AQ236" s="102">
        <f>VLOOKUP(L236,材料合同!$L$6:$CC$305,32,0)</f>
        <v>0</v>
      </c>
      <c r="AR236" s="102">
        <f>VLOOKUP(L236,材料合同!$L$6:$CC$305,33,0)</f>
        <v>0</v>
      </c>
      <c r="AS236" s="102">
        <f>VLOOKUP(L236,材料合同!$L$6:$CC$305,34,0)</f>
        <v>0</v>
      </c>
      <c r="AT236" s="102">
        <f>VLOOKUP(L236,材料合同!$L$6:$CC$305,35,0)</f>
        <v>0</v>
      </c>
      <c r="AU236" s="102">
        <f>VLOOKUP(L236,材料合同!$L$6:$CC$305,36,0)</f>
        <v>0</v>
      </c>
      <c r="AV236" s="102">
        <f>VLOOKUP(L236,材料合同!$L$6:$CC$305,37,0)</f>
        <v>0</v>
      </c>
      <c r="AW236" s="102">
        <f>VLOOKUP(L236,材料合同!$L$6:$CC$305,38,0)</f>
        <v>0</v>
      </c>
      <c r="AX236" s="102">
        <f>VLOOKUP(L236,材料合同!$L$6:$CC$305,39,0)</f>
        <v>0</v>
      </c>
      <c r="AY236" s="102">
        <f>VLOOKUP(L236,材料合同!$L$6:$CC$305,40,0)</f>
        <v>0</v>
      </c>
      <c r="AZ236" s="102">
        <f>VLOOKUP(L236,材料合同!$L$6:$CC$305,41,0)</f>
        <v>0</v>
      </c>
      <c r="BA236" s="102">
        <f>VLOOKUP(L236,材料合同!$L$6:$CC$305,42,0)</f>
        <v>0</v>
      </c>
      <c r="BB236" s="102">
        <f>VLOOKUP(L236,材料合同!$L$6:$CC$305,43,0)</f>
        <v>0</v>
      </c>
      <c r="BC236" s="102">
        <f>VLOOKUP(L236,材料合同!$L$6:$CC$305,44,0)</f>
        <v>0</v>
      </c>
      <c r="BD236" s="102">
        <f>VLOOKUP(L236,材料合同!$L$6:$CC$305,45,0)</f>
        <v>0</v>
      </c>
      <c r="BE236" s="102">
        <f>VLOOKUP(L236,材料合同!$L$6:$CC$305,46,0)</f>
        <v>0</v>
      </c>
      <c r="BF236" s="102">
        <f>VLOOKUP(L236,材料合同!$L$6:$CC$305,47,0)</f>
        <v>0</v>
      </c>
      <c r="BG236" s="102">
        <f>VLOOKUP(L236,材料合同!$L$6:$CC$305,48,0)</f>
        <v>0</v>
      </c>
      <c r="BH236" s="102">
        <f>VLOOKUP(L236,材料合同!$L$6:$CC$305,49,0)</f>
        <v>0</v>
      </c>
      <c r="BI236" s="102">
        <f>VLOOKUP(L236,材料合同!$L$6:$CC$305,50,0)</f>
        <v>0</v>
      </c>
      <c r="BJ236" s="102">
        <f>VLOOKUP(L236,材料合同!$L$6:$CC$305,51,0)</f>
        <v>0</v>
      </c>
      <c r="BK236" s="102">
        <f>VLOOKUP(L236,材料合同!$L$6:$CC$305,52,0)</f>
        <v>0</v>
      </c>
      <c r="BL236" s="102">
        <f>VLOOKUP(L236,材料合同!$L$6:$CC$305,53,0)</f>
        <v>0</v>
      </c>
      <c r="BM236" s="102">
        <f>VLOOKUP(L236,材料合同!$L$6:$CC$305,54,0)</f>
        <v>0</v>
      </c>
      <c r="BN236" s="102">
        <f>VLOOKUP(L236,材料合同!$L$6:$CC$305,55,0)</f>
        <v>0</v>
      </c>
      <c r="BO236" s="102">
        <f>VLOOKUP(L236,材料合同!$L$6:$CC$305,56,0)</f>
        <v>0</v>
      </c>
      <c r="BP236" s="102">
        <f>VLOOKUP(L236,材料合同!$L$6:$CC$305,57,0)</f>
        <v>0</v>
      </c>
      <c r="BQ236" s="102">
        <f>VLOOKUP(L236,材料合同!$L$6:$CC$305,58,0)</f>
        <v>0</v>
      </c>
      <c r="BR236" s="102">
        <f>VLOOKUP(L236,材料合同!$L$6:$CC$305,59,0)</f>
        <v>0</v>
      </c>
      <c r="BS236" s="102">
        <f>VLOOKUP(L236,材料合同!$L$6:$CC$305,60,0)</f>
        <v>0</v>
      </c>
      <c r="BT236" s="102">
        <f>VLOOKUP(L236,材料合同!$L$6:$CC$305,61,0)</f>
        <v>0</v>
      </c>
      <c r="BU236" s="102">
        <f>VLOOKUP(L236,材料合同!$L$6:$CC$305,62,0)</f>
        <v>0</v>
      </c>
      <c r="BV236" s="102">
        <f>VLOOKUP(L236,材料合同!$L$6:$CC$305,63,0)</f>
        <v>0</v>
      </c>
      <c r="BW236" s="102">
        <f>VLOOKUP(L236,材料合同!$L$6:$CC$305,64,0)</f>
        <v>0</v>
      </c>
      <c r="BX236" s="102">
        <f>VLOOKUP(L236,材料合同!$L$6:$CC$305,65,0)</f>
        <v>0</v>
      </c>
      <c r="BY236" s="102">
        <f>VLOOKUP(L236,材料合同!$L$6:$CC$305,66,0)</f>
        <v>0</v>
      </c>
      <c r="BZ236" s="102">
        <f>VLOOKUP(L236,材料合同!$L$6:$CC$305,67,0)</f>
        <v>0</v>
      </c>
      <c r="CA236" s="102">
        <f>VLOOKUP(L236,材料合同!$L$6:$CC$305,68,0)</f>
        <v>0</v>
      </c>
      <c r="CB236" s="102">
        <f>VLOOKUP(L236,材料合同!$L$6:$CC$305,69,0)</f>
        <v>0</v>
      </c>
      <c r="CC236" s="102">
        <f>VLOOKUP(L236,材料合同!$L$6:$CC$305,70,0)</f>
        <v>0</v>
      </c>
      <c r="CD236" s="123">
        <f t="shared" si="55"/>
        <v>1750000</v>
      </c>
      <c r="CE236" s="102">
        <f t="shared" si="56"/>
        <v>350000</v>
      </c>
      <c r="CF236" s="102">
        <f t="shared" si="57"/>
        <v>350000</v>
      </c>
      <c r="CG236" s="102">
        <f t="shared" si="58"/>
        <v>0</v>
      </c>
      <c r="CH236" s="124">
        <f t="shared" si="59"/>
        <v>1400000</v>
      </c>
      <c r="CI236" s="125">
        <f t="shared" si="60"/>
        <v>0.2</v>
      </c>
      <c r="CJ236" s="126" t="str">
        <f t="shared" si="61"/>
        <v>数据正确</v>
      </c>
    </row>
    <row r="237" s="60" customFormat="1" customHeight="1" spans="2:88">
      <c r="B237" s="70" t="str">
        <f t="shared" si="51"/>
        <v>-</v>
      </c>
      <c r="C237" s="71" t="str">
        <f t="shared" si="52"/>
        <v>-</v>
      </c>
      <c r="D237" s="181">
        <f t="shared" si="53"/>
        <v>4460000</v>
      </c>
      <c r="E237" s="181">
        <f>SUMIF(设备合同!$L$6:$L$302,L237,设备合同!$E$6:$E$302)</f>
        <v>0</v>
      </c>
      <c r="F237" s="181">
        <f>SUMIF(设备合同!$L$6:$L$302,L237,设备合同!$F$6:$F$302)</f>
        <v>0</v>
      </c>
      <c r="G237" s="181">
        <f>SUMIF(设备合同!$L$6:$L$302,L237,设备合同!$G$6:$G$302)</f>
        <v>0</v>
      </c>
      <c r="H237" s="181">
        <f>SUMIF(设备合同!$L$6:$L$302,L237,设备合同!$H$6:$H$302)</f>
        <v>0</v>
      </c>
      <c r="I237" s="181">
        <f t="shared" si="54"/>
        <v>0</v>
      </c>
      <c r="J237" s="86" t="s">
        <v>98</v>
      </c>
      <c r="K237" s="87"/>
      <c r="L237" s="88">
        <v>232</v>
      </c>
      <c r="M237" s="89" t="str">
        <f>VLOOKUP(L237,设备合同!$L$6:$CC$302,2,0)</f>
        <v>YRKJEQ-170089</v>
      </c>
      <c r="N237" s="90" t="str">
        <f>VLOOKUP(L237,设备合同!$L$6:$CC$302,3,0)</f>
        <v>设备合同</v>
      </c>
      <c r="O237" s="265">
        <f>VLOOKUP(L237,设备合同!$L$6:$CC$302,4,0)</f>
        <v>2017070075</v>
      </c>
      <c r="P237" s="266">
        <f>VLOOKUP(L237,设备合同!$L$6:$CC$302,5,0)</f>
        <v>42982</v>
      </c>
      <c r="Q237" s="275">
        <f>VLOOKUP(L237,设备合同!$L$6:$CC$302,6,0)</f>
        <v>22300000</v>
      </c>
      <c r="R237" s="89" t="str">
        <f>VLOOKUP(L237,设备合同!$L$6:$CC$302,7,0)</f>
        <v>环己酮肟化装置非标包2(29台）</v>
      </c>
      <c r="S237" s="89" t="str">
        <f>VLOOKUP(L237,设备合同!$L$6:$CC$302,8,0)</f>
        <v>浙江诚泰化工机械有限公司</v>
      </c>
      <c r="T237" s="107" t="str">
        <f>VLOOKUP(L237,设备合同!$L$6:$CC$302,9,0)</f>
        <v>环己酮、己内酰胺、氨肟化</v>
      </c>
      <c r="U237" s="103" t="str">
        <f>VLOOKUP(L237,设备合同!$L$6:$CC$302,10,0)</f>
        <v>6个月承兑汇票/电汇下浮1.5%</v>
      </c>
      <c r="V237" s="276" t="str">
        <f>VLOOKUP(L237,设备合同!$L$6:$CC$302,11,0)</f>
        <v>甲方收到乙方20%的预付款保函以及本合同的10%履约保函后15个工作日支付20%预付款</v>
      </c>
      <c r="W237" s="102">
        <f>VLOOKUP(L237,设备合同!$L$6:$CC$302,12,0)</f>
        <v>4460000</v>
      </c>
      <c r="X237" s="102">
        <f>VLOOKUP(L237,设备合同!$L$6:$CC$302,13,0)</f>
        <v>4460000</v>
      </c>
      <c r="Y237" s="102">
        <f>VLOOKUP(L237,设备合同!$L$6:$CC$302,14,0)</f>
        <v>4460000</v>
      </c>
      <c r="Z237" s="102" t="str">
        <f>VLOOKUP(L237,设备合同!$L$6:$CC$302,15,0)</f>
        <v>甲方到乙方现场确认无误后，收到17%等额专票，15个工作日内支付60%发货款</v>
      </c>
      <c r="AA237" s="102">
        <f>VLOOKUP(L237,设备合同!$L$6:$CC$302,16,0)</f>
        <v>13380000</v>
      </c>
      <c r="AB237" s="102">
        <f>VLOOKUP(L237,设备合同!$L$6:$CC$302,17,0)</f>
        <v>0</v>
      </c>
      <c r="AC237" s="102">
        <f>VLOOKUP(L237,设备合同!$L$6:$CC$302,18,0)</f>
        <v>0</v>
      </c>
      <c r="AD237" s="102" t="str">
        <f>VLOOKUP(L237,设备合同!$L$6:$CC$302,19,0)</f>
        <v>甲方核定的调试合格报告及足额的发票后付10%的验收款</v>
      </c>
      <c r="AE237" s="102">
        <f>VLOOKUP(L237,设备合同!$L$6:$CC$302,20,0)</f>
        <v>2230000</v>
      </c>
      <c r="AF237" s="102">
        <f>VLOOKUP(L237,设备合同!$L$6:$CC$302,21,0)</f>
        <v>0</v>
      </c>
      <c r="AG237" s="102">
        <f>VLOOKUP(L237,设备合同!$L$6:$CC$302,22,0)</f>
        <v>0</v>
      </c>
      <c r="AH237" s="102" t="str">
        <f>VLOOKUP(L237,设备合同!$L$6:$CC$302,23,0)</f>
        <v>10%质保金，验收合格12个月或到货现场18个月</v>
      </c>
      <c r="AI237" s="102">
        <f>VLOOKUP(L237,设备合同!$L$6:$CC$302,24,0)</f>
        <v>2230000</v>
      </c>
      <c r="AJ237" s="102">
        <f>VLOOKUP(L237,设备合同!$L$6:$CC$302,25,0)</f>
        <v>0</v>
      </c>
      <c r="AK237" s="102">
        <f>VLOOKUP(L237,设备合同!$L$6:$CC$302,26,0)</f>
        <v>0</v>
      </c>
      <c r="AL237" s="102">
        <f>VLOOKUP(L237,设备合同!$L$6:$CC$302,27,0)</f>
        <v>0</v>
      </c>
      <c r="AM237" s="102">
        <f>VLOOKUP(L237,设备合同!$L$6:$CC$302,28,0)</f>
        <v>0</v>
      </c>
      <c r="AN237" s="102">
        <f>VLOOKUP(L237,设备合同!$L$6:$CC$302,29,0)</f>
        <v>0</v>
      </c>
      <c r="AO237" s="102">
        <f>VLOOKUP(L237,设备合同!$L$6:$CC$302,30,0)</f>
        <v>0</v>
      </c>
      <c r="AP237" s="102">
        <f>VLOOKUP(L237,设备合同!$L$6:$CC$302,31,0)</f>
        <v>0</v>
      </c>
      <c r="AQ237" s="102">
        <f>VLOOKUP(L237,设备合同!$L$6:$CC$302,32,0)</f>
        <v>0</v>
      </c>
      <c r="AR237" s="102">
        <f>VLOOKUP(L237,设备合同!$L$6:$CC$302,33,0)</f>
        <v>0</v>
      </c>
      <c r="AS237" s="102">
        <f>VLOOKUP(L237,设备合同!$L$6:$CC$302,34,0)</f>
        <v>0</v>
      </c>
      <c r="AT237" s="102">
        <f>VLOOKUP(L237,设备合同!$L$6:$CC$302,35,0)</f>
        <v>0</v>
      </c>
      <c r="AU237" s="102">
        <f>VLOOKUP(L237,设备合同!$L$6:$CC$302,36,0)</f>
        <v>0</v>
      </c>
      <c r="AV237" s="102">
        <f>VLOOKUP(L237,设备合同!$L$6:$CC$302,37,0)</f>
        <v>0</v>
      </c>
      <c r="AW237" s="102">
        <f>VLOOKUP(L237,设备合同!$L$6:$CC$302,38,0)</f>
        <v>0</v>
      </c>
      <c r="AX237" s="102">
        <f>VLOOKUP(L237,设备合同!$L$6:$CC$302,39,0)</f>
        <v>0</v>
      </c>
      <c r="AY237" s="102">
        <f>VLOOKUP(L237,设备合同!$L$6:$CC$302,40,0)</f>
        <v>0</v>
      </c>
      <c r="AZ237" s="102">
        <f>VLOOKUP(L237,设备合同!$L$6:$CC$302,41,0)</f>
        <v>0</v>
      </c>
      <c r="BA237" s="102">
        <f>VLOOKUP(L237,设备合同!$L$6:$CC$302,42,0)</f>
        <v>0</v>
      </c>
      <c r="BB237" s="102">
        <f>VLOOKUP(L237,设备合同!$L$6:$CC$302,43,0)</f>
        <v>0</v>
      </c>
      <c r="BC237" s="102">
        <f>VLOOKUP(L237,设备合同!$L$6:$CC$302,44,0)</f>
        <v>0</v>
      </c>
      <c r="BD237" s="102">
        <f>VLOOKUP(L237,设备合同!$L$6:$CC$302,45,0)</f>
        <v>0</v>
      </c>
      <c r="BE237" s="102">
        <f>VLOOKUP(L237,设备合同!$L$6:$CC$302,46,0)</f>
        <v>0</v>
      </c>
      <c r="BF237" s="102">
        <f>VLOOKUP(L237,设备合同!$L$6:$CC$302,47,0)</f>
        <v>0</v>
      </c>
      <c r="BG237" s="102">
        <f>VLOOKUP(L237,设备合同!$L$6:$CC$302,48,0)</f>
        <v>0</v>
      </c>
      <c r="BH237" s="102">
        <f>VLOOKUP(L237,设备合同!$L$6:$CC$302,49,0)</f>
        <v>0</v>
      </c>
      <c r="BI237" s="102">
        <f>VLOOKUP(L237,设备合同!$L$6:$CC$302,50,0)</f>
        <v>0</v>
      </c>
      <c r="BJ237" s="102">
        <f>VLOOKUP(L237,设备合同!$L$6:$CC$302,51,0)</f>
        <v>0</v>
      </c>
      <c r="BK237" s="102">
        <f>VLOOKUP(L237,设备合同!$L$6:$CC$302,52,0)</f>
        <v>0</v>
      </c>
      <c r="BL237" s="102">
        <f>VLOOKUP(L237,设备合同!$L$6:$CC$302,53,0)</f>
        <v>0</v>
      </c>
      <c r="BM237" s="102">
        <f>VLOOKUP(L237,设备合同!$L$6:$CC$302,54,0)</f>
        <v>0</v>
      </c>
      <c r="BN237" s="102">
        <f>VLOOKUP(L237,设备合同!$L$6:$CC$302,55,0)</f>
        <v>0</v>
      </c>
      <c r="BO237" s="102">
        <f>VLOOKUP(L237,设备合同!$L$6:$CC$302,56,0)</f>
        <v>0</v>
      </c>
      <c r="BP237" s="102">
        <f>VLOOKUP(L237,设备合同!$L$6:$CC$302,57,0)</f>
        <v>0</v>
      </c>
      <c r="BQ237" s="102">
        <f>VLOOKUP(L237,设备合同!$L$6:$CC$302,58,0)</f>
        <v>0</v>
      </c>
      <c r="BR237" s="102">
        <f>VLOOKUP(L237,设备合同!$L$6:$CC$302,59,0)</f>
        <v>0</v>
      </c>
      <c r="BS237" s="102">
        <f>VLOOKUP(L237,设备合同!$L$6:$CC$302,60,0)</f>
        <v>0</v>
      </c>
      <c r="BT237" s="102">
        <f>VLOOKUP(L237,设备合同!$L$6:$CC$302,61,0)</f>
        <v>0</v>
      </c>
      <c r="BU237" s="102">
        <f>VLOOKUP(L237,设备合同!$L$6:$CC$302,62,0)</f>
        <v>0</v>
      </c>
      <c r="BV237" s="102">
        <f>VLOOKUP(L237,设备合同!$L$6:$CC$302,63,0)</f>
        <v>0</v>
      </c>
      <c r="BW237" s="102">
        <f>VLOOKUP(L237,设备合同!$L$6:$CC$302,64,0)</f>
        <v>0</v>
      </c>
      <c r="BX237" s="102">
        <f>VLOOKUP(L237,设备合同!$L$6:$CC$302,65,0)</f>
        <v>0</v>
      </c>
      <c r="BY237" s="102">
        <f>VLOOKUP(L237,设备合同!$L$6:$CC$302,66,0)</f>
        <v>0</v>
      </c>
      <c r="BZ237" s="102">
        <f>VLOOKUP(L237,设备合同!$L$6:$CC$302,67,0)</f>
        <v>0</v>
      </c>
      <c r="CA237" s="102">
        <f>VLOOKUP(L237,设备合同!$L$6:$CC$302,68,0)</f>
        <v>0</v>
      </c>
      <c r="CB237" s="102">
        <f>VLOOKUP(L237,设备合同!$L$6:$CC$302,69,0)</f>
        <v>0</v>
      </c>
      <c r="CC237" s="102">
        <f>VLOOKUP(L237,设备合同!$L$6:$CC$302,70,0)</f>
        <v>0</v>
      </c>
      <c r="CD237" s="123">
        <f t="shared" si="55"/>
        <v>22300000</v>
      </c>
      <c r="CE237" s="102">
        <f t="shared" si="56"/>
        <v>4460000</v>
      </c>
      <c r="CF237" s="102">
        <f t="shared" si="57"/>
        <v>4460000</v>
      </c>
      <c r="CG237" s="102">
        <f t="shared" si="58"/>
        <v>0</v>
      </c>
      <c r="CH237" s="124">
        <f t="shared" si="59"/>
        <v>17840000</v>
      </c>
      <c r="CI237" s="125">
        <f t="shared" si="60"/>
        <v>0.2</v>
      </c>
      <c r="CJ237" s="126" t="str">
        <f t="shared" si="61"/>
        <v>数据正确</v>
      </c>
    </row>
    <row r="238" s="60" customFormat="1" customHeight="1" spans="2:88">
      <c r="B238" s="70" t="str">
        <f t="shared" si="51"/>
        <v>-</v>
      </c>
      <c r="C238" s="71" t="str">
        <f t="shared" si="52"/>
        <v>-</v>
      </c>
      <c r="D238" s="181">
        <f t="shared" si="53"/>
        <v>0</v>
      </c>
      <c r="E238" s="181">
        <f>SUMIF(工程合同!$L$6:$L$299,L238,工程合同!$E$6:$E$299)</f>
        <v>0</v>
      </c>
      <c r="F238" s="181">
        <f>SUMIF(工程合同!$L$6:$L$299,L238,工程合同!$F$6:$F$299)</f>
        <v>0</v>
      </c>
      <c r="G238" s="181">
        <f>SUMIF(工程合同!$L$6:$L$299,L238,工程合同!$G$6:$G$299)</f>
        <v>0</v>
      </c>
      <c r="H238" s="181">
        <f>SUMIF(工程合同!$L$6:$L$299,L238,工程合同!$H$6:$H$299)</f>
        <v>0</v>
      </c>
      <c r="I238" s="181">
        <f t="shared" si="54"/>
        <v>0</v>
      </c>
      <c r="J238" s="86" t="s">
        <v>98</v>
      </c>
      <c r="K238" s="87"/>
      <c r="L238" s="88">
        <v>233</v>
      </c>
      <c r="M238" s="89" t="str">
        <f>VLOOKUP(L238,工程合同!$L$6:$CC$299,2,0)</f>
        <v>AG-KJ-20170004</v>
      </c>
      <c r="N238" s="90" t="str">
        <f>VLOOKUP(L238,工程合同!$L$6:$CC$299,3,0)</f>
        <v>工程合同</v>
      </c>
      <c r="O238" s="265">
        <f>VLOOKUP(L238,工程合同!$L$6:$CC$299,4,0)</f>
        <v>0</v>
      </c>
      <c r="P238" s="266">
        <f>VLOOKUP(L238,工程合同!$L$6:$CC$299,5,0)</f>
        <v>42997</v>
      </c>
      <c r="Q238" s="275">
        <f>VLOOKUP(L238,工程合同!$L$6:$CC$299,6,0)</f>
        <v>750000</v>
      </c>
      <c r="R238" s="89" t="str">
        <f>VLOOKUP(L238,工程合同!$L$6:$CC$299,7,0)</f>
        <v>三修车间-厂前区主路联锁块道路工程</v>
      </c>
      <c r="S238" s="89" t="str">
        <f>VLOOKUP(L238,工程合同!$L$6:$CC$299,8,0)</f>
        <v>福建省福清市嘉盛建设工程有限公司</v>
      </c>
      <c r="T238" s="107">
        <f>VLOOKUP(L238,工程合同!$L$6:$CC$299,9,0)</f>
        <v>0</v>
      </c>
      <c r="U238" s="103" t="str">
        <f>VLOOKUP(L238,工程合同!$L$6:$CC$299,10,0)</f>
        <v>6个月承兑汇票/电汇下浮3%</v>
      </c>
      <c r="V238" s="276" t="str">
        <f>VLOOKUP(L238,工程合同!$L$6:$CC$299,11,0)</f>
        <v>无预付款，按月支付进度款，支付至验收完成工程对应价的80%</v>
      </c>
      <c r="W238" s="102">
        <f>VLOOKUP(L238,工程合同!$L$6:$CC$299,12,0)</f>
        <v>600000</v>
      </c>
      <c r="X238" s="102">
        <f>VLOOKUP(L238,工程合同!$L$6:$CC$299,13,0)</f>
        <v>0</v>
      </c>
      <c r="Y238" s="102">
        <f>VLOOKUP(L238,工程合同!$L$6:$CC$299,14,0)</f>
        <v>0</v>
      </c>
      <c r="Z238" s="102" t="str">
        <f>VLOOKUP(L238,工程合同!$L$6:$CC$299,15,0)</f>
        <v>工程竣工验收合格支付至90%</v>
      </c>
      <c r="AA238" s="102">
        <f>VLOOKUP(L238,工程合同!$L$6:$CC$299,16,0)</f>
        <v>75000</v>
      </c>
      <c r="AB238" s="102">
        <f>VLOOKUP(L238,工程合同!$L$6:$CC$299,17,0)</f>
        <v>0</v>
      </c>
      <c r="AC238" s="102">
        <f>VLOOKUP(L238,工程合同!$L$6:$CC$299,18,0)</f>
        <v>0</v>
      </c>
      <c r="AD238" s="102" t="str">
        <f>VLOOKUP(L238,工程合同!$L$6:$CC$299,19,0)</f>
        <v>质量保证期12个月</v>
      </c>
      <c r="AE238" s="102">
        <f>VLOOKUP(L238,工程合同!$L$6:$CC$299,20,0)</f>
        <v>75000</v>
      </c>
      <c r="AF238" s="102">
        <f>VLOOKUP(L238,工程合同!$L$6:$CC$299,21,0)</f>
        <v>0</v>
      </c>
      <c r="AG238" s="102">
        <f>VLOOKUP(L238,工程合同!$L$6:$CC$299,22,0)</f>
        <v>0</v>
      </c>
      <c r="AH238" s="102">
        <f>VLOOKUP(L238,工程合同!$L$6:$CC$299,23,0)</f>
        <v>0</v>
      </c>
      <c r="AI238" s="102">
        <f>VLOOKUP(L238,工程合同!$L$6:$CC$299,24,0)</f>
        <v>0</v>
      </c>
      <c r="AJ238" s="102">
        <f>VLOOKUP(L238,工程合同!$L$6:$CC$299,25,0)</f>
        <v>0</v>
      </c>
      <c r="AK238" s="102">
        <f>VLOOKUP(L238,工程合同!$L$6:$CC$299,26,0)</f>
        <v>0</v>
      </c>
      <c r="AL238" s="102">
        <f>VLOOKUP(L238,工程合同!$L$6:$CC$299,27,0)</f>
        <v>0</v>
      </c>
      <c r="AM238" s="102">
        <f>VLOOKUP(L238,工程合同!$L$6:$CC$299,28,0)</f>
        <v>0</v>
      </c>
      <c r="AN238" s="102">
        <f>VLOOKUP(L238,工程合同!$L$6:$CC$299,29,0)</f>
        <v>0</v>
      </c>
      <c r="AO238" s="102">
        <f>VLOOKUP(L238,工程合同!$L$6:$CC$299,30,0)</f>
        <v>0</v>
      </c>
      <c r="AP238" s="102">
        <f>VLOOKUP(L238,工程合同!$L$6:$CC$299,31,0)</f>
        <v>0</v>
      </c>
      <c r="AQ238" s="102">
        <f>VLOOKUP(L238,工程合同!$L$6:$CC$299,32,0)</f>
        <v>0</v>
      </c>
      <c r="AR238" s="102">
        <f>VLOOKUP(L238,工程合同!$L$6:$CC$299,33,0)</f>
        <v>0</v>
      </c>
      <c r="AS238" s="102">
        <f>VLOOKUP(L238,工程合同!$L$6:$CC$299,34,0)</f>
        <v>0</v>
      </c>
      <c r="AT238" s="102">
        <f>VLOOKUP(L238,工程合同!$L$6:$CC$299,35,0)</f>
        <v>0</v>
      </c>
      <c r="AU238" s="102">
        <f>VLOOKUP(L238,工程合同!$L$6:$CC$299,36,0)</f>
        <v>0</v>
      </c>
      <c r="AV238" s="102">
        <f>VLOOKUP(L238,工程合同!$L$6:$CC$299,37,0)</f>
        <v>0</v>
      </c>
      <c r="AW238" s="102">
        <f>VLOOKUP(L238,工程合同!$L$6:$CC$299,38,0)</f>
        <v>0</v>
      </c>
      <c r="AX238" s="102">
        <f>VLOOKUP(L238,工程合同!$L$6:$CC$299,39,0)</f>
        <v>0</v>
      </c>
      <c r="AY238" s="102">
        <f>VLOOKUP(L238,工程合同!$L$6:$CC$299,40,0)</f>
        <v>0</v>
      </c>
      <c r="AZ238" s="102">
        <f>VLOOKUP(L238,工程合同!$L$6:$CC$299,41,0)</f>
        <v>0</v>
      </c>
      <c r="BA238" s="102">
        <f>VLOOKUP(L238,工程合同!$L$6:$CC$299,42,0)</f>
        <v>0</v>
      </c>
      <c r="BB238" s="102">
        <f>VLOOKUP(L238,工程合同!$L$6:$CC$299,43,0)</f>
        <v>0</v>
      </c>
      <c r="BC238" s="102">
        <f>VLOOKUP(L238,工程合同!$L$6:$CC$299,44,0)</f>
        <v>0</v>
      </c>
      <c r="BD238" s="102">
        <f>VLOOKUP(L238,工程合同!$L$6:$CC$299,45,0)</f>
        <v>0</v>
      </c>
      <c r="BE238" s="102">
        <f>VLOOKUP(L238,工程合同!$L$6:$CC$299,46,0)</f>
        <v>0</v>
      </c>
      <c r="BF238" s="102">
        <f>VLOOKUP(L238,工程合同!$L$6:$CC$299,47,0)</f>
        <v>0</v>
      </c>
      <c r="BG238" s="102">
        <f>VLOOKUP(L238,工程合同!$L$6:$CC$299,48,0)</f>
        <v>0</v>
      </c>
      <c r="BH238" s="102">
        <f>VLOOKUP(L238,工程合同!$L$6:$CC$299,49,0)</f>
        <v>0</v>
      </c>
      <c r="BI238" s="102">
        <f>VLOOKUP(L238,工程合同!$L$6:$CC$299,50,0)</f>
        <v>0</v>
      </c>
      <c r="BJ238" s="102">
        <f>VLOOKUP(L238,工程合同!$L$6:$CC$299,51,0)</f>
        <v>0</v>
      </c>
      <c r="BK238" s="102">
        <f>VLOOKUP(L238,工程合同!$L$6:$CC$299,52,0)</f>
        <v>0</v>
      </c>
      <c r="BL238" s="102">
        <f>VLOOKUP(L238,工程合同!$L$6:$CC$299,53,0)</f>
        <v>0</v>
      </c>
      <c r="BM238" s="102">
        <f>VLOOKUP(L238,工程合同!$L$6:$CC$299,54,0)</f>
        <v>0</v>
      </c>
      <c r="BN238" s="102">
        <f>VLOOKUP(L238,工程合同!$L$6:$CC$299,55,0)</f>
        <v>0</v>
      </c>
      <c r="BO238" s="102">
        <f>VLOOKUP(L238,工程合同!$L$6:$CC$299,56,0)</f>
        <v>0</v>
      </c>
      <c r="BP238" s="102">
        <f>VLOOKUP(L238,工程合同!$L$6:$CC$299,57,0)</f>
        <v>0</v>
      </c>
      <c r="BQ238" s="102">
        <f>VLOOKUP(L238,工程合同!$L$6:$CC$299,58,0)</f>
        <v>0</v>
      </c>
      <c r="BR238" s="102">
        <f>VLOOKUP(L238,工程合同!$L$6:$CC$299,59,0)</f>
        <v>0</v>
      </c>
      <c r="BS238" s="102">
        <f>VLOOKUP(L238,工程合同!$L$6:$CC$299,60,0)</f>
        <v>0</v>
      </c>
      <c r="BT238" s="102">
        <f>VLOOKUP(L238,工程合同!$L$6:$CC$299,61,0)</f>
        <v>0</v>
      </c>
      <c r="BU238" s="102">
        <f>VLOOKUP(L238,工程合同!$L$6:$CC$299,62,0)</f>
        <v>0</v>
      </c>
      <c r="BV238" s="102">
        <f>VLOOKUP(L238,工程合同!$L$6:$CC$299,63,0)</f>
        <v>0</v>
      </c>
      <c r="BW238" s="102">
        <f>VLOOKUP(L238,工程合同!$L$6:$CC$299,64,0)</f>
        <v>0</v>
      </c>
      <c r="BX238" s="102">
        <f>VLOOKUP(L238,工程合同!$L$6:$CC$299,65,0)</f>
        <v>0</v>
      </c>
      <c r="BY238" s="102">
        <f>VLOOKUP(L238,工程合同!$L$6:$CC$299,66,0)</f>
        <v>0</v>
      </c>
      <c r="BZ238" s="102">
        <f>VLOOKUP(L238,工程合同!$L$6:$CC$299,67,0)</f>
        <v>0</v>
      </c>
      <c r="CA238" s="102">
        <f>VLOOKUP(L238,工程合同!$L$6:$CC$299,68,0)</f>
        <v>0</v>
      </c>
      <c r="CB238" s="102">
        <f>VLOOKUP(L238,工程合同!$L$6:$CC$299,69,0)</f>
        <v>0</v>
      </c>
      <c r="CC238" s="102">
        <f>VLOOKUP(L238,工程合同!$L$6:$CC$299,70,0)</f>
        <v>0</v>
      </c>
      <c r="CD238" s="123">
        <f t="shared" si="55"/>
        <v>750000</v>
      </c>
      <c r="CE238" s="102">
        <f t="shared" si="56"/>
        <v>0</v>
      </c>
      <c r="CF238" s="102">
        <f t="shared" si="57"/>
        <v>0</v>
      </c>
      <c r="CG238" s="102">
        <f t="shared" si="58"/>
        <v>0</v>
      </c>
      <c r="CH238" s="124">
        <f t="shared" si="59"/>
        <v>750000</v>
      </c>
      <c r="CI238" s="125">
        <f t="shared" si="60"/>
        <v>0</v>
      </c>
      <c r="CJ238" s="126" t="str">
        <f t="shared" si="61"/>
        <v>数据正确</v>
      </c>
    </row>
    <row r="239" s="60" customFormat="1" customHeight="1" spans="2:88">
      <c r="B239" s="70" t="str">
        <f t="shared" si="51"/>
        <v>-</v>
      </c>
      <c r="C239" s="71" t="str">
        <f t="shared" si="52"/>
        <v>-</v>
      </c>
      <c r="D239" s="181">
        <f t="shared" si="53"/>
        <v>1396000</v>
      </c>
      <c r="E239" s="181">
        <f>SUMIF(设备合同!$L$6:$L$302,L239,设备合同!$E$6:$E$302)</f>
        <v>0</v>
      </c>
      <c r="F239" s="181">
        <f>SUMIF(设备合同!$L$6:$L$302,L239,设备合同!$F$6:$F$302)</f>
        <v>0</v>
      </c>
      <c r="G239" s="181">
        <f>SUMIF(设备合同!$L$6:$L$302,L239,设备合同!$G$6:$G$302)</f>
        <v>0</v>
      </c>
      <c r="H239" s="181">
        <f>SUMIF(设备合同!$L$6:$L$302,L239,设备合同!$H$6:$H$302)</f>
        <v>0</v>
      </c>
      <c r="I239" s="181">
        <f t="shared" si="54"/>
        <v>0</v>
      </c>
      <c r="J239" s="86" t="s">
        <v>98</v>
      </c>
      <c r="K239" s="87"/>
      <c r="L239" s="88">
        <v>234</v>
      </c>
      <c r="M239" s="89" t="str">
        <f>VLOOKUP(L239,设备合同!$L$6:$CC$302,2,0)</f>
        <v>YRKJEQ-170026</v>
      </c>
      <c r="N239" s="90" t="str">
        <f>VLOOKUP(L239,设备合同!$L$6:$CC$302,3,0)</f>
        <v>设备合同</v>
      </c>
      <c r="O239" s="265">
        <f>VLOOKUP(L239,设备合同!$L$6:$CC$302,4,0)</f>
        <v>2017050007</v>
      </c>
      <c r="P239" s="266">
        <f>VLOOKUP(L239,设备合同!$L$6:$CC$302,5,0)</f>
        <v>42893</v>
      </c>
      <c r="Q239" s="275">
        <f>VLOOKUP(L239,设备合同!$L$6:$CC$302,6,0)</f>
        <v>6980000</v>
      </c>
      <c r="R239" s="89" t="str">
        <f>VLOOKUP(L239,设备合同!$L$6:$CC$302,7,0)</f>
        <v>凉水塔10台 合同未移交</v>
      </c>
      <c r="S239" s="89" t="str">
        <f>VLOOKUP(L239,设备合同!$L$6:$CC$302,8,0)</f>
        <v>江苏海鸥冷却塔股份有限公司</v>
      </c>
      <c r="T239" s="107" t="str">
        <f>VLOOKUP(L239,设备合同!$L$6:$CC$302,9,0)</f>
        <v>循环水场</v>
      </c>
      <c r="U239" s="103" t="str">
        <f>VLOOKUP(L239,设备合同!$L$6:$CC$302,10,0)</f>
        <v>6个月承兑汇票/电汇不下浮</v>
      </c>
      <c r="V239" s="276" t="str">
        <f>VLOOKUP(L239,设备合同!$L$6:$CC$302,11,0)</f>
        <v>甲方收到乙方20%的预付款保函以及本合同的10%履约保函后15个工作日支付20%预付款</v>
      </c>
      <c r="W239" s="102">
        <f>VLOOKUP(L239,设备合同!$L$6:$CC$302,12,0)</f>
        <v>1396000</v>
      </c>
      <c r="X239" s="102">
        <f>VLOOKUP(L239,设备合同!$L$6:$CC$302,13,0)</f>
        <v>1396000</v>
      </c>
      <c r="Y239" s="102">
        <f>VLOOKUP(L239,设备合同!$L$6:$CC$302,14,0)</f>
        <v>1396000</v>
      </c>
      <c r="Z239" s="102" t="str">
        <f>VLOOKUP(L239,设备合同!$L$6:$CC$302,15,0)</f>
        <v>甲方到乙方现场确认无误后，收到17%等额专票，15个工作日内支付40%发货款</v>
      </c>
      <c r="AA239" s="102">
        <f>VLOOKUP(L239,设备合同!$L$6:$CC$302,16,0)</f>
        <v>2792000</v>
      </c>
      <c r="AB239" s="102">
        <f>VLOOKUP(L239,设备合同!$L$6:$CC$302,17,0)</f>
        <v>0</v>
      </c>
      <c r="AC239" s="102">
        <f>VLOOKUP(L239,设备合同!$L$6:$CC$302,18,0)</f>
        <v>0</v>
      </c>
      <c r="AD239" s="102" t="str">
        <f>VLOOKUP(L239,设备合同!$L$6:$CC$302,19,0)</f>
        <v>甲方收到核定的调试合格报告后15个工作日，支付30%调试款</v>
      </c>
      <c r="AE239" s="102">
        <f>VLOOKUP(L239,设备合同!$L$6:$CC$302,20,0)</f>
        <v>2094000</v>
      </c>
      <c r="AF239" s="102">
        <f>VLOOKUP(L239,设备合同!$L$6:$CC$302,21,0)</f>
        <v>0</v>
      </c>
      <c r="AG239" s="102">
        <f>VLOOKUP(L239,设备合同!$L$6:$CC$302,22,0)</f>
        <v>0</v>
      </c>
      <c r="AH239" s="102" t="str">
        <f>VLOOKUP(L239,设备合同!$L$6:$CC$302,23,0)</f>
        <v>10%质保金，验收合格12个月或到货现场18个月</v>
      </c>
      <c r="AI239" s="102">
        <f>VLOOKUP(L239,设备合同!$L$6:$CC$302,24,0)</f>
        <v>698000</v>
      </c>
      <c r="AJ239" s="102">
        <f>VLOOKUP(L239,设备合同!$L$6:$CC$302,25,0)</f>
        <v>0</v>
      </c>
      <c r="AK239" s="102">
        <f>VLOOKUP(L239,设备合同!$L$6:$CC$302,26,0)</f>
        <v>0</v>
      </c>
      <c r="AL239" s="102">
        <f>VLOOKUP(L239,设备合同!$L$6:$CC$302,27,0)</f>
        <v>0</v>
      </c>
      <c r="AM239" s="102">
        <f>VLOOKUP(L239,设备合同!$L$6:$CC$302,28,0)</f>
        <v>0</v>
      </c>
      <c r="AN239" s="102">
        <f>VLOOKUP(L239,设备合同!$L$6:$CC$302,29,0)</f>
        <v>0</v>
      </c>
      <c r="AO239" s="102">
        <f>VLOOKUP(L239,设备合同!$L$6:$CC$302,30,0)</f>
        <v>0</v>
      </c>
      <c r="AP239" s="102">
        <f>VLOOKUP(L239,设备合同!$L$6:$CC$302,31,0)</f>
        <v>0</v>
      </c>
      <c r="AQ239" s="102">
        <f>VLOOKUP(L239,设备合同!$L$6:$CC$302,32,0)</f>
        <v>0</v>
      </c>
      <c r="AR239" s="102">
        <f>VLOOKUP(L239,设备合同!$L$6:$CC$302,33,0)</f>
        <v>0</v>
      </c>
      <c r="AS239" s="102">
        <f>VLOOKUP(L239,设备合同!$L$6:$CC$302,34,0)</f>
        <v>0</v>
      </c>
      <c r="AT239" s="102">
        <f>VLOOKUP(L239,设备合同!$L$6:$CC$302,35,0)</f>
        <v>0</v>
      </c>
      <c r="AU239" s="102">
        <f>VLOOKUP(L239,设备合同!$L$6:$CC$302,36,0)</f>
        <v>0</v>
      </c>
      <c r="AV239" s="102">
        <f>VLOOKUP(L239,设备合同!$L$6:$CC$302,37,0)</f>
        <v>0</v>
      </c>
      <c r="AW239" s="102">
        <f>VLOOKUP(L239,设备合同!$L$6:$CC$302,38,0)</f>
        <v>0</v>
      </c>
      <c r="AX239" s="102">
        <f>VLOOKUP(L239,设备合同!$L$6:$CC$302,39,0)</f>
        <v>0</v>
      </c>
      <c r="AY239" s="102">
        <f>VLOOKUP(L239,设备合同!$L$6:$CC$302,40,0)</f>
        <v>0</v>
      </c>
      <c r="AZ239" s="102">
        <f>VLOOKUP(L239,设备合同!$L$6:$CC$302,41,0)</f>
        <v>0</v>
      </c>
      <c r="BA239" s="102">
        <f>VLOOKUP(L239,设备合同!$L$6:$CC$302,42,0)</f>
        <v>0</v>
      </c>
      <c r="BB239" s="102">
        <f>VLOOKUP(L239,设备合同!$L$6:$CC$302,43,0)</f>
        <v>0</v>
      </c>
      <c r="BC239" s="102">
        <f>VLOOKUP(L239,设备合同!$L$6:$CC$302,44,0)</f>
        <v>0</v>
      </c>
      <c r="BD239" s="102">
        <f>VLOOKUP(L239,设备合同!$L$6:$CC$302,45,0)</f>
        <v>0</v>
      </c>
      <c r="BE239" s="102">
        <f>VLOOKUP(L239,设备合同!$L$6:$CC$302,46,0)</f>
        <v>0</v>
      </c>
      <c r="BF239" s="102">
        <f>VLOOKUP(L239,设备合同!$L$6:$CC$302,47,0)</f>
        <v>0</v>
      </c>
      <c r="BG239" s="102">
        <f>VLOOKUP(L239,设备合同!$L$6:$CC$302,48,0)</f>
        <v>0</v>
      </c>
      <c r="BH239" s="102">
        <f>VLOOKUP(L239,设备合同!$L$6:$CC$302,49,0)</f>
        <v>0</v>
      </c>
      <c r="BI239" s="102">
        <f>VLOOKUP(L239,设备合同!$L$6:$CC$302,50,0)</f>
        <v>0</v>
      </c>
      <c r="BJ239" s="102">
        <f>VLOOKUP(L239,设备合同!$L$6:$CC$302,51,0)</f>
        <v>0</v>
      </c>
      <c r="BK239" s="102">
        <f>VLOOKUP(L239,设备合同!$L$6:$CC$302,52,0)</f>
        <v>0</v>
      </c>
      <c r="BL239" s="102">
        <f>VLOOKUP(L239,设备合同!$L$6:$CC$302,53,0)</f>
        <v>0</v>
      </c>
      <c r="BM239" s="102">
        <f>VLOOKUP(L239,设备合同!$L$6:$CC$302,54,0)</f>
        <v>0</v>
      </c>
      <c r="BN239" s="102">
        <f>VLOOKUP(L239,设备合同!$L$6:$CC$302,55,0)</f>
        <v>0</v>
      </c>
      <c r="BO239" s="102">
        <f>VLOOKUP(L239,设备合同!$L$6:$CC$302,56,0)</f>
        <v>0</v>
      </c>
      <c r="BP239" s="102">
        <f>VLOOKUP(L239,设备合同!$L$6:$CC$302,57,0)</f>
        <v>0</v>
      </c>
      <c r="BQ239" s="102">
        <f>VLOOKUP(L239,设备合同!$L$6:$CC$302,58,0)</f>
        <v>0</v>
      </c>
      <c r="BR239" s="102">
        <f>VLOOKUP(L239,设备合同!$L$6:$CC$302,59,0)</f>
        <v>0</v>
      </c>
      <c r="BS239" s="102">
        <f>VLOOKUP(L239,设备合同!$L$6:$CC$302,60,0)</f>
        <v>0</v>
      </c>
      <c r="BT239" s="102">
        <f>VLOOKUP(L239,设备合同!$L$6:$CC$302,61,0)</f>
        <v>0</v>
      </c>
      <c r="BU239" s="102">
        <f>VLOOKUP(L239,设备合同!$L$6:$CC$302,62,0)</f>
        <v>0</v>
      </c>
      <c r="BV239" s="102">
        <f>VLOOKUP(L239,设备合同!$L$6:$CC$302,63,0)</f>
        <v>0</v>
      </c>
      <c r="BW239" s="102">
        <f>VLOOKUP(L239,设备合同!$L$6:$CC$302,64,0)</f>
        <v>0</v>
      </c>
      <c r="BX239" s="102">
        <f>VLOOKUP(L239,设备合同!$L$6:$CC$302,65,0)</f>
        <v>0</v>
      </c>
      <c r="BY239" s="102">
        <f>VLOOKUP(L239,设备合同!$L$6:$CC$302,66,0)</f>
        <v>0</v>
      </c>
      <c r="BZ239" s="102">
        <f>VLOOKUP(L239,设备合同!$L$6:$CC$302,67,0)</f>
        <v>0</v>
      </c>
      <c r="CA239" s="102">
        <f>VLOOKUP(L239,设备合同!$L$6:$CC$302,68,0)</f>
        <v>0</v>
      </c>
      <c r="CB239" s="102">
        <f>VLOOKUP(L239,设备合同!$L$6:$CC$302,69,0)</f>
        <v>0</v>
      </c>
      <c r="CC239" s="102">
        <f>VLOOKUP(L239,设备合同!$L$6:$CC$302,70,0)</f>
        <v>0</v>
      </c>
      <c r="CD239" s="123">
        <f t="shared" si="55"/>
        <v>6980000</v>
      </c>
      <c r="CE239" s="102">
        <f t="shared" si="56"/>
        <v>1396000</v>
      </c>
      <c r="CF239" s="102">
        <f t="shared" si="57"/>
        <v>1396000</v>
      </c>
      <c r="CG239" s="102">
        <f t="shared" si="58"/>
        <v>0</v>
      </c>
      <c r="CH239" s="124">
        <f t="shared" si="59"/>
        <v>5584000</v>
      </c>
      <c r="CI239" s="125">
        <f t="shared" si="60"/>
        <v>0.2</v>
      </c>
      <c r="CJ239" s="126" t="str">
        <f t="shared" si="61"/>
        <v>数据正确</v>
      </c>
    </row>
    <row r="240" s="60" customFormat="1" customHeight="1" spans="2:88">
      <c r="B240" s="70" t="str">
        <f t="shared" si="51"/>
        <v>申请中</v>
      </c>
      <c r="C240" s="71" t="str">
        <f t="shared" si="52"/>
        <v>-</v>
      </c>
      <c r="D240" s="181">
        <f t="shared" si="53"/>
        <v>0</v>
      </c>
      <c r="E240" s="181">
        <f>SUMIF(设备合同!$L$6:$L$302,L240,设备合同!$E$6:$E$302)</f>
        <v>0</v>
      </c>
      <c r="F240" s="181">
        <f>SUMIF(设备合同!$L$6:$L$302,L240,设备合同!$F$6:$F$302)</f>
        <v>0</v>
      </c>
      <c r="G240" s="181">
        <f>SUMIF(设备合同!$L$6:$L$302,L240,设备合同!$G$6:$G$302)</f>
        <v>0</v>
      </c>
      <c r="H240" s="181">
        <f>SUMIF(设备合同!$L$6:$L$302,L240,设备合同!$H$6:$H$302)</f>
        <v>0</v>
      </c>
      <c r="I240" s="181">
        <f t="shared" si="54"/>
        <v>1070000</v>
      </c>
      <c r="J240" s="86" t="s">
        <v>98</v>
      </c>
      <c r="K240" s="87"/>
      <c r="L240" s="88">
        <v>235</v>
      </c>
      <c r="M240" s="89" t="str">
        <f>VLOOKUP(L240,设备合同!$L$6:$CC$302,2,0)</f>
        <v>YRKJEQ-170082</v>
      </c>
      <c r="N240" s="90" t="str">
        <f>VLOOKUP(L240,设备合同!$L$6:$CC$302,3,0)</f>
        <v>设备合同</v>
      </c>
      <c r="O240" s="265">
        <f>VLOOKUP(L240,设备合同!$L$6:$CC$302,4,0)</f>
        <v>0</v>
      </c>
      <c r="P240" s="266">
        <f>VLOOKUP(L240,设备合同!$L$6:$CC$302,5,0)</f>
        <v>42987</v>
      </c>
      <c r="Q240" s="275">
        <f>VLOOKUP(L240,设备合同!$L$6:$CC$302,6,0)</f>
        <v>5350000</v>
      </c>
      <c r="R240" s="89" t="str">
        <f>VLOOKUP(L240,设备合同!$L$6:$CC$302,7,0)</f>
        <v>41台非标设备</v>
      </c>
      <c r="S240" s="89" t="str">
        <f>VLOOKUP(L240,设备合同!$L$6:$CC$302,8,0)</f>
        <v>中核动力设备有限公司</v>
      </c>
      <c r="T240" s="107" t="str">
        <f>VLOOKUP(L240,设备合同!$L$6:$CC$302,9,0)</f>
        <v>己内酰胺装置、氨肟化装置、硫铵装置</v>
      </c>
      <c r="U240" s="103" t="str">
        <f>VLOOKUP(L240,设备合同!$L$6:$CC$302,10,0)</f>
        <v>6个月承兑汇票/电汇无说明</v>
      </c>
      <c r="V240" s="276" t="str">
        <f>VLOOKUP(L240,设备合同!$L$6:$CC$302,11,0)</f>
        <v>甲方收到乙方20%的预付款保函以及本合同的10%履约保函后15个工作日支付20%预付款</v>
      </c>
      <c r="W240" s="102">
        <f>VLOOKUP(L240,设备合同!$L$6:$CC$302,12,0)</f>
        <v>1070000</v>
      </c>
      <c r="X240" s="102">
        <f>VLOOKUP(L240,设备合同!$L$6:$CC$302,13,0)</f>
        <v>1070000</v>
      </c>
      <c r="Y240" s="102">
        <f>VLOOKUP(L240,设备合同!$L$6:$CC$302,14,0)</f>
        <v>0</v>
      </c>
      <c r="Z240" s="102" t="str">
        <f>VLOOKUP(L240,设备合同!$L$6:$CC$302,15,0)</f>
        <v>甲方到乙方现场确认无误后，收到17%等额专票，15个工作日内支付60%发货款</v>
      </c>
      <c r="AA240" s="102">
        <f>VLOOKUP(L240,设备合同!$L$6:$CC$302,16,0)</f>
        <v>3210000</v>
      </c>
      <c r="AB240" s="102">
        <f>VLOOKUP(L240,设备合同!$L$6:$CC$302,17,0)</f>
        <v>0</v>
      </c>
      <c r="AC240" s="102">
        <f>VLOOKUP(L240,设备合同!$L$6:$CC$302,18,0)</f>
        <v>0</v>
      </c>
      <c r="AD240" s="102" t="str">
        <f>VLOOKUP(L240,设备合同!$L$6:$CC$302,19,0)</f>
        <v>甲方核定的调试合格报告及足额的发票后付10%的验收款</v>
      </c>
      <c r="AE240" s="102">
        <f>VLOOKUP(L240,设备合同!$L$6:$CC$302,20,0)</f>
        <v>535000</v>
      </c>
      <c r="AF240" s="102">
        <f>VLOOKUP(L240,设备合同!$L$6:$CC$302,21,0)</f>
        <v>0</v>
      </c>
      <c r="AG240" s="102">
        <f>VLOOKUP(L240,设备合同!$L$6:$CC$302,22,0)</f>
        <v>0</v>
      </c>
      <c r="AH240" s="102" t="str">
        <f>VLOOKUP(L240,设备合同!$L$6:$CC$302,23,0)</f>
        <v>10%质保金，验收合格12个月或到货现场18个月</v>
      </c>
      <c r="AI240" s="102">
        <f>VLOOKUP(L240,设备合同!$L$6:$CC$302,24,0)</f>
        <v>535000</v>
      </c>
      <c r="AJ240" s="102">
        <f>VLOOKUP(L240,设备合同!$L$6:$CC$302,25,0)</f>
        <v>0</v>
      </c>
      <c r="AK240" s="102">
        <f>VLOOKUP(L240,设备合同!$L$6:$CC$302,26,0)</f>
        <v>0</v>
      </c>
      <c r="AL240" s="102">
        <f>VLOOKUP(L240,设备合同!$L$6:$CC$302,27,0)</f>
        <v>0</v>
      </c>
      <c r="AM240" s="102">
        <f>VLOOKUP(L240,设备合同!$L$6:$CC$302,28,0)</f>
        <v>0</v>
      </c>
      <c r="AN240" s="102">
        <f>VLOOKUP(L240,设备合同!$L$6:$CC$302,29,0)</f>
        <v>0</v>
      </c>
      <c r="AO240" s="102">
        <f>VLOOKUP(L240,设备合同!$L$6:$CC$302,30,0)</f>
        <v>0</v>
      </c>
      <c r="AP240" s="102">
        <f>VLOOKUP(L240,设备合同!$L$6:$CC$302,31,0)</f>
        <v>0</v>
      </c>
      <c r="AQ240" s="102">
        <f>VLOOKUP(L240,设备合同!$L$6:$CC$302,32,0)</f>
        <v>0</v>
      </c>
      <c r="AR240" s="102">
        <f>VLOOKUP(L240,设备合同!$L$6:$CC$302,33,0)</f>
        <v>0</v>
      </c>
      <c r="AS240" s="102">
        <f>VLOOKUP(L240,设备合同!$L$6:$CC$302,34,0)</f>
        <v>0</v>
      </c>
      <c r="AT240" s="102">
        <f>VLOOKUP(L240,设备合同!$L$6:$CC$302,35,0)</f>
        <v>0</v>
      </c>
      <c r="AU240" s="102">
        <f>VLOOKUP(L240,设备合同!$L$6:$CC$302,36,0)</f>
        <v>0</v>
      </c>
      <c r="AV240" s="102">
        <f>VLOOKUP(L240,设备合同!$L$6:$CC$302,37,0)</f>
        <v>0</v>
      </c>
      <c r="AW240" s="102">
        <f>VLOOKUP(L240,设备合同!$L$6:$CC$302,38,0)</f>
        <v>0</v>
      </c>
      <c r="AX240" s="102">
        <f>VLOOKUP(L240,设备合同!$L$6:$CC$302,39,0)</f>
        <v>0</v>
      </c>
      <c r="AY240" s="102">
        <f>VLOOKUP(L240,设备合同!$L$6:$CC$302,40,0)</f>
        <v>0</v>
      </c>
      <c r="AZ240" s="102">
        <f>VLOOKUP(L240,设备合同!$L$6:$CC$302,41,0)</f>
        <v>0</v>
      </c>
      <c r="BA240" s="102">
        <f>VLOOKUP(L240,设备合同!$L$6:$CC$302,42,0)</f>
        <v>0</v>
      </c>
      <c r="BB240" s="102">
        <f>VLOOKUP(L240,设备合同!$L$6:$CC$302,43,0)</f>
        <v>0</v>
      </c>
      <c r="BC240" s="102">
        <f>VLOOKUP(L240,设备合同!$L$6:$CC$302,44,0)</f>
        <v>0</v>
      </c>
      <c r="BD240" s="102">
        <f>VLOOKUP(L240,设备合同!$L$6:$CC$302,45,0)</f>
        <v>0</v>
      </c>
      <c r="BE240" s="102">
        <f>VLOOKUP(L240,设备合同!$L$6:$CC$302,46,0)</f>
        <v>0</v>
      </c>
      <c r="BF240" s="102">
        <f>VLOOKUP(L240,设备合同!$L$6:$CC$302,47,0)</f>
        <v>0</v>
      </c>
      <c r="BG240" s="102">
        <f>VLOOKUP(L240,设备合同!$L$6:$CC$302,48,0)</f>
        <v>0</v>
      </c>
      <c r="BH240" s="102">
        <f>VLOOKUP(L240,设备合同!$L$6:$CC$302,49,0)</f>
        <v>0</v>
      </c>
      <c r="BI240" s="102">
        <f>VLOOKUP(L240,设备合同!$L$6:$CC$302,50,0)</f>
        <v>0</v>
      </c>
      <c r="BJ240" s="102">
        <f>VLOOKUP(L240,设备合同!$L$6:$CC$302,51,0)</f>
        <v>0</v>
      </c>
      <c r="BK240" s="102">
        <f>VLOOKUP(L240,设备合同!$L$6:$CC$302,52,0)</f>
        <v>0</v>
      </c>
      <c r="BL240" s="102">
        <f>VLOOKUP(L240,设备合同!$L$6:$CC$302,53,0)</f>
        <v>0</v>
      </c>
      <c r="BM240" s="102">
        <f>VLOOKUP(L240,设备合同!$L$6:$CC$302,54,0)</f>
        <v>0</v>
      </c>
      <c r="BN240" s="102">
        <f>VLOOKUP(L240,设备合同!$L$6:$CC$302,55,0)</f>
        <v>0</v>
      </c>
      <c r="BO240" s="102">
        <f>VLOOKUP(L240,设备合同!$L$6:$CC$302,56,0)</f>
        <v>0</v>
      </c>
      <c r="BP240" s="102">
        <f>VLOOKUP(L240,设备合同!$L$6:$CC$302,57,0)</f>
        <v>0</v>
      </c>
      <c r="BQ240" s="102">
        <f>VLOOKUP(L240,设备合同!$L$6:$CC$302,58,0)</f>
        <v>0</v>
      </c>
      <c r="BR240" s="102">
        <f>VLOOKUP(L240,设备合同!$L$6:$CC$302,59,0)</f>
        <v>0</v>
      </c>
      <c r="BS240" s="102">
        <f>VLOOKUP(L240,设备合同!$L$6:$CC$302,60,0)</f>
        <v>0</v>
      </c>
      <c r="BT240" s="102">
        <f>VLOOKUP(L240,设备合同!$L$6:$CC$302,61,0)</f>
        <v>0</v>
      </c>
      <c r="BU240" s="102">
        <f>VLOOKUP(L240,设备合同!$L$6:$CC$302,62,0)</f>
        <v>0</v>
      </c>
      <c r="BV240" s="102">
        <f>VLOOKUP(L240,设备合同!$L$6:$CC$302,63,0)</f>
        <v>0</v>
      </c>
      <c r="BW240" s="102">
        <f>VLOOKUP(L240,设备合同!$L$6:$CC$302,64,0)</f>
        <v>0</v>
      </c>
      <c r="BX240" s="102">
        <f>VLOOKUP(L240,设备合同!$L$6:$CC$302,65,0)</f>
        <v>0</v>
      </c>
      <c r="BY240" s="102">
        <f>VLOOKUP(L240,设备合同!$L$6:$CC$302,66,0)</f>
        <v>0</v>
      </c>
      <c r="BZ240" s="102">
        <f>VLOOKUP(L240,设备合同!$L$6:$CC$302,67,0)</f>
        <v>0</v>
      </c>
      <c r="CA240" s="102">
        <f>VLOOKUP(L240,设备合同!$L$6:$CC$302,68,0)</f>
        <v>0</v>
      </c>
      <c r="CB240" s="102">
        <f>VLOOKUP(L240,设备合同!$L$6:$CC$302,69,0)</f>
        <v>0</v>
      </c>
      <c r="CC240" s="102">
        <f>VLOOKUP(L240,设备合同!$L$6:$CC$302,70,0)</f>
        <v>0</v>
      </c>
      <c r="CD240" s="123">
        <f t="shared" si="55"/>
        <v>5350000</v>
      </c>
      <c r="CE240" s="102">
        <f t="shared" si="56"/>
        <v>1070000</v>
      </c>
      <c r="CF240" s="102">
        <f t="shared" si="57"/>
        <v>0</v>
      </c>
      <c r="CG240" s="102">
        <f t="shared" si="58"/>
        <v>0</v>
      </c>
      <c r="CH240" s="124">
        <f t="shared" si="59"/>
        <v>5350000</v>
      </c>
      <c r="CI240" s="125">
        <f t="shared" si="60"/>
        <v>0</v>
      </c>
      <c r="CJ240" s="126" t="str">
        <f t="shared" si="61"/>
        <v>数据正确</v>
      </c>
    </row>
    <row r="241" s="60" customFormat="1" customHeight="1" spans="2:88">
      <c r="B241" s="70" t="str">
        <f t="shared" si="51"/>
        <v>-</v>
      </c>
      <c r="C241" s="71" t="str">
        <f t="shared" si="52"/>
        <v>-</v>
      </c>
      <c r="D241" s="181">
        <f t="shared" si="53"/>
        <v>0</v>
      </c>
      <c r="E241" s="181">
        <f>SUMIF(设备合同!$L$6:$L$302,L241,设备合同!$E$6:$E$302)</f>
        <v>0</v>
      </c>
      <c r="F241" s="181">
        <f>SUMIF(设备合同!$L$6:$L$302,L241,设备合同!$F$6:$F$302)</f>
        <v>0</v>
      </c>
      <c r="G241" s="181">
        <f>SUMIF(设备合同!$L$6:$L$302,L241,设备合同!$G$6:$G$302)</f>
        <v>0</v>
      </c>
      <c r="H241" s="181">
        <f>SUMIF(设备合同!$L$6:$L$302,L241,设备合同!$H$6:$H$302)</f>
        <v>0</v>
      </c>
      <c r="I241" s="181">
        <f t="shared" si="54"/>
        <v>0</v>
      </c>
      <c r="J241" s="86" t="s">
        <v>98</v>
      </c>
      <c r="K241" s="87"/>
      <c r="L241" s="88">
        <v>236</v>
      </c>
      <c r="M241" s="89" t="str">
        <f>VLOOKUP(L241,设备合同!$L$6:$CC$302,2,0)</f>
        <v>YRKJEQ-170083</v>
      </c>
      <c r="N241" s="90" t="str">
        <f>VLOOKUP(L241,设备合同!$L$6:$CC$302,3,0)</f>
        <v>设备合同</v>
      </c>
      <c r="O241" s="265">
        <f>VLOOKUP(L241,设备合同!$L$6:$CC$302,4,0)</f>
        <v>0</v>
      </c>
      <c r="P241" s="266">
        <f>VLOOKUP(L241,设备合同!$L$6:$CC$302,5,0)</f>
        <v>42993</v>
      </c>
      <c r="Q241" s="275">
        <f>VLOOKUP(L241,设备合同!$L$6:$CC$302,6,0)</f>
        <v>7566000</v>
      </c>
      <c r="R241" s="89" t="str">
        <f>VLOOKUP(L241,设备合同!$L$6:$CC$302,7,0)</f>
        <v>结晶反应器2套</v>
      </c>
      <c r="S241" s="89" t="str">
        <f>VLOOKUP(L241,设备合同!$L$6:$CC$302,8,0)</f>
        <v>厦门仁荣安装工程有限公司</v>
      </c>
      <c r="T241" s="107">
        <f>VLOOKUP(L241,设备合同!$L$6:$CC$302,9,0)</f>
        <v>0</v>
      </c>
      <c r="U241" s="103" t="str">
        <f>VLOOKUP(L241,设备合同!$L$6:$CC$302,10,0)</f>
        <v>电汇/承兑按780万元</v>
      </c>
      <c r="V241" s="276" t="str">
        <f>VLOOKUP(L241,设备合同!$L$6:$CC$302,11,0)</f>
        <v>甲方到乙方清点无误验收合格后，收到专票的15个工作日支付该材料的90%</v>
      </c>
      <c r="W241" s="102">
        <f>VLOOKUP(L241,设备合同!$L$6:$CC$302,12,0)</f>
        <v>4269154.09</v>
      </c>
      <c r="X241" s="102">
        <f>VLOOKUP(L241,设备合同!$L$6:$CC$302,13,0)</f>
        <v>0</v>
      </c>
      <c r="Y241" s="102">
        <f>VLOOKUP(L241,设备合同!$L$6:$CC$302,14,0)</f>
        <v>0</v>
      </c>
      <c r="Z241" s="102" t="str">
        <f>VLOOKUP(L241,设备合同!$L$6:$CC$302,15,0)</f>
        <v>乙方在甲方现场制造清点无误验收合格支付至合同 80%</v>
      </c>
      <c r="AA241" s="102">
        <f>VLOOKUP(L241,设备合同!$L$6:$CC$302,16,0)</f>
        <v>1783645.91</v>
      </c>
      <c r="AB241" s="102">
        <f>VLOOKUP(L241,设备合同!$L$6:$CC$302,17,0)</f>
        <v>0</v>
      </c>
      <c r="AC241" s="102">
        <f>VLOOKUP(L241,设备合同!$L$6:$CC$302,18,0)</f>
        <v>0</v>
      </c>
      <c r="AD241" s="102" t="str">
        <f>VLOOKUP(L241,设备合同!$L$6:$CC$302,19,0)</f>
        <v>甲方收到核定的调试合格报告后15个工作日，支付10%调试款</v>
      </c>
      <c r="AE241" s="102">
        <f>VLOOKUP(L241,设备合同!$L$6:$CC$302,20,0)</f>
        <v>756600</v>
      </c>
      <c r="AF241" s="102">
        <f>VLOOKUP(L241,设备合同!$L$6:$CC$302,21,0)</f>
        <v>0</v>
      </c>
      <c r="AG241" s="102">
        <f>VLOOKUP(L241,设备合同!$L$6:$CC$302,22,0)</f>
        <v>0</v>
      </c>
      <c r="AH241" s="102" t="str">
        <f>VLOOKUP(L241,设备合同!$L$6:$CC$302,23,0)</f>
        <v>10%质保金，验收合格12个月或到货现场18个月</v>
      </c>
      <c r="AI241" s="102">
        <f>VLOOKUP(L241,设备合同!$L$6:$CC$302,24,0)</f>
        <v>756600</v>
      </c>
      <c r="AJ241" s="102">
        <f>VLOOKUP(L241,设备合同!$L$6:$CC$302,25,0)</f>
        <v>0</v>
      </c>
      <c r="AK241" s="102">
        <f>VLOOKUP(L241,设备合同!$L$6:$CC$302,26,0)</f>
        <v>0</v>
      </c>
      <c r="AL241" s="102">
        <f>VLOOKUP(L241,设备合同!$L$6:$CC$302,27,0)</f>
        <v>0</v>
      </c>
      <c r="AM241" s="102">
        <f>VLOOKUP(L241,设备合同!$L$6:$CC$302,28,0)</f>
        <v>0</v>
      </c>
      <c r="AN241" s="102">
        <f>VLOOKUP(L241,设备合同!$L$6:$CC$302,29,0)</f>
        <v>0</v>
      </c>
      <c r="AO241" s="102">
        <f>VLOOKUP(L241,设备合同!$L$6:$CC$302,30,0)</f>
        <v>0</v>
      </c>
      <c r="AP241" s="102">
        <f>VLOOKUP(L241,设备合同!$L$6:$CC$302,31,0)</f>
        <v>0</v>
      </c>
      <c r="AQ241" s="102">
        <f>VLOOKUP(L241,设备合同!$L$6:$CC$302,32,0)</f>
        <v>0</v>
      </c>
      <c r="AR241" s="102">
        <f>VLOOKUP(L241,设备合同!$L$6:$CC$302,33,0)</f>
        <v>0</v>
      </c>
      <c r="AS241" s="102">
        <f>VLOOKUP(L241,设备合同!$L$6:$CC$302,34,0)</f>
        <v>0</v>
      </c>
      <c r="AT241" s="102">
        <f>VLOOKUP(L241,设备合同!$L$6:$CC$302,35,0)</f>
        <v>0</v>
      </c>
      <c r="AU241" s="102">
        <f>VLOOKUP(L241,设备合同!$L$6:$CC$302,36,0)</f>
        <v>0</v>
      </c>
      <c r="AV241" s="102">
        <f>VLOOKUP(L241,设备合同!$L$6:$CC$302,37,0)</f>
        <v>0</v>
      </c>
      <c r="AW241" s="102">
        <f>VLOOKUP(L241,设备合同!$L$6:$CC$302,38,0)</f>
        <v>0</v>
      </c>
      <c r="AX241" s="102">
        <f>VLOOKUP(L241,设备合同!$L$6:$CC$302,39,0)</f>
        <v>0</v>
      </c>
      <c r="AY241" s="102">
        <f>VLOOKUP(L241,设备合同!$L$6:$CC$302,40,0)</f>
        <v>0</v>
      </c>
      <c r="AZ241" s="102">
        <f>VLOOKUP(L241,设备合同!$L$6:$CC$302,41,0)</f>
        <v>0</v>
      </c>
      <c r="BA241" s="102">
        <f>VLOOKUP(L241,设备合同!$L$6:$CC$302,42,0)</f>
        <v>0</v>
      </c>
      <c r="BB241" s="102">
        <f>VLOOKUP(L241,设备合同!$L$6:$CC$302,43,0)</f>
        <v>0</v>
      </c>
      <c r="BC241" s="102">
        <f>VLOOKUP(L241,设备合同!$L$6:$CC$302,44,0)</f>
        <v>0</v>
      </c>
      <c r="BD241" s="102">
        <f>VLOOKUP(L241,设备合同!$L$6:$CC$302,45,0)</f>
        <v>0</v>
      </c>
      <c r="BE241" s="102">
        <f>VLOOKUP(L241,设备合同!$L$6:$CC$302,46,0)</f>
        <v>0</v>
      </c>
      <c r="BF241" s="102">
        <f>VLOOKUP(L241,设备合同!$L$6:$CC$302,47,0)</f>
        <v>0</v>
      </c>
      <c r="BG241" s="102">
        <f>VLOOKUP(L241,设备合同!$L$6:$CC$302,48,0)</f>
        <v>0</v>
      </c>
      <c r="BH241" s="102">
        <f>VLOOKUP(L241,设备合同!$L$6:$CC$302,49,0)</f>
        <v>0</v>
      </c>
      <c r="BI241" s="102">
        <f>VLOOKUP(L241,设备合同!$L$6:$CC$302,50,0)</f>
        <v>0</v>
      </c>
      <c r="BJ241" s="102">
        <f>VLOOKUP(L241,设备合同!$L$6:$CC$302,51,0)</f>
        <v>0</v>
      </c>
      <c r="BK241" s="102">
        <f>VLOOKUP(L241,设备合同!$L$6:$CC$302,52,0)</f>
        <v>0</v>
      </c>
      <c r="BL241" s="102">
        <f>VLOOKUP(L241,设备合同!$L$6:$CC$302,53,0)</f>
        <v>0</v>
      </c>
      <c r="BM241" s="102">
        <f>VLOOKUP(L241,设备合同!$L$6:$CC$302,54,0)</f>
        <v>0</v>
      </c>
      <c r="BN241" s="102">
        <f>VLOOKUP(L241,设备合同!$L$6:$CC$302,55,0)</f>
        <v>0</v>
      </c>
      <c r="BO241" s="102">
        <f>VLOOKUP(L241,设备合同!$L$6:$CC$302,56,0)</f>
        <v>0</v>
      </c>
      <c r="BP241" s="102">
        <f>VLOOKUP(L241,设备合同!$L$6:$CC$302,57,0)</f>
        <v>0</v>
      </c>
      <c r="BQ241" s="102">
        <f>VLOOKUP(L241,设备合同!$L$6:$CC$302,58,0)</f>
        <v>0</v>
      </c>
      <c r="BR241" s="102">
        <f>VLOOKUP(L241,设备合同!$L$6:$CC$302,59,0)</f>
        <v>0</v>
      </c>
      <c r="BS241" s="102">
        <f>VLOOKUP(L241,设备合同!$L$6:$CC$302,60,0)</f>
        <v>0</v>
      </c>
      <c r="BT241" s="102">
        <f>VLOOKUP(L241,设备合同!$L$6:$CC$302,61,0)</f>
        <v>0</v>
      </c>
      <c r="BU241" s="102">
        <f>VLOOKUP(L241,设备合同!$L$6:$CC$302,62,0)</f>
        <v>0</v>
      </c>
      <c r="BV241" s="102">
        <f>VLOOKUP(L241,设备合同!$L$6:$CC$302,63,0)</f>
        <v>0</v>
      </c>
      <c r="BW241" s="102">
        <f>VLOOKUP(L241,设备合同!$L$6:$CC$302,64,0)</f>
        <v>0</v>
      </c>
      <c r="BX241" s="102">
        <f>VLOOKUP(L241,设备合同!$L$6:$CC$302,65,0)</f>
        <v>0</v>
      </c>
      <c r="BY241" s="102">
        <f>VLOOKUP(L241,设备合同!$L$6:$CC$302,66,0)</f>
        <v>0</v>
      </c>
      <c r="BZ241" s="102">
        <f>VLOOKUP(L241,设备合同!$L$6:$CC$302,67,0)</f>
        <v>0</v>
      </c>
      <c r="CA241" s="102">
        <f>VLOOKUP(L241,设备合同!$L$6:$CC$302,68,0)</f>
        <v>0</v>
      </c>
      <c r="CB241" s="102">
        <f>VLOOKUP(L241,设备合同!$L$6:$CC$302,69,0)</f>
        <v>0</v>
      </c>
      <c r="CC241" s="102">
        <f>VLOOKUP(L241,设备合同!$L$6:$CC$302,70,0)</f>
        <v>0</v>
      </c>
      <c r="CD241" s="123">
        <f t="shared" si="55"/>
        <v>7566000</v>
      </c>
      <c r="CE241" s="102">
        <f t="shared" si="56"/>
        <v>0</v>
      </c>
      <c r="CF241" s="102">
        <f t="shared" si="57"/>
        <v>0</v>
      </c>
      <c r="CG241" s="102">
        <f t="shared" si="58"/>
        <v>0</v>
      </c>
      <c r="CH241" s="124">
        <f t="shared" si="59"/>
        <v>7566000</v>
      </c>
      <c r="CI241" s="125">
        <f t="shared" si="60"/>
        <v>0</v>
      </c>
      <c r="CJ241" s="126" t="str">
        <f t="shared" si="61"/>
        <v>数据正确</v>
      </c>
    </row>
    <row r="242" s="60" customFormat="1" customHeight="1" spans="2:88">
      <c r="B242" s="70" t="str">
        <f t="shared" si="51"/>
        <v>申请中</v>
      </c>
      <c r="C242" s="71" t="str">
        <f t="shared" si="52"/>
        <v>-</v>
      </c>
      <c r="D242" s="181">
        <f t="shared" si="53"/>
        <v>300000</v>
      </c>
      <c r="E242" s="181">
        <f>SUMIF(设备合同!$L$6:$L$302,L242,设备合同!$E$6:$E$302)</f>
        <v>0</v>
      </c>
      <c r="F242" s="181">
        <f>SUMIF(设备合同!$L$6:$L$302,L242,设备合同!$F$6:$F$302)</f>
        <v>0</v>
      </c>
      <c r="G242" s="181">
        <f>SUMIF(设备合同!$L$6:$L$302,L242,设备合同!$G$6:$G$302)</f>
        <v>0</v>
      </c>
      <c r="H242" s="181">
        <f>SUMIF(设备合同!$L$6:$L$302,L242,设备合同!$H$6:$H$302)</f>
        <v>0</v>
      </c>
      <c r="I242" s="181">
        <f t="shared" si="54"/>
        <v>85200</v>
      </c>
      <c r="J242" s="86" t="s">
        <v>98</v>
      </c>
      <c r="K242" s="87"/>
      <c r="L242" s="88">
        <v>237</v>
      </c>
      <c r="M242" s="89" t="str">
        <f>VLOOKUP(L242,设备合同!$L$6:$CC$302,2,0)</f>
        <v>YRKJEQ-170088</v>
      </c>
      <c r="N242" s="90" t="str">
        <f>VLOOKUP(L242,设备合同!$L$6:$CC$302,3,0)</f>
        <v>设备合同</v>
      </c>
      <c r="O242" s="265">
        <f>VLOOKUP(L242,设备合同!$L$6:$CC$302,4,0)</f>
        <v>0</v>
      </c>
      <c r="P242" s="266">
        <f>VLOOKUP(L242,设备合同!$L$6:$CC$302,5,0)</f>
        <v>42979</v>
      </c>
      <c r="Q242" s="275">
        <f>VLOOKUP(L242,设备合同!$L$6:$CC$302,6,0)</f>
        <v>442000</v>
      </c>
      <c r="R242" s="89" t="str">
        <f>VLOOKUP(L242,设备合同!$L$6:$CC$302,7,0)</f>
        <v>10KV变压器框架采购协议  合计</v>
      </c>
      <c r="S242" s="89" t="str">
        <f>VLOOKUP(L242,设备合同!$L$6:$CC$302,8,0)</f>
        <v>宁波奥克斯高科技有限公司</v>
      </c>
      <c r="T242" s="107">
        <f>VLOOKUP(L242,设备合同!$L$6:$CC$302,9,0)</f>
        <v>0</v>
      </c>
      <c r="U242" s="103" t="str">
        <f>VLOOKUP(L242,设备合同!$L$6:$CC$302,10,0)</f>
        <v>6个月承兑汇票/电汇无说明</v>
      </c>
      <c r="V242" s="276" t="str">
        <f>VLOOKUP(L242,设备合同!$L$6:$CC$302,11,0)</f>
        <v>甲方到乙方现场确认无误后，收到17%等额专票，15个工作日内支付60%发货款。30万履约保函</v>
      </c>
      <c r="W242" s="102">
        <f>VLOOKUP(L242,设备合同!$L$6:$CC$302,12,0)</f>
        <v>385200</v>
      </c>
      <c r="X242" s="102">
        <f>VLOOKUP(L242,设备合同!$L$6:$CC$302,13,0)</f>
        <v>385200</v>
      </c>
      <c r="Y242" s="102">
        <f>VLOOKUP(L242,设备合同!$L$6:$CC$302,14,0)</f>
        <v>300000</v>
      </c>
      <c r="Z242" s="102">
        <f>VLOOKUP(L242,设备合同!$L$6:$CC$302,15,0)</f>
        <v>0</v>
      </c>
      <c r="AA242" s="102">
        <f>VLOOKUP(L242,设备合同!$L$6:$CC$302,16,0)</f>
        <v>42600</v>
      </c>
      <c r="AB242" s="102">
        <f>VLOOKUP(L242,设备合同!$L$6:$CC$302,17,0)</f>
        <v>0</v>
      </c>
      <c r="AC242" s="102">
        <f>VLOOKUP(L242,设备合同!$L$6:$CC$302,18,0)</f>
        <v>0</v>
      </c>
      <c r="AD242" s="102">
        <f>VLOOKUP(L242,设备合同!$L$6:$CC$302,19,0)</f>
        <v>0</v>
      </c>
      <c r="AE242" s="102">
        <f>VLOOKUP(L242,设备合同!$L$6:$CC$302,20,0)</f>
        <v>14200</v>
      </c>
      <c r="AF242" s="102">
        <f>VLOOKUP(L242,设备合同!$L$6:$CC$302,21,0)</f>
        <v>0</v>
      </c>
      <c r="AG242" s="102">
        <f>VLOOKUP(L242,设备合同!$L$6:$CC$302,22,0)</f>
        <v>0</v>
      </c>
      <c r="AH242" s="102">
        <f>VLOOKUP(L242,设备合同!$L$6:$CC$302,23,0)</f>
        <v>0</v>
      </c>
      <c r="AI242" s="102">
        <f>VLOOKUP(L242,设备合同!$L$6:$CC$302,24,0)</f>
        <v>0</v>
      </c>
      <c r="AJ242" s="102">
        <f>VLOOKUP(L242,设备合同!$L$6:$CC$302,25,0)</f>
        <v>0</v>
      </c>
      <c r="AK242" s="102">
        <f>VLOOKUP(L242,设备合同!$L$6:$CC$302,26,0)</f>
        <v>0</v>
      </c>
      <c r="AL242" s="102">
        <f>VLOOKUP(L242,设备合同!$L$6:$CC$302,27,0)</f>
        <v>0</v>
      </c>
      <c r="AM242" s="102">
        <f>VLOOKUP(L242,设备合同!$L$6:$CC$302,28,0)</f>
        <v>0</v>
      </c>
      <c r="AN242" s="102">
        <f>VLOOKUP(L242,设备合同!$L$6:$CC$302,29,0)</f>
        <v>0</v>
      </c>
      <c r="AO242" s="102">
        <f>VLOOKUP(L242,设备合同!$L$6:$CC$302,30,0)</f>
        <v>0</v>
      </c>
      <c r="AP242" s="102">
        <f>VLOOKUP(L242,设备合同!$L$6:$CC$302,31,0)</f>
        <v>0</v>
      </c>
      <c r="AQ242" s="102">
        <f>VLOOKUP(L242,设备合同!$L$6:$CC$302,32,0)</f>
        <v>0</v>
      </c>
      <c r="AR242" s="102">
        <f>VLOOKUP(L242,设备合同!$L$6:$CC$302,33,0)</f>
        <v>0</v>
      </c>
      <c r="AS242" s="102">
        <f>VLOOKUP(L242,设备合同!$L$6:$CC$302,34,0)</f>
        <v>0</v>
      </c>
      <c r="AT242" s="102">
        <f>VLOOKUP(L242,设备合同!$L$6:$CC$302,35,0)</f>
        <v>0</v>
      </c>
      <c r="AU242" s="102">
        <f>VLOOKUP(L242,设备合同!$L$6:$CC$302,36,0)</f>
        <v>0</v>
      </c>
      <c r="AV242" s="102">
        <f>VLOOKUP(L242,设备合同!$L$6:$CC$302,37,0)</f>
        <v>0</v>
      </c>
      <c r="AW242" s="102">
        <f>VLOOKUP(L242,设备合同!$L$6:$CC$302,38,0)</f>
        <v>0</v>
      </c>
      <c r="AX242" s="102">
        <f>VLOOKUP(L242,设备合同!$L$6:$CC$302,39,0)</f>
        <v>0</v>
      </c>
      <c r="AY242" s="102">
        <f>VLOOKUP(L242,设备合同!$L$6:$CC$302,40,0)</f>
        <v>0</v>
      </c>
      <c r="AZ242" s="102">
        <f>VLOOKUP(L242,设备合同!$L$6:$CC$302,41,0)</f>
        <v>0</v>
      </c>
      <c r="BA242" s="102">
        <f>VLOOKUP(L242,设备合同!$L$6:$CC$302,42,0)</f>
        <v>0</v>
      </c>
      <c r="BB242" s="102">
        <f>VLOOKUP(L242,设备合同!$L$6:$CC$302,43,0)</f>
        <v>0</v>
      </c>
      <c r="BC242" s="102">
        <f>VLOOKUP(L242,设备合同!$L$6:$CC$302,44,0)</f>
        <v>0</v>
      </c>
      <c r="BD242" s="102">
        <f>VLOOKUP(L242,设备合同!$L$6:$CC$302,45,0)</f>
        <v>0</v>
      </c>
      <c r="BE242" s="102">
        <f>VLOOKUP(L242,设备合同!$L$6:$CC$302,46,0)</f>
        <v>0</v>
      </c>
      <c r="BF242" s="102">
        <f>VLOOKUP(L242,设备合同!$L$6:$CC$302,47,0)</f>
        <v>0</v>
      </c>
      <c r="BG242" s="102">
        <f>VLOOKUP(L242,设备合同!$L$6:$CC$302,48,0)</f>
        <v>0</v>
      </c>
      <c r="BH242" s="102">
        <f>VLOOKUP(L242,设备合同!$L$6:$CC$302,49,0)</f>
        <v>0</v>
      </c>
      <c r="BI242" s="102">
        <f>VLOOKUP(L242,设备合同!$L$6:$CC$302,50,0)</f>
        <v>0</v>
      </c>
      <c r="BJ242" s="102">
        <f>VLOOKUP(L242,设备合同!$L$6:$CC$302,51,0)</f>
        <v>0</v>
      </c>
      <c r="BK242" s="102">
        <f>VLOOKUP(L242,设备合同!$L$6:$CC$302,52,0)</f>
        <v>0</v>
      </c>
      <c r="BL242" s="102">
        <f>VLOOKUP(L242,设备合同!$L$6:$CC$302,53,0)</f>
        <v>0</v>
      </c>
      <c r="BM242" s="102">
        <f>VLOOKUP(L242,设备合同!$L$6:$CC$302,54,0)</f>
        <v>0</v>
      </c>
      <c r="BN242" s="102">
        <f>VLOOKUP(L242,设备合同!$L$6:$CC$302,55,0)</f>
        <v>0</v>
      </c>
      <c r="BO242" s="102">
        <f>VLOOKUP(L242,设备合同!$L$6:$CC$302,56,0)</f>
        <v>0</v>
      </c>
      <c r="BP242" s="102">
        <f>VLOOKUP(L242,设备合同!$L$6:$CC$302,57,0)</f>
        <v>0</v>
      </c>
      <c r="BQ242" s="102">
        <f>VLOOKUP(L242,设备合同!$L$6:$CC$302,58,0)</f>
        <v>0</v>
      </c>
      <c r="BR242" s="102">
        <f>VLOOKUP(L242,设备合同!$L$6:$CC$302,59,0)</f>
        <v>0</v>
      </c>
      <c r="BS242" s="102">
        <f>VLOOKUP(L242,设备合同!$L$6:$CC$302,60,0)</f>
        <v>0</v>
      </c>
      <c r="BT242" s="102">
        <f>VLOOKUP(L242,设备合同!$L$6:$CC$302,61,0)</f>
        <v>0</v>
      </c>
      <c r="BU242" s="102">
        <f>VLOOKUP(L242,设备合同!$L$6:$CC$302,62,0)</f>
        <v>0</v>
      </c>
      <c r="BV242" s="102">
        <f>VLOOKUP(L242,设备合同!$L$6:$CC$302,63,0)</f>
        <v>0</v>
      </c>
      <c r="BW242" s="102">
        <f>VLOOKUP(L242,设备合同!$L$6:$CC$302,64,0)</f>
        <v>0</v>
      </c>
      <c r="BX242" s="102">
        <f>VLOOKUP(L242,设备合同!$L$6:$CC$302,65,0)</f>
        <v>0</v>
      </c>
      <c r="BY242" s="102">
        <f>VLOOKUP(L242,设备合同!$L$6:$CC$302,66,0)</f>
        <v>0</v>
      </c>
      <c r="BZ242" s="102">
        <f>VLOOKUP(L242,设备合同!$L$6:$CC$302,67,0)</f>
        <v>0</v>
      </c>
      <c r="CA242" s="102">
        <f>VLOOKUP(L242,设备合同!$L$6:$CC$302,68,0)</f>
        <v>0</v>
      </c>
      <c r="CB242" s="102">
        <f>VLOOKUP(L242,设备合同!$L$6:$CC$302,69,0)</f>
        <v>0</v>
      </c>
      <c r="CC242" s="102">
        <f>VLOOKUP(L242,设备合同!$L$6:$CC$302,70,0)</f>
        <v>0</v>
      </c>
      <c r="CD242" s="123">
        <f t="shared" si="55"/>
        <v>442000</v>
      </c>
      <c r="CE242" s="102">
        <f t="shared" si="56"/>
        <v>385200</v>
      </c>
      <c r="CF242" s="102">
        <f t="shared" si="57"/>
        <v>300000</v>
      </c>
      <c r="CG242" s="102">
        <f t="shared" si="58"/>
        <v>0</v>
      </c>
      <c r="CH242" s="124">
        <f t="shared" si="59"/>
        <v>142000</v>
      </c>
      <c r="CI242" s="125">
        <f t="shared" si="60"/>
        <v>0.678733031674208</v>
      </c>
      <c r="CJ242" s="126" t="str">
        <f t="shared" si="61"/>
        <v>数据正确</v>
      </c>
    </row>
    <row r="243" s="60" customFormat="1" customHeight="1" spans="2:88">
      <c r="B243" s="70" t="str">
        <f t="shared" si="51"/>
        <v>-</v>
      </c>
      <c r="C243" s="71" t="str">
        <f t="shared" si="52"/>
        <v>-</v>
      </c>
      <c r="D243" s="181">
        <f t="shared" si="53"/>
        <v>2180000</v>
      </c>
      <c r="E243" s="181">
        <f>SUMIF(设备合同!$L$6:$L$302,L243,设备合同!$E$6:$E$302)</f>
        <v>0</v>
      </c>
      <c r="F243" s="181">
        <f>SUMIF(设备合同!$L$6:$L$302,L243,设备合同!$F$6:$F$302)</f>
        <v>0</v>
      </c>
      <c r="G243" s="181">
        <f>SUMIF(设备合同!$L$6:$L$302,L243,设备合同!$G$6:$G$302)</f>
        <v>0</v>
      </c>
      <c r="H243" s="181">
        <f>SUMIF(设备合同!$L$6:$L$302,L243,设备合同!$H$6:$H$302)</f>
        <v>0</v>
      </c>
      <c r="I243" s="181">
        <f t="shared" si="54"/>
        <v>0</v>
      </c>
      <c r="J243" s="86" t="s">
        <v>98</v>
      </c>
      <c r="K243" s="87"/>
      <c r="L243" s="88">
        <v>238</v>
      </c>
      <c r="M243" s="89" t="str">
        <f>VLOOKUP(L243,设备合同!$L$6:$CC$302,2,0)</f>
        <v>YRKJEQ-170091</v>
      </c>
      <c r="N243" s="90" t="str">
        <f>VLOOKUP(L243,设备合同!$L$6:$CC$302,3,0)</f>
        <v>设备合同</v>
      </c>
      <c r="O243" s="265">
        <f>VLOOKUP(L243,设备合同!$L$6:$CC$302,4,0)</f>
        <v>2017080046</v>
      </c>
      <c r="P243" s="266">
        <f>VLOOKUP(L243,设备合同!$L$6:$CC$302,5,0)</f>
        <v>42985</v>
      </c>
      <c r="Q243" s="275">
        <f>VLOOKUP(L243,设备合同!$L$6:$CC$302,6,0)</f>
        <v>10900000</v>
      </c>
      <c r="R243" s="89" t="str">
        <f>VLOOKUP(L243,设备合同!$L$6:$CC$302,7,0)</f>
        <v>环己酮装置非标设备26台</v>
      </c>
      <c r="S243" s="89" t="str">
        <f>VLOOKUP(L243,设备合同!$L$6:$CC$302,8,0)</f>
        <v>无锡力马化工机械有限公司</v>
      </c>
      <c r="T243" s="107">
        <f>VLOOKUP(L243,设备合同!$L$6:$CC$302,9,0)</f>
        <v>0</v>
      </c>
      <c r="U243" s="103" t="str">
        <f>VLOOKUP(L243,设备合同!$L$6:$CC$302,10,0)</f>
        <v>6个月承兑汇票/电汇按1070万元</v>
      </c>
      <c r="V243" s="276" t="str">
        <f>VLOOKUP(L243,设备合同!$L$6:$CC$302,11,0)</f>
        <v>甲方收到乙方20%的预付款保函以及本合同的10%专票后15个工作日支付20%预付款</v>
      </c>
      <c r="W243" s="102">
        <f>VLOOKUP(L243,设备合同!$L$6:$CC$302,12,0)</f>
        <v>2180000</v>
      </c>
      <c r="X243" s="102">
        <f>VLOOKUP(L243,设备合同!$L$6:$CC$302,13,0)</f>
        <v>2180000</v>
      </c>
      <c r="Y243" s="102">
        <f>VLOOKUP(L243,设备合同!$L$6:$CC$302,14,0)</f>
        <v>2180000</v>
      </c>
      <c r="Z243" s="102" t="str">
        <f>VLOOKUP(L243,设备合同!$L$6:$CC$302,15,0)</f>
        <v>甲方到乙方现场确认无误后，收到17%等额专票，15个工作日内支付60%发货款</v>
      </c>
      <c r="AA243" s="102">
        <f>VLOOKUP(L243,设备合同!$L$6:$CC$302,16,0)</f>
        <v>6540000</v>
      </c>
      <c r="AB243" s="102">
        <f>VLOOKUP(L243,设备合同!$L$6:$CC$302,17,0)</f>
        <v>0</v>
      </c>
      <c r="AC243" s="102">
        <f>VLOOKUP(L243,设备合同!$L$6:$CC$302,18,0)</f>
        <v>0</v>
      </c>
      <c r="AD243" s="102" t="str">
        <f>VLOOKUP(L243,设备合同!$L$6:$CC$302,19,0)</f>
        <v>甲方收到核定的调试合格报告后15个工作日，支付10%调试款</v>
      </c>
      <c r="AE243" s="102">
        <f>VLOOKUP(L243,设备合同!$L$6:$CC$302,20,0)</f>
        <v>1090000</v>
      </c>
      <c r="AF243" s="102">
        <f>VLOOKUP(L243,设备合同!$L$6:$CC$302,21,0)</f>
        <v>0</v>
      </c>
      <c r="AG243" s="102">
        <f>VLOOKUP(L243,设备合同!$L$6:$CC$302,22,0)</f>
        <v>0</v>
      </c>
      <c r="AH243" s="102" t="str">
        <f>VLOOKUP(L243,设备合同!$L$6:$CC$302,23,0)</f>
        <v>10%质保金，验收合格12个月或到货现场18个月</v>
      </c>
      <c r="AI243" s="102">
        <f>VLOOKUP(L243,设备合同!$L$6:$CC$302,24,0)</f>
        <v>1090000</v>
      </c>
      <c r="AJ243" s="102">
        <f>VLOOKUP(L243,设备合同!$L$6:$CC$302,25,0)</f>
        <v>0</v>
      </c>
      <c r="AK243" s="102">
        <f>VLOOKUP(L243,设备合同!$L$6:$CC$302,26,0)</f>
        <v>0</v>
      </c>
      <c r="AL243" s="102">
        <f>VLOOKUP(L243,设备合同!$L$6:$CC$302,27,0)</f>
        <v>0</v>
      </c>
      <c r="AM243" s="102">
        <f>VLOOKUP(L243,设备合同!$L$6:$CC$302,28,0)</f>
        <v>0</v>
      </c>
      <c r="AN243" s="102">
        <f>VLOOKUP(L243,设备合同!$L$6:$CC$302,29,0)</f>
        <v>0</v>
      </c>
      <c r="AO243" s="102">
        <f>VLOOKUP(L243,设备合同!$L$6:$CC$302,30,0)</f>
        <v>0</v>
      </c>
      <c r="AP243" s="102">
        <f>VLOOKUP(L243,设备合同!$L$6:$CC$302,31,0)</f>
        <v>0</v>
      </c>
      <c r="AQ243" s="102">
        <f>VLOOKUP(L243,设备合同!$L$6:$CC$302,32,0)</f>
        <v>0</v>
      </c>
      <c r="AR243" s="102">
        <f>VLOOKUP(L243,设备合同!$L$6:$CC$302,33,0)</f>
        <v>0</v>
      </c>
      <c r="AS243" s="102">
        <f>VLOOKUP(L243,设备合同!$L$6:$CC$302,34,0)</f>
        <v>0</v>
      </c>
      <c r="AT243" s="102">
        <f>VLOOKUP(L243,设备合同!$L$6:$CC$302,35,0)</f>
        <v>0</v>
      </c>
      <c r="AU243" s="102">
        <f>VLOOKUP(L243,设备合同!$L$6:$CC$302,36,0)</f>
        <v>0</v>
      </c>
      <c r="AV243" s="102">
        <f>VLOOKUP(L243,设备合同!$L$6:$CC$302,37,0)</f>
        <v>0</v>
      </c>
      <c r="AW243" s="102">
        <f>VLOOKUP(L243,设备合同!$L$6:$CC$302,38,0)</f>
        <v>0</v>
      </c>
      <c r="AX243" s="102">
        <f>VLOOKUP(L243,设备合同!$L$6:$CC$302,39,0)</f>
        <v>0</v>
      </c>
      <c r="AY243" s="102">
        <f>VLOOKUP(L243,设备合同!$L$6:$CC$302,40,0)</f>
        <v>0</v>
      </c>
      <c r="AZ243" s="102">
        <f>VLOOKUP(L243,设备合同!$L$6:$CC$302,41,0)</f>
        <v>0</v>
      </c>
      <c r="BA243" s="102">
        <f>VLOOKUP(L243,设备合同!$L$6:$CC$302,42,0)</f>
        <v>0</v>
      </c>
      <c r="BB243" s="102">
        <f>VLOOKUP(L243,设备合同!$L$6:$CC$302,43,0)</f>
        <v>0</v>
      </c>
      <c r="BC243" s="102">
        <f>VLOOKUP(L243,设备合同!$L$6:$CC$302,44,0)</f>
        <v>0</v>
      </c>
      <c r="BD243" s="102">
        <f>VLOOKUP(L243,设备合同!$L$6:$CC$302,45,0)</f>
        <v>0</v>
      </c>
      <c r="BE243" s="102">
        <f>VLOOKUP(L243,设备合同!$L$6:$CC$302,46,0)</f>
        <v>0</v>
      </c>
      <c r="BF243" s="102">
        <f>VLOOKUP(L243,设备合同!$L$6:$CC$302,47,0)</f>
        <v>0</v>
      </c>
      <c r="BG243" s="102">
        <f>VLOOKUP(L243,设备合同!$L$6:$CC$302,48,0)</f>
        <v>0</v>
      </c>
      <c r="BH243" s="102">
        <f>VLOOKUP(L243,设备合同!$L$6:$CC$302,49,0)</f>
        <v>0</v>
      </c>
      <c r="BI243" s="102">
        <f>VLOOKUP(L243,设备合同!$L$6:$CC$302,50,0)</f>
        <v>0</v>
      </c>
      <c r="BJ243" s="102">
        <f>VLOOKUP(L243,设备合同!$L$6:$CC$302,51,0)</f>
        <v>0</v>
      </c>
      <c r="BK243" s="102">
        <f>VLOOKUP(L243,设备合同!$L$6:$CC$302,52,0)</f>
        <v>0</v>
      </c>
      <c r="BL243" s="102">
        <f>VLOOKUP(L243,设备合同!$L$6:$CC$302,53,0)</f>
        <v>0</v>
      </c>
      <c r="BM243" s="102">
        <f>VLOOKUP(L243,设备合同!$L$6:$CC$302,54,0)</f>
        <v>0</v>
      </c>
      <c r="BN243" s="102">
        <f>VLOOKUP(L243,设备合同!$L$6:$CC$302,55,0)</f>
        <v>0</v>
      </c>
      <c r="BO243" s="102">
        <f>VLOOKUP(L243,设备合同!$L$6:$CC$302,56,0)</f>
        <v>0</v>
      </c>
      <c r="BP243" s="102">
        <f>VLOOKUP(L243,设备合同!$L$6:$CC$302,57,0)</f>
        <v>0</v>
      </c>
      <c r="BQ243" s="102">
        <f>VLOOKUP(L243,设备合同!$L$6:$CC$302,58,0)</f>
        <v>0</v>
      </c>
      <c r="BR243" s="102">
        <f>VLOOKUP(L243,设备合同!$L$6:$CC$302,59,0)</f>
        <v>0</v>
      </c>
      <c r="BS243" s="102">
        <f>VLOOKUP(L243,设备合同!$L$6:$CC$302,60,0)</f>
        <v>0</v>
      </c>
      <c r="BT243" s="102">
        <f>VLOOKUP(L243,设备合同!$L$6:$CC$302,61,0)</f>
        <v>0</v>
      </c>
      <c r="BU243" s="102">
        <f>VLOOKUP(L243,设备合同!$L$6:$CC$302,62,0)</f>
        <v>0</v>
      </c>
      <c r="BV243" s="102">
        <f>VLOOKUP(L243,设备合同!$L$6:$CC$302,63,0)</f>
        <v>0</v>
      </c>
      <c r="BW243" s="102">
        <f>VLOOKUP(L243,设备合同!$L$6:$CC$302,64,0)</f>
        <v>0</v>
      </c>
      <c r="BX243" s="102">
        <f>VLOOKUP(L243,设备合同!$L$6:$CC$302,65,0)</f>
        <v>0</v>
      </c>
      <c r="BY243" s="102">
        <f>VLOOKUP(L243,设备合同!$L$6:$CC$302,66,0)</f>
        <v>0</v>
      </c>
      <c r="BZ243" s="102">
        <f>VLOOKUP(L243,设备合同!$L$6:$CC$302,67,0)</f>
        <v>0</v>
      </c>
      <c r="CA243" s="102">
        <f>VLOOKUP(L243,设备合同!$L$6:$CC$302,68,0)</f>
        <v>0</v>
      </c>
      <c r="CB243" s="102">
        <f>VLOOKUP(L243,设备合同!$L$6:$CC$302,69,0)</f>
        <v>0</v>
      </c>
      <c r="CC243" s="102">
        <f>VLOOKUP(L243,设备合同!$L$6:$CC$302,70,0)</f>
        <v>0</v>
      </c>
      <c r="CD243" s="123">
        <f t="shared" si="55"/>
        <v>10900000</v>
      </c>
      <c r="CE243" s="102">
        <f t="shared" si="56"/>
        <v>2180000</v>
      </c>
      <c r="CF243" s="102">
        <f t="shared" si="57"/>
        <v>2180000</v>
      </c>
      <c r="CG243" s="102">
        <f t="shared" si="58"/>
        <v>0</v>
      </c>
      <c r="CH243" s="124">
        <f t="shared" si="59"/>
        <v>8720000</v>
      </c>
      <c r="CI243" s="125">
        <f t="shared" si="60"/>
        <v>0.2</v>
      </c>
      <c r="CJ243" s="126" t="str">
        <f t="shared" si="61"/>
        <v>数据正确</v>
      </c>
    </row>
    <row r="244" s="60" customFormat="1" customHeight="1" spans="2:88">
      <c r="B244" s="70" t="str">
        <f t="shared" si="51"/>
        <v>-</v>
      </c>
      <c r="C244" s="71" t="str">
        <f t="shared" si="52"/>
        <v>-</v>
      </c>
      <c r="D244" s="181">
        <f t="shared" si="53"/>
        <v>2080000</v>
      </c>
      <c r="E244" s="181">
        <f>SUMIF(设备合同!$L$6:$L$302,L244,设备合同!$E$6:$E$302)</f>
        <v>0</v>
      </c>
      <c r="F244" s="181">
        <f>SUMIF(设备合同!$L$6:$L$302,L244,设备合同!$F$6:$F$302)</f>
        <v>0</v>
      </c>
      <c r="G244" s="181">
        <f>SUMIF(设备合同!$L$6:$L$302,L244,设备合同!$G$6:$G$302)</f>
        <v>0</v>
      </c>
      <c r="H244" s="181">
        <f>SUMIF(设备合同!$L$6:$L$302,L244,设备合同!$H$6:$H$302)</f>
        <v>0</v>
      </c>
      <c r="I244" s="181">
        <f t="shared" si="54"/>
        <v>0</v>
      </c>
      <c r="J244" s="86" t="s">
        <v>98</v>
      </c>
      <c r="K244" s="87"/>
      <c r="L244" s="88">
        <v>239</v>
      </c>
      <c r="M244" s="89" t="str">
        <f>VLOOKUP(L244,设备合同!$L$6:$CC$302,2,0)</f>
        <v>YRKJEQ-170098</v>
      </c>
      <c r="N244" s="90" t="str">
        <f>VLOOKUP(L244,设备合同!$L$6:$CC$302,3,0)</f>
        <v>设备合同</v>
      </c>
      <c r="O244" s="265">
        <f>VLOOKUP(L244,设备合同!$L$6:$CC$302,4,0)</f>
        <v>0</v>
      </c>
      <c r="P244" s="266">
        <f>VLOOKUP(L244,设备合同!$L$6:$CC$302,5,0)</f>
        <v>42992</v>
      </c>
      <c r="Q244" s="275">
        <f>VLOOKUP(L244,设备合同!$L$6:$CC$302,6,0)</f>
        <v>10400000</v>
      </c>
      <c r="R244" s="89" t="str">
        <f>VLOOKUP(L244,设备合同!$L$6:$CC$302,7,0)</f>
        <v>51台非标设备</v>
      </c>
      <c r="S244" s="89" t="str">
        <f>VLOOKUP(L244,设备合同!$L$6:$CC$302,8,0)</f>
        <v>福建省泉州市江南冷却器厂</v>
      </c>
      <c r="T244" s="107">
        <f>VLOOKUP(L244,设备合同!$L$6:$CC$302,9,0)</f>
        <v>0</v>
      </c>
      <c r="U244" s="103" t="str">
        <f>VLOOKUP(L244,设备合同!$L$6:$CC$302,10,0)</f>
        <v>电汇</v>
      </c>
      <c r="V244" s="276" t="str">
        <f>VLOOKUP(L244,设备合同!$L$6:$CC$302,11,0)</f>
        <v>甲方收到乙方20%的预付款保函以及本合同的10%履约保函后15个工作日支付20%预付款</v>
      </c>
      <c r="W244" s="102">
        <f>VLOOKUP(L244,设备合同!$L$6:$CC$302,12,0)</f>
        <v>2080000</v>
      </c>
      <c r="X244" s="102">
        <f>VLOOKUP(L244,设备合同!$L$6:$CC$302,13,0)</f>
        <v>2080000</v>
      </c>
      <c r="Y244" s="102">
        <f>VLOOKUP(L244,设备合同!$L$6:$CC$302,14,0)</f>
        <v>2080000</v>
      </c>
      <c r="Z244" s="102" t="str">
        <f>VLOOKUP(L244,设备合同!$L$6:$CC$302,15,0)</f>
        <v>甲方到乙方现场确认无误后，收到17%等额专票，15个工作日内支付60%发货款</v>
      </c>
      <c r="AA244" s="102">
        <f>VLOOKUP(L244,设备合同!$L$6:$CC$302,16,0)</f>
        <v>6240000</v>
      </c>
      <c r="AB244" s="102">
        <f>VLOOKUP(L244,设备合同!$L$6:$CC$302,17,0)</f>
        <v>0</v>
      </c>
      <c r="AC244" s="102">
        <f>VLOOKUP(L244,设备合同!$L$6:$CC$302,18,0)</f>
        <v>0</v>
      </c>
      <c r="AD244" s="102" t="str">
        <f>VLOOKUP(L244,设备合同!$L$6:$CC$302,19,0)</f>
        <v>甲方收到核定的调试合格报告后15个工作日，支付10%调试款</v>
      </c>
      <c r="AE244" s="102">
        <f>VLOOKUP(L244,设备合同!$L$6:$CC$302,20,0)</f>
        <v>1040000</v>
      </c>
      <c r="AF244" s="102">
        <f>VLOOKUP(L244,设备合同!$L$6:$CC$302,21,0)</f>
        <v>0</v>
      </c>
      <c r="AG244" s="102">
        <f>VLOOKUP(L244,设备合同!$L$6:$CC$302,22,0)</f>
        <v>0</v>
      </c>
      <c r="AH244" s="102" t="str">
        <f>VLOOKUP(L244,设备合同!$L$6:$CC$302,23,0)</f>
        <v>10%质保金，验收合格12个月或到货现场18个月</v>
      </c>
      <c r="AI244" s="102">
        <f>VLOOKUP(L244,设备合同!$L$6:$CC$302,24,0)</f>
        <v>1040000</v>
      </c>
      <c r="AJ244" s="102">
        <f>VLOOKUP(L244,设备合同!$L$6:$CC$302,25,0)</f>
        <v>0</v>
      </c>
      <c r="AK244" s="102">
        <f>VLOOKUP(L244,设备合同!$L$6:$CC$302,26,0)</f>
        <v>0</v>
      </c>
      <c r="AL244" s="102">
        <f>VLOOKUP(L244,设备合同!$L$6:$CC$302,27,0)</f>
        <v>0</v>
      </c>
      <c r="AM244" s="102">
        <f>VLOOKUP(L244,设备合同!$L$6:$CC$302,28,0)</f>
        <v>0</v>
      </c>
      <c r="AN244" s="102">
        <f>VLOOKUP(L244,设备合同!$L$6:$CC$302,29,0)</f>
        <v>0</v>
      </c>
      <c r="AO244" s="102">
        <f>VLOOKUP(L244,设备合同!$L$6:$CC$302,30,0)</f>
        <v>0</v>
      </c>
      <c r="AP244" s="102">
        <f>VLOOKUP(L244,设备合同!$L$6:$CC$302,31,0)</f>
        <v>0</v>
      </c>
      <c r="AQ244" s="102">
        <f>VLOOKUP(L244,设备合同!$L$6:$CC$302,32,0)</f>
        <v>0</v>
      </c>
      <c r="AR244" s="102">
        <f>VLOOKUP(L244,设备合同!$L$6:$CC$302,33,0)</f>
        <v>0</v>
      </c>
      <c r="AS244" s="102">
        <f>VLOOKUP(L244,设备合同!$L$6:$CC$302,34,0)</f>
        <v>0</v>
      </c>
      <c r="AT244" s="102">
        <f>VLOOKUP(L244,设备合同!$L$6:$CC$302,35,0)</f>
        <v>0</v>
      </c>
      <c r="AU244" s="102">
        <f>VLOOKUP(L244,设备合同!$L$6:$CC$302,36,0)</f>
        <v>0</v>
      </c>
      <c r="AV244" s="102">
        <f>VLOOKUP(L244,设备合同!$L$6:$CC$302,37,0)</f>
        <v>0</v>
      </c>
      <c r="AW244" s="102">
        <f>VLOOKUP(L244,设备合同!$L$6:$CC$302,38,0)</f>
        <v>0</v>
      </c>
      <c r="AX244" s="102">
        <f>VLOOKUP(L244,设备合同!$L$6:$CC$302,39,0)</f>
        <v>0</v>
      </c>
      <c r="AY244" s="102">
        <f>VLOOKUP(L244,设备合同!$L$6:$CC$302,40,0)</f>
        <v>0</v>
      </c>
      <c r="AZ244" s="102">
        <f>VLOOKUP(L244,设备合同!$L$6:$CC$302,41,0)</f>
        <v>0</v>
      </c>
      <c r="BA244" s="102">
        <f>VLOOKUP(L244,设备合同!$L$6:$CC$302,42,0)</f>
        <v>0</v>
      </c>
      <c r="BB244" s="102">
        <f>VLOOKUP(L244,设备合同!$L$6:$CC$302,43,0)</f>
        <v>0</v>
      </c>
      <c r="BC244" s="102">
        <f>VLOOKUP(L244,设备合同!$L$6:$CC$302,44,0)</f>
        <v>0</v>
      </c>
      <c r="BD244" s="102">
        <f>VLOOKUP(L244,设备合同!$L$6:$CC$302,45,0)</f>
        <v>0</v>
      </c>
      <c r="BE244" s="102">
        <f>VLOOKUP(L244,设备合同!$L$6:$CC$302,46,0)</f>
        <v>0</v>
      </c>
      <c r="BF244" s="102">
        <f>VLOOKUP(L244,设备合同!$L$6:$CC$302,47,0)</f>
        <v>0</v>
      </c>
      <c r="BG244" s="102">
        <f>VLOOKUP(L244,设备合同!$L$6:$CC$302,48,0)</f>
        <v>0</v>
      </c>
      <c r="BH244" s="102">
        <f>VLOOKUP(L244,设备合同!$L$6:$CC$302,49,0)</f>
        <v>0</v>
      </c>
      <c r="BI244" s="102">
        <f>VLOOKUP(L244,设备合同!$L$6:$CC$302,50,0)</f>
        <v>0</v>
      </c>
      <c r="BJ244" s="102">
        <f>VLOOKUP(L244,设备合同!$L$6:$CC$302,51,0)</f>
        <v>0</v>
      </c>
      <c r="BK244" s="102">
        <f>VLOOKUP(L244,设备合同!$L$6:$CC$302,52,0)</f>
        <v>0</v>
      </c>
      <c r="BL244" s="102">
        <f>VLOOKUP(L244,设备合同!$L$6:$CC$302,53,0)</f>
        <v>0</v>
      </c>
      <c r="BM244" s="102">
        <f>VLOOKUP(L244,设备合同!$L$6:$CC$302,54,0)</f>
        <v>0</v>
      </c>
      <c r="BN244" s="102">
        <f>VLOOKUP(L244,设备合同!$L$6:$CC$302,55,0)</f>
        <v>0</v>
      </c>
      <c r="BO244" s="102">
        <f>VLOOKUP(L244,设备合同!$L$6:$CC$302,56,0)</f>
        <v>0</v>
      </c>
      <c r="BP244" s="102">
        <f>VLOOKUP(L244,设备合同!$L$6:$CC$302,57,0)</f>
        <v>0</v>
      </c>
      <c r="BQ244" s="102">
        <f>VLOOKUP(L244,设备合同!$L$6:$CC$302,58,0)</f>
        <v>0</v>
      </c>
      <c r="BR244" s="102">
        <f>VLOOKUP(L244,设备合同!$L$6:$CC$302,59,0)</f>
        <v>0</v>
      </c>
      <c r="BS244" s="102">
        <f>VLOOKUP(L244,设备合同!$L$6:$CC$302,60,0)</f>
        <v>0</v>
      </c>
      <c r="BT244" s="102">
        <f>VLOOKUP(L244,设备合同!$L$6:$CC$302,61,0)</f>
        <v>0</v>
      </c>
      <c r="BU244" s="102">
        <f>VLOOKUP(L244,设备合同!$L$6:$CC$302,62,0)</f>
        <v>0</v>
      </c>
      <c r="BV244" s="102">
        <f>VLOOKUP(L244,设备合同!$L$6:$CC$302,63,0)</f>
        <v>0</v>
      </c>
      <c r="BW244" s="102">
        <f>VLOOKUP(L244,设备合同!$L$6:$CC$302,64,0)</f>
        <v>0</v>
      </c>
      <c r="BX244" s="102">
        <f>VLOOKUP(L244,设备合同!$L$6:$CC$302,65,0)</f>
        <v>0</v>
      </c>
      <c r="BY244" s="102">
        <f>VLOOKUP(L244,设备合同!$L$6:$CC$302,66,0)</f>
        <v>0</v>
      </c>
      <c r="BZ244" s="102">
        <f>VLOOKUP(L244,设备合同!$L$6:$CC$302,67,0)</f>
        <v>0</v>
      </c>
      <c r="CA244" s="102">
        <f>VLOOKUP(L244,设备合同!$L$6:$CC$302,68,0)</f>
        <v>0</v>
      </c>
      <c r="CB244" s="102">
        <f>VLOOKUP(L244,设备合同!$L$6:$CC$302,69,0)</f>
        <v>0</v>
      </c>
      <c r="CC244" s="102">
        <f>VLOOKUP(L244,设备合同!$L$6:$CC$302,70,0)</f>
        <v>0</v>
      </c>
      <c r="CD244" s="123">
        <f t="shared" si="55"/>
        <v>10400000</v>
      </c>
      <c r="CE244" s="102">
        <f t="shared" si="56"/>
        <v>2080000</v>
      </c>
      <c r="CF244" s="102">
        <f t="shared" si="57"/>
        <v>2080000</v>
      </c>
      <c r="CG244" s="102">
        <f t="shared" si="58"/>
        <v>0</v>
      </c>
      <c r="CH244" s="124">
        <f t="shared" si="59"/>
        <v>8320000</v>
      </c>
      <c r="CI244" s="125">
        <f t="shared" si="60"/>
        <v>0.2</v>
      </c>
      <c r="CJ244" s="126" t="str">
        <f t="shared" si="61"/>
        <v>数据正确</v>
      </c>
    </row>
    <row r="245" s="60" customFormat="1" customHeight="1" spans="2:88">
      <c r="B245" s="70" t="str">
        <f t="shared" si="51"/>
        <v>-</v>
      </c>
      <c r="C245" s="71" t="str">
        <f t="shared" si="52"/>
        <v>-</v>
      </c>
      <c r="D245" s="181">
        <f t="shared" si="53"/>
        <v>1222200</v>
      </c>
      <c r="E245" s="181">
        <f>SUMIF(设备合同!$L$6:$L$302,L245,设备合同!$E$6:$E$302)</f>
        <v>0</v>
      </c>
      <c r="F245" s="181">
        <f>SUMIF(设备合同!$L$6:$L$302,L245,设备合同!$F$6:$F$302)</f>
        <v>0</v>
      </c>
      <c r="G245" s="181">
        <f>SUMIF(设备合同!$L$6:$L$302,L245,设备合同!$G$6:$G$302)</f>
        <v>0</v>
      </c>
      <c r="H245" s="181">
        <f>SUMIF(设备合同!$L$6:$L$302,L245,设备合同!$H$6:$H$302)</f>
        <v>0</v>
      </c>
      <c r="I245" s="181">
        <f t="shared" si="54"/>
        <v>0</v>
      </c>
      <c r="J245" s="86" t="s">
        <v>98</v>
      </c>
      <c r="K245" s="87"/>
      <c r="L245" s="88">
        <v>240</v>
      </c>
      <c r="M245" s="89" t="str">
        <f>VLOOKUP(L245,设备合同!$L$6:$CC$302,2,0)</f>
        <v>YRKJEQ-170055</v>
      </c>
      <c r="N245" s="90" t="str">
        <f>VLOOKUP(L245,设备合同!$L$6:$CC$302,3,0)</f>
        <v>设备合同</v>
      </c>
      <c r="O245" s="265">
        <f>VLOOKUP(L245,设备合同!$L$6:$CC$302,4,0)</f>
        <v>2017050021</v>
      </c>
      <c r="P245" s="266">
        <f>VLOOKUP(L245,设备合同!$L$6:$CC$302,5,0)</f>
        <v>42955</v>
      </c>
      <c r="Q245" s="275">
        <f>VLOOKUP(L245,设备合同!$L$6:$CC$302,6,0)</f>
        <v>6262200</v>
      </c>
      <c r="R245" s="89" t="str">
        <f>VLOOKUP(L245,设备合同!$L$6:$CC$302,7,0)</f>
        <v>计量泵</v>
      </c>
      <c r="S245" s="89" t="str">
        <f>VLOOKUP(L245,设备合同!$L$6:$CC$302,8,0)</f>
        <v>大连里瓦泵业有限公司</v>
      </c>
      <c r="T245" s="107">
        <f>VLOOKUP(L245,设备合同!$L$6:$CC$302,9,0)</f>
        <v>0</v>
      </c>
      <c r="U245" s="103" t="str">
        <f>VLOOKUP(L245,设备合同!$L$6:$CC$302,10,0)</f>
        <v>6个月承兑汇票/电汇下浮3%</v>
      </c>
      <c r="V245" s="276" t="str">
        <f>VLOOKUP(L245,设备合同!$L$6:$CC$302,11,0)</f>
        <v>甲方收到乙方20%的预付款保函以及本合同的10%履约保函后15个工作日支付20%预付款</v>
      </c>
      <c r="W245" s="102">
        <f>VLOOKUP(L245,设备合同!$L$6:$CC$302,12,0)</f>
        <v>1222200</v>
      </c>
      <c r="X245" s="102">
        <f>VLOOKUP(L245,设备合同!$L$6:$CC$302,13,0)</f>
        <v>1222200</v>
      </c>
      <c r="Y245" s="102">
        <f>VLOOKUP(L245,设备合同!$L$6:$CC$302,14,0)</f>
        <v>1222200</v>
      </c>
      <c r="Z245" s="102" t="str">
        <f>VLOOKUP(L245,设备合同!$L$6:$CC$302,15,0)</f>
        <v>甲方到乙方现场确认无误后，收到17%全额专票，15个工作日内支付65%发货款</v>
      </c>
      <c r="AA245" s="102">
        <f>VLOOKUP(L245,设备合同!$L$6:$CC$302,16,0)</f>
        <v>4095000</v>
      </c>
      <c r="AB245" s="102">
        <f>VLOOKUP(L245,设备合同!$L$6:$CC$302,17,0)</f>
        <v>0</v>
      </c>
      <c r="AC245" s="102">
        <f>VLOOKUP(L245,设备合同!$L$6:$CC$302,18,0)</f>
        <v>0</v>
      </c>
      <c r="AD245" s="102" t="str">
        <f>VLOOKUP(L245,设备合同!$L$6:$CC$302,19,0)</f>
        <v>甲方核定的调试合格报告及足额的发票后付10%的验收款</v>
      </c>
      <c r="AE245" s="102">
        <f>VLOOKUP(L245,设备合同!$L$6:$CC$302,20,0)</f>
        <v>630000</v>
      </c>
      <c r="AF245" s="102">
        <f>VLOOKUP(L245,设备合同!$L$6:$CC$302,21,0)</f>
        <v>0</v>
      </c>
      <c r="AG245" s="102">
        <f>VLOOKUP(L245,设备合同!$L$6:$CC$302,22,0)</f>
        <v>0</v>
      </c>
      <c r="AH245" s="102" t="str">
        <f>VLOOKUP(L245,设备合同!$L$6:$CC$302,23,0)</f>
        <v>5%质保金，验收合格12个月或到货现场18个月</v>
      </c>
      <c r="AI245" s="102">
        <f>VLOOKUP(L245,设备合同!$L$6:$CC$302,24,0)</f>
        <v>315000</v>
      </c>
      <c r="AJ245" s="102">
        <f>VLOOKUP(L245,设备合同!$L$6:$CC$302,25,0)</f>
        <v>0</v>
      </c>
      <c r="AK245" s="102">
        <f>VLOOKUP(L245,设备合同!$L$6:$CC$302,26,0)</f>
        <v>0</v>
      </c>
      <c r="AL245" s="102">
        <f>VLOOKUP(L245,设备合同!$L$6:$CC$302,27,0)</f>
        <v>0</v>
      </c>
      <c r="AM245" s="102">
        <f>VLOOKUP(L245,设备合同!$L$6:$CC$302,28,0)</f>
        <v>0</v>
      </c>
      <c r="AN245" s="102">
        <f>VLOOKUP(L245,设备合同!$L$6:$CC$302,29,0)</f>
        <v>0</v>
      </c>
      <c r="AO245" s="102">
        <f>VLOOKUP(L245,设备合同!$L$6:$CC$302,30,0)</f>
        <v>0</v>
      </c>
      <c r="AP245" s="102">
        <f>VLOOKUP(L245,设备合同!$L$6:$CC$302,31,0)</f>
        <v>0</v>
      </c>
      <c r="AQ245" s="102">
        <f>VLOOKUP(L245,设备合同!$L$6:$CC$302,32,0)</f>
        <v>0</v>
      </c>
      <c r="AR245" s="102">
        <f>VLOOKUP(L245,设备合同!$L$6:$CC$302,33,0)</f>
        <v>0</v>
      </c>
      <c r="AS245" s="102">
        <f>VLOOKUP(L245,设备合同!$L$6:$CC$302,34,0)</f>
        <v>0</v>
      </c>
      <c r="AT245" s="102">
        <f>VLOOKUP(L245,设备合同!$L$6:$CC$302,35,0)</f>
        <v>0</v>
      </c>
      <c r="AU245" s="102">
        <f>VLOOKUP(L245,设备合同!$L$6:$CC$302,36,0)</f>
        <v>0</v>
      </c>
      <c r="AV245" s="102">
        <f>VLOOKUP(L245,设备合同!$L$6:$CC$302,37,0)</f>
        <v>0</v>
      </c>
      <c r="AW245" s="102">
        <f>VLOOKUP(L245,设备合同!$L$6:$CC$302,38,0)</f>
        <v>0</v>
      </c>
      <c r="AX245" s="102">
        <f>VLOOKUP(L245,设备合同!$L$6:$CC$302,39,0)</f>
        <v>0</v>
      </c>
      <c r="AY245" s="102">
        <f>VLOOKUP(L245,设备合同!$L$6:$CC$302,40,0)</f>
        <v>0</v>
      </c>
      <c r="AZ245" s="102">
        <f>VLOOKUP(L245,设备合同!$L$6:$CC$302,41,0)</f>
        <v>0</v>
      </c>
      <c r="BA245" s="102">
        <f>VLOOKUP(L245,设备合同!$L$6:$CC$302,42,0)</f>
        <v>0</v>
      </c>
      <c r="BB245" s="102">
        <f>VLOOKUP(L245,设备合同!$L$6:$CC$302,43,0)</f>
        <v>0</v>
      </c>
      <c r="BC245" s="102">
        <f>VLOOKUP(L245,设备合同!$L$6:$CC$302,44,0)</f>
        <v>0</v>
      </c>
      <c r="BD245" s="102">
        <f>VLOOKUP(L245,设备合同!$L$6:$CC$302,45,0)</f>
        <v>0</v>
      </c>
      <c r="BE245" s="102">
        <f>VLOOKUP(L245,设备合同!$L$6:$CC$302,46,0)</f>
        <v>0</v>
      </c>
      <c r="BF245" s="102">
        <f>VLOOKUP(L245,设备合同!$L$6:$CC$302,47,0)</f>
        <v>0</v>
      </c>
      <c r="BG245" s="102">
        <f>VLOOKUP(L245,设备合同!$L$6:$CC$302,48,0)</f>
        <v>0</v>
      </c>
      <c r="BH245" s="102">
        <f>VLOOKUP(L245,设备合同!$L$6:$CC$302,49,0)</f>
        <v>0</v>
      </c>
      <c r="BI245" s="102">
        <f>VLOOKUP(L245,设备合同!$L$6:$CC$302,50,0)</f>
        <v>0</v>
      </c>
      <c r="BJ245" s="102">
        <f>VLOOKUP(L245,设备合同!$L$6:$CC$302,51,0)</f>
        <v>0</v>
      </c>
      <c r="BK245" s="102">
        <f>VLOOKUP(L245,设备合同!$L$6:$CC$302,52,0)</f>
        <v>0</v>
      </c>
      <c r="BL245" s="102">
        <f>VLOOKUP(L245,设备合同!$L$6:$CC$302,53,0)</f>
        <v>0</v>
      </c>
      <c r="BM245" s="102">
        <f>VLOOKUP(L245,设备合同!$L$6:$CC$302,54,0)</f>
        <v>0</v>
      </c>
      <c r="BN245" s="102">
        <f>VLOOKUP(L245,设备合同!$L$6:$CC$302,55,0)</f>
        <v>0</v>
      </c>
      <c r="BO245" s="102">
        <f>VLOOKUP(L245,设备合同!$L$6:$CC$302,56,0)</f>
        <v>0</v>
      </c>
      <c r="BP245" s="102">
        <f>VLOOKUP(L245,设备合同!$L$6:$CC$302,57,0)</f>
        <v>0</v>
      </c>
      <c r="BQ245" s="102">
        <f>VLOOKUP(L245,设备合同!$L$6:$CC$302,58,0)</f>
        <v>0</v>
      </c>
      <c r="BR245" s="102">
        <f>VLOOKUP(L245,设备合同!$L$6:$CC$302,59,0)</f>
        <v>0</v>
      </c>
      <c r="BS245" s="102">
        <f>VLOOKUP(L245,设备合同!$L$6:$CC$302,60,0)</f>
        <v>0</v>
      </c>
      <c r="BT245" s="102">
        <f>VLOOKUP(L245,设备合同!$L$6:$CC$302,61,0)</f>
        <v>0</v>
      </c>
      <c r="BU245" s="102">
        <f>VLOOKUP(L245,设备合同!$L$6:$CC$302,62,0)</f>
        <v>0</v>
      </c>
      <c r="BV245" s="102">
        <f>VLOOKUP(L245,设备合同!$L$6:$CC$302,63,0)</f>
        <v>0</v>
      </c>
      <c r="BW245" s="102">
        <f>VLOOKUP(L245,设备合同!$L$6:$CC$302,64,0)</f>
        <v>0</v>
      </c>
      <c r="BX245" s="102">
        <f>VLOOKUP(L245,设备合同!$L$6:$CC$302,65,0)</f>
        <v>0</v>
      </c>
      <c r="BY245" s="102">
        <f>VLOOKUP(L245,设备合同!$L$6:$CC$302,66,0)</f>
        <v>0</v>
      </c>
      <c r="BZ245" s="102">
        <f>VLOOKUP(L245,设备合同!$L$6:$CC$302,67,0)</f>
        <v>0</v>
      </c>
      <c r="CA245" s="102">
        <f>VLOOKUP(L245,设备合同!$L$6:$CC$302,68,0)</f>
        <v>0</v>
      </c>
      <c r="CB245" s="102">
        <f>VLOOKUP(L245,设备合同!$L$6:$CC$302,69,0)</f>
        <v>0</v>
      </c>
      <c r="CC245" s="102">
        <f>VLOOKUP(L245,设备合同!$L$6:$CC$302,70,0)</f>
        <v>0</v>
      </c>
      <c r="CD245" s="123">
        <f t="shared" si="55"/>
        <v>6262200</v>
      </c>
      <c r="CE245" s="102">
        <f t="shared" si="56"/>
        <v>1222200</v>
      </c>
      <c r="CF245" s="102">
        <f t="shared" si="57"/>
        <v>1222200</v>
      </c>
      <c r="CG245" s="102">
        <f t="shared" si="58"/>
        <v>0</v>
      </c>
      <c r="CH245" s="124">
        <f t="shared" si="59"/>
        <v>5040000</v>
      </c>
      <c r="CI245" s="125">
        <f t="shared" si="60"/>
        <v>0.195171026156942</v>
      </c>
      <c r="CJ245" s="126" t="str">
        <f t="shared" si="61"/>
        <v>数据正确</v>
      </c>
    </row>
    <row r="246" s="60" customFormat="1" customHeight="1" spans="2:88">
      <c r="B246" s="70" t="str">
        <f t="shared" si="51"/>
        <v>-</v>
      </c>
      <c r="C246" s="71" t="str">
        <f t="shared" si="52"/>
        <v>-</v>
      </c>
      <c r="D246" s="181">
        <f t="shared" si="53"/>
        <v>0</v>
      </c>
      <c r="E246" s="181">
        <f>SUMIF(行政合同!$L$6:$L$300,L246,行政合同!$E$6:$E$300)</f>
        <v>0</v>
      </c>
      <c r="F246" s="181">
        <f>SUMIF(行政合同!$L$6:$L$300,L246,行政合同!$F$6:$F$300)</f>
        <v>0</v>
      </c>
      <c r="G246" s="181">
        <f>SUMIF(行政合同!$L$6:$L$300,L246,行政合同!$G$6:$G$300)</f>
        <v>0</v>
      </c>
      <c r="H246" s="181">
        <f>SUMIF(行政合同!$L$6:$L$300,L246,行政合同!$H$6:$H$300)</f>
        <v>0</v>
      </c>
      <c r="I246" s="181">
        <f t="shared" si="54"/>
        <v>0</v>
      </c>
      <c r="J246" s="86" t="s">
        <v>98</v>
      </c>
      <c r="K246" s="87"/>
      <c r="L246" s="88">
        <v>241</v>
      </c>
      <c r="M246" s="89" t="str">
        <f>VLOOKUP(L246,行政合同!$L$6:$CC$300,2,0)</f>
        <v>YRKJXZ-170036</v>
      </c>
      <c r="N246" s="90" t="str">
        <f>VLOOKUP(L246,行政合同!$L$6:$CC$300,3,0)</f>
        <v>行政合同</v>
      </c>
      <c r="O246" s="265" t="str">
        <f>VLOOKUP(L246,行政合同!$L$6:$CC$300,4,0)</f>
        <v>-</v>
      </c>
      <c r="P246" s="266">
        <f>VLOOKUP(L246,行政合同!$L$6:$CC$300,5,0)</f>
        <v>42993</v>
      </c>
      <c r="Q246" s="275">
        <f>VLOOKUP(L246,行政合同!$L$6:$CC$300,6,0)</f>
        <v>34740</v>
      </c>
      <c r="R246" s="89" t="str">
        <f>VLOOKUP(L246,行政合同!$L$6:$CC$300,7,0)</f>
        <v>冰箱、洗衣机</v>
      </c>
      <c r="S246" s="89" t="str">
        <f>VLOOKUP(L246,行政合同!$L$6:$CC$300,8,0)</f>
        <v>莆田市秀屿区宏达贸易有限公司</v>
      </c>
      <c r="T246" s="107">
        <f>VLOOKUP(L246,行政合同!$L$6:$CC$300,9,0)</f>
        <v>0</v>
      </c>
      <c r="U246" s="103" t="str">
        <f>VLOOKUP(L246,行政合同!$L$6:$CC$300,10,0)</f>
        <v>电汇</v>
      </c>
      <c r="V246" s="276" t="str">
        <f>VLOOKUP(L246,行政合同!$L$6:$CC$300,11,0)</f>
        <v>甲方收到货款验收合格以及全额的发票后15个工作日支付100%的货款</v>
      </c>
      <c r="W246" s="102">
        <f>VLOOKUP(L246,行政合同!$L$6:$CC$300,12,0)</f>
        <v>34740</v>
      </c>
      <c r="X246" s="102">
        <f>VLOOKUP(L246,行政合同!$L$6:$CC$300,13,0)</f>
        <v>0</v>
      </c>
      <c r="Y246" s="102">
        <f>VLOOKUP(L246,行政合同!$L$6:$CC$300,14,0)</f>
        <v>0</v>
      </c>
      <c r="Z246" s="102">
        <f>VLOOKUP(L246,行政合同!$L$6:$CC$300,15,0)</f>
        <v>0</v>
      </c>
      <c r="AA246" s="102">
        <f>VLOOKUP(L246,行政合同!$L$6:$CC$300,16,0)</f>
        <v>0</v>
      </c>
      <c r="AB246" s="102">
        <f>VLOOKUP(L246,行政合同!$L$6:$CC$300,17,0)</f>
        <v>0</v>
      </c>
      <c r="AC246" s="102">
        <f>VLOOKUP(L246,行政合同!$L$6:$CC$300,18,0)</f>
        <v>0</v>
      </c>
      <c r="AD246" s="102">
        <f>VLOOKUP(L246,行政合同!$L$6:$CC$300,19,0)</f>
        <v>0</v>
      </c>
      <c r="AE246" s="102">
        <f>VLOOKUP(L246,行政合同!$L$6:$CC$300,20,0)</f>
        <v>0</v>
      </c>
      <c r="AF246" s="102">
        <f>VLOOKUP(L246,行政合同!$L$6:$CC$300,21,0)</f>
        <v>0</v>
      </c>
      <c r="AG246" s="102">
        <f>VLOOKUP(L246,行政合同!$L$6:$CC$300,22,0)</f>
        <v>0</v>
      </c>
      <c r="AH246" s="102">
        <f>VLOOKUP(L246,行政合同!$L$6:$CC$300,23,0)</f>
        <v>0</v>
      </c>
      <c r="AI246" s="102">
        <f>VLOOKUP(L246,行政合同!$L$6:$CC$300,24,0)</f>
        <v>0</v>
      </c>
      <c r="AJ246" s="102">
        <f>VLOOKUP(L246,行政合同!$L$6:$CC$300,25,0)</f>
        <v>0</v>
      </c>
      <c r="AK246" s="102">
        <f>VLOOKUP(L246,行政合同!$L$6:$CC$300,26,0)</f>
        <v>0</v>
      </c>
      <c r="AL246" s="102">
        <f>VLOOKUP(L246,行政合同!$L$6:$CC$300,27,0)</f>
        <v>0</v>
      </c>
      <c r="AM246" s="102">
        <f>VLOOKUP(L246,行政合同!$L$6:$CC$300,28,0)</f>
        <v>0</v>
      </c>
      <c r="AN246" s="102">
        <f>VLOOKUP(L246,行政合同!$L$6:$CC$300,29,0)</f>
        <v>0</v>
      </c>
      <c r="AO246" s="102">
        <f>VLOOKUP(L246,行政合同!$L$6:$CC$300,30,0)</f>
        <v>0</v>
      </c>
      <c r="AP246" s="102">
        <f>VLOOKUP(L246,行政合同!$L$6:$CC$300,31,0)</f>
        <v>0</v>
      </c>
      <c r="AQ246" s="102">
        <f>VLOOKUP(L246,行政合同!$L$6:$CC$300,32,0)</f>
        <v>0</v>
      </c>
      <c r="AR246" s="102">
        <f>VLOOKUP(L246,行政合同!$L$6:$CC$300,33,0)</f>
        <v>0</v>
      </c>
      <c r="AS246" s="102">
        <f>VLOOKUP(L246,行政合同!$L$6:$CC$300,34,0)</f>
        <v>0</v>
      </c>
      <c r="AT246" s="102">
        <f>VLOOKUP(L246,行政合同!$L$6:$CC$300,35,0)</f>
        <v>0</v>
      </c>
      <c r="AU246" s="102">
        <f>VLOOKUP(L246,行政合同!$L$6:$CC$300,36,0)</f>
        <v>0</v>
      </c>
      <c r="AV246" s="102">
        <f>VLOOKUP(L246,行政合同!$L$6:$CC$300,37,0)</f>
        <v>0</v>
      </c>
      <c r="AW246" s="102">
        <f>VLOOKUP(L246,行政合同!$L$6:$CC$300,38,0)</f>
        <v>0</v>
      </c>
      <c r="AX246" s="102">
        <f>VLOOKUP(L246,行政合同!$L$6:$CC$300,39,0)</f>
        <v>0</v>
      </c>
      <c r="AY246" s="102">
        <f>VLOOKUP(L246,行政合同!$L$6:$CC$300,40,0)</f>
        <v>0</v>
      </c>
      <c r="AZ246" s="102">
        <f>VLOOKUP(L246,行政合同!$L$6:$CC$300,41,0)</f>
        <v>0</v>
      </c>
      <c r="BA246" s="102">
        <f>VLOOKUP(L246,行政合同!$L$6:$CC$300,42,0)</f>
        <v>0</v>
      </c>
      <c r="BB246" s="102">
        <f>VLOOKUP(L246,行政合同!$L$6:$CC$300,43,0)</f>
        <v>0</v>
      </c>
      <c r="BC246" s="102">
        <f>VLOOKUP(L246,行政合同!$L$6:$CC$300,44,0)</f>
        <v>0</v>
      </c>
      <c r="BD246" s="102">
        <f>VLOOKUP(L246,行政合同!$L$6:$CC$300,45,0)</f>
        <v>0</v>
      </c>
      <c r="BE246" s="102">
        <f>VLOOKUP(L246,行政合同!$L$6:$CC$300,46,0)</f>
        <v>0</v>
      </c>
      <c r="BF246" s="102">
        <f>VLOOKUP(L246,行政合同!$L$6:$CC$300,47,0)</f>
        <v>0</v>
      </c>
      <c r="BG246" s="102">
        <f>VLOOKUP(L246,行政合同!$L$6:$CC$300,48,0)</f>
        <v>0</v>
      </c>
      <c r="BH246" s="102">
        <f>VLOOKUP(L246,行政合同!$L$6:$CC$300,49,0)</f>
        <v>0</v>
      </c>
      <c r="BI246" s="102">
        <f>VLOOKUP(L246,行政合同!$L$6:$CC$300,50,0)</f>
        <v>0</v>
      </c>
      <c r="BJ246" s="102">
        <f>VLOOKUP(L246,行政合同!$L$6:$CC$300,51,0)</f>
        <v>0</v>
      </c>
      <c r="BK246" s="102">
        <f>VLOOKUP(L246,行政合同!$L$6:$CC$300,52,0)</f>
        <v>0</v>
      </c>
      <c r="BL246" s="102">
        <f>VLOOKUP(L246,行政合同!$L$6:$CC$300,53,0)</f>
        <v>0</v>
      </c>
      <c r="BM246" s="102">
        <f>VLOOKUP(L246,行政合同!$L$6:$CC$300,54,0)</f>
        <v>0</v>
      </c>
      <c r="BN246" s="102">
        <f>VLOOKUP(L246,行政合同!$L$6:$CC$300,55,0)</f>
        <v>0</v>
      </c>
      <c r="BO246" s="102">
        <f>VLOOKUP(L246,行政合同!$L$6:$CC$300,56,0)</f>
        <v>0</v>
      </c>
      <c r="BP246" s="102">
        <f>VLOOKUP(L246,行政合同!$L$6:$CC$300,57,0)</f>
        <v>0</v>
      </c>
      <c r="BQ246" s="102">
        <f>VLOOKUP(L246,行政合同!$L$6:$CC$300,58,0)</f>
        <v>0</v>
      </c>
      <c r="BR246" s="102">
        <f>VLOOKUP(L246,行政合同!$L$6:$CC$300,59,0)</f>
        <v>0</v>
      </c>
      <c r="BS246" s="102">
        <f>VLOOKUP(L246,行政合同!$L$6:$CC$300,60,0)</f>
        <v>0</v>
      </c>
      <c r="BT246" s="102">
        <f>VLOOKUP(L246,行政合同!$L$6:$CC$300,61,0)</f>
        <v>0</v>
      </c>
      <c r="BU246" s="102">
        <f>VLOOKUP(L246,行政合同!$L$6:$CC$300,62,0)</f>
        <v>0</v>
      </c>
      <c r="BV246" s="102">
        <f>VLOOKUP(L246,行政合同!$L$6:$CC$300,63,0)</f>
        <v>0</v>
      </c>
      <c r="BW246" s="102">
        <f>VLOOKUP(L246,行政合同!$L$6:$CC$300,64,0)</f>
        <v>0</v>
      </c>
      <c r="BX246" s="102">
        <f>VLOOKUP(L246,行政合同!$L$6:$CC$300,65,0)</f>
        <v>0</v>
      </c>
      <c r="BY246" s="102">
        <f>VLOOKUP(L246,行政合同!$L$6:$CC$300,66,0)</f>
        <v>0</v>
      </c>
      <c r="BZ246" s="102">
        <f>VLOOKUP(L246,行政合同!$L$6:$CC$300,67,0)</f>
        <v>0</v>
      </c>
      <c r="CA246" s="102">
        <f>VLOOKUP(L246,行政合同!$L$6:$CC$300,68,0)</f>
        <v>0</v>
      </c>
      <c r="CB246" s="102">
        <f>VLOOKUP(L246,行政合同!$L$6:$CC$300,69,0)</f>
        <v>0</v>
      </c>
      <c r="CC246" s="102">
        <f>VLOOKUP(L246,行政合同!$L$6:$CC$300,70,0)</f>
        <v>0</v>
      </c>
      <c r="CD246" s="123">
        <f t="shared" si="55"/>
        <v>34740</v>
      </c>
      <c r="CE246" s="102">
        <f t="shared" si="56"/>
        <v>0</v>
      </c>
      <c r="CF246" s="102">
        <f t="shared" si="57"/>
        <v>0</v>
      </c>
      <c r="CG246" s="102">
        <f t="shared" si="58"/>
        <v>0</v>
      </c>
      <c r="CH246" s="124">
        <f t="shared" si="59"/>
        <v>34740</v>
      </c>
      <c r="CI246" s="125">
        <f t="shared" si="60"/>
        <v>0</v>
      </c>
      <c r="CJ246" s="126" t="str">
        <f t="shared" si="61"/>
        <v>数据正确</v>
      </c>
    </row>
    <row r="247" s="60" customFormat="1" customHeight="1" spans="2:88">
      <c r="B247" s="70" t="str">
        <f t="shared" si="51"/>
        <v>-</v>
      </c>
      <c r="C247" s="71" t="str">
        <f t="shared" si="52"/>
        <v>-</v>
      </c>
      <c r="D247" s="181">
        <f t="shared" si="53"/>
        <v>172508</v>
      </c>
      <c r="E247" s="181">
        <f>SUMIF(行政合同!$L$6:$L$300,L247,行政合同!$E$6:$E$300)</f>
        <v>0</v>
      </c>
      <c r="F247" s="181">
        <f>SUMIF(行政合同!$L$6:$L$300,L247,行政合同!$F$6:$F$300)</f>
        <v>0</v>
      </c>
      <c r="G247" s="181">
        <f>SUMIF(行政合同!$L$6:$L$300,L247,行政合同!$G$6:$G$300)</f>
        <v>0</v>
      </c>
      <c r="H247" s="181">
        <f>SUMIF(行政合同!$L$6:$L$300,L247,行政合同!$H$6:$H$300)</f>
        <v>0</v>
      </c>
      <c r="I247" s="181">
        <f t="shared" si="54"/>
        <v>0</v>
      </c>
      <c r="J247" s="86" t="s">
        <v>98</v>
      </c>
      <c r="K247" s="87"/>
      <c r="L247" s="88">
        <v>242</v>
      </c>
      <c r="M247" s="89" t="str">
        <f>VLOOKUP(L247,行政合同!$L$6:$CC$300,2,0)</f>
        <v>YRKJXZ-170034</v>
      </c>
      <c r="N247" s="90" t="str">
        <f>VLOOKUP(L247,行政合同!$L$6:$CC$300,3,0)</f>
        <v>行政合同</v>
      </c>
      <c r="O247" s="265" t="str">
        <f>VLOOKUP(L247,行政合同!$L$6:$CC$300,4,0)</f>
        <v>-</v>
      </c>
      <c r="P247" s="266">
        <f>VLOOKUP(L247,行政合同!$L$6:$CC$300,5,0)</f>
        <v>42993</v>
      </c>
      <c r="Q247" s="275">
        <f>VLOOKUP(L247,行政合同!$L$6:$CC$300,6,0)</f>
        <v>190120</v>
      </c>
      <c r="R247" s="89" t="str">
        <f>VLOOKUP(L247,行政合同!$L$6:$CC$300,7,0)</f>
        <v>格力空调74台</v>
      </c>
      <c r="S247" s="89" t="str">
        <f>VLOOKUP(L247,行政合同!$L$6:$CC$300,8,0)</f>
        <v>莆田市秀屿区宏达贸易有限公司</v>
      </c>
      <c r="T247" s="107">
        <f>VLOOKUP(L247,行政合同!$L$6:$CC$300,9,0)</f>
        <v>0</v>
      </c>
      <c r="U247" s="103" t="str">
        <f>VLOOKUP(L247,行政合同!$L$6:$CC$300,10,0)</f>
        <v>电汇</v>
      </c>
      <c r="V247" s="276" t="str">
        <f>VLOOKUP(L247,行政合同!$L$6:$CC$300,11,0)</f>
        <v>甲方收到货款验收合格以及全额的发票后15个工作日支付90%的货款</v>
      </c>
      <c r="W247" s="102">
        <f>VLOOKUP(L247,行政合同!$L$6:$CC$300,12,0)</f>
        <v>172508</v>
      </c>
      <c r="X247" s="102">
        <f>VLOOKUP(L247,行政合同!$L$6:$CC$300,13,0)</f>
        <v>172508</v>
      </c>
      <c r="Y247" s="102">
        <f>VLOOKUP(L247,行政合同!$L$6:$CC$300,14,0)</f>
        <v>172508</v>
      </c>
      <c r="Z247" s="102" t="str">
        <f>VLOOKUP(L247,行政合同!$L$6:$CC$300,15,0)</f>
        <v>10%质量保证金，验收合格后12个月支付</v>
      </c>
      <c r="AA247" s="102">
        <f>VLOOKUP(L247,行政合同!$L$6:$CC$300,16,0)</f>
        <v>17612</v>
      </c>
      <c r="AB247" s="102">
        <f>VLOOKUP(L247,行政合同!$L$6:$CC$300,17,0)</f>
        <v>0</v>
      </c>
      <c r="AC247" s="102">
        <f>VLOOKUP(L247,行政合同!$L$6:$CC$300,18,0)</f>
        <v>0</v>
      </c>
      <c r="AD247" s="102">
        <f>VLOOKUP(L247,行政合同!$L$6:$CC$300,19,0)</f>
        <v>0</v>
      </c>
      <c r="AE247" s="102">
        <f>VLOOKUP(L247,行政合同!$L$6:$CC$300,20,0)</f>
        <v>0</v>
      </c>
      <c r="AF247" s="102">
        <f>VLOOKUP(L247,行政合同!$L$6:$CC$300,21,0)</f>
        <v>0</v>
      </c>
      <c r="AG247" s="102">
        <f>VLOOKUP(L247,行政合同!$L$6:$CC$300,22,0)</f>
        <v>0</v>
      </c>
      <c r="AH247" s="102">
        <f>VLOOKUP(L247,行政合同!$L$6:$CC$300,23,0)</f>
        <v>0</v>
      </c>
      <c r="AI247" s="102">
        <f>VLOOKUP(L247,行政合同!$L$6:$CC$300,24,0)</f>
        <v>0</v>
      </c>
      <c r="AJ247" s="102">
        <f>VLOOKUP(L247,行政合同!$L$6:$CC$300,25,0)</f>
        <v>0</v>
      </c>
      <c r="AK247" s="102">
        <f>VLOOKUP(L247,行政合同!$L$6:$CC$300,26,0)</f>
        <v>0</v>
      </c>
      <c r="AL247" s="102">
        <f>VLOOKUP(L247,行政合同!$L$6:$CC$300,27,0)</f>
        <v>0</v>
      </c>
      <c r="AM247" s="102">
        <f>VLOOKUP(L247,行政合同!$L$6:$CC$300,28,0)</f>
        <v>0</v>
      </c>
      <c r="AN247" s="102">
        <f>VLOOKUP(L247,行政合同!$L$6:$CC$300,29,0)</f>
        <v>0</v>
      </c>
      <c r="AO247" s="102">
        <f>VLOOKUP(L247,行政合同!$L$6:$CC$300,30,0)</f>
        <v>0</v>
      </c>
      <c r="AP247" s="102">
        <f>VLOOKUP(L247,行政合同!$L$6:$CC$300,31,0)</f>
        <v>0</v>
      </c>
      <c r="AQ247" s="102">
        <f>VLOOKUP(L247,行政合同!$L$6:$CC$300,32,0)</f>
        <v>0</v>
      </c>
      <c r="AR247" s="102">
        <f>VLOOKUP(L247,行政合同!$L$6:$CC$300,33,0)</f>
        <v>0</v>
      </c>
      <c r="AS247" s="102">
        <f>VLOOKUP(L247,行政合同!$L$6:$CC$300,34,0)</f>
        <v>0</v>
      </c>
      <c r="AT247" s="102">
        <f>VLOOKUP(L247,行政合同!$L$6:$CC$300,35,0)</f>
        <v>0</v>
      </c>
      <c r="AU247" s="102">
        <f>VLOOKUP(L247,行政合同!$L$6:$CC$300,36,0)</f>
        <v>0</v>
      </c>
      <c r="AV247" s="102">
        <f>VLOOKUP(L247,行政合同!$L$6:$CC$300,37,0)</f>
        <v>0</v>
      </c>
      <c r="AW247" s="102">
        <f>VLOOKUP(L247,行政合同!$L$6:$CC$300,38,0)</f>
        <v>0</v>
      </c>
      <c r="AX247" s="102">
        <f>VLOOKUP(L247,行政合同!$L$6:$CC$300,39,0)</f>
        <v>0</v>
      </c>
      <c r="AY247" s="102">
        <f>VLOOKUP(L247,行政合同!$L$6:$CC$300,40,0)</f>
        <v>0</v>
      </c>
      <c r="AZ247" s="102">
        <f>VLOOKUP(L247,行政合同!$L$6:$CC$300,41,0)</f>
        <v>0</v>
      </c>
      <c r="BA247" s="102">
        <f>VLOOKUP(L247,行政合同!$L$6:$CC$300,42,0)</f>
        <v>0</v>
      </c>
      <c r="BB247" s="102">
        <f>VLOOKUP(L247,行政合同!$L$6:$CC$300,43,0)</f>
        <v>0</v>
      </c>
      <c r="BC247" s="102">
        <f>VLOOKUP(L247,行政合同!$L$6:$CC$300,44,0)</f>
        <v>0</v>
      </c>
      <c r="BD247" s="102">
        <f>VLOOKUP(L247,行政合同!$L$6:$CC$300,45,0)</f>
        <v>0</v>
      </c>
      <c r="BE247" s="102">
        <f>VLOOKUP(L247,行政合同!$L$6:$CC$300,46,0)</f>
        <v>0</v>
      </c>
      <c r="BF247" s="102">
        <f>VLOOKUP(L247,行政合同!$L$6:$CC$300,47,0)</f>
        <v>0</v>
      </c>
      <c r="BG247" s="102">
        <f>VLOOKUP(L247,行政合同!$L$6:$CC$300,48,0)</f>
        <v>0</v>
      </c>
      <c r="BH247" s="102">
        <f>VLOOKUP(L247,行政合同!$L$6:$CC$300,49,0)</f>
        <v>0</v>
      </c>
      <c r="BI247" s="102">
        <f>VLOOKUP(L247,行政合同!$L$6:$CC$300,50,0)</f>
        <v>0</v>
      </c>
      <c r="BJ247" s="102">
        <f>VLOOKUP(L247,行政合同!$L$6:$CC$300,51,0)</f>
        <v>0</v>
      </c>
      <c r="BK247" s="102">
        <f>VLOOKUP(L247,行政合同!$L$6:$CC$300,52,0)</f>
        <v>0</v>
      </c>
      <c r="BL247" s="102">
        <f>VLOOKUP(L247,行政合同!$L$6:$CC$300,53,0)</f>
        <v>0</v>
      </c>
      <c r="BM247" s="102">
        <f>VLOOKUP(L247,行政合同!$L$6:$CC$300,54,0)</f>
        <v>0</v>
      </c>
      <c r="BN247" s="102">
        <f>VLOOKUP(L247,行政合同!$L$6:$CC$300,55,0)</f>
        <v>0</v>
      </c>
      <c r="BO247" s="102">
        <f>VLOOKUP(L247,行政合同!$L$6:$CC$300,56,0)</f>
        <v>0</v>
      </c>
      <c r="BP247" s="102">
        <f>VLOOKUP(L247,行政合同!$L$6:$CC$300,57,0)</f>
        <v>0</v>
      </c>
      <c r="BQ247" s="102">
        <f>VLOOKUP(L247,行政合同!$L$6:$CC$300,58,0)</f>
        <v>0</v>
      </c>
      <c r="BR247" s="102">
        <f>VLOOKUP(L247,行政合同!$L$6:$CC$300,59,0)</f>
        <v>0</v>
      </c>
      <c r="BS247" s="102">
        <f>VLOOKUP(L247,行政合同!$L$6:$CC$300,60,0)</f>
        <v>0</v>
      </c>
      <c r="BT247" s="102">
        <f>VLOOKUP(L247,行政合同!$L$6:$CC$300,61,0)</f>
        <v>0</v>
      </c>
      <c r="BU247" s="102">
        <f>VLOOKUP(L247,行政合同!$L$6:$CC$300,62,0)</f>
        <v>0</v>
      </c>
      <c r="BV247" s="102">
        <f>VLOOKUP(L247,行政合同!$L$6:$CC$300,63,0)</f>
        <v>0</v>
      </c>
      <c r="BW247" s="102">
        <f>VLOOKUP(L247,行政合同!$L$6:$CC$300,64,0)</f>
        <v>0</v>
      </c>
      <c r="BX247" s="102">
        <f>VLOOKUP(L247,行政合同!$L$6:$CC$300,65,0)</f>
        <v>0</v>
      </c>
      <c r="BY247" s="102">
        <f>VLOOKUP(L247,行政合同!$L$6:$CC$300,66,0)</f>
        <v>0</v>
      </c>
      <c r="BZ247" s="102">
        <f>VLOOKUP(L247,行政合同!$L$6:$CC$300,67,0)</f>
        <v>0</v>
      </c>
      <c r="CA247" s="102">
        <f>VLOOKUP(L247,行政合同!$L$6:$CC$300,68,0)</f>
        <v>0</v>
      </c>
      <c r="CB247" s="102">
        <f>VLOOKUP(L247,行政合同!$L$6:$CC$300,69,0)</f>
        <v>0</v>
      </c>
      <c r="CC247" s="102">
        <f>VLOOKUP(L247,行政合同!$L$6:$CC$300,70,0)</f>
        <v>0</v>
      </c>
      <c r="CD247" s="123">
        <f t="shared" si="55"/>
        <v>190120</v>
      </c>
      <c r="CE247" s="102">
        <f t="shared" si="56"/>
        <v>172508</v>
      </c>
      <c r="CF247" s="102">
        <f t="shared" si="57"/>
        <v>172508</v>
      </c>
      <c r="CG247" s="102">
        <f t="shared" si="58"/>
        <v>0</v>
      </c>
      <c r="CH247" s="124">
        <f t="shared" si="59"/>
        <v>17612</v>
      </c>
      <c r="CI247" s="125">
        <f t="shared" si="60"/>
        <v>0.907363770250368</v>
      </c>
      <c r="CJ247" s="126" t="str">
        <f t="shared" si="61"/>
        <v>数据正确</v>
      </c>
    </row>
    <row r="248" s="60" customFormat="1" customHeight="1" spans="2:88">
      <c r="B248" s="70" t="str">
        <f t="shared" si="51"/>
        <v>-</v>
      </c>
      <c r="C248" s="71" t="str">
        <f t="shared" si="52"/>
        <v>-</v>
      </c>
      <c r="D248" s="181">
        <f t="shared" si="53"/>
        <v>0</v>
      </c>
      <c r="E248" s="181">
        <f>SUMIF(行政合同!$L$6:$L$300,L248,行政合同!$E$6:$E$300)</f>
        <v>0</v>
      </c>
      <c r="F248" s="181">
        <f>SUMIF(行政合同!$L$6:$L$300,L248,行政合同!$F$6:$F$300)</f>
        <v>0</v>
      </c>
      <c r="G248" s="181">
        <f>SUMIF(行政合同!$L$6:$L$300,L248,行政合同!$G$6:$G$300)</f>
        <v>0</v>
      </c>
      <c r="H248" s="181">
        <f>SUMIF(行政合同!$L$6:$L$300,L248,行政合同!$H$6:$H$300)</f>
        <v>0</v>
      </c>
      <c r="I248" s="181">
        <f t="shared" si="54"/>
        <v>0</v>
      </c>
      <c r="J248" s="86" t="s">
        <v>98</v>
      </c>
      <c r="K248" s="87"/>
      <c r="L248" s="88">
        <v>243</v>
      </c>
      <c r="M248" s="89" t="str">
        <f>VLOOKUP(L248,行政合同!$L$6:$CC$300,2,0)</f>
        <v>YRKJXZ-170022</v>
      </c>
      <c r="N248" s="90" t="str">
        <f>VLOOKUP(L248,行政合同!$L$6:$CC$300,3,0)</f>
        <v>行政合同</v>
      </c>
      <c r="O248" s="265" t="str">
        <f>VLOOKUP(L248,行政合同!$L$6:$CC$300,4,0)</f>
        <v>-</v>
      </c>
      <c r="P248" s="266">
        <f>VLOOKUP(L248,行政合同!$L$6:$CC$300,5,0)</f>
        <v>42912</v>
      </c>
      <c r="Q248" s="275">
        <f>VLOOKUP(L248,行政合同!$L$6:$CC$300,6,0)</f>
        <v>57000</v>
      </c>
      <c r="R248" s="89" t="str">
        <f>VLOOKUP(L248,行政合同!$L$6:$CC$300,7,0)</f>
        <v>服务器、硬盘</v>
      </c>
      <c r="S248" s="89" t="str">
        <f>VLOOKUP(L248,行政合同!$L$6:$CC$300,8,0)</f>
        <v>福建聚众科技有限公司</v>
      </c>
      <c r="T248" s="107">
        <f>VLOOKUP(L248,行政合同!$L$6:$CC$300,9,0)</f>
        <v>0</v>
      </c>
      <c r="U248" s="103" t="str">
        <f>VLOOKUP(L248,行政合同!$L$6:$CC$300,10,0)</f>
        <v>6个月承兑汇票/接受反向贴息</v>
      </c>
      <c r="V248" s="276" t="str">
        <f>VLOOKUP(L248,行政合同!$L$6:$CC$300,11,0)</f>
        <v>甲方收到货款验收合格以及全额的发票后15个工作日支付100%的货款</v>
      </c>
      <c r="W248" s="102">
        <f>VLOOKUP(L248,行政合同!$L$6:$CC$300,12,0)</f>
        <v>57000</v>
      </c>
      <c r="X248" s="102">
        <f>VLOOKUP(L248,行政合同!$L$6:$CC$300,13,0)</f>
        <v>0</v>
      </c>
      <c r="Y248" s="102">
        <f>VLOOKUP(L248,行政合同!$L$6:$CC$300,14,0)</f>
        <v>0</v>
      </c>
      <c r="Z248" s="102">
        <f>VLOOKUP(L248,行政合同!$L$6:$CC$300,15,0)</f>
        <v>0</v>
      </c>
      <c r="AA248" s="102">
        <f>VLOOKUP(L248,行政合同!$L$6:$CC$300,16,0)</f>
        <v>0</v>
      </c>
      <c r="AB248" s="102">
        <f>VLOOKUP(L248,行政合同!$L$6:$CC$300,17,0)</f>
        <v>0</v>
      </c>
      <c r="AC248" s="102">
        <f>VLOOKUP(L248,行政合同!$L$6:$CC$300,18,0)</f>
        <v>0</v>
      </c>
      <c r="AD248" s="102">
        <f>VLOOKUP(L248,行政合同!$L$6:$CC$300,19,0)</f>
        <v>0</v>
      </c>
      <c r="AE248" s="102">
        <f>VLOOKUP(L248,行政合同!$L$6:$CC$300,20,0)</f>
        <v>0</v>
      </c>
      <c r="AF248" s="102">
        <f>VLOOKUP(L248,行政合同!$L$6:$CC$300,21,0)</f>
        <v>0</v>
      </c>
      <c r="AG248" s="102">
        <f>VLOOKUP(L248,行政合同!$L$6:$CC$300,22,0)</f>
        <v>0</v>
      </c>
      <c r="AH248" s="102">
        <f>VLOOKUP(L248,行政合同!$L$6:$CC$300,23,0)</f>
        <v>0</v>
      </c>
      <c r="AI248" s="102">
        <f>VLOOKUP(L248,行政合同!$L$6:$CC$300,24,0)</f>
        <v>0</v>
      </c>
      <c r="AJ248" s="102">
        <f>VLOOKUP(L248,行政合同!$L$6:$CC$300,25,0)</f>
        <v>0</v>
      </c>
      <c r="AK248" s="102">
        <f>VLOOKUP(L248,行政合同!$L$6:$CC$300,26,0)</f>
        <v>0</v>
      </c>
      <c r="AL248" s="102">
        <f>VLOOKUP(L248,行政合同!$L$6:$CC$300,27,0)</f>
        <v>0</v>
      </c>
      <c r="AM248" s="102">
        <f>VLOOKUP(L248,行政合同!$L$6:$CC$300,28,0)</f>
        <v>0</v>
      </c>
      <c r="AN248" s="102">
        <f>VLOOKUP(L248,行政合同!$L$6:$CC$300,29,0)</f>
        <v>0</v>
      </c>
      <c r="AO248" s="102">
        <f>VLOOKUP(L248,行政合同!$L$6:$CC$300,30,0)</f>
        <v>0</v>
      </c>
      <c r="AP248" s="102">
        <f>VLOOKUP(L248,行政合同!$L$6:$CC$300,31,0)</f>
        <v>0</v>
      </c>
      <c r="AQ248" s="102">
        <f>VLOOKUP(L248,行政合同!$L$6:$CC$300,32,0)</f>
        <v>0</v>
      </c>
      <c r="AR248" s="102">
        <f>VLOOKUP(L248,行政合同!$L$6:$CC$300,33,0)</f>
        <v>0</v>
      </c>
      <c r="AS248" s="102">
        <f>VLOOKUP(L248,行政合同!$L$6:$CC$300,34,0)</f>
        <v>0</v>
      </c>
      <c r="AT248" s="102">
        <f>VLOOKUP(L248,行政合同!$L$6:$CC$300,35,0)</f>
        <v>0</v>
      </c>
      <c r="AU248" s="102">
        <f>VLOOKUP(L248,行政合同!$L$6:$CC$300,36,0)</f>
        <v>0</v>
      </c>
      <c r="AV248" s="102">
        <f>VLOOKUP(L248,行政合同!$L$6:$CC$300,37,0)</f>
        <v>0</v>
      </c>
      <c r="AW248" s="102">
        <f>VLOOKUP(L248,行政合同!$L$6:$CC$300,38,0)</f>
        <v>0</v>
      </c>
      <c r="AX248" s="102">
        <f>VLOOKUP(L248,行政合同!$L$6:$CC$300,39,0)</f>
        <v>0</v>
      </c>
      <c r="AY248" s="102">
        <f>VLOOKUP(L248,行政合同!$L$6:$CC$300,40,0)</f>
        <v>0</v>
      </c>
      <c r="AZ248" s="102">
        <f>VLOOKUP(L248,行政合同!$L$6:$CC$300,41,0)</f>
        <v>0</v>
      </c>
      <c r="BA248" s="102">
        <f>VLOOKUP(L248,行政合同!$L$6:$CC$300,42,0)</f>
        <v>0</v>
      </c>
      <c r="BB248" s="102">
        <f>VLOOKUP(L248,行政合同!$L$6:$CC$300,43,0)</f>
        <v>0</v>
      </c>
      <c r="BC248" s="102">
        <f>VLOOKUP(L248,行政合同!$L$6:$CC$300,44,0)</f>
        <v>0</v>
      </c>
      <c r="BD248" s="102">
        <f>VLOOKUP(L248,行政合同!$L$6:$CC$300,45,0)</f>
        <v>0</v>
      </c>
      <c r="BE248" s="102">
        <f>VLOOKUP(L248,行政合同!$L$6:$CC$300,46,0)</f>
        <v>0</v>
      </c>
      <c r="BF248" s="102">
        <f>VLOOKUP(L248,行政合同!$L$6:$CC$300,47,0)</f>
        <v>0</v>
      </c>
      <c r="BG248" s="102">
        <f>VLOOKUP(L248,行政合同!$L$6:$CC$300,48,0)</f>
        <v>0</v>
      </c>
      <c r="BH248" s="102">
        <f>VLOOKUP(L248,行政合同!$L$6:$CC$300,49,0)</f>
        <v>0</v>
      </c>
      <c r="BI248" s="102">
        <f>VLOOKUP(L248,行政合同!$L$6:$CC$300,50,0)</f>
        <v>0</v>
      </c>
      <c r="BJ248" s="102">
        <f>VLOOKUP(L248,行政合同!$L$6:$CC$300,51,0)</f>
        <v>0</v>
      </c>
      <c r="BK248" s="102">
        <f>VLOOKUP(L248,行政合同!$L$6:$CC$300,52,0)</f>
        <v>0</v>
      </c>
      <c r="BL248" s="102">
        <f>VLOOKUP(L248,行政合同!$L$6:$CC$300,53,0)</f>
        <v>0</v>
      </c>
      <c r="BM248" s="102">
        <f>VLOOKUP(L248,行政合同!$L$6:$CC$300,54,0)</f>
        <v>0</v>
      </c>
      <c r="BN248" s="102">
        <f>VLOOKUP(L248,行政合同!$L$6:$CC$300,55,0)</f>
        <v>0</v>
      </c>
      <c r="BO248" s="102">
        <f>VLOOKUP(L248,行政合同!$L$6:$CC$300,56,0)</f>
        <v>0</v>
      </c>
      <c r="BP248" s="102">
        <f>VLOOKUP(L248,行政合同!$L$6:$CC$300,57,0)</f>
        <v>0</v>
      </c>
      <c r="BQ248" s="102">
        <f>VLOOKUP(L248,行政合同!$L$6:$CC$300,58,0)</f>
        <v>0</v>
      </c>
      <c r="BR248" s="102">
        <f>VLOOKUP(L248,行政合同!$L$6:$CC$300,59,0)</f>
        <v>0</v>
      </c>
      <c r="BS248" s="102">
        <f>VLOOKUP(L248,行政合同!$L$6:$CC$300,60,0)</f>
        <v>0</v>
      </c>
      <c r="BT248" s="102">
        <f>VLOOKUP(L248,行政合同!$L$6:$CC$300,61,0)</f>
        <v>0</v>
      </c>
      <c r="BU248" s="102">
        <f>VLOOKUP(L248,行政合同!$L$6:$CC$300,62,0)</f>
        <v>0</v>
      </c>
      <c r="BV248" s="102">
        <f>VLOOKUP(L248,行政合同!$L$6:$CC$300,63,0)</f>
        <v>0</v>
      </c>
      <c r="BW248" s="102">
        <f>VLOOKUP(L248,行政合同!$L$6:$CC$300,64,0)</f>
        <v>0</v>
      </c>
      <c r="BX248" s="102">
        <f>VLOOKUP(L248,行政合同!$L$6:$CC$300,65,0)</f>
        <v>0</v>
      </c>
      <c r="BY248" s="102">
        <f>VLOOKUP(L248,行政合同!$L$6:$CC$300,66,0)</f>
        <v>0</v>
      </c>
      <c r="BZ248" s="102">
        <f>VLOOKUP(L248,行政合同!$L$6:$CC$300,67,0)</f>
        <v>0</v>
      </c>
      <c r="CA248" s="102">
        <f>VLOOKUP(L248,行政合同!$L$6:$CC$300,68,0)</f>
        <v>0</v>
      </c>
      <c r="CB248" s="102">
        <f>VLOOKUP(L248,行政合同!$L$6:$CC$300,69,0)</f>
        <v>0</v>
      </c>
      <c r="CC248" s="102">
        <f>VLOOKUP(L248,行政合同!$L$6:$CC$300,70,0)</f>
        <v>0</v>
      </c>
      <c r="CD248" s="123">
        <f t="shared" si="55"/>
        <v>57000</v>
      </c>
      <c r="CE248" s="102">
        <f t="shared" si="56"/>
        <v>0</v>
      </c>
      <c r="CF248" s="102">
        <f t="shared" si="57"/>
        <v>0</v>
      </c>
      <c r="CG248" s="102">
        <f t="shared" si="58"/>
        <v>0</v>
      </c>
      <c r="CH248" s="124">
        <f t="shared" si="59"/>
        <v>57000</v>
      </c>
      <c r="CI248" s="125">
        <f t="shared" si="60"/>
        <v>0</v>
      </c>
      <c r="CJ248" s="126" t="str">
        <f t="shared" si="61"/>
        <v>数据正确</v>
      </c>
    </row>
    <row r="249" s="60" customFormat="1" customHeight="1" spans="2:88">
      <c r="B249" s="70" t="str">
        <f t="shared" si="51"/>
        <v>-</v>
      </c>
      <c r="C249" s="71" t="str">
        <f t="shared" si="52"/>
        <v>-</v>
      </c>
      <c r="D249" s="181">
        <f t="shared" si="53"/>
        <v>0</v>
      </c>
      <c r="E249" s="181">
        <f>SUMIF(设备合同!$L$6:$L$302,L249,设备合同!$E$6:$E$302)</f>
        <v>0</v>
      </c>
      <c r="F249" s="181">
        <f>SUMIF(设备合同!$L$6:$L$302,L249,设备合同!$F$6:$F$302)</f>
        <v>0</v>
      </c>
      <c r="G249" s="181">
        <f>SUMIF(设备合同!$L$6:$L$302,L249,设备合同!$G$6:$G$302)</f>
        <v>0</v>
      </c>
      <c r="H249" s="181">
        <f>SUMIF(设备合同!$L$6:$L$302,L249,设备合同!$H$6:$H$302)</f>
        <v>0</v>
      </c>
      <c r="I249" s="181">
        <f t="shared" si="54"/>
        <v>0</v>
      </c>
      <c r="J249" s="86" t="s">
        <v>98</v>
      </c>
      <c r="K249" s="87"/>
      <c r="L249" s="88">
        <v>244</v>
      </c>
      <c r="M249" s="89" t="str">
        <f>VLOOKUP(L249,设备合同!$L$6:$CC$302,2,0)</f>
        <v>YRKJEQ-170094</v>
      </c>
      <c r="N249" s="90" t="str">
        <f>VLOOKUP(L249,设备合同!$L$6:$CC$302,3,0)</f>
        <v>设备合同</v>
      </c>
      <c r="O249" s="265">
        <f>VLOOKUP(L249,设备合同!$L$6:$CC$302,4,0)</f>
        <v>0</v>
      </c>
      <c r="P249" s="266">
        <f>VLOOKUP(L249,设备合同!$L$6:$CC$302,5,0)</f>
        <v>42983</v>
      </c>
      <c r="Q249" s="275">
        <f>VLOOKUP(L249,设备合同!$L$6:$CC$302,6,0)</f>
        <v>3938</v>
      </c>
      <c r="R249" s="89" t="str">
        <f>VLOOKUP(L249,设备合同!$L$6:$CC$302,7,0)</f>
        <v>光谱分析仪器用电池</v>
      </c>
      <c r="S249" s="89" t="str">
        <f>VLOOKUP(L249,设备合同!$L$6:$CC$302,8,0)</f>
        <v>赛默飞世尔科技（中国）有限公司</v>
      </c>
      <c r="T249" s="107">
        <f>VLOOKUP(L249,设备合同!$L$6:$CC$302,9,0)</f>
        <v>0</v>
      </c>
      <c r="U249" s="103" t="str">
        <f>VLOOKUP(L249,设备合同!$L$6:$CC$302,10,0)</f>
        <v>电汇</v>
      </c>
      <c r="V249" s="276" t="str">
        <f>VLOOKUP(L249,设备合同!$L$6:$CC$302,11,0)</f>
        <v>100%预付款</v>
      </c>
      <c r="W249" s="102">
        <f>VLOOKUP(L249,设备合同!$L$6:$CC$302,12,0)</f>
        <v>3938</v>
      </c>
      <c r="X249" s="102">
        <f>VLOOKUP(L249,设备合同!$L$6:$CC$302,13,0)</f>
        <v>0</v>
      </c>
      <c r="Y249" s="102">
        <f>VLOOKUP(L249,设备合同!$L$6:$CC$302,14,0)</f>
        <v>0</v>
      </c>
      <c r="Z249" s="102">
        <f>VLOOKUP(L249,设备合同!$L$6:$CC$302,15,0)</f>
        <v>0</v>
      </c>
      <c r="AA249" s="102">
        <f>VLOOKUP(L249,设备合同!$L$6:$CC$302,16,0)</f>
        <v>0</v>
      </c>
      <c r="AB249" s="102">
        <f>VLOOKUP(L249,设备合同!$L$6:$CC$302,17,0)</f>
        <v>0</v>
      </c>
      <c r="AC249" s="102">
        <f>VLOOKUP(L249,设备合同!$L$6:$CC$302,18,0)</f>
        <v>0</v>
      </c>
      <c r="AD249" s="102">
        <f>VLOOKUP(L249,设备合同!$L$6:$CC$302,19,0)</f>
        <v>0</v>
      </c>
      <c r="AE249" s="102">
        <f>VLOOKUP(L249,设备合同!$L$6:$CC$302,20,0)</f>
        <v>0</v>
      </c>
      <c r="AF249" s="102">
        <f>VLOOKUP(L249,设备合同!$L$6:$CC$302,21,0)</f>
        <v>0</v>
      </c>
      <c r="AG249" s="102">
        <f>VLOOKUP(L249,设备合同!$L$6:$CC$302,22,0)</f>
        <v>0</v>
      </c>
      <c r="AH249" s="102">
        <f>VLOOKUP(L249,设备合同!$L$6:$CC$302,23,0)</f>
        <v>0</v>
      </c>
      <c r="AI249" s="102">
        <f>VLOOKUP(L249,设备合同!$L$6:$CC$302,24,0)</f>
        <v>0</v>
      </c>
      <c r="AJ249" s="102">
        <f>VLOOKUP(L249,设备合同!$L$6:$CC$302,25,0)</f>
        <v>0</v>
      </c>
      <c r="AK249" s="102">
        <f>VLOOKUP(L249,设备合同!$L$6:$CC$302,26,0)</f>
        <v>0</v>
      </c>
      <c r="AL249" s="102">
        <f>VLOOKUP(L249,设备合同!$L$6:$CC$302,27,0)</f>
        <v>0</v>
      </c>
      <c r="AM249" s="102">
        <f>VLOOKUP(L249,设备合同!$L$6:$CC$302,28,0)</f>
        <v>0</v>
      </c>
      <c r="AN249" s="102">
        <f>VLOOKUP(L249,设备合同!$L$6:$CC$302,29,0)</f>
        <v>0</v>
      </c>
      <c r="AO249" s="102">
        <f>VLOOKUP(L249,设备合同!$L$6:$CC$302,30,0)</f>
        <v>0</v>
      </c>
      <c r="AP249" s="102">
        <f>VLOOKUP(L249,设备合同!$L$6:$CC$302,31,0)</f>
        <v>0</v>
      </c>
      <c r="AQ249" s="102">
        <f>VLOOKUP(L249,设备合同!$L$6:$CC$302,32,0)</f>
        <v>0</v>
      </c>
      <c r="AR249" s="102">
        <f>VLOOKUP(L249,设备合同!$L$6:$CC$302,33,0)</f>
        <v>0</v>
      </c>
      <c r="AS249" s="102">
        <f>VLOOKUP(L249,设备合同!$L$6:$CC$302,34,0)</f>
        <v>0</v>
      </c>
      <c r="AT249" s="102">
        <f>VLOOKUP(L249,设备合同!$L$6:$CC$302,35,0)</f>
        <v>0</v>
      </c>
      <c r="AU249" s="102">
        <f>VLOOKUP(L249,设备合同!$L$6:$CC$302,36,0)</f>
        <v>0</v>
      </c>
      <c r="AV249" s="102">
        <f>VLOOKUP(L249,设备合同!$L$6:$CC$302,37,0)</f>
        <v>0</v>
      </c>
      <c r="AW249" s="102">
        <f>VLOOKUP(L249,设备合同!$L$6:$CC$302,38,0)</f>
        <v>0</v>
      </c>
      <c r="AX249" s="102">
        <f>VLOOKUP(L249,设备合同!$L$6:$CC$302,39,0)</f>
        <v>0</v>
      </c>
      <c r="AY249" s="102">
        <f>VLOOKUP(L249,设备合同!$L$6:$CC$302,40,0)</f>
        <v>0</v>
      </c>
      <c r="AZ249" s="102">
        <f>VLOOKUP(L249,设备合同!$L$6:$CC$302,41,0)</f>
        <v>0</v>
      </c>
      <c r="BA249" s="102">
        <f>VLOOKUP(L249,设备合同!$L$6:$CC$302,42,0)</f>
        <v>0</v>
      </c>
      <c r="BB249" s="102">
        <f>VLOOKUP(L249,设备合同!$L$6:$CC$302,43,0)</f>
        <v>0</v>
      </c>
      <c r="BC249" s="102">
        <f>VLOOKUP(L249,设备合同!$L$6:$CC$302,44,0)</f>
        <v>0</v>
      </c>
      <c r="BD249" s="102">
        <f>VLOOKUP(L249,设备合同!$L$6:$CC$302,45,0)</f>
        <v>0</v>
      </c>
      <c r="BE249" s="102">
        <f>VLOOKUP(L249,设备合同!$L$6:$CC$302,46,0)</f>
        <v>0</v>
      </c>
      <c r="BF249" s="102">
        <f>VLOOKUP(L249,设备合同!$L$6:$CC$302,47,0)</f>
        <v>0</v>
      </c>
      <c r="BG249" s="102">
        <f>VLOOKUP(L249,设备合同!$L$6:$CC$302,48,0)</f>
        <v>0</v>
      </c>
      <c r="BH249" s="102">
        <f>VLOOKUP(L249,设备合同!$L$6:$CC$302,49,0)</f>
        <v>0</v>
      </c>
      <c r="BI249" s="102">
        <f>VLOOKUP(L249,设备合同!$L$6:$CC$302,50,0)</f>
        <v>0</v>
      </c>
      <c r="BJ249" s="102">
        <f>VLOOKUP(L249,设备合同!$L$6:$CC$302,51,0)</f>
        <v>0</v>
      </c>
      <c r="BK249" s="102">
        <f>VLOOKUP(L249,设备合同!$L$6:$CC$302,52,0)</f>
        <v>0</v>
      </c>
      <c r="BL249" s="102">
        <f>VLOOKUP(L249,设备合同!$L$6:$CC$302,53,0)</f>
        <v>0</v>
      </c>
      <c r="BM249" s="102">
        <f>VLOOKUP(L249,设备合同!$L$6:$CC$302,54,0)</f>
        <v>0</v>
      </c>
      <c r="BN249" s="102">
        <f>VLOOKUP(L249,设备合同!$L$6:$CC$302,55,0)</f>
        <v>0</v>
      </c>
      <c r="BO249" s="102">
        <f>VLOOKUP(L249,设备合同!$L$6:$CC$302,56,0)</f>
        <v>0</v>
      </c>
      <c r="BP249" s="102">
        <f>VLOOKUP(L249,设备合同!$L$6:$CC$302,57,0)</f>
        <v>0</v>
      </c>
      <c r="BQ249" s="102">
        <f>VLOOKUP(L249,设备合同!$L$6:$CC$302,58,0)</f>
        <v>0</v>
      </c>
      <c r="BR249" s="102">
        <f>VLOOKUP(L249,设备合同!$L$6:$CC$302,59,0)</f>
        <v>0</v>
      </c>
      <c r="BS249" s="102">
        <f>VLOOKUP(L249,设备合同!$L$6:$CC$302,60,0)</f>
        <v>0</v>
      </c>
      <c r="BT249" s="102">
        <f>VLOOKUP(L249,设备合同!$L$6:$CC$302,61,0)</f>
        <v>0</v>
      </c>
      <c r="BU249" s="102">
        <f>VLOOKUP(L249,设备合同!$L$6:$CC$302,62,0)</f>
        <v>0</v>
      </c>
      <c r="BV249" s="102">
        <f>VLOOKUP(L249,设备合同!$L$6:$CC$302,63,0)</f>
        <v>0</v>
      </c>
      <c r="BW249" s="102">
        <f>VLOOKUP(L249,设备合同!$L$6:$CC$302,64,0)</f>
        <v>0</v>
      </c>
      <c r="BX249" s="102">
        <f>VLOOKUP(L249,设备合同!$L$6:$CC$302,65,0)</f>
        <v>0</v>
      </c>
      <c r="BY249" s="102">
        <f>VLOOKUP(L249,设备合同!$L$6:$CC$302,66,0)</f>
        <v>0</v>
      </c>
      <c r="BZ249" s="102">
        <f>VLOOKUP(L249,设备合同!$L$6:$CC$302,67,0)</f>
        <v>0</v>
      </c>
      <c r="CA249" s="102">
        <f>VLOOKUP(L249,设备合同!$L$6:$CC$302,68,0)</f>
        <v>0</v>
      </c>
      <c r="CB249" s="102">
        <f>VLOOKUP(L249,设备合同!$L$6:$CC$302,69,0)</f>
        <v>0</v>
      </c>
      <c r="CC249" s="102">
        <f>VLOOKUP(L249,设备合同!$L$6:$CC$302,70,0)</f>
        <v>0</v>
      </c>
      <c r="CD249" s="123">
        <f t="shared" si="55"/>
        <v>3938</v>
      </c>
      <c r="CE249" s="102">
        <f t="shared" si="56"/>
        <v>0</v>
      </c>
      <c r="CF249" s="102">
        <f t="shared" si="57"/>
        <v>0</v>
      </c>
      <c r="CG249" s="102">
        <f t="shared" si="58"/>
        <v>0</v>
      </c>
      <c r="CH249" s="124">
        <f t="shared" si="59"/>
        <v>3938</v>
      </c>
      <c r="CI249" s="125">
        <f t="shared" si="60"/>
        <v>0</v>
      </c>
      <c r="CJ249" s="126" t="str">
        <f t="shared" si="61"/>
        <v>数据正确</v>
      </c>
    </row>
    <row r="250" s="60" customFormat="1" customHeight="1" spans="2:88">
      <c r="B250" s="70" t="str">
        <f t="shared" si="51"/>
        <v>-</v>
      </c>
      <c r="C250" s="71" t="str">
        <f t="shared" si="52"/>
        <v>-</v>
      </c>
      <c r="D250" s="181">
        <f t="shared" si="53"/>
        <v>0</v>
      </c>
      <c r="E250" s="181">
        <f>SUMIF(材料合同!$L$6:$L$305,L250,材料合同!$E$6:$E$305)</f>
        <v>0</v>
      </c>
      <c r="F250" s="181">
        <f>SUMIF(材料合同!$L$6:$L$305,L250,材料合同!$F$6:$F$305)</f>
        <v>0</v>
      </c>
      <c r="G250" s="181">
        <f>SUMIF(材料合同!$L$6:$L$305,L250,材料合同!$G$6:$G$305)</f>
        <v>0</v>
      </c>
      <c r="H250" s="181">
        <f>SUMIF(材料合同!$L$6:$L$305,L250,材料合同!$H$6:$H$305)</f>
        <v>0</v>
      </c>
      <c r="I250" s="181">
        <f t="shared" si="54"/>
        <v>0</v>
      </c>
      <c r="J250" s="86" t="s">
        <v>98</v>
      </c>
      <c r="K250" s="87"/>
      <c r="L250" s="88">
        <v>245</v>
      </c>
      <c r="M250" s="89" t="str">
        <f>VLOOKUP(L250,材料合同!$L$6:$CC$305,2,0)</f>
        <v>YRKJGC-170041</v>
      </c>
      <c r="N250" s="90" t="str">
        <f>VLOOKUP(L250,材料合同!$L$6:$CC$305,3,0)</f>
        <v>材料合同</v>
      </c>
      <c r="O250" s="265">
        <f>VLOOKUP(L250,材料合同!$L$6:$CC$305,4,0)</f>
        <v>2017070074</v>
      </c>
      <c r="P250" s="266">
        <f>VLOOKUP(L250,材料合同!$L$6:$CC$305,5,0)</f>
        <v>42972</v>
      </c>
      <c r="Q250" s="275">
        <f>VLOOKUP(L250,材料合同!$L$6:$CC$305,6,0)</f>
        <v>280000</v>
      </c>
      <c r="R250" s="89" t="str">
        <f>VLOOKUP(L250,材料合同!$L$6:$CC$305,7,0)</f>
        <v>消防管件一批</v>
      </c>
      <c r="S250" s="89" t="str">
        <f>VLOOKUP(L250,材料合同!$L$6:$CC$305,8,0)</f>
        <v>泉州市中天石油化工机械制造有限公司</v>
      </c>
      <c r="T250" s="107">
        <f>VLOOKUP(L250,材料合同!$L$6:$CC$305,9,0)</f>
        <v>0</v>
      </c>
      <c r="U250" s="103" t="str">
        <f>VLOOKUP(L250,材料合同!$L$6:$CC$305,10,0)</f>
        <v>6个月承兑汇票/电汇下浮按银行贷款利率</v>
      </c>
      <c r="V250" s="276" t="str">
        <f>VLOOKUP(L250,材料合同!$L$6:$CC$305,11,0)</f>
        <v>甲方收到货、发票后，10-15个工作日支付95%</v>
      </c>
      <c r="W250" s="102">
        <f>VLOOKUP(L250,材料合同!$L$6:$CC$305,12,0)</f>
        <v>266000</v>
      </c>
      <c r="X250" s="102">
        <f>VLOOKUP(L250,材料合同!$L$6:$CC$305,13,0)</f>
        <v>0</v>
      </c>
      <c r="Y250" s="102">
        <f>VLOOKUP(L250,材料合同!$L$6:$CC$305,14,0)</f>
        <v>0</v>
      </c>
      <c r="Z250" s="102" t="str">
        <f>VLOOKUP(L250,材料合同!$L$6:$CC$305,15,0)</f>
        <v>5%质保金，自验收合格，满12月或货到现场19个月支付</v>
      </c>
      <c r="AA250" s="102">
        <f>VLOOKUP(L250,材料合同!$L$6:$CC$305,16,0)</f>
        <v>14000</v>
      </c>
      <c r="AB250" s="102">
        <f>VLOOKUP(L250,材料合同!$L$6:$CC$305,17,0)</f>
        <v>0</v>
      </c>
      <c r="AC250" s="102">
        <f>VLOOKUP(L250,材料合同!$L$6:$CC$305,18,0)</f>
        <v>0</v>
      </c>
      <c r="AD250" s="102">
        <f>VLOOKUP(L250,材料合同!$L$6:$CC$305,19,0)</f>
        <v>0</v>
      </c>
      <c r="AE250" s="102">
        <f>VLOOKUP(L250,材料合同!$L$6:$CC$305,20,0)</f>
        <v>0</v>
      </c>
      <c r="AF250" s="102">
        <f>VLOOKUP(L250,材料合同!$L$6:$CC$305,21,0)</f>
        <v>0</v>
      </c>
      <c r="AG250" s="102">
        <f>VLOOKUP(L250,材料合同!$L$6:$CC$305,22,0)</f>
        <v>0</v>
      </c>
      <c r="AH250" s="102">
        <f>VLOOKUP(L250,材料合同!$L$6:$CC$305,23,0)</f>
        <v>0</v>
      </c>
      <c r="AI250" s="102">
        <f>VLOOKUP(L250,材料合同!$L$6:$CC$305,24,0)</f>
        <v>0</v>
      </c>
      <c r="AJ250" s="102">
        <f>VLOOKUP(L250,材料合同!$L$6:$CC$305,25,0)</f>
        <v>0</v>
      </c>
      <c r="AK250" s="102">
        <f>VLOOKUP(L250,材料合同!$L$6:$CC$305,26,0)</f>
        <v>0</v>
      </c>
      <c r="AL250" s="102">
        <f>VLOOKUP(L250,材料合同!$L$6:$CC$305,27,0)</f>
        <v>0</v>
      </c>
      <c r="AM250" s="102">
        <f>VLOOKUP(L250,材料合同!$L$6:$CC$305,28,0)</f>
        <v>0</v>
      </c>
      <c r="AN250" s="102">
        <f>VLOOKUP(L250,材料合同!$L$6:$CC$305,29,0)</f>
        <v>0</v>
      </c>
      <c r="AO250" s="102">
        <f>VLOOKUP(L250,材料合同!$L$6:$CC$305,30,0)</f>
        <v>0</v>
      </c>
      <c r="AP250" s="102">
        <f>VLOOKUP(L250,材料合同!$L$6:$CC$305,31,0)</f>
        <v>0</v>
      </c>
      <c r="AQ250" s="102">
        <f>VLOOKUP(L250,材料合同!$L$6:$CC$305,32,0)</f>
        <v>0</v>
      </c>
      <c r="AR250" s="102">
        <f>VLOOKUP(L250,材料合同!$L$6:$CC$305,33,0)</f>
        <v>0</v>
      </c>
      <c r="AS250" s="102">
        <f>VLOOKUP(L250,材料合同!$L$6:$CC$305,34,0)</f>
        <v>0</v>
      </c>
      <c r="AT250" s="102">
        <f>VLOOKUP(L250,材料合同!$L$6:$CC$305,35,0)</f>
        <v>0</v>
      </c>
      <c r="AU250" s="102">
        <f>VLOOKUP(L250,材料合同!$L$6:$CC$305,36,0)</f>
        <v>0</v>
      </c>
      <c r="AV250" s="102">
        <f>VLOOKUP(L250,材料合同!$L$6:$CC$305,37,0)</f>
        <v>0</v>
      </c>
      <c r="AW250" s="102">
        <f>VLOOKUP(L250,材料合同!$L$6:$CC$305,38,0)</f>
        <v>0</v>
      </c>
      <c r="AX250" s="102">
        <f>VLOOKUP(L250,材料合同!$L$6:$CC$305,39,0)</f>
        <v>0</v>
      </c>
      <c r="AY250" s="102">
        <f>VLOOKUP(L250,材料合同!$L$6:$CC$305,40,0)</f>
        <v>0</v>
      </c>
      <c r="AZ250" s="102">
        <f>VLOOKUP(L250,材料合同!$L$6:$CC$305,41,0)</f>
        <v>0</v>
      </c>
      <c r="BA250" s="102">
        <f>VLOOKUP(L250,材料合同!$L$6:$CC$305,42,0)</f>
        <v>0</v>
      </c>
      <c r="BB250" s="102">
        <f>VLOOKUP(L250,材料合同!$L$6:$CC$305,43,0)</f>
        <v>0</v>
      </c>
      <c r="BC250" s="102">
        <f>VLOOKUP(L250,材料合同!$L$6:$CC$305,44,0)</f>
        <v>0</v>
      </c>
      <c r="BD250" s="102">
        <f>VLOOKUP(L250,材料合同!$L$6:$CC$305,45,0)</f>
        <v>0</v>
      </c>
      <c r="BE250" s="102">
        <f>VLOOKUP(L250,材料合同!$L$6:$CC$305,46,0)</f>
        <v>0</v>
      </c>
      <c r="BF250" s="102">
        <f>VLOOKUP(L250,材料合同!$L$6:$CC$305,47,0)</f>
        <v>0</v>
      </c>
      <c r="BG250" s="102">
        <f>VLOOKUP(L250,材料合同!$L$6:$CC$305,48,0)</f>
        <v>0</v>
      </c>
      <c r="BH250" s="102">
        <f>VLOOKUP(L250,材料合同!$L$6:$CC$305,49,0)</f>
        <v>0</v>
      </c>
      <c r="BI250" s="102">
        <f>VLOOKUP(L250,材料合同!$L$6:$CC$305,50,0)</f>
        <v>0</v>
      </c>
      <c r="BJ250" s="102">
        <f>VLOOKUP(L250,材料合同!$L$6:$CC$305,51,0)</f>
        <v>0</v>
      </c>
      <c r="BK250" s="102">
        <f>VLOOKUP(L250,材料合同!$L$6:$CC$305,52,0)</f>
        <v>0</v>
      </c>
      <c r="BL250" s="102">
        <f>VLOOKUP(L250,材料合同!$L$6:$CC$305,53,0)</f>
        <v>0</v>
      </c>
      <c r="BM250" s="102">
        <f>VLOOKUP(L250,材料合同!$L$6:$CC$305,54,0)</f>
        <v>0</v>
      </c>
      <c r="BN250" s="102">
        <f>VLOOKUP(L250,材料合同!$L$6:$CC$305,55,0)</f>
        <v>0</v>
      </c>
      <c r="BO250" s="102">
        <f>VLOOKUP(L250,材料合同!$L$6:$CC$305,56,0)</f>
        <v>0</v>
      </c>
      <c r="BP250" s="102">
        <f>VLOOKUP(L250,材料合同!$L$6:$CC$305,57,0)</f>
        <v>0</v>
      </c>
      <c r="BQ250" s="102">
        <f>VLOOKUP(L250,材料合同!$L$6:$CC$305,58,0)</f>
        <v>0</v>
      </c>
      <c r="BR250" s="102">
        <f>VLOOKUP(L250,材料合同!$L$6:$CC$305,59,0)</f>
        <v>0</v>
      </c>
      <c r="BS250" s="102">
        <f>VLOOKUP(L250,材料合同!$L$6:$CC$305,60,0)</f>
        <v>0</v>
      </c>
      <c r="BT250" s="102">
        <f>VLOOKUP(L250,材料合同!$L$6:$CC$305,61,0)</f>
        <v>0</v>
      </c>
      <c r="BU250" s="102">
        <f>VLOOKUP(L250,材料合同!$L$6:$CC$305,62,0)</f>
        <v>0</v>
      </c>
      <c r="BV250" s="102">
        <f>VLOOKUP(L250,材料合同!$L$6:$CC$305,63,0)</f>
        <v>0</v>
      </c>
      <c r="BW250" s="102">
        <f>VLOOKUP(L250,材料合同!$L$6:$CC$305,64,0)</f>
        <v>0</v>
      </c>
      <c r="BX250" s="102">
        <f>VLOOKUP(L250,材料合同!$L$6:$CC$305,65,0)</f>
        <v>0</v>
      </c>
      <c r="BY250" s="102">
        <f>VLOOKUP(L250,材料合同!$L$6:$CC$305,66,0)</f>
        <v>0</v>
      </c>
      <c r="BZ250" s="102">
        <f>VLOOKUP(L250,材料合同!$L$6:$CC$305,67,0)</f>
        <v>0</v>
      </c>
      <c r="CA250" s="102">
        <f>VLOOKUP(L250,材料合同!$L$6:$CC$305,68,0)</f>
        <v>0</v>
      </c>
      <c r="CB250" s="102">
        <f>VLOOKUP(L250,材料合同!$L$6:$CC$305,69,0)</f>
        <v>0</v>
      </c>
      <c r="CC250" s="102">
        <f>VLOOKUP(L250,材料合同!$L$6:$CC$305,70,0)</f>
        <v>0</v>
      </c>
      <c r="CD250" s="123">
        <f t="shared" si="55"/>
        <v>280000</v>
      </c>
      <c r="CE250" s="102">
        <f t="shared" si="56"/>
        <v>0</v>
      </c>
      <c r="CF250" s="102">
        <f t="shared" si="57"/>
        <v>0</v>
      </c>
      <c r="CG250" s="102">
        <f t="shared" si="58"/>
        <v>0</v>
      </c>
      <c r="CH250" s="124">
        <f t="shared" si="59"/>
        <v>280000</v>
      </c>
      <c r="CI250" s="125">
        <f t="shared" si="60"/>
        <v>0</v>
      </c>
      <c r="CJ250" s="126" t="str">
        <f t="shared" si="61"/>
        <v>数据正确</v>
      </c>
    </row>
    <row r="251" s="60" customFormat="1" customHeight="1" spans="2:88">
      <c r="B251" s="70" t="str">
        <f t="shared" si="51"/>
        <v>-</v>
      </c>
      <c r="C251" s="71" t="str">
        <f t="shared" si="52"/>
        <v>-</v>
      </c>
      <c r="D251" s="181">
        <f t="shared" si="53"/>
        <v>0</v>
      </c>
      <c r="E251" s="181">
        <f>SUMIF(材料合同!$L$6:$L$305,L251,材料合同!$E$6:$E$305)</f>
        <v>0</v>
      </c>
      <c r="F251" s="181">
        <f>SUMIF(材料合同!$L$6:$L$305,L251,材料合同!$F$6:$F$305)</f>
        <v>0</v>
      </c>
      <c r="G251" s="181">
        <f>SUMIF(材料合同!$L$6:$L$305,L251,材料合同!$G$6:$G$305)</f>
        <v>0</v>
      </c>
      <c r="H251" s="181">
        <f>SUMIF(材料合同!$L$6:$L$305,L251,材料合同!$H$6:$H$305)</f>
        <v>0</v>
      </c>
      <c r="I251" s="181">
        <f t="shared" si="54"/>
        <v>0</v>
      </c>
      <c r="J251" s="86" t="s">
        <v>98</v>
      </c>
      <c r="K251" s="87"/>
      <c r="L251" s="88">
        <v>246</v>
      </c>
      <c r="M251" s="89" t="str">
        <f>VLOOKUP(L251,材料合同!$L$6:$CC$305,2,0)</f>
        <v>YRKJGC-170051</v>
      </c>
      <c r="N251" s="90" t="str">
        <f>VLOOKUP(L251,材料合同!$L$6:$CC$305,3,0)</f>
        <v>材料合同</v>
      </c>
      <c r="O251" s="265" t="str">
        <f>VLOOKUP(L251,材料合同!$L$6:$CC$305,4,0)</f>
        <v>2017070048/2017080089</v>
      </c>
      <c r="P251" s="266">
        <f>VLOOKUP(L251,材料合同!$L$6:$CC$305,5,0)</f>
        <v>42980</v>
      </c>
      <c r="Q251" s="275">
        <f>VLOOKUP(L251,材料合同!$L$6:$CC$305,6,0)</f>
        <v>38000</v>
      </c>
      <c r="R251" s="89" t="str">
        <f>VLOOKUP(L251,材料合同!$L$6:$CC$305,7,0)</f>
        <v>电气材料</v>
      </c>
      <c r="S251" s="89" t="str">
        <f>VLOOKUP(L251,材料合同!$L$6:$CC$305,8,0)</f>
        <v>莆田冠亿自动化科技有限公司</v>
      </c>
      <c r="T251" s="107">
        <f>VLOOKUP(L251,材料合同!$L$6:$CC$305,9,0)</f>
        <v>0</v>
      </c>
      <c r="U251" s="103" t="str">
        <f>VLOOKUP(L251,材料合同!$L$6:$CC$305,10,0)</f>
        <v>电汇</v>
      </c>
      <c r="V251" s="276" t="str">
        <f>VLOOKUP(L251,材料合同!$L$6:$CC$305,11,0)</f>
        <v>甲方收到货、发票后，10-15个工作日支付100%</v>
      </c>
      <c r="W251" s="102">
        <f>VLOOKUP(L251,材料合同!$L$6:$CC$305,12,0)</f>
        <v>38000</v>
      </c>
      <c r="X251" s="102">
        <f>VLOOKUP(L251,材料合同!$L$6:$CC$305,13,0)</f>
        <v>0</v>
      </c>
      <c r="Y251" s="102">
        <f>VLOOKUP(L251,材料合同!$L$6:$CC$305,14,0)</f>
        <v>0</v>
      </c>
      <c r="Z251" s="102">
        <f>VLOOKUP(L251,材料合同!$L$6:$CC$305,15,0)</f>
        <v>0</v>
      </c>
      <c r="AA251" s="102">
        <f>VLOOKUP(L251,材料合同!$L$6:$CC$305,16,0)</f>
        <v>0</v>
      </c>
      <c r="AB251" s="102">
        <f>VLOOKUP(L251,材料合同!$L$6:$CC$305,17,0)</f>
        <v>0</v>
      </c>
      <c r="AC251" s="102">
        <f>VLOOKUP(L251,材料合同!$L$6:$CC$305,18,0)</f>
        <v>0</v>
      </c>
      <c r="AD251" s="102">
        <f>VLOOKUP(L251,材料合同!$L$6:$CC$305,19,0)</f>
        <v>0</v>
      </c>
      <c r="AE251" s="102">
        <f>VLOOKUP(L251,材料合同!$L$6:$CC$305,20,0)</f>
        <v>0</v>
      </c>
      <c r="AF251" s="102">
        <f>VLOOKUP(L251,材料合同!$L$6:$CC$305,21,0)</f>
        <v>0</v>
      </c>
      <c r="AG251" s="102">
        <f>VLOOKUP(L251,材料合同!$L$6:$CC$305,22,0)</f>
        <v>0</v>
      </c>
      <c r="AH251" s="102">
        <f>VLOOKUP(L251,材料合同!$L$6:$CC$305,23,0)</f>
        <v>0</v>
      </c>
      <c r="AI251" s="102">
        <f>VLOOKUP(L251,材料合同!$L$6:$CC$305,24,0)</f>
        <v>0</v>
      </c>
      <c r="AJ251" s="102">
        <f>VLOOKUP(L251,材料合同!$L$6:$CC$305,25,0)</f>
        <v>0</v>
      </c>
      <c r="AK251" s="102">
        <f>VLOOKUP(L251,材料合同!$L$6:$CC$305,26,0)</f>
        <v>0</v>
      </c>
      <c r="AL251" s="102">
        <f>VLOOKUP(L251,材料合同!$L$6:$CC$305,27,0)</f>
        <v>0</v>
      </c>
      <c r="AM251" s="102">
        <f>VLOOKUP(L251,材料合同!$L$6:$CC$305,28,0)</f>
        <v>0</v>
      </c>
      <c r="AN251" s="102">
        <f>VLOOKUP(L251,材料合同!$L$6:$CC$305,29,0)</f>
        <v>0</v>
      </c>
      <c r="AO251" s="102">
        <f>VLOOKUP(L251,材料合同!$L$6:$CC$305,30,0)</f>
        <v>0</v>
      </c>
      <c r="AP251" s="102">
        <f>VLOOKUP(L251,材料合同!$L$6:$CC$305,31,0)</f>
        <v>0</v>
      </c>
      <c r="AQ251" s="102">
        <f>VLOOKUP(L251,材料合同!$L$6:$CC$305,32,0)</f>
        <v>0</v>
      </c>
      <c r="AR251" s="102">
        <f>VLOOKUP(L251,材料合同!$L$6:$CC$305,33,0)</f>
        <v>0</v>
      </c>
      <c r="AS251" s="102">
        <f>VLOOKUP(L251,材料合同!$L$6:$CC$305,34,0)</f>
        <v>0</v>
      </c>
      <c r="AT251" s="102">
        <f>VLOOKUP(L251,材料合同!$L$6:$CC$305,35,0)</f>
        <v>0</v>
      </c>
      <c r="AU251" s="102">
        <f>VLOOKUP(L251,材料合同!$L$6:$CC$305,36,0)</f>
        <v>0</v>
      </c>
      <c r="AV251" s="102">
        <f>VLOOKUP(L251,材料合同!$L$6:$CC$305,37,0)</f>
        <v>0</v>
      </c>
      <c r="AW251" s="102">
        <f>VLOOKUP(L251,材料合同!$L$6:$CC$305,38,0)</f>
        <v>0</v>
      </c>
      <c r="AX251" s="102">
        <f>VLOOKUP(L251,材料合同!$L$6:$CC$305,39,0)</f>
        <v>0</v>
      </c>
      <c r="AY251" s="102">
        <f>VLOOKUP(L251,材料合同!$L$6:$CC$305,40,0)</f>
        <v>0</v>
      </c>
      <c r="AZ251" s="102">
        <f>VLOOKUP(L251,材料合同!$L$6:$CC$305,41,0)</f>
        <v>0</v>
      </c>
      <c r="BA251" s="102">
        <f>VLOOKUP(L251,材料合同!$L$6:$CC$305,42,0)</f>
        <v>0</v>
      </c>
      <c r="BB251" s="102">
        <f>VLOOKUP(L251,材料合同!$L$6:$CC$305,43,0)</f>
        <v>0</v>
      </c>
      <c r="BC251" s="102">
        <f>VLOOKUP(L251,材料合同!$L$6:$CC$305,44,0)</f>
        <v>0</v>
      </c>
      <c r="BD251" s="102">
        <f>VLOOKUP(L251,材料合同!$L$6:$CC$305,45,0)</f>
        <v>0</v>
      </c>
      <c r="BE251" s="102">
        <f>VLOOKUP(L251,材料合同!$L$6:$CC$305,46,0)</f>
        <v>0</v>
      </c>
      <c r="BF251" s="102">
        <f>VLOOKUP(L251,材料合同!$L$6:$CC$305,47,0)</f>
        <v>0</v>
      </c>
      <c r="BG251" s="102">
        <f>VLOOKUP(L251,材料合同!$L$6:$CC$305,48,0)</f>
        <v>0</v>
      </c>
      <c r="BH251" s="102">
        <f>VLOOKUP(L251,材料合同!$L$6:$CC$305,49,0)</f>
        <v>0</v>
      </c>
      <c r="BI251" s="102">
        <f>VLOOKUP(L251,材料合同!$L$6:$CC$305,50,0)</f>
        <v>0</v>
      </c>
      <c r="BJ251" s="102">
        <f>VLOOKUP(L251,材料合同!$L$6:$CC$305,51,0)</f>
        <v>0</v>
      </c>
      <c r="BK251" s="102">
        <f>VLOOKUP(L251,材料合同!$L$6:$CC$305,52,0)</f>
        <v>0</v>
      </c>
      <c r="BL251" s="102">
        <f>VLOOKUP(L251,材料合同!$L$6:$CC$305,53,0)</f>
        <v>0</v>
      </c>
      <c r="BM251" s="102">
        <f>VLOOKUP(L251,材料合同!$L$6:$CC$305,54,0)</f>
        <v>0</v>
      </c>
      <c r="BN251" s="102">
        <f>VLOOKUP(L251,材料合同!$L$6:$CC$305,55,0)</f>
        <v>0</v>
      </c>
      <c r="BO251" s="102">
        <f>VLOOKUP(L251,材料合同!$L$6:$CC$305,56,0)</f>
        <v>0</v>
      </c>
      <c r="BP251" s="102">
        <f>VLOOKUP(L251,材料合同!$L$6:$CC$305,57,0)</f>
        <v>0</v>
      </c>
      <c r="BQ251" s="102">
        <f>VLOOKUP(L251,材料合同!$L$6:$CC$305,58,0)</f>
        <v>0</v>
      </c>
      <c r="BR251" s="102">
        <f>VLOOKUP(L251,材料合同!$L$6:$CC$305,59,0)</f>
        <v>0</v>
      </c>
      <c r="BS251" s="102">
        <f>VLOOKUP(L251,材料合同!$L$6:$CC$305,60,0)</f>
        <v>0</v>
      </c>
      <c r="BT251" s="102">
        <f>VLOOKUP(L251,材料合同!$L$6:$CC$305,61,0)</f>
        <v>0</v>
      </c>
      <c r="BU251" s="102">
        <f>VLOOKUP(L251,材料合同!$L$6:$CC$305,62,0)</f>
        <v>0</v>
      </c>
      <c r="BV251" s="102">
        <f>VLOOKUP(L251,材料合同!$L$6:$CC$305,63,0)</f>
        <v>0</v>
      </c>
      <c r="BW251" s="102">
        <f>VLOOKUP(L251,材料合同!$L$6:$CC$305,64,0)</f>
        <v>0</v>
      </c>
      <c r="BX251" s="102">
        <f>VLOOKUP(L251,材料合同!$L$6:$CC$305,65,0)</f>
        <v>0</v>
      </c>
      <c r="BY251" s="102">
        <f>VLOOKUP(L251,材料合同!$L$6:$CC$305,66,0)</f>
        <v>0</v>
      </c>
      <c r="BZ251" s="102">
        <f>VLOOKUP(L251,材料合同!$L$6:$CC$305,67,0)</f>
        <v>0</v>
      </c>
      <c r="CA251" s="102">
        <f>VLOOKUP(L251,材料合同!$L$6:$CC$305,68,0)</f>
        <v>0</v>
      </c>
      <c r="CB251" s="102">
        <f>VLOOKUP(L251,材料合同!$L$6:$CC$305,69,0)</f>
        <v>0</v>
      </c>
      <c r="CC251" s="102">
        <f>VLOOKUP(L251,材料合同!$L$6:$CC$305,70,0)</f>
        <v>0</v>
      </c>
      <c r="CD251" s="123">
        <f t="shared" si="55"/>
        <v>38000</v>
      </c>
      <c r="CE251" s="102">
        <f t="shared" si="56"/>
        <v>0</v>
      </c>
      <c r="CF251" s="102">
        <f t="shared" si="57"/>
        <v>0</v>
      </c>
      <c r="CG251" s="102">
        <f t="shared" si="58"/>
        <v>0</v>
      </c>
      <c r="CH251" s="124">
        <f t="shared" si="59"/>
        <v>38000</v>
      </c>
      <c r="CI251" s="125">
        <f t="shared" si="60"/>
        <v>0</v>
      </c>
      <c r="CJ251" s="126" t="str">
        <f t="shared" si="61"/>
        <v>数据正确</v>
      </c>
    </row>
    <row r="252" s="60" customFormat="1" customHeight="1" spans="2:88">
      <c r="B252" s="70" t="str">
        <f t="shared" si="51"/>
        <v>-</v>
      </c>
      <c r="C252" s="71" t="str">
        <f t="shared" si="52"/>
        <v>-</v>
      </c>
      <c r="D252" s="181">
        <f t="shared" si="53"/>
        <v>2100000</v>
      </c>
      <c r="E252" s="181">
        <f>SUMIF(设备合同!$L$6:$L$302,L252,设备合同!$E$6:$E$302)</f>
        <v>0</v>
      </c>
      <c r="F252" s="181">
        <f>SUMIF(设备合同!$L$6:$L$302,L252,设备合同!$F$6:$F$302)</f>
        <v>0</v>
      </c>
      <c r="G252" s="181">
        <f>SUMIF(设备合同!$L$6:$L$302,L252,设备合同!$G$6:$G$302)</f>
        <v>0</v>
      </c>
      <c r="H252" s="181">
        <f>SUMIF(设备合同!$L$6:$L$302,L252,设备合同!$H$6:$H$302)</f>
        <v>0</v>
      </c>
      <c r="I252" s="181">
        <f t="shared" si="54"/>
        <v>0</v>
      </c>
      <c r="J252" s="86" t="s">
        <v>98</v>
      </c>
      <c r="K252" s="87"/>
      <c r="L252" s="88">
        <v>247</v>
      </c>
      <c r="M252" s="89" t="str">
        <f>VLOOKUP(L252,设备合同!$L$6:$CC$302,2,0)</f>
        <v>YRKJEQ-170085</v>
      </c>
      <c r="N252" s="90" t="str">
        <f>VLOOKUP(L252,设备合同!$L$6:$CC$302,3,0)</f>
        <v>设备合同</v>
      </c>
      <c r="O252" s="265">
        <f>VLOOKUP(L252,设备合同!$L$6:$CC$302,4,0)</f>
        <v>2017070056</v>
      </c>
      <c r="P252" s="266">
        <f>VLOOKUP(L252,设备合同!$L$6:$CC$302,5,0)</f>
        <v>42986</v>
      </c>
      <c r="Q252" s="275">
        <f>VLOOKUP(L252,设备合同!$L$6:$CC$302,6,0)</f>
        <v>10500000</v>
      </c>
      <c r="R252" s="89" t="str">
        <f>VLOOKUP(L252,设备合同!$L$6:$CC$302,7,0)</f>
        <v>23台非标设备</v>
      </c>
      <c r="S252" s="89" t="str">
        <f>VLOOKUP(L252,设备合同!$L$6:$CC$302,8,0)</f>
        <v>湖南湘东化工机械有限公司</v>
      </c>
      <c r="T252" s="107">
        <f>VLOOKUP(L252,设备合同!$L$6:$CC$302,9,0)</f>
        <v>0</v>
      </c>
      <c r="U252" s="103" t="str">
        <f>VLOOKUP(L252,设备合同!$L$6:$CC$302,10,0)</f>
        <v>承兑+电汇</v>
      </c>
      <c r="V252" s="276" t="str">
        <f>VLOOKUP(L252,设备合同!$L$6:$CC$302,11,0)</f>
        <v>甲方收到乙方20%的预付款保函以及本合同的10%履约保函后15个工作日支付20%预付款 电汇</v>
      </c>
      <c r="W252" s="102">
        <f>VLOOKUP(L252,设备合同!$L$6:$CC$302,12,0)</f>
        <v>2100000</v>
      </c>
      <c r="X252" s="102">
        <f>VLOOKUP(L252,设备合同!$L$6:$CC$302,13,0)</f>
        <v>2100000</v>
      </c>
      <c r="Y252" s="102">
        <f>VLOOKUP(L252,设备合同!$L$6:$CC$302,14,0)</f>
        <v>2100000</v>
      </c>
      <c r="Z252" s="102" t="str">
        <f>VLOOKUP(L252,设备合同!$L$6:$CC$302,15,0)</f>
        <v>甲方到乙方现场确认无误后，收到17%等额专票，15个工作日内支付60%发货款 承兑</v>
      </c>
      <c r="AA252" s="102">
        <f>VLOOKUP(L252,设备合同!$L$6:$CC$302,16,0)</f>
        <v>6300000</v>
      </c>
      <c r="AB252" s="102">
        <f>VLOOKUP(L252,设备合同!$L$6:$CC$302,17,0)</f>
        <v>0</v>
      </c>
      <c r="AC252" s="102">
        <f>VLOOKUP(L252,设备合同!$L$6:$CC$302,18,0)</f>
        <v>0</v>
      </c>
      <c r="AD252" s="102" t="str">
        <f>VLOOKUP(L252,设备合同!$L$6:$CC$302,19,0)</f>
        <v>甲方收到核定的调试合格报告后15个工作日，支付10%调试款 承兑</v>
      </c>
      <c r="AE252" s="102">
        <f>VLOOKUP(L252,设备合同!$L$6:$CC$302,20,0)</f>
        <v>1050000</v>
      </c>
      <c r="AF252" s="102">
        <f>VLOOKUP(L252,设备合同!$L$6:$CC$302,21,0)</f>
        <v>0</v>
      </c>
      <c r="AG252" s="102">
        <f>VLOOKUP(L252,设备合同!$L$6:$CC$302,22,0)</f>
        <v>0</v>
      </c>
      <c r="AH252" s="102" t="str">
        <f>VLOOKUP(L252,设备合同!$L$6:$CC$302,23,0)</f>
        <v>10%质保金，验收合格12个月或到货现场18个月 承兑</v>
      </c>
      <c r="AI252" s="102">
        <f>VLOOKUP(L252,设备合同!$L$6:$CC$302,24,0)</f>
        <v>1050000</v>
      </c>
      <c r="AJ252" s="102">
        <f>VLOOKUP(L252,设备合同!$L$6:$CC$302,25,0)</f>
        <v>0</v>
      </c>
      <c r="AK252" s="102">
        <f>VLOOKUP(L252,设备合同!$L$6:$CC$302,26,0)</f>
        <v>0</v>
      </c>
      <c r="AL252" s="102">
        <f>VLOOKUP(L252,设备合同!$L$6:$CC$302,27,0)</f>
        <v>0</v>
      </c>
      <c r="AM252" s="102">
        <f>VLOOKUP(L252,设备合同!$L$6:$CC$302,28,0)</f>
        <v>0</v>
      </c>
      <c r="AN252" s="102">
        <f>VLOOKUP(L252,设备合同!$L$6:$CC$302,29,0)</f>
        <v>0</v>
      </c>
      <c r="AO252" s="102">
        <f>VLOOKUP(L252,设备合同!$L$6:$CC$302,30,0)</f>
        <v>0</v>
      </c>
      <c r="AP252" s="102">
        <f>VLOOKUP(L252,设备合同!$L$6:$CC$302,31,0)</f>
        <v>0</v>
      </c>
      <c r="AQ252" s="102">
        <f>VLOOKUP(L252,设备合同!$L$6:$CC$302,32,0)</f>
        <v>0</v>
      </c>
      <c r="AR252" s="102">
        <f>VLOOKUP(L252,设备合同!$L$6:$CC$302,33,0)</f>
        <v>0</v>
      </c>
      <c r="AS252" s="102">
        <f>VLOOKUP(L252,设备合同!$L$6:$CC$302,34,0)</f>
        <v>0</v>
      </c>
      <c r="AT252" s="102">
        <f>VLOOKUP(L252,设备合同!$L$6:$CC$302,35,0)</f>
        <v>0</v>
      </c>
      <c r="AU252" s="102">
        <f>VLOOKUP(L252,设备合同!$L$6:$CC$302,36,0)</f>
        <v>0</v>
      </c>
      <c r="AV252" s="102">
        <f>VLOOKUP(L252,设备合同!$L$6:$CC$302,37,0)</f>
        <v>0</v>
      </c>
      <c r="AW252" s="102">
        <f>VLOOKUP(L252,设备合同!$L$6:$CC$302,38,0)</f>
        <v>0</v>
      </c>
      <c r="AX252" s="102">
        <f>VLOOKUP(L252,设备合同!$L$6:$CC$302,39,0)</f>
        <v>0</v>
      </c>
      <c r="AY252" s="102">
        <f>VLOOKUP(L252,设备合同!$L$6:$CC$302,40,0)</f>
        <v>0</v>
      </c>
      <c r="AZ252" s="102">
        <f>VLOOKUP(L252,设备合同!$L$6:$CC$302,41,0)</f>
        <v>0</v>
      </c>
      <c r="BA252" s="102">
        <f>VLOOKUP(L252,设备合同!$L$6:$CC$302,42,0)</f>
        <v>0</v>
      </c>
      <c r="BB252" s="102">
        <f>VLOOKUP(L252,设备合同!$L$6:$CC$302,43,0)</f>
        <v>0</v>
      </c>
      <c r="BC252" s="102">
        <f>VLOOKUP(L252,设备合同!$L$6:$CC$302,44,0)</f>
        <v>0</v>
      </c>
      <c r="BD252" s="102">
        <f>VLOOKUP(L252,设备合同!$L$6:$CC$302,45,0)</f>
        <v>0</v>
      </c>
      <c r="BE252" s="102">
        <f>VLOOKUP(L252,设备合同!$L$6:$CC$302,46,0)</f>
        <v>0</v>
      </c>
      <c r="BF252" s="102">
        <f>VLOOKUP(L252,设备合同!$L$6:$CC$302,47,0)</f>
        <v>0</v>
      </c>
      <c r="BG252" s="102">
        <f>VLOOKUP(L252,设备合同!$L$6:$CC$302,48,0)</f>
        <v>0</v>
      </c>
      <c r="BH252" s="102">
        <f>VLOOKUP(L252,设备合同!$L$6:$CC$302,49,0)</f>
        <v>0</v>
      </c>
      <c r="BI252" s="102">
        <f>VLOOKUP(L252,设备合同!$L$6:$CC$302,50,0)</f>
        <v>0</v>
      </c>
      <c r="BJ252" s="102">
        <f>VLOOKUP(L252,设备合同!$L$6:$CC$302,51,0)</f>
        <v>0</v>
      </c>
      <c r="BK252" s="102">
        <f>VLOOKUP(L252,设备合同!$L$6:$CC$302,52,0)</f>
        <v>0</v>
      </c>
      <c r="BL252" s="102">
        <f>VLOOKUP(L252,设备合同!$L$6:$CC$302,53,0)</f>
        <v>0</v>
      </c>
      <c r="BM252" s="102">
        <f>VLOOKUP(L252,设备合同!$L$6:$CC$302,54,0)</f>
        <v>0</v>
      </c>
      <c r="BN252" s="102">
        <f>VLOOKUP(L252,设备合同!$L$6:$CC$302,55,0)</f>
        <v>0</v>
      </c>
      <c r="BO252" s="102">
        <f>VLOOKUP(L252,设备合同!$L$6:$CC$302,56,0)</f>
        <v>0</v>
      </c>
      <c r="BP252" s="102">
        <f>VLOOKUP(L252,设备合同!$L$6:$CC$302,57,0)</f>
        <v>0</v>
      </c>
      <c r="BQ252" s="102">
        <f>VLOOKUP(L252,设备合同!$L$6:$CC$302,58,0)</f>
        <v>0</v>
      </c>
      <c r="BR252" s="102">
        <f>VLOOKUP(L252,设备合同!$L$6:$CC$302,59,0)</f>
        <v>0</v>
      </c>
      <c r="BS252" s="102">
        <f>VLOOKUP(L252,设备合同!$L$6:$CC$302,60,0)</f>
        <v>0</v>
      </c>
      <c r="BT252" s="102">
        <f>VLOOKUP(L252,设备合同!$L$6:$CC$302,61,0)</f>
        <v>0</v>
      </c>
      <c r="BU252" s="102">
        <f>VLOOKUP(L252,设备合同!$L$6:$CC$302,62,0)</f>
        <v>0</v>
      </c>
      <c r="BV252" s="102">
        <f>VLOOKUP(L252,设备合同!$L$6:$CC$302,63,0)</f>
        <v>0</v>
      </c>
      <c r="BW252" s="102">
        <f>VLOOKUP(L252,设备合同!$L$6:$CC$302,64,0)</f>
        <v>0</v>
      </c>
      <c r="BX252" s="102">
        <f>VLOOKUP(L252,设备合同!$L$6:$CC$302,65,0)</f>
        <v>0</v>
      </c>
      <c r="BY252" s="102">
        <f>VLOOKUP(L252,设备合同!$L$6:$CC$302,66,0)</f>
        <v>0</v>
      </c>
      <c r="BZ252" s="102">
        <f>VLOOKUP(L252,设备合同!$L$6:$CC$302,67,0)</f>
        <v>0</v>
      </c>
      <c r="CA252" s="102">
        <f>VLOOKUP(L252,设备合同!$L$6:$CC$302,68,0)</f>
        <v>0</v>
      </c>
      <c r="CB252" s="102">
        <f>VLOOKUP(L252,设备合同!$L$6:$CC$302,69,0)</f>
        <v>0</v>
      </c>
      <c r="CC252" s="102">
        <f>VLOOKUP(L252,设备合同!$L$6:$CC$302,70,0)</f>
        <v>0</v>
      </c>
      <c r="CD252" s="123">
        <f t="shared" si="55"/>
        <v>10500000</v>
      </c>
      <c r="CE252" s="102">
        <f t="shared" si="56"/>
        <v>2100000</v>
      </c>
      <c r="CF252" s="102">
        <f t="shared" si="57"/>
        <v>2100000</v>
      </c>
      <c r="CG252" s="102">
        <f t="shared" si="58"/>
        <v>0</v>
      </c>
      <c r="CH252" s="124">
        <f t="shared" si="59"/>
        <v>8400000</v>
      </c>
      <c r="CI252" s="125">
        <f t="shared" si="60"/>
        <v>0.2</v>
      </c>
      <c r="CJ252" s="126" t="str">
        <f t="shared" si="61"/>
        <v>数据正确</v>
      </c>
    </row>
    <row r="253" s="60" customFormat="1" customHeight="1" spans="2:88">
      <c r="B253" s="70" t="str">
        <f t="shared" si="51"/>
        <v>-</v>
      </c>
      <c r="C253" s="71" t="str">
        <f t="shared" si="52"/>
        <v>-</v>
      </c>
      <c r="D253" s="181">
        <f t="shared" si="53"/>
        <v>0</v>
      </c>
      <c r="E253" s="181">
        <f>SUMIF(设备合同!$L$6:$L$302,L253,设备合同!$E$6:$E$302)</f>
        <v>0</v>
      </c>
      <c r="F253" s="181">
        <f>SUMIF(设备合同!$L$6:$L$302,L253,设备合同!$F$6:$F$302)</f>
        <v>0</v>
      </c>
      <c r="G253" s="181">
        <f>SUMIF(设备合同!$L$6:$L$302,L253,设备合同!$G$6:$G$302)</f>
        <v>0</v>
      </c>
      <c r="H253" s="181">
        <f>SUMIF(设备合同!$L$6:$L$302,L253,设备合同!$H$6:$H$302)</f>
        <v>0</v>
      </c>
      <c r="I253" s="181">
        <f t="shared" si="54"/>
        <v>0</v>
      </c>
      <c r="J253" s="86" t="s">
        <v>98</v>
      </c>
      <c r="K253" s="87"/>
      <c r="L253" s="88">
        <v>248</v>
      </c>
      <c r="M253" s="89" t="str">
        <f>VLOOKUP(L253,设备合同!$L$6:$CC$302,2,0)</f>
        <v>YRKJEQ-170048</v>
      </c>
      <c r="N253" s="90" t="str">
        <f>VLOOKUP(L253,设备合同!$L$6:$CC$302,3,0)</f>
        <v>设备合同</v>
      </c>
      <c r="O253" s="265">
        <f>VLOOKUP(L253,设备合同!$L$6:$CC$302,4,0)</f>
        <v>2017060009</v>
      </c>
      <c r="P253" s="266">
        <f>VLOOKUP(L253,设备合同!$L$6:$CC$302,5,0)</f>
        <v>42921</v>
      </c>
      <c r="Q253" s="275">
        <f>VLOOKUP(L253,设备合同!$L$6:$CC$302,6,0)</f>
        <v>350000</v>
      </c>
      <c r="R253" s="89" t="str">
        <f>VLOOKUP(L253,设备合同!$L$6:$CC$302,7,0)</f>
        <v>9台渣浆泵</v>
      </c>
      <c r="S253" s="89" t="str">
        <f>VLOOKUP(L253,设备合同!$L$6:$CC$302,8,0)</f>
        <v>江苏长凯机械设备有限公司</v>
      </c>
      <c r="T253" s="107">
        <f>VLOOKUP(L253,设备合同!$L$6:$CC$302,9,0)</f>
        <v>0</v>
      </c>
      <c r="U253" s="103" t="str">
        <f>VLOOKUP(L253,设备合同!$L$6:$CC$302,10,0)</f>
        <v>6个月承兑汇票/电汇下浮3%</v>
      </c>
      <c r="V253" s="276" t="str">
        <f>VLOOKUP(L253,设备合同!$L$6:$CC$302,11,0)</f>
        <v>甲方收到乙方20%的预付款保函以及本合同的10%履约保函后15个工作日支付20%预付款</v>
      </c>
      <c r="W253" s="102">
        <f>VLOOKUP(L253,设备合同!$L$6:$CC$302,12,0)</f>
        <v>70000</v>
      </c>
      <c r="X253" s="102">
        <f>VLOOKUP(L253,设备合同!$L$6:$CC$302,13,0)</f>
        <v>0</v>
      </c>
      <c r="Y253" s="102">
        <f>VLOOKUP(L253,设备合同!$L$6:$CC$302,14,0)</f>
        <v>0</v>
      </c>
      <c r="Z253" s="102" t="str">
        <f>VLOOKUP(L253,设备合同!$L$6:$CC$302,15,0)</f>
        <v>甲方到乙方现场确认无误后，收到17%等额、专票，15个工作日内支付40%发货款</v>
      </c>
      <c r="AA253" s="102">
        <f>VLOOKUP(L253,设备合同!$L$6:$CC$302,16,0)</f>
        <v>140000</v>
      </c>
      <c r="AB253" s="102">
        <f>VLOOKUP(L253,设备合同!$L$6:$CC$302,17,0)</f>
        <v>0</v>
      </c>
      <c r="AC253" s="102">
        <f>VLOOKUP(L253,设备合同!$L$6:$CC$302,18,0)</f>
        <v>0</v>
      </c>
      <c r="AD253" s="102" t="str">
        <f>VLOOKUP(L253,设备合同!$L$6:$CC$302,19,0)</f>
        <v>甲方核定的调试合格报告及足额的发票后付30%的验收款</v>
      </c>
      <c r="AE253" s="102">
        <f>VLOOKUP(L253,设备合同!$L$6:$CC$302,20,0)</f>
        <v>105000</v>
      </c>
      <c r="AF253" s="102">
        <f>VLOOKUP(L253,设备合同!$L$6:$CC$302,21,0)</f>
        <v>0</v>
      </c>
      <c r="AG253" s="102">
        <f>VLOOKUP(L253,设备合同!$L$6:$CC$302,22,0)</f>
        <v>0</v>
      </c>
      <c r="AH253" s="102" t="str">
        <f>VLOOKUP(L253,设备合同!$L$6:$CC$302,23,0)</f>
        <v>10%质保金，验收合格12个月或到货现场18个月 承兑</v>
      </c>
      <c r="AI253" s="102">
        <f>VLOOKUP(L253,设备合同!$L$6:$CC$302,24,0)</f>
        <v>35000</v>
      </c>
      <c r="AJ253" s="102">
        <f>VLOOKUP(L253,设备合同!$L$6:$CC$302,25,0)</f>
        <v>0</v>
      </c>
      <c r="AK253" s="102">
        <f>VLOOKUP(L253,设备合同!$L$6:$CC$302,26,0)</f>
        <v>0</v>
      </c>
      <c r="AL253" s="102">
        <f>VLOOKUP(L253,设备合同!$L$6:$CC$302,27,0)</f>
        <v>0</v>
      </c>
      <c r="AM253" s="102">
        <f>VLOOKUP(L253,设备合同!$L$6:$CC$302,28,0)</f>
        <v>0</v>
      </c>
      <c r="AN253" s="102">
        <f>VLOOKUP(L253,设备合同!$L$6:$CC$302,29,0)</f>
        <v>0</v>
      </c>
      <c r="AO253" s="102">
        <f>VLOOKUP(L253,设备合同!$L$6:$CC$302,30,0)</f>
        <v>0</v>
      </c>
      <c r="AP253" s="102">
        <f>VLOOKUP(L253,设备合同!$L$6:$CC$302,31,0)</f>
        <v>0</v>
      </c>
      <c r="AQ253" s="102">
        <f>VLOOKUP(L253,设备合同!$L$6:$CC$302,32,0)</f>
        <v>0</v>
      </c>
      <c r="AR253" s="102">
        <f>VLOOKUP(L253,设备合同!$L$6:$CC$302,33,0)</f>
        <v>0</v>
      </c>
      <c r="AS253" s="102">
        <f>VLOOKUP(L253,设备合同!$L$6:$CC$302,34,0)</f>
        <v>0</v>
      </c>
      <c r="AT253" s="102">
        <f>VLOOKUP(L253,设备合同!$L$6:$CC$302,35,0)</f>
        <v>0</v>
      </c>
      <c r="AU253" s="102">
        <f>VLOOKUP(L253,设备合同!$L$6:$CC$302,36,0)</f>
        <v>0</v>
      </c>
      <c r="AV253" s="102">
        <f>VLOOKUP(L253,设备合同!$L$6:$CC$302,37,0)</f>
        <v>0</v>
      </c>
      <c r="AW253" s="102">
        <f>VLOOKUP(L253,设备合同!$L$6:$CC$302,38,0)</f>
        <v>0</v>
      </c>
      <c r="AX253" s="102">
        <f>VLOOKUP(L253,设备合同!$L$6:$CC$302,39,0)</f>
        <v>0</v>
      </c>
      <c r="AY253" s="102">
        <f>VLOOKUP(L253,设备合同!$L$6:$CC$302,40,0)</f>
        <v>0</v>
      </c>
      <c r="AZ253" s="102">
        <f>VLOOKUP(L253,设备合同!$L$6:$CC$302,41,0)</f>
        <v>0</v>
      </c>
      <c r="BA253" s="102">
        <f>VLOOKUP(L253,设备合同!$L$6:$CC$302,42,0)</f>
        <v>0</v>
      </c>
      <c r="BB253" s="102">
        <f>VLOOKUP(L253,设备合同!$L$6:$CC$302,43,0)</f>
        <v>0</v>
      </c>
      <c r="BC253" s="102">
        <f>VLOOKUP(L253,设备合同!$L$6:$CC$302,44,0)</f>
        <v>0</v>
      </c>
      <c r="BD253" s="102">
        <f>VLOOKUP(L253,设备合同!$L$6:$CC$302,45,0)</f>
        <v>0</v>
      </c>
      <c r="BE253" s="102">
        <f>VLOOKUP(L253,设备合同!$L$6:$CC$302,46,0)</f>
        <v>0</v>
      </c>
      <c r="BF253" s="102">
        <f>VLOOKUP(L253,设备合同!$L$6:$CC$302,47,0)</f>
        <v>0</v>
      </c>
      <c r="BG253" s="102">
        <f>VLOOKUP(L253,设备合同!$L$6:$CC$302,48,0)</f>
        <v>0</v>
      </c>
      <c r="BH253" s="102">
        <f>VLOOKUP(L253,设备合同!$L$6:$CC$302,49,0)</f>
        <v>0</v>
      </c>
      <c r="BI253" s="102">
        <f>VLOOKUP(L253,设备合同!$L$6:$CC$302,50,0)</f>
        <v>0</v>
      </c>
      <c r="BJ253" s="102">
        <f>VLOOKUP(L253,设备合同!$L$6:$CC$302,51,0)</f>
        <v>0</v>
      </c>
      <c r="BK253" s="102">
        <f>VLOOKUP(L253,设备合同!$L$6:$CC$302,52,0)</f>
        <v>0</v>
      </c>
      <c r="BL253" s="102">
        <f>VLOOKUP(L253,设备合同!$L$6:$CC$302,53,0)</f>
        <v>0</v>
      </c>
      <c r="BM253" s="102">
        <f>VLOOKUP(L253,设备合同!$L$6:$CC$302,54,0)</f>
        <v>0</v>
      </c>
      <c r="BN253" s="102">
        <f>VLOOKUP(L253,设备合同!$L$6:$CC$302,55,0)</f>
        <v>0</v>
      </c>
      <c r="BO253" s="102">
        <f>VLOOKUP(L253,设备合同!$L$6:$CC$302,56,0)</f>
        <v>0</v>
      </c>
      <c r="BP253" s="102">
        <f>VLOOKUP(L253,设备合同!$L$6:$CC$302,57,0)</f>
        <v>0</v>
      </c>
      <c r="BQ253" s="102">
        <f>VLOOKUP(L253,设备合同!$L$6:$CC$302,58,0)</f>
        <v>0</v>
      </c>
      <c r="BR253" s="102">
        <f>VLOOKUP(L253,设备合同!$L$6:$CC$302,59,0)</f>
        <v>0</v>
      </c>
      <c r="BS253" s="102">
        <f>VLOOKUP(L253,设备合同!$L$6:$CC$302,60,0)</f>
        <v>0</v>
      </c>
      <c r="BT253" s="102">
        <f>VLOOKUP(L253,设备合同!$L$6:$CC$302,61,0)</f>
        <v>0</v>
      </c>
      <c r="BU253" s="102">
        <f>VLOOKUP(L253,设备合同!$L$6:$CC$302,62,0)</f>
        <v>0</v>
      </c>
      <c r="BV253" s="102">
        <f>VLOOKUP(L253,设备合同!$L$6:$CC$302,63,0)</f>
        <v>0</v>
      </c>
      <c r="BW253" s="102">
        <f>VLOOKUP(L253,设备合同!$L$6:$CC$302,64,0)</f>
        <v>0</v>
      </c>
      <c r="BX253" s="102">
        <f>VLOOKUP(L253,设备合同!$L$6:$CC$302,65,0)</f>
        <v>0</v>
      </c>
      <c r="BY253" s="102">
        <f>VLOOKUP(L253,设备合同!$L$6:$CC$302,66,0)</f>
        <v>0</v>
      </c>
      <c r="BZ253" s="102">
        <f>VLOOKUP(L253,设备合同!$L$6:$CC$302,67,0)</f>
        <v>0</v>
      </c>
      <c r="CA253" s="102">
        <f>VLOOKUP(L253,设备合同!$L$6:$CC$302,68,0)</f>
        <v>0</v>
      </c>
      <c r="CB253" s="102">
        <f>VLOOKUP(L253,设备合同!$L$6:$CC$302,69,0)</f>
        <v>0</v>
      </c>
      <c r="CC253" s="102">
        <f>VLOOKUP(L253,设备合同!$L$6:$CC$302,70,0)</f>
        <v>0</v>
      </c>
      <c r="CD253" s="123">
        <f t="shared" si="55"/>
        <v>350000</v>
      </c>
      <c r="CE253" s="102">
        <f t="shared" si="56"/>
        <v>0</v>
      </c>
      <c r="CF253" s="102">
        <f t="shared" si="57"/>
        <v>0</v>
      </c>
      <c r="CG253" s="102">
        <f t="shared" si="58"/>
        <v>0</v>
      </c>
      <c r="CH253" s="124">
        <f t="shared" si="59"/>
        <v>350000</v>
      </c>
      <c r="CI253" s="125">
        <f t="shared" si="60"/>
        <v>0</v>
      </c>
      <c r="CJ253" s="126" t="str">
        <f t="shared" si="61"/>
        <v>数据正确</v>
      </c>
    </row>
    <row r="254" s="60" customFormat="1" customHeight="1" spans="2:88">
      <c r="B254" s="70" t="str">
        <f t="shared" si="51"/>
        <v>-</v>
      </c>
      <c r="C254" s="71" t="str">
        <f t="shared" si="52"/>
        <v>-</v>
      </c>
      <c r="D254" s="181">
        <f t="shared" si="53"/>
        <v>0</v>
      </c>
      <c r="E254" s="181">
        <f>SUMIF(设备合同!$L$6:$L$302,L254,设备合同!$E$6:$E$302)</f>
        <v>0</v>
      </c>
      <c r="F254" s="181">
        <f>SUMIF(设备合同!$L$6:$L$302,L254,设备合同!$F$6:$F$302)</f>
        <v>0</v>
      </c>
      <c r="G254" s="181">
        <f>SUMIF(设备合同!$L$6:$L$302,L254,设备合同!$G$6:$G$302)</f>
        <v>0</v>
      </c>
      <c r="H254" s="181">
        <f>SUMIF(设备合同!$L$6:$L$302,L254,设备合同!$H$6:$H$302)</f>
        <v>0</v>
      </c>
      <c r="I254" s="181">
        <f t="shared" si="54"/>
        <v>0</v>
      </c>
      <c r="J254" s="86" t="s">
        <v>98</v>
      </c>
      <c r="K254" s="87"/>
      <c r="L254" s="88">
        <v>249</v>
      </c>
      <c r="M254" s="89" t="str">
        <f>VLOOKUP(L254,设备合同!$L$6:$CC$302,2,0)</f>
        <v>YRKJEQ-170057</v>
      </c>
      <c r="N254" s="90" t="str">
        <f>VLOOKUP(L254,设备合同!$L$6:$CC$302,3,0)</f>
        <v>设备合同</v>
      </c>
      <c r="O254" s="265">
        <f>VLOOKUP(L254,设备合同!$L$6:$CC$302,4,0)</f>
        <v>2017060043</v>
      </c>
      <c r="P254" s="266">
        <f>VLOOKUP(L254,设备合同!$L$6:$CC$302,5,0)</f>
        <v>42929</v>
      </c>
      <c r="Q254" s="275">
        <f>VLOOKUP(L254,设备合同!$L$6:$CC$302,6,0)</f>
        <v>3395000</v>
      </c>
      <c r="R254" s="89" t="str">
        <f>VLOOKUP(L254,设备合同!$L$6:$CC$302,7,0)</f>
        <v>火炬</v>
      </c>
      <c r="S254" s="89" t="str">
        <f>VLOOKUP(L254,设备合同!$L$6:$CC$302,8,0)</f>
        <v>上海同济高科技发展有限公司</v>
      </c>
      <c r="T254" s="107">
        <f>VLOOKUP(L254,设备合同!$L$6:$CC$302,9,0)</f>
        <v>0</v>
      </c>
      <c r="U254" s="103" t="str">
        <f>VLOOKUP(L254,设备合同!$L$6:$CC$302,10,0)</f>
        <v>电汇</v>
      </c>
      <c r="V254" s="276" t="str">
        <f>VLOOKUP(L254,设备合同!$L$6:$CC$302,11,0)</f>
        <v>甲方收到乙方20%的预付款保函以等额专票后15个工作日支付20%预付款  10%履约保函</v>
      </c>
      <c r="W254" s="102">
        <f>VLOOKUP(L254,设备合同!$L$6:$CC$302,12,0)</f>
        <v>679000</v>
      </c>
      <c r="X254" s="102">
        <f>VLOOKUP(L254,设备合同!$L$6:$CC$302,13,0)</f>
        <v>0</v>
      </c>
      <c r="Y254" s="102">
        <f>VLOOKUP(L254,设备合同!$L$6:$CC$302,14,0)</f>
        <v>0</v>
      </c>
      <c r="Z254" s="102" t="str">
        <f>VLOOKUP(L254,设备合同!$L$6:$CC$302,15,0)</f>
        <v>甲方到乙方现场确认无误后，收到17%等额、专票，15个工作日内支付40%发货款</v>
      </c>
      <c r="AA254" s="102">
        <f>VLOOKUP(L254,设备合同!$L$6:$CC$302,16,0)</f>
        <v>1358000</v>
      </c>
      <c r="AB254" s="102">
        <f>VLOOKUP(L254,设备合同!$L$6:$CC$302,17,0)</f>
        <v>0</v>
      </c>
      <c r="AC254" s="102">
        <f>VLOOKUP(L254,设备合同!$L$6:$CC$302,18,0)</f>
        <v>0</v>
      </c>
      <c r="AD254" s="102" t="str">
        <f>VLOOKUP(L254,设备合同!$L$6:$CC$302,19,0)</f>
        <v>甲方核定的调试合格报告及足额的发票后付30%的验收款</v>
      </c>
      <c r="AE254" s="102">
        <f>VLOOKUP(L254,设备合同!$L$6:$CC$302,20,0)</f>
        <v>1018500</v>
      </c>
      <c r="AF254" s="102">
        <f>VLOOKUP(L254,设备合同!$L$6:$CC$302,21,0)</f>
        <v>0</v>
      </c>
      <c r="AG254" s="102">
        <f>VLOOKUP(L254,设备合同!$L$6:$CC$302,22,0)</f>
        <v>0</v>
      </c>
      <c r="AH254" s="102" t="str">
        <f>VLOOKUP(L254,设备合同!$L$6:$CC$302,23,0)</f>
        <v>10%质保金，验收合格12个月或到货现场18个月 承兑</v>
      </c>
      <c r="AI254" s="102">
        <f>VLOOKUP(L254,设备合同!$L$6:$CC$302,24,0)</f>
        <v>339500</v>
      </c>
      <c r="AJ254" s="102">
        <f>VLOOKUP(L254,设备合同!$L$6:$CC$302,25,0)</f>
        <v>0</v>
      </c>
      <c r="AK254" s="102">
        <f>VLOOKUP(L254,设备合同!$L$6:$CC$302,26,0)</f>
        <v>0</v>
      </c>
      <c r="AL254" s="102">
        <f>VLOOKUP(L254,设备合同!$L$6:$CC$302,27,0)</f>
        <v>0</v>
      </c>
      <c r="AM254" s="102">
        <f>VLOOKUP(L254,设备合同!$L$6:$CC$302,28,0)</f>
        <v>0</v>
      </c>
      <c r="AN254" s="102">
        <f>VLOOKUP(L254,设备合同!$L$6:$CC$302,29,0)</f>
        <v>0</v>
      </c>
      <c r="AO254" s="102">
        <f>VLOOKUP(L254,设备合同!$L$6:$CC$302,30,0)</f>
        <v>0</v>
      </c>
      <c r="AP254" s="102">
        <f>VLOOKUP(L254,设备合同!$L$6:$CC$302,31,0)</f>
        <v>0</v>
      </c>
      <c r="AQ254" s="102">
        <f>VLOOKUP(L254,设备合同!$L$6:$CC$302,32,0)</f>
        <v>0</v>
      </c>
      <c r="AR254" s="102">
        <f>VLOOKUP(L254,设备合同!$L$6:$CC$302,33,0)</f>
        <v>0</v>
      </c>
      <c r="AS254" s="102">
        <f>VLOOKUP(L254,设备合同!$L$6:$CC$302,34,0)</f>
        <v>0</v>
      </c>
      <c r="AT254" s="102">
        <f>VLOOKUP(L254,设备合同!$L$6:$CC$302,35,0)</f>
        <v>0</v>
      </c>
      <c r="AU254" s="102">
        <f>VLOOKUP(L254,设备合同!$L$6:$CC$302,36,0)</f>
        <v>0</v>
      </c>
      <c r="AV254" s="102">
        <f>VLOOKUP(L254,设备合同!$L$6:$CC$302,37,0)</f>
        <v>0</v>
      </c>
      <c r="AW254" s="102">
        <f>VLOOKUP(L254,设备合同!$L$6:$CC$302,38,0)</f>
        <v>0</v>
      </c>
      <c r="AX254" s="102">
        <f>VLOOKUP(L254,设备合同!$L$6:$CC$302,39,0)</f>
        <v>0</v>
      </c>
      <c r="AY254" s="102">
        <f>VLOOKUP(L254,设备合同!$L$6:$CC$302,40,0)</f>
        <v>0</v>
      </c>
      <c r="AZ254" s="102">
        <f>VLOOKUP(L254,设备合同!$L$6:$CC$302,41,0)</f>
        <v>0</v>
      </c>
      <c r="BA254" s="102">
        <f>VLOOKUP(L254,设备合同!$L$6:$CC$302,42,0)</f>
        <v>0</v>
      </c>
      <c r="BB254" s="102">
        <f>VLOOKUP(L254,设备合同!$L$6:$CC$302,43,0)</f>
        <v>0</v>
      </c>
      <c r="BC254" s="102">
        <f>VLOOKUP(L254,设备合同!$L$6:$CC$302,44,0)</f>
        <v>0</v>
      </c>
      <c r="BD254" s="102">
        <f>VLOOKUP(L254,设备合同!$L$6:$CC$302,45,0)</f>
        <v>0</v>
      </c>
      <c r="BE254" s="102">
        <f>VLOOKUP(L254,设备合同!$L$6:$CC$302,46,0)</f>
        <v>0</v>
      </c>
      <c r="BF254" s="102">
        <f>VLOOKUP(L254,设备合同!$L$6:$CC$302,47,0)</f>
        <v>0</v>
      </c>
      <c r="BG254" s="102">
        <f>VLOOKUP(L254,设备合同!$L$6:$CC$302,48,0)</f>
        <v>0</v>
      </c>
      <c r="BH254" s="102">
        <f>VLOOKUP(L254,设备合同!$L$6:$CC$302,49,0)</f>
        <v>0</v>
      </c>
      <c r="BI254" s="102">
        <f>VLOOKUP(L254,设备合同!$L$6:$CC$302,50,0)</f>
        <v>0</v>
      </c>
      <c r="BJ254" s="102">
        <f>VLOOKUP(L254,设备合同!$L$6:$CC$302,51,0)</f>
        <v>0</v>
      </c>
      <c r="BK254" s="102">
        <f>VLOOKUP(L254,设备合同!$L$6:$CC$302,52,0)</f>
        <v>0</v>
      </c>
      <c r="BL254" s="102">
        <f>VLOOKUP(L254,设备合同!$L$6:$CC$302,53,0)</f>
        <v>0</v>
      </c>
      <c r="BM254" s="102">
        <f>VLOOKUP(L254,设备合同!$L$6:$CC$302,54,0)</f>
        <v>0</v>
      </c>
      <c r="BN254" s="102">
        <f>VLOOKUP(L254,设备合同!$L$6:$CC$302,55,0)</f>
        <v>0</v>
      </c>
      <c r="BO254" s="102">
        <f>VLOOKUP(L254,设备合同!$L$6:$CC$302,56,0)</f>
        <v>0</v>
      </c>
      <c r="BP254" s="102">
        <f>VLOOKUP(L254,设备合同!$L$6:$CC$302,57,0)</f>
        <v>0</v>
      </c>
      <c r="BQ254" s="102">
        <f>VLOOKUP(L254,设备合同!$L$6:$CC$302,58,0)</f>
        <v>0</v>
      </c>
      <c r="BR254" s="102">
        <f>VLOOKUP(L254,设备合同!$L$6:$CC$302,59,0)</f>
        <v>0</v>
      </c>
      <c r="BS254" s="102">
        <f>VLOOKUP(L254,设备合同!$L$6:$CC$302,60,0)</f>
        <v>0</v>
      </c>
      <c r="BT254" s="102">
        <f>VLOOKUP(L254,设备合同!$L$6:$CC$302,61,0)</f>
        <v>0</v>
      </c>
      <c r="BU254" s="102">
        <f>VLOOKUP(L254,设备合同!$L$6:$CC$302,62,0)</f>
        <v>0</v>
      </c>
      <c r="BV254" s="102">
        <f>VLOOKUP(L254,设备合同!$L$6:$CC$302,63,0)</f>
        <v>0</v>
      </c>
      <c r="BW254" s="102">
        <f>VLOOKUP(L254,设备合同!$L$6:$CC$302,64,0)</f>
        <v>0</v>
      </c>
      <c r="BX254" s="102">
        <f>VLOOKUP(L254,设备合同!$L$6:$CC$302,65,0)</f>
        <v>0</v>
      </c>
      <c r="BY254" s="102">
        <f>VLOOKUP(L254,设备合同!$L$6:$CC$302,66,0)</f>
        <v>0</v>
      </c>
      <c r="BZ254" s="102">
        <f>VLOOKUP(L254,设备合同!$L$6:$CC$302,67,0)</f>
        <v>0</v>
      </c>
      <c r="CA254" s="102">
        <f>VLOOKUP(L254,设备合同!$L$6:$CC$302,68,0)</f>
        <v>0</v>
      </c>
      <c r="CB254" s="102">
        <f>VLOOKUP(L254,设备合同!$L$6:$CC$302,69,0)</f>
        <v>0</v>
      </c>
      <c r="CC254" s="102">
        <f>VLOOKUP(L254,设备合同!$L$6:$CC$302,70,0)</f>
        <v>0</v>
      </c>
      <c r="CD254" s="123">
        <f t="shared" si="55"/>
        <v>3395000</v>
      </c>
      <c r="CE254" s="102">
        <f t="shared" si="56"/>
        <v>0</v>
      </c>
      <c r="CF254" s="102">
        <f t="shared" si="57"/>
        <v>0</v>
      </c>
      <c r="CG254" s="102">
        <f t="shared" si="58"/>
        <v>0</v>
      </c>
      <c r="CH254" s="124">
        <f t="shared" si="59"/>
        <v>3395000</v>
      </c>
      <c r="CI254" s="125">
        <f t="shared" si="60"/>
        <v>0</v>
      </c>
      <c r="CJ254" s="126" t="str">
        <f t="shared" si="61"/>
        <v>数据正确</v>
      </c>
    </row>
    <row r="255" s="60" customFormat="1" customHeight="1" spans="2:88">
      <c r="B255" s="70" t="str">
        <f t="shared" si="51"/>
        <v>-</v>
      </c>
      <c r="C255" s="71" t="str">
        <f t="shared" si="52"/>
        <v>-</v>
      </c>
      <c r="D255" s="181">
        <f t="shared" si="53"/>
        <v>2200000</v>
      </c>
      <c r="E255" s="181">
        <f>SUMIF(设备合同!$L$6:$L$302,L255,设备合同!$E$6:$E$302)</f>
        <v>0</v>
      </c>
      <c r="F255" s="181">
        <f>SUMIF(设备合同!$L$6:$L$302,L255,设备合同!$F$6:$F$302)</f>
        <v>0</v>
      </c>
      <c r="G255" s="181">
        <f>SUMIF(设备合同!$L$6:$L$302,L255,设备合同!$G$6:$G$302)</f>
        <v>0</v>
      </c>
      <c r="H255" s="181">
        <f>SUMIF(设备合同!$L$6:$L$302,L255,设备合同!$H$6:$H$302)</f>
        <v>0</v>
      </c>
      <c r="I255" s="181">
        <f t="shared" si="54"/>
        <v>0</v>
      </c>
      <c r="J255" s="86" t="s">
        <v>98</v>
      </c>
      <c r="K255" s="87"/>
      <c r="L255" s="88">
        <v>250</v>
      </c>
      <c r="M255" s="89" t="str">
        <f>VLOOKUP(L255,设备合同!$L$6:$CC$302,2,0)</f>
        <v>YRKJEQ-170072</v>
      </c>
      <c r="N255" s="90" t="str">
        <f>VLOOKUP(L255,设备合同!$L$6:$CC$302,3,0)</f>
        <v>设备合同</v>
      </c>
      <c r="O255" s="265">
        <f>VLOOKUP(L255,设备合同!$L$6:$CC$302,4,0)</f>
        <v>2017070006</v>
      </c>
      <c r="P255" s="266">
        <f>VLOOKUP(L255,设备合同!$L$6:$CC$302,5,0)</f>
        <v>42981</v>
      </c>
      <c r="Q255" s="275">
        <f>VLOOKUP(L255,设备合同!$L$6:$CC$302,6,0)</f>
        <v>11000000</v>
      </c>
      <c r="R255" s="89" t="str">
        <f>VLOOKUP(L255,设备合同!$L$6:$CC$302,7,0)</f>
        <v>冷凝水余热回收装置</v>
      </c>
      <c r="S255" s="89" t="str">
        <f>VLOOKUP(L255,设备合同!$L$6:$CC$302,8,0)</f>
        <v>双良节能系统股份有限公司</v>
      </c>
      <c r="T255" s="107">
        <f>VLOOKUP(L255,设备合同!$L$6:$CC$302,9,0)</f>
        <v>0</v>
      </c>
      <c r="U255" s="103" t="str">
        <f>VLOOKUP(L255,设备合同!$L$6:$CC$302,10,0)</f>
        <v>6个月承兑汇票/电汇不下浮</v>
      </c>
      <c r="V255" s="276" t="str">
        <f>VLOOKUP(L255,设备合同!$L$6:$CC$302,11,0)</f>
        <v>甲方收到乙方20%的预付款保函以等额专票后15个工作日支付20%预付款 10%履约保函</v>
      </c>
      <c r="W255" s="102">
        <f>VLOOKUP(L255,设备合同!$L$6:$CC$302,12,0)</f>
        <v>2200000</v>
      </c>
      <c r="X255" s="102">
        <f>VLOOKUP(L255,设备合同!$L$6:$CC$302,13,0)</f>
        <v>2200000</v>
      </c>
      <c r="Y255" s="102">
        <f>VLOOKUP(L255,设备合同!$L$6:$CC$302,14,0)</f>
        <v>2200000</v>
      </c>
      <c r="Z255" s="102" t="str">
        <f>VLOOKUP(L255,设备合同!$L$6:$CC$302,15,0)</f>
        <v>甲方到乙方现场确认无误后，收到17%等额、专票，15个工作日内支付40%发货款</v>
      </c>
      <c r="AA255" s="102">
        <f>VLOOKUP(L255,设备合同!$L$6:$CC$302,16,0)</f>
        <v>4400000</v>
      </c>
      <c r="AB255" s="102">
        <f>VLOOKUP(L255,设备合同!$L$6:$CC$302,17,0)</f>
        <v>0</v>
      </c>
      <c r="AC255" s="102">
        <f>VLOOKUP(L255,设备合同!$L$6:$CC$302,18,0)</f>
        <v>0</v>
      </c>
      <c r="AD255" s="102" t="str">
        <f>VLOOKUP(L255,设备合同!$L$6:$CC$302,19,0)</f>
        <v>甲方核定的调试合格报告及足额的发票后付30%的验收款</v>
      </c>
      <c r="AE255" s="102">
        <f>VLOOKUP(L255,设备合同!$L$6:$CC$302,20,0)</f>
        <v>3300000</v>
      </c>
      <c r="AF255" s="102">
        <f>VLOOKUP(L255,设备合同!$L$6:$CC$302,21,0)</f>
        <v>0</v>
      </c>
      <c r="AG255" s="102">
        <f>VLOOKUP(L255,设备合同!$L$6:$CC$302,22,0)</f>
        <v>0</v>
      </c>
      <c r="AH255" s="102" t="str">
        <f>VLOOKUP(L255,设备合同!$L$6:$CC$302,23,0)</f>
        <v>10%质保金，验收合格12个月或到货现场18个月 承兑</v>
      </c>
      <c r="AI255" s="102">
        <f>VLOOKUP(L255,设备合同!$L$6:$CC$302,24,0)</f>
        <v>1100000</v>
      </c>
      <c r="AJ255" s="102">
        <f>VLOOKUP(L255,设备合同!$L$6:$CC$302,25,0)</f>
        <v>0</v>
      </c>
      <c r="AK255" s="102">
        <f>VLOOKUP(L255,设备合同!$L$6:$CC$302,26,0)</f>
        <v>0</v>
      </c>
      <c r="AL255" s="102">
        <f>VLOOKUP(L255,设备合同!$L$6:$CC$302,27,0)</f>
        <v>0</v>
      </c>
      <c r="AM255" s="102">
        <f>VLOOKUP(L255,设备合同!$L$6:$CC$302,28,0)</f>
        <v>0</v>
      </c>
      <c r="AN255" s="102">
        <f>VLOOKUP(L255,设备合同!$L$6:$CC$302,29,0)</f>
        <v>0</v>
      </c>
      <c r="AO255" s="102">
        <f>VLOOKUP(L255,设备合同!$L$6:$CC$302,30,0)</f>
        <v>0</v>
      </c>
      <c r="AP255" s="102">
        <f>VLOOKUP(L255,设备合同!$L$6:$CC$302,31,0)</f>
        <v>0</v>
      </c>
      <c r="AQ255" s="102">
        <f>VLOOKUP(L255,设备合同!$L$6:$CC$302,32,0)</f>
        <v>0</v>
      </c>
      <c r="AR255" s="102">
        <f>VLOOKUP(L255,设备合同!$L$6:$CC$302,33,0)</f>
        <v>0</v>
      </c>
      <c r="AS255" s="102">
        <f>VLOOKUP(L255,设备合同!$L$6:$CC$302,34,0)</f>
        <v>0</v>
      </c>
      <c r="AT255" s="102">
        <f>VLOOKUP(L255,设备合同!$L$6:$CC$302,35,0)</f>
        <v>0</v>
      </c>
      <c r="AU255" s="102">
        <f>VLOOKUP(L255,设备合同!$L$6:$CC$302,36,0)</f>
        <v>0</v>
      </c>
      <c r="AV255" s="102">
        <f>VLOOKUP(L255,设备合同!$L$6:$CC$302,37,0)</f>
        <v>0</v>
      </c>
      <c r="AW255" s="102">
        <f>VLOOKUP(L255,设备合同!$L$6:$CC$302,38,0)</f>
        <v>0</v>
      </c>
      <c r="AX255" s="102">
        <f>VLOOKUP(L255,设备合同!$L$6:$CC$302,39,0)</f>
        <v>0</v>
      </c>
      <c r="AY255" s="102">
        <f>VLOOKUP(L255,设备合同!$L$6:$CC$302,40,0)</f>
        <v>0</v>
      </c>
      <c r="AZ255" s="102">
        <f>VLOOKUP(L255,设备合同!$L$6:$CC$302,41,0)</f>
        <v>0</v>
      </c>
      <c r="BA255" s="102">
        <f>VLOOKUP(L255,设备合同!$L$6:$CC$302,42,0)</f>
        <v>0</v>
      </c>
      <c r="BB255" s="102">
        <f>VLOOKUP(L255,设备合同!$L$6:$CC$302,43,0)</f>
        <v>0</v>
      </c>
      <c r="BC255" s="102">
        <f>VLOOKUP(L255,设备合同!$L$6:$CC$302,44,0)</f>
        <v>0</v>
      </c>
      <c r="BD255" s="102">
        <f>VLOOKUP(L255,设备合同!$L$6:$CC$302,45,0)</f>
        <v>0</v>
      </c>
      <c r="BE255" s="102">
        <f>VLOOKUP(L255,设备合同!$L$6:$CC$302,46,0)</f>
        <v>0</v>
      </c>
      <c r="BF255" s="102">
        <f>VLOOKUP(L255,设备合同!$L$6:$CC$302,47,0)</f>
        <v>0</v>
      </c>
      <c r="BG255" s="102">
        <f>VLOOKUP(L255,设备合同!$L$6:$CC$302,48,0)</f>
        <v>0</v>
      </c>
      <c r="BH255" s="102">
        <f>VLOOKUP(L255,设备合同!$L$6:$CC$302,49,0)</f>
        <v>0</v>
      </c>
      <c r="BI255" s="102">
        <f>VLOOKUP(L255,设备合同!$L$6:$CC$302,50,0)</f>
        <v>0</v>
      </c>
      <c r="BJ255" s="102">
        <f>VLOOKUP(L255,设备合同!$L$6:$CC$302,51,0)</f>
        <v>0</v>
      </c>
      <c r="BK255" s="102">
        <f>VLOOKUP(L255,设备合同!$L$6:$CC$302,52,0)</f>
        <v>0</v>
      </c>
      <c r="BL255" s="102">
        <f>VLOOKUP(L255,设备合同!$L$6:$CC$302,53,0)</f>
        <v>0</v>
      </c>
      <c r="BM255" s="102">
        <f>VLOOKUP(L255,设备合同!$L$6:$CC$302,54,0)</f>
        <v>0</v>
      </c>
      <c r="BN255" s="102">
        <f>VLOOKUP(L255,设备合同!$L$6:$CC$302,55,0)</f>
        <v>0</v>
      </c>
      <c r="BO255" s="102">
        <f>VLOOKUP(L255,设备合同!$L$6:$CC$302,56,0)</f>
        <v>0</v>
      </c>
      <c r="BP255" s="102">
        <f>VLOOKUP(L255,设备合同!$L$6:$CC$302,57,0)</f>
        <v>0</v>
      </c>
      <c r="BQ255" s="102">
        <f>VLOOKUP(L255,设备合同!$L$6:$CC$302,58,0)</f>
        <v>0</v>
      </c>
      <c r="BR255" s="102">
        <f>VLOOKUP(L255,设备合同!$L$6:$CC$302,59,0)</f>
        <v>0</v>
      </c>
      <c r="BS255" s="102">
        <f>VLOOKUP(L255,设备合同!$L$6:$CC$302,60,0)</f>
        <v>0</v>
      </c>
      <c r="BT255" s="102">
        <f>VLOOKUP(L255,设备合同!$L$6:$CC$302,61,0)</f>
        <v>0</v>
      </c>
      <c r="BU255" s="102">
        <f>VLOOKUP(L255,设备合同!$L$6:$CC$302,62,0)</f>
        <v>0</v>
      </c>
      <c r="BV255" s="102">
        <f>VLOOKUP(L255,设备合同!$L$6:$CC$302,63,0)</f>
        <v>0</v>
      </c>
      <c r="BW255" s="102">
        <f>VLOOKUP(L255,设备合同!$L$6:$CC$302,64,0)</f>
        <v>0</v>
      </c>
      <c r="BX255" s="102">
        <f>VLOOKUP(L255,设备合同!$L$6:$CC$302,65,0)</f>
        <v>0</v>
      </c>
      <c r="BY255" s="102">
        <f>VLOOKUP(L255,设备合同!$L$6:$CC$302,66,0)</f>
        <v>0</v>
      </c>
      <c r="BZ255" s="102">
        <f>VLOOKUP(L255,设备合同!$L$6:$CC$302,67,0)</f>
        <v>0</v>
      </c>
      <c r="CA255" s="102">
        <f>VLOOKUP(L255,设备合同!$L$6:$CC$302,68,0)</f>
        <v>0</v>
      </c>
      <c r="CB255" s="102">
        <f>VLOOKUP(L255,设备合同!$L$6:$CC$302,69,0)</f>
        <v>0</v>
      </c>
      <c r="CC255" s="102">
        <f>VLOOKUP(L255,设备合同!$L$6:$CC$302,70,0)</f>
        <v>0</v>
      </c>
      <c r="CD255" s="123">
        <f t="shared" si="55"/>
        <v>11000000</v>
      </c>
      <c r="CE255" s="102">
        <f t="shared" si="56"/>
        <v>2200000</v>
      </c>
      <c r="CF255" s="102">
        <f t="shared" si="57"/>
        <v>2200000</v>
      </c>
      <c r="CG255" s="102">
        <f t="shared" si="58"/>
        <v>0</v>
      </c>
      <c r="CH255" s="124">
        <f t="shared" si="59"/>
        <v>8800000</v>
      </c>
      <c r="CI255" s="125">
        <f t="shared" si="60"/>
        <v>0.2</v>
      </c>
      <c r="CJ255" s="126" t="str">
        <f t="shared" si="61"/>
        <v>数据正确</v>
      </c>
    </row>
    <row r="256" s="60" customFormat="1" customHeight="1" spans="2:88">
      <c r="B256" s="70" t="str">
        <f t="shared" si="51"/>
        <v>-</v>
      </c>
      <c r="C256" s="71" t="str">
        <f t="shared" si="52"/>
        <v>-</v>
      </c>
      <c r="D256" s="181">
        <f t="shared" si="53"/>
        <v>0</v>
      </c>
      <c r="E256" s="181">
        <f>SUMIF(设备合同!$L$6:$L$302,L256,设备合同!$E$6:$E$302)</f>
        <v>0</v>
      </c>
      <c r="F256" s="181">
        <f>SUMIF(设备合同!$L$6:$L$302,L256,设备合同!$F$6:$F$302)</f>
        <v>0</v>
      </c>
      <c r="G256" s="181">
        <f>SUMIF(设备合同!$L$6:$L$302,L256,设备合同!$G$6:$G$302)</f>
        <v>0</v>
      </c>
      <c r="H256" s="181">
        <f>SUMIF(设备合同!$L$6:$L$302,L256,设备合同!$H$6:$H$302)</f>
        <v>0</v>
      </c>
      <c r="I256" s="181">
        <f t="shared" si="54"/>
        <v>0</v>
      </c>
      <c r="J256" s="86" t="s">
        <v>98</v>
      </c>
      <c r="K256" s="87"/>
      <c r="L256" s="88">
        <v>251</v>
      </c>
      <c r="M256" s="89" t="str">
        <f>VLOOKUP(L256,设备合同!$L$6:$CC$302,2,0)</f>
        <v>YRKJEQ-170075</v>
      </c>
      <c r="N256" s="90" t="str">
        <f>VLOOKUP(L256,设备合同!$L$6:$CC$302,3,0)</f>
        <v>设备合同</v>
      </c>
      <c r="O256" s="265">
        <f>VLOOKUP(L256,设备合同!$L$6:$CC$302,4,0)</f>
        <v>2017060070</v>
      </c>
      <c r="P256" s="266">
        <f>VLOOKUP(L256,设备合同!$L$6:$CC$302,5,0)</f>
        <v>42963</v>
      </c>
      <c r="Q256" s="275">
        <f>VLOOKUP(L256,设备合同!$L$6:$CC$302,6,0)</f>
        <v>617800</v>
      </c>
      <c r="R256" s="89" t="str">
        <f>VLOOKUP(L256,设备合同!$L$6:$CC$302,7,0)</f>
        <v>减温减压器</v>
      </c>
      <c r="S256" s="89" t="str">
        <f>VLOOKUP(L256,设备合同!$L$6:$CC$302,8,0)</f>
        <v>杭州杭辅电站辅机有限公司</v>
      </c>
      <c r="T256" s="107">
        <f>VLOOKUP(L256,设备合同!$L$6:$CC$302,9,0)</f>
        <v>0</v>
      </c>
      <c r="U256" s="103" t="str">
        <f>VLOOKUP(L256,设备合同!$L$6:$CC$302,10,0)</f>
        <v>6个月承兑汇票/电汇不下浮</v>
      </c>
      <c r="V256" s="276" t="str">
        <f>VLOOKUP(L256,设备合同!$L$6:$CC$302,11,0)</f>
        <v>甲方收到乙方20%的预付款保函以等额专票后15个工作日支付20%预付款 10%履约保函</v>
      </c>
      <c r="W256" s="102">
        <f>VLOOKUP(L256,设备合同!$L$6:$CC$302,12,0)</f>
        <v>123560</v>
      </c>
      <c r="X256" s="102">
        <f>VLOOKUP(L256,设备合同!$L$6:$CC$302,13,0)</f>
        <v>0</v>
      </c>
      <c r="Y256" s="102">
        <f>VLOOKUP(L256,设备合同!$L$6:$CC$302,14,0)</f>
        <v>0</v>
      </c>
      <c r="Z256" s="102" t="str">
        <f>VLOOKUP(L256,设备合同!$L$6:$CC$302,15,0)</f>
        <v>甲方到乙方现场确认无误后，收到17%等额、专票，15个工作日内支付40%发货款</v>
      </c>
      <c r="AA256" s="102">
        <f>VLOOKUP(L256,设备合同!$L$6:$CC$302,16,0)</f>
        <v>247120</v>
      </c>
      <c r="AB256" s="102">
        <f>VLOOKUP(L256,设备合同!$L$6:$CC$302,17,0)</f>
        <v>0</v>
      </c>
      <c r="AC256" s="102">
        <f>VLOOKUP(L256,设备合同!$L$6:$CC$302,18,0)</f>
        <v>0</v>
      </c>
      <c r="AD256" s="102" t="str">
        <f>VLOOKUP(L256,设备合同!$L$6:$CC$302,19,0)</f>
        <v>甲方核定的调试合格报告及足额的发票后付30%的验收款</v>
      </c>
      <c r="AE256" s="102">
        <f>VLOOKUP(L256,设备合同!$L$6:$CC$302,20,0)</f>
        <v>185340</v>
      </c>
      <c r="AF256" s="102">
        <f>VLOOKUP(L256,设备合同!$L$6:$CC$302,21,0)</f>
        <v>0</v>
      </c>
      <c r="AG256" s="102">
        <f>VLOOKUP(L256,设备合同!$L$6:$CC$302,22,0)</f>
        <v>0</v>
      </c>
      <c r="AH256" s="102" t="str">
        <f>VLOOKUP(L256,设备合同!$L$6:$CC$302,23,0)</f>
        <v>10%质保金，验收合格12个月或到货现场18个月 承兑</v>
      </c>
      <c r="AI256" s="102">
        <f>VLOOKUP(L256,设备合同!$L$6:$CC$302,24,0)</f>
        <v>61780</v>
      </c>
      <c r="AJ256" s="102">
        <f>VLOOKUP(L256,设备合同!$L$6:$CC$302,25,0)</f>
        <v>0</v>
      </c>
      <c r="AK256" s="102">
        <f>VLOOKUP(L256,设备合同!$L$6:$CC$302,26,0)</f>
        <v>0</v>
      </c>
      <c r="AL256" s="102">
        <f>VLOOKUP(L256,设备合同!$L$6:$CC$302,27,0)</f>
        <v>0</v>
      </c>
      <c r="AM256" s="102">
        <f>VLOOKUP(L256,设备合同!$L$6:$CC$302,28,0)</f>
        <v>0</v>
      </c>
      <c r="AN256" s="102">
        <f>VLOOKUP(L256,设备合同!$L$6:$CC$302,29,0)</f>
        <v>0</v>
      </c>
      <c r="AO256" s="102">
        <f>VLOOKUP(L256,设备合同!$L$6:$CC$302,30,0)</f>
        <v>0</v>
      </c>
      <c r="AP256" s="102">
        <f>VLOOKUP(L256,设备合同!$L$6:$CC$302,31,0)</f>
        <v>0</v>
      </c>
      <c r="AQ256" s="102">
        <f>VLOOKUP(L256,设备合同!$L$6:$CC$302,32,0)</f>
        <v>0</v>
      </c>
      <c r="AR256" s="102">
        <f>VLOOKUP(L256,设备合同!$L$6:$CC$302,33,0)</f>
        <v>0</v>
      </c>
      <c r="AS256" s="102">
        <f>VLOOKUP(L256,设备合同!$L$6:$CC$302,34,0)</f>
        <v>0</v>
      </c>
      <c r="AT256" s="102">
        <f>VLOOKUP(L256,设备合同!$L$6:$CC$302,35,0)</f>
        <v>0</v>
      </c>
      <c r="AU256" s="102">
        <f>VLOOKUP(L256,设备合同!$L$6:$CC$302,36,0)</f>
        <v>0</v>
      </c>
      <c r="AV256" s="102">
        <f>VLOOKUP(L256,设备合同!$L$6:$CC$302,37,0)</f>
        <v>0</v>
      </c>
      <c r="AW256" s="102">
        <f>VLOOKUP(L256,设备合同!$L$6:$CC$302,38,0)</f>
        <v>0</v>
      </c>
      <c r="AX256" s="102">
        <f>VLOOKUP(L256,设备合同!$L$6:$CC$302,39,0)</f>
        <v>0</v>
      </c>
      <c r="AY256" s="102">
        <f>VLOOKUP(L256,设备合同!$L$6:$CC$302,40,0)</f>
        <v>0</v>
      </c>
      <c r="AZ256" s="102">
        <f>VLOOKUP(L256,设备合同!$L$6:$CC$302,41,0)</f>
        <v>0</v>
      </c>
      <c r="BA256" s="102">
        <f>VLOOKUP(L256,设备合同!$L$6:$CC$302,42,0)</f>
        <v>0</v>
      </c>
      <c r="BB256" s="102">
        <f>VLOOKUP(L256,设备合同!$L$6:$CC$302,43,0)</f>
        <v>0</v>
      </c>
      <c r="BC256" s="102">
        <f>VLOOKUP(L256,设备合同!$L$6:$CC$302,44,0)</f>
        <v>0</v>
      </c>
      <c r="BD256" s="102">
        <f>VLOOKUP(L256,设备合同!$L$6:$CC$302,45,0)</f>
        <v>0</v>
      </c>
      <c r="BE256" s="102">
        <f>VLOOKUP(L256,设备合同!$L$6:$CC$302,46,0)</f>
        <v>0</v>
      </c>
      <c r="BF256" s="102">
        <f>VLOOKUP(L256,设备合同!$L$6:$CC$302,47,0)</f>
        <v>0</v>
      </c>
      <c r="BG256" s="102">
        <f>VLOOKUP(L256,设备合同!$L$6:$CC$302,48,0)</f>
        <v>0</v>
      </c>
      <c r="BH256" s="102">
        <f>VLOOKUP(L256,设备合同!$L$6:$CC$302,49,0)</f>
        <v>0</v>
      </c>
      <c r="BI256" s="102">
        <f>VLOOKUP(L256,设备合同!$L$6:$CC$302,50,0)</f>
        <v>0</v>
      </c>
      <c r="BJ256" s="102">
        <f>VLOOKUP(L256,设备合同!$L$6:$CC$302,51,0)</f>
        <v>0</v>
      </c>
      <c r="BK256" s="102">
        <f>VLOOKUP(L256,设备合同!$L$6:$CC$302,52,0)</f>
        <v>0</v>
      </c>
      <c r="BL256" s="102">
        <f>VLOOKUP(L256,设备合同!$L$6:$CC$302,53,0)</f>
        <v>0</v>
      </c>
      <c r="BM256" s="102">
        <f>VLOOKUP(L256,设备合同!$L$6:$CC$302,54,0)</f>
        <v>0</v>
      </c>
      <c r="BN256" s="102">
        <f>VLOOKUP(L256,设备合同!$L$6:$CC$302,55,0)</f>
        <v>0</v>
      </c>
      <c r="BO256" s="102">
        <f>VLOOKUP(L256,设备合同!$L$6:$CC$302,56,0)</f>
        <v>0</v>
      </c>
      <c r="BP256" s="102">
        <f>VLOOKUP(L256,设备合同!$L$6:$CC$302,57,0)</f>
        <v>0</v>
      </c>
      <c r="BQ256" s="102">
        <f>VLOOKUP(L256,设备合同!$L$6:$CC$302,58,0)</f>
        <v>0</v>
      </c>
      <c r="BR256" s="102">
        <f>VLOOKUP(L256,设备合同!$L$6:$CC$302,59,0)</f>
        <v>0</v>
      </c>
      <c r="BS256" s="102">
        <f>VLOOKUP(L256,设备合同!$L$6:$CC$302,60,0)</f>
        <v>0</v>
      </c>
      <c r="BT256" s="102">
        <f>VLOOKUP(L256,设备合同!$L$6:$CC$302,61,0)</f>
        <v>0</v>
      </c>
      <c r="BU256" s="102">
        <f>VLOOKUP(L256,设备合同!$L$6:$CC$302,62,0)</f>
        <v>0</v>
      </c>
      <c r="BV256" s="102">
        <f>VLOOKUP(L256,设备合同!$L$6:$CC$302,63,0)</f>
        <v>0</v>
      </c>
      <c r="BW256" s="102">
        <f>VLOOKUP(L256,设备合同!$L$6:$CC$302,64,0)</f>
        <v>0</v>
      </c>
      <c r="BX256" s="102">
        <f>VLOOKUP(L256,设备合同!$L$6:$CC$302,65,0)</f>
        <v>0</v>
      </c>
      <c r="BY256" s="102">
        <f>VLOOKUP(L256,设备合同!$L$6:$CC$302,66,0)</f>
        <v>0</v>
      </c>
      <c r="BZ256" s="102">
        <f>VLOOKUP(L256,设备合同!$L$6:$CC$302,67,0)</f>
        <v>0</v>
      </c>
      <c r="CA256" s="102">
        <f>VLOOKUP(L256,设备合同!$L$6:$CC$302,68,0)</f>
        <v>0</v>
      </c>
      <c r="CB256" s="102">
        <f>VLOOKUP(L256,设备合同!$L$6:$CC$302,69,0)</f>
        <v>0</v>
      </c>
      <c r="CC256" s="102">
        <f>VLOOKUP(L256,设备合同!$L$6:$CC$302,70,0)</f>
        <v>0</v>
      </c>
      <c r="CD256" s="123">
        <f t="shared" si="55"/>
        <v>617800</v>
      </c>
      <c r="CE256" s="102">
        <f t="shared" si="56"/>
        <v>0</v>
      </c>
      <c r="CF256" s="102">
        <f t="shared" si="57"/>
        <v>0</v>
      </c>
      <c r="CG256" s="102">
        <f t="shared" si="58"/>
        <v>0</v>
      </c>
      <c r="CH256" s="124">
        <f t="shared" si="59"/>
        <v>617800</v>
      </c>
      <c r="CI256" s="125">
        <f t="shared" si="60"/>
        <v>0</v>
      </c>
      <c r="CJ256" s="126" t="str">
        <f t="shared" si="61"/>
        <v>数据正确</v>
      </c>
    </row>
    <row r="257" s="60" customFormat="1" customHeight="1" spans="2:88">
      <c r="B257" s="70" t="str">
        <f t="shared" si="51"/>
        <v>-</v>
      </c>
      <c r="C257" s="71" t="str">
        <f t="shared" si="52"/>
        <v>-</v>
      </c>
      <c r="D257" s="181">
        <f t="shared" si="53"/>
        <v>269200</v>
      </c>
      <c r="E257" s="181">
        <f>SUMIF(设备合同!$L$6:$L$302,L257,设备合同!$E$6:$E$302)</f>
        <v>0</v>
      </c>
      <c r="F257" s="181">
        <f>SUMIF(设备合同!$L$6:$L$302,L257,设备合同!$F$6:$F$302)</f>
        <v>0</v>
      </c>
      <c r="G257" s="181">
        <f>SUMIF(设备合同!$L$6:$L$302,L257,设备合同!$G$6:$G$302)</f>
        <v>0</v>
      </c>
      <c r="H257" s="181">
        <f>SUMIF(设备合同!$L$6:$L$302,L257,设备合同!$H$6:$H$302)</f>
        <v>0</v>
      </c>
      <c r="I257" s="181">
        <f t="shared" si="54"/>
        <v>0</v>
      </c>
      <c r="J257" s="86" t="s">
        <v>98</v>
      </c>
      <c r="K257" s="87"/>
      <c r="L257" s="88">
        <v>252</v>
      </c>
      <c r="M257" s="89" t="str">
        <f>VLOOKUP(L257,设备合同!$L$6:$CC$302,2,0)</f>
        <v>YRKJEQ-170078</v>
      </c>
      <c r="N257" s="90" t="str">
        <f>VLOOKUP(L257,设备合同!$L$6:$CC$302,3,0)</f>
        <v>设备合同</v>
      </c>
      <c r="O257" s="265">
        <f>VLOOKUP(L257,设备合同!$L$6:$CC$302,4,0)</f>
        <v>2017070049</v>
      </c>
      <c r="P257" s="266">
        <f>VLOOKUP(L257,设备合同!$L$6:$CC$302,5,0)</f>
        <v>42965</v>
      </c>
      <c r="Q257" s="275">
        <f>VLOOKUP(L257,设备合同!$L$6:$CC$302,6,0)</f>
        <v>1346000</v>
      </c>
      <c r="R257" s="89" t="str">
        <f>VLOOKUP(L257,设备合同!$L$6:$CC$302,7,0)</f>
        <v>消防泵、稳压泵</v>
      </c>
      <c r="S257" s="89" t="str">
        <f>VLOOKUP(L257,设备合同!$L$6:$CC$302,8,0)</f>
        <v>湖南耐普泵业股份有限公司</v>
      </c>
      <c r="T257" s="107">
        <f>VLOOKUP(L257,设备合同!$L$6:$CC$302,9,0)</f>
        <v>0</v>
      </c>
      <c r="U257" s="103" t="str">
        <f>VLOOKUP(L257,设备合同!$L$6:$CC$302,10,0)</f>
        <v>6个月承兑汇票/电汇无说明</v>
      </c>
      <c r="V257" s="276" t="str">
        <f>VLOOKUP(L257,设备合同!$L$6:$CC$302,11,0)</f>
        <v>甲方收到乙方20%的预付款保函以等额专票后15个工作日支付20%预付款 10%履约保函</v>
      </c>
      <c r="W257" s="102">
        <f>VLOOKUP(L257,设备合同!$L$6:$CC$302,12,0)</f>
        <v>269200</v>
      </c>
      <c r="X257" s="102">
        <f>VLOOKUP(L257,设备合同!$L$6:$CC$302,13,0)</f>
        <v>269200</v>
      </c>
      <c r="Y257" s="102">
        <f>VLOOKUP(L257,设备合同!$L$6:$CC$302,14,0)</f>
        <v>269200</v>
      </c>
      <c r="Z257" s="102" t="str">
        <f>VLOOKUP(L257,设备合同!$L$6:$CC$302,15,0)</f>
        <v>甲方到乙方现场确认无误后，收到17%等额、专票，15个工作日内支付40%发货款</v>
      </c>
      <c r="AA257" s="102">
        <f>VLOOKUP(L257,设备合同!$L$6:$CC$302,16,0)</f>
        <v>538400</v>
      </c>
      <c r="AB257" s="102">
        <f>VLOOKUP(L257,设备合同!$L$6:$CC$302,17,0)</f>
        <v>0</v>
      </c>
      <c r="AC257" s="102">
        <f>VLOOKUP(L257,设备合同!$L$6:$CC$302,18,0)</f>
        <v>0</v>
      </c>
      <c r="AD257" s="102" t="str">
        <f>VLOOKUP(L257,设备合同!$L$6:$CC$302,19,0)</f>
        <v>甲方核定的调试合格报告及足额的发票后付30%的验收款</v>
      </c>
      <c r="AE257" s="102">
        <f>VLOOKUP(L257,设备合同!$L$6:$CC$302,20,0)</f>
        <v>403800</v>
      </c>
      <c r="AF257" s="102">
        <f>VLOOKUP(L257,设备合同!$L$6:$CC$302,21,0)</f>
        <v>0</v>
      </c>
      <c r="AG257" s="102">
        <f>VLOOKUP(L257,设备合同!$L$6:$CC$302,22,0)</f>
        <v>0</v>
      </c>
      <c r="AH257" s="102" t="str">
        <f>VLOOKUP(L257,设备合同!$L$6:$CC$302,23,0)</f>
        <v>10%质保金，验收合格12个月或到货现场18个月 承兑</v>
      </c>
      <c r="AI257" s="102">
        <f>VLOOKUP(L257,设备合同!$L$6:$CC$302,24,0)</f>
        <v>134600</v>
      </c>
      <c r="AJ257" s="102">
        <f>VLOOKUP(L257,设备合同!$L$6:$CC$302,25,0)</f>
        <v>0</v>
      </c>
      <c r="AK257" s="102">
        <f>VLOOKUP(L257,设备合同!$L$6:$CC$302,26,0)</f>
        <v>0</v>
      </c>
      <c r="AL257" s="102">
        <f>VLOOKUP(L257,设备合同!$L$6:$CC$302,27,0)</f>
        <v>0</v>
      </c>
      <c r="AM257" s="102">
        <f>VLOOKUP(L257,设备合同!$L$6:$CC$302,28,0)</f>
        <v>0</v>
      </c>
      <c r="AN257" s="102">
        <f>VLOOKUP(L257,设备合同!$L$6:$CC$302,29,0)</f>
        <v>0</v>
      </c>
      <c r="AO257" s="102">
        <f>VLOOKUP(L257,设备合同!$L$6:$CC$302,30,0)</f>
        <v>0</v>
      </c>
      <c r="AP257" s="102">
        <f>VLOOKUP(L257,设备合同!$L$6:$CC$302,31,0)</f>
        <v>0</v>
      </c>
      <c r="AQ257" s="102">
        <f>VLOOKUP(L257,设备合同!$L$6:$CC$302,32,0)</f>
        <v>0</v>
      </c>
      <c r="AR257" s="102">
        <f>VLOOKUP(L257,设备合同!$L$6:$CC$302,33,0)</f>
        <v>0</v>
      </c>
      <c r="AS257" s="102">
        <f>VLOOKUP(L257,设备合同!$L$6:$CC$302,34,0)</f>
        <v>0</v>
      </c>
      <c r="AT257" s="102">
        <f>VLOOKUP(L257,设备合同!$L$6:$CC$302,35,0)</f>
        <v>0</v>
      </c>
      <c r="AU257" s="102">
        <f>VLOOKUP(L257,设备合同!$L$6:$CC$302,36,0)</f>
        <v>0</v>
      </c>
      <c r="AV257" s="102">
        <f>VLOOKUP(L257,设备合同!$L$6:$CC$302,37,0)</f>
        <v>0</v>
      </c>
      <c r="AW257" s="102">
        <f>VLOOKUP(L257,设备合同!$L$6:$CC$302,38,0)</f>
        <v>0</v>
      </c>
      <c r="AX257" s="102">
        <f>VLOOKUP(L257,设备合同!$L$6:$CC$302,39,0)</f>
        <v>0</v>
      </c>
      <c r="AY257" s="102">
        <f>VLOOKUP(L257,设备合同!$L$6:$CC$302,40,0)</f>
        <v>0</v>
      </c>
      <c r="AZ257" s="102">
        <f>VLOOKUP(L257,设备合同!$L$6:$CC$302,41,0)</f>
        <v>0</v>
      </c>
      <c r="BA257" s="102">
        <f>VLOOKUP(L257,设备合同!$L$6:$CC$302,42,0)</f>
        <v>0</v>
      </c>
      <c r="BB257" s="102">
        <f>VLOOKUP(L257,设备合同!$L$6:$CC$302,43,0)</f>
        <v>0</v>
      </c>
      <c r="BC257" s="102">
        <f>VLOOKUP(L257,设备合同!$L$6:$CC$302,44,0)</f>
        <v>0</v>
      </c>
      <c r="BD257" s="102">
        <f>VLOOKUP(L257,设备合同!$L$6:$CC$302,45,0)</f>
        <v>0</v>
      </c>
      <c r="BE257" s="102">
        <f>VLOOKUP(L257,设备合同!$L$6:$CC$302,46,0)</f>
        <v>0</v>
      </c>
      <c r="BF257" s="102">
        <f>VLOOKUP(L257,设备合同!$L$6:$CC$302,47,0)</f>
        <v>0</v>
      </c>
      <c r="BG257" s="102">
        <f>VLOOKUP(L257,设备合同!$L$6:$CC$302,48,0)</f>
        <v>0</v>
      </c>
      <c r="BH257" s="102">
        <f>VLOOKUP(L257,设备合同!$L$6:$CC$302,49,0)</f>
        <v>0</v>
      </c>
      <c r="BI257" s="102">
        <f>VLOOKUP(L257,设备合同!$L$6:$CC$302,50,0)</f>
        <v>0</v>
      </c>
      <c r="BJ257" s="102">
        <f>VLOOKUP(L257,设备合同!$L$6:$CC$302,51,0)</f>
        <v>0</v>
      </c>
      <c r="BK257" s="102">
        <f>VLOOKUP(L257,设备合同!$L$6:$CC$302,52,0)</f>
        <v>0</v>
      </c>
      <c r="BL257" s="102">
        <f>VLOOKUP(L257,设备合同!$L$6:$CC$302,53,0)</f>
        <v>0</v>
      </c>
      <c r="BM257" s="102">
        <f>VLOOKUP(L257,设备合同!$L$6:$CC$302,54,0)</f>
        <v>0</v>
      </c>
      <c r="BN257" s="102">
        <f>VLOOKUP(L257,设备合同!$L$6:$CC$302,55,0)</f>
        <v>0</v>
      </c>
      <c r="BO257" s="102">
        <f>VLOOKUP(L257,设备合同!$L$6:$CC$302,56,0)</f>
        <v>0</v>
      </c>
      <c r="BP257" s="102">
        <f>VLOOKUP(L257,设备合同!$L$6:$CC$302,57,0)</f>
        <v>0</v>
      </c>
      <c r="BQ257" s="102">
        <f>VLOOKUP(L257,设备合同!$L$6:$CC$302,58,0)</f>
        <v>0</v>
      </c>
      <c r="BR257" s="102">
        <f>VLOOKUP(L257,设备合同!$L$6:$CC$302,59,0)</f>
        <v>0</v>
      </c>
      <c r="BS257" s="102">
        <f>VLOOKUP(L257,设备合同!$L$6:$CC$302,60,0)</f>
        <v>0</v>
      </c>
      <c r="BT257" s="102">
        <f>VLOOKUP(L257,设备合同!$L$6:$CC$302,61,0)</f>
        <v>0</v>
      </c>
      <c r="BU257" s="102">
        <f>VLOOKUP(L257,设备合同!$L$6:$CC$302,62,0)</f>
        <v>0</v>
      </c>
      <c r="BV257" s="102">
        <f>VLOOKUP(L257,设备合同!$L$6:$CC$302,63,0)</f>
        <v>0</v>
      </c>
      <c r="BW257" s="102">
        <f>VLOOKUP(L257,设备合同!$L$6:$CC$302,64,0)</f>
        <v>0</v>
      </c>
      <c r="BX257" s="102">
        <f>VLOOKUP(L257,设备合同!$L$6:$CC$302,65,0)</f>
        <v>0</v>
      </c>
      <c r="BY257" s="102">
        <f>VLOOKUP(L257,设备合同!$L$6:$CC$302,66,0)</f>
        <v>0</v>
      </c>
      <c r="BZ257" s="102">
        <f>VLOOKUP(L257,设备合同!$L$6:$CC$302,67,0)</f>
        <v>0</v>
      </c>
      <c r="CA257" s="102">
        <f>VLOOKUP(L257,设备合同!$L$6:$CC$302,68,0)</f>
        <v>0</v>
      </c>
      <c r="CB257" s="102">
        <f>VLOOKUP(L257,设备合同!$L$6:$CC$302,69,0)</f>
        <v>0</v>
      </c>
      <c r="CC257" s="102">
        <f>VLOOKUP(L257,设备合同!$L$6:$CC$302,70,0)</f>
        <v>0</v>
      </c>
      <c r="CD257" s="123">
        <f t="shared" si="55"/>
        <v>1346000</v>
      </c>
      <c r="CE257" s="102">
        <f t="shared" si="56"/>
        <v>269200</v>
      </c>
      <c r="CF257" s="102">
        <f t="shared" si="57"/>
        <v>269200</v>
      </c>
      <c r="CG257" s="102">
        <f t="shared" si="58"/>
        <v>0</v>
      </c>
      <c r="CH257" s="124">
        <f t="shared" si="59"/>
        <v>1076800</v>
      </c>
      <c r="CI257" s="125">
        <f t="shared" si="60"/>
        <v>0.2</v>
      </c>
      <c r="CJ257" s="126" t="str">
        <f t="shared" si="61"/>
        <v>数据正确</v>
      </c>
    </row>
    <row r="258" s="60" customFormat="1" customHeight="1" spans="2:88">
      <c r="B258" s="70" t="str">
        <f t="shared" si="51"/>
        <v>申请中</v>
      </c>
      <c r="C258" s="71" t="str">
        <f t="shared" si="52"/>
        <v>-</v>
      </c>
      <c r="D258" s="181">
        <f t="shared" si="53"/>
        <v>0</v>
      </c>
      <c r="E258" s="181">
        <f>SUMIF(设备合同!$L$6:$L$302,L258,设备合同!$E$6:$E$302)</f>
        <v>0</v>
      </c>
      <c r="F258" s="181">
        <f>SUMIF(设备合同!$L$6:$L$302,L258,设备合同!$F$6:$F$302)</f>
        <v>0</v>
      </c>
      <c r="G258" s="181">
        <f>SUMIF(设备合同!$L$6:$L$302,L258,设备合同!$G$6:$G$302)</f>
        <v>0</v>
      </c>
      <c r="H258" s="181">
        <f>SUMIF(设备合同!$L$6:$L$302,L258,设备合同!$H$6:$H$302)</f>
        <v>0</v>
      </c>
      <c r="I258" s="181">
        <f t="shared" si="54"/>
        <v>1200000</v>
      </c>
      <c r="J258" s="86" t="s">
        <v>98</v>
      </c>
      <c r="K258" s="87"/>
      <c r="L258" s="88">
        <v>253</v>
      </c>
      <c r="M258" s="89" t="str">
        <f>VLOOKUP(L258,设备合同!$L$6:$CC$302,2,0)</f>
        <v>YRKJEQ-170090</v>
      </c>
      <c r="N258" s="90" t="str">
        <f>VLOOKUP(L258,设备合同!$L$6:$CC$302,3,0)</f>
        <v>设备合同</v>
      </c>
      <c r="O258" s="265">
        <f>VLOOKUP(L258,设备合同!$L$6:$CC$302,4,0)</f>
        <v>2017080045</v>
      </c>
      <c r="P258" s="266">
        <f>VLOOKUP(L258,设备合同!$L$6:$CC$302,5,0)</f>
        <v>42983</v>
      </c>
      <c r="Q258" s="275">
        <f>VLOOKUP(L258,设备合同!$L$6:$CC$302,6,0)</f>
        <v>6000000</v>
      </c>
      <c r="R258" s="89" t="str">
        <f>VLOOKUP(L258,设备合同!$L$6:$CC$302,7,0)</f>
        <v>环己酮非标设备5</v>
      </c>
      <c r="S258" s="89" t="str">
        <f>VLOOKUP(L258,设备合同!$L$6:$CC$302,8,0)</f>
        <v>中核动力设备有限公司</v>
      </c>
      <c r="T258" s="107" t="str">
        <f>VLOOKUP(L258,设备合同!$L$6:$CC$302,9,0)</f>
        <v>环己酮装置</v>
      </c>
      <c r="U258" s="103" t="str">
        <f>VLOOKUP(L258,设备合同!$L$6:$CC$302,10,0)</f>
        <v>电汇</v>
      </c>
      <c r="V258" s="276" t="str">
        <f>VLOOKUP(L258,设备合同!$L$6:$CC$302,11,0)</f>
        <v>甲方收到乙方20%的预付款保函以等额专票后15个工作日支付20%预付款 10%履约保函</v>
      </c>
      <c r="W258" s="102">
        <f>VLOOKUP(L258,设备合同!$L$6:$CC$302,12,0)</f>
        <v>1200000</v>
      </c>
      <c r="X258" s="102">
        <f>VLOOKUP(L258,设备合同!$L$6:$CC$302,13,0)</f>
        <v>1200000</v>
      </c>
      <c r="Y258" s="102">
        <f>VLOOKUP(L258,设备合同!$L$6:$CC$302,14,0)</f>
        <v>0</v>
      </c>
      <c r="Z258" s="102" t="str">
        <f>VLOOKUP(L258,设备合同!$L$6:$CC$302,15,0)</f>
        <v>甲方到乙方现场确认无误后，收到17%等额、专票，15个工作日内支付60%发货款</v>
      </c>
      <c r="AA258" s="102">
        <f>VLOOKUP(L258,设备合同!$L$6:$CC$302,16,0)</f>
        <v>3600000</v>
      </c>
      <c r="AB258" s="102">
        <f>VLOOKUP(L258,设备合同!$L$6:$CC$302,17,0)</f>
        <v>0</v>
      </c>
      <c r="AC258" s="102">
        <f>VLOOKUP(L258,设备合同!$L$6:$CC$302,18,0)</f>
        <v>0</v>
      </c>
      <c r="AD258" s="102" t="str">
        <f>VLOOKUP(L258,设备合同!$L$6:$CC$302,19,0)</f>
        <v>甲方核定的调试合格报告及足额的发票后付10%的验收款</v>
      </c>
      <c r="AE258" s="102">
        <f>VLOOKUP(L258,设备合同!$L$6:$CC$302,20,0)</f>
        <v>600000</v>
      </c>
      <c r="AF258" s="102">
        <f>VLOOKUP(L258,设备合同!$L$6:$CC$302,21,0)</f>
        <v>0</v>
      </c>
      <c r="AG258" s="102">
        <f>VLOOKUP(L258,设备合同!$L$6:$CC$302,22,0)</f>
        <v>0</v>
      </c>
      <c r="AH258" s="102" t="str">
        <f>VLOOKUP(L258,设备合同!$L$6:$CC$302,23,0)</f>
        <v>10%质保金，验收合格12个月或到货现场18个月 承兑</v>
      </c>
      <c r="AI258" s="102">
        <f>VLOOKUP(L258,设备合同!$L$6:$CC$302,24,0)</f>
        <v>600000</v>
      </c>
      <c r="AJ258" s="102">
        <f>VLOOKUP(L258,设备合同!$L$6:$CC$302,25,0)</f>
        <v>0</v>
      </c>
      <c r="AK258" s="102">
        <f>VLOOKUP(L258,设备合同!$L$6:$CC$302,26,0)</f>
        <v>0</v>
      </c>
      <c r="AL258" s="102">
        <f>VLOOKUP(L258,设备合同!$L$6:$CC$302,27,0)</f>
        <v>0</v>
      </c>
      <c r="AM258" s="102">
        <f>VLOOKUP(L258,设备合同!$L$6:$CC$302,28,0)</f>
        <v>0</v>
      </c>
      <c r="AN258" s="102">
        <f>VLOOKUP(L258,设备合同!$L$6:$CC$302,29,0)</f>
        <v>0</v>
      </c>
      <c r="AO258" s="102">
        <f>VLOOKUP(L258,设备合同!$L$6:$CC$302,30,0)</f>
        <v>0</v>
      </c>
      <c r="AP258" s="102">
        <f>VLOOKUP(L258,设备合同!$L$6:$CC$302,31,0)</f>
        <v>0</v>
      </c>
      <c r="AQ258" s="102">
        <f>VLOOKUP(L258,设备合同!$L$6:$CC$302,32,0)</f>
        <v>0</v>
      </c>
      <c r="AR258" s="102">
        <f>VLOOKUP(L258,设备合同!$L$6:$CC$302,33,0)</f>
        <v>0</v>
      </c>
      <c r="AS258" s="102">
        <f>VLOOKUP(L258,设备合同!$L$6:$CC$302,34,0)</f>
        <v>0</v>
      </c>
      <c r="AT258" s="102">
        <f>VLOOKUP(L258,设备合同!$L$6:$CC$302,35,0)</f>
        <v>0</v>
      </c>
      <c r="AU258" s="102">
        <f>VLOOKUP(L258,设备合同!$L$6:$CC$302,36,0)</f>
        <v>0</v>
      </c>
      <c r="AV258" s="102">
        <f>VLOOKUP(L258,设备合同!$L$6:$CC$302,37,0)</f>
        <v>0</v>
      </c>
      <c r="AW258" s="102">
        <f>VLOOKUP(L258,设备合同!$L$6:$CC$302,38,0)</f>
        <v>0</v>
      </c>
      <c r="AX258" s="102">
        <f>VLOOKUP(L258,设备合同!$L$6:$CC$302,39,0)</f>
        <v>0</v>
      </c>
      <c r="AY258" s="102">
        <f>VLOOKUP(L258,设备合同!$L$6:$CC$302,40,0)</f>
        <v>0</v>
      </c>
      <c r="AZ258" s="102">
        <f>VLOOKUP(L258,设备合同!$L$6:$CC$302,41,0)</f>
        <v>0</v>
      </c>
      <c r="BA258" s="102">
        <f>VLOOKUP(L258,设备合同!$L$6:$CC$302,42,0)</f>
        <v>0</v>
      </c>
      <c r="BB258" s="102">
        <f>VLOOKUP(L258,设备合同!$L$6:$CC$302,43,0)</f>
        <v>0</v>
      </c>
      <c r="BC258" s="102">
        <f>VLOOKUP(L258,设备合同!$L$6:$CC$302,44,0)</f>
        <v>0</v>
      </c>
      <c r="BD258" s="102">
        <f>VLOOKUP(L258,设备合同!$L$6:$CC$302,45,0)</f>
        <v>0</v>
      </c>
      <c r="BE258" s="102">
        <f>VLOOKUP(L258,设备合同!$L$6:$CC$302,46,0)</f>
        <v>0</v>
      </c>
      <c r="BF258" s="102">
        <f>VLOOKUP(L258,设备合同!$L$6:$CC$302,47,0)</f>
        <v>0</v>
      </c>
      <c r="BG258" s="102">
        <f>VLOOKUP(L258,设备合同!$L$6:$CC$302,48,0)</f>
        <v>0</v>
      </c>
      <c r="BH258" s="102">
        <f>VLOOKUP(L258,设备合同!$L$6:$CC$302,49,0)</f>
        <v>0</v>
      </c>
      <c r="BI258" s="102">
        <f>VLOOKUP(L258,设备合同!$L$6:$CC$302,50,0)</f>
        <v>0</v>
      </c>
      <c r="BJ258" s="102">
        <f>VLOOKUP(L258,设备合同!$L$6:$CC$302,51,0)</f>
        <v>0</v>
      </c>
      <c r="BK258" s="102">
        <f>VLOOKUP(L258,设备合同!$L$6:$CC$302,52,0)</f>
        <v>0</v>
      </c>
      <c r="BL258" s="102">
        <f>VLOOKUP(L258,设备合同!$L$6:$CC$302,53,0)</f>
        <v>0</v>
      </c>
      <c r="BM258" s="102">
        <f>VLOOKUP(L258,设备合同!$L$6:$CC$302,54,0)</f>
        <v>0</v>
      </c>
      <c r="BN258" s="102">
        <f>VLOOKUP(L258,设备合同!$L$6:$CC$302,55,0)</f>
        <v>0</v>
      </c>
      <c r="BO258" s="102">
        <f>VLOOKUP(L258,设备合同!$L$6:$CC$302,56,0)</f>
        <v>0</v>
      </c>
      <c r="BP258" s="102">
        <f>VLOOKUP(L258,设备合同!$L$6:$CC$302,57,0)</f>
        <v>0</v>
      </c>
      <c r="BQ258" s="102">
        <f>VLOOKUP(L258,设备合同!$L$6:$CC$302,58,0)</f>
        <v>0</v>
      </c>
      <c r="BR258" s="102">
        <f>VLOOKUP(L258,设备合同!$L$6:$CC$302,59,0)</f>
        <v>0</v>
      </c>
      <c r="BS258" s="102">
        <f>VLOOKUP(L258,设备合同!$L$6:$CC$302,60,0)</f>
        <v>0</v>
      </c>
      <c r="BT258" s="102">
        <f>VLOOKUP(L258,设备合同!$L$6:$CC$302,61,0)</f>
        <v>0</v>
      </c>
      <c r="BU258" s="102">
        <f>VLOOKUP(L258,设备合同!$L$6:$CC$302,62,0)</f>
        <v>0</v>
      </c>
      <c r="BV258" s="102">
        <f>VLOOKUP(L258,设备合同!$L$6:$CC$302,63,0)</f>
        <v>0</v>
      </c>
      <c r="BW258" s="102">
        <f>VLOOKUP(L258,设备合同!$L$6:$CC$302,64,0)</f>
        <v>0</v>
      </c>
      <c r="BX258" s="102">
        <f>VLOOKUP(L258,设备合同!$L$6:$CC$302,65,0)</f>
        <v>0</v>
      </c>
      <c r="BY258" s="102">
        <f>VLOOKUP(L258,设备合同!$L$6:$CC$302,66,0)</f>
        <v>0</v>
      </c>
      <c r="BZ258" s="102">
        <f>VLOOKUP(L258,设备合同!$L$6:$CC$302,67,0)</f>
        <v>0</v>
      </c>
      <c r="CA258" s="102">
        <f>VLOOKUP(L258,设备合同!$L$6:$CC$302,68,0)</f>
        <v>0</v>
      </c>
      <c r="CB258" s="102">
        <f>VLOOKUP(L258,设备合同!$L$6:$CC$302,69,0)</f>
        <v>0</v>
      </c>
      <c r="CC258" s="102">
        <f>VLOOKUP(L258,设备合同!$L$6:$CC$302,70,0)</f>
        <v>0</v>
      </c>
      <c r="CD258" s="123">
        <f t="shared" si="55"/>
        <v>6000000</v>
      </c>
      <c r="CE258" s="102">
        <f t="shared" si="56"/>
        <v>1200000</v>
      </c>
      <c r="CF258" s="102">
        <f t="shared" si="57"/>
        <v>0</v>
      </c>
      <c r="CG258" s="102">
        <f t="shared" si="58"/>
        <v>0</v>
      </c>
      <c r="CH258" s="124">
        <f t="shared" si="59"/>
        <v>6000000</v>
      </c>
      <c r="CI258" s="125">
        <f t="shared" si="60"/>
        <v>0</v>
      </c>
      <c r="CJ258" s="126" t="str">
        <f t="shared" si="61"/>
        <v>数据正确</v>
      </c>
    </row>
    <row r="259" s="60" customFormat="1" customHeight="1" spans="2:88">
      <c r="B259" s="70" t="str">
        <f t="shared" si="51"/>
        <v>-</v>
      </c>
      <c r="C259" s="71" t="str">
        <f t="shared" si="52"/>
        <v>-</v>
      </c>
      <c r="D259" s="181">
        <f t="shared" si="53"/>
        <v>194000</v>
      </c>
      <c r="E259" s="181">
        <f>SUMIF(设备合同!$L$6:$L$302,L259,设备合同!$E$6:$E$302)</f>
        <v>0</v>
      </c>
      <c r="F259" s="181">
        <f>SUMIF(设备合同!$L$6:$L$302,L259,设备合同!$F$6:$F$302)</f>
        <v>0</v>
      </c>
      <c r="G259" s="181">
        <f>SUMIF(设备合同!$L$6:$L$302,L259,设备合同!$G$6:$G$302)</f>
        <v>0</v>
      </c>
      <c r="H259" s="181">
        <f>SUMIF(设备合同!$L$6:$L$302,L259,设备合同!$H$6:$H$302)</f>
        <v>0</v>
      </c>
      <c r="I259" s="181">
        <f t="shared" si="54"/>
        <v>0</v>
      </c>
      <c r="J259" s="86" t="s">
        <v>98</v>
      </c>
      <c r="K259" s="87"/>
      <c r="L259" s="88">
        <v>254</v>
      </c>
      <c r="M259" s="89" t="str">
        <f>VLOOKUP(L259,设备合同!$L$6:$CC$302,2,0)</f>
        <v>YRKJEQ-170095</v>
      </c>
      <c r="N259" s="90" t="str">
        <f>VLOOKUP(L259,设备合同!$L$6:$CC$302,3,0)</f>
        <v>设备合同</v>
      </c>
      <c r="O259" s="265">
        <f>VLOOKUP(L259,设备合同!$L$6:$CC$302,4,0)</f>
        <v>2017080008</v>
      </c>
      <c r="P259" s="266">
        <f>VLOOKUP(L259,设备合同!$L$6:$CC$302,5,0)</f>
        <v>42993</v>
      </c>
      <c r="Q259" s="275">
        <f>VLOOKUP(L259,设备合同!$L$6:$CC$302,6,0)</f>
        <v>970000</v>
      </c>
      <c r="R259" s="89" t="str">
        <f>VLOOKUP(L259,设备合同!$L$6:$CC$302,7,0)</f>
        <v>导热油泵</v>
      </c>
      <c r="S259" s="89" t="str">
        <f>VLOOKUP(L259,设备合同!$L$6:$CC$302,8,0)</f>
        <v>上海凯士比泵有限公司</v>
      </c>
      <c r="T259" s="107" t="str">
        <f>VLOOKUP(L259,设备合同!$L$6:$CC$302,9,0)</f>
        <v>环己酮装置、甲醇制氢装置</v>
      </c>
      <c r="U259" s="103" t="str">
        <f>VLOOKUP(L259,设备合同!$L$6:$CC$302,10,0)</f>
        <v>电汇</v>
      </c>
      <c r="V259" s="276" t="str">
        <f>VLOOKUP(L259,设备合同!$L$6:$CC$302,11,0)</f>
        <v>甲方收到乙方20%的预付款保函以等额专票后15个工作日支付20%预付款 10%履约保函</v>
      </c>
      <c r="W259" s="102">
        <f>VLOOKUP(L259,设备合同!$L$6:$CC$302,12,0)</f>
        <v>194000</v>
      </c>
      <c r="X259" s="102">
        <f>VLOOKUP(L259,设备合同!$L$6:$CC$302,13,0)</f>
        <v>194000</v>
      </c>
      <c r="Y259" s="102">
        <f>VLOOKUP(L259,设备合同!$L$6:$CC$302,14,0)</f>
        <v>194000</v>
      </c>
      <c r="Z259" s="102" t="str">
        <f>VLOOKUP(L259,设备合同!$L$6:$CC$302,15,0)</f>
        <v>甲方到乙方现场确认无误后，收到17%等额、专票，15个工作日内支付60%发货款</v>
      </c>
      <c r="AA259" s="102">
        <f>VLOOKUP(L259,设备合同!$L$6:$CC$302,16,0)</f>
        <v>582000</v>
      </c>
      <c r="AB259" s="102">
        <f>VLOOKUP(L259,设备合同!$L$6:$CC$302,17,0)</f>
        <v>0</v>
      </c>
      <c r="AC259" s="102">
        <f>VLOOKUP(L259,设备合同!$L$6:$CC$302,18,0)</f>
        <v>0</v>
      </c>
      <c r="AD259" s="102" t="str">
        <f>VLOOKUP(L259,设备合同!$L$6:$CC$302,19,0)</f>
        <v>甲方核定的调试合格报告及足额的发票后付20%的验收款</v>
      </c>
      <c r="AE259" s="102">
        <f>VLOOKUP(L259,设备合同!$L$6:$CC$302,20,0)</f>
        <v>194000</v>
      </c>
      <c r="AF259" s="102">
        <f>VLOOKUP(L259,设备合同!$L$6:$CC$302,21,0)</f>
        <v>0</v>
      </c>
      <c r="AG259" s="102">
        <f>VLOOKUP(L259,设备合同!$L$6:$CC$302,22,0)</f>
        <v>0</v>
      </c>
      <c r="AH259" s="102">
        <f>VLOOKUP(L259,设备合同!$L$6:$CC$302,23,0)</f>
        <v>0</v>
      </c>
      <c r="AI259" s="102">
        <f>VLOOKUP(L259,设备合同!$L$6:$CC$302,24,0)</f>
        <v>0</v>
      </c>
      <c r="AJ259" s="102">
        <f>VLOOKUP(L259,设备合同!$L$6:$CC$302,25,0)</f>
        <v>0</v>
      </c>
      <c r="AK259" s="102">
        <f>VLOOKUP(L259,设备合同!$L$6:$CC$302,26,0)</f>
        <v>0</v>
      </c>
      <c r="AL259" s="102">
        <f>VLOOKUP(L259,设备合同!$L$6:$CC$302,27,0)</f>
        <v>0</v>
      </c>
      <c r="AM259" s="102">
        <f>VLOOKUP(L259,设备合同!$L$6:$CC$302,28,0)</f>
        <v>0</v>
      </c>
      <c r="AN259" s="102">
        <f>VLOOKUP(L259,设备合同!$L$6:$CC$302,29,0)</f>
        <v>0</v>
      </c>
      <c r="AO259" s="102">
        <f>VLOOKUP(L259,设备合同!$L$6:$CC$302,30,0)</f>
        <v>0</v>
      </c>
      <c r="AP259" s="102">
        <f>VLOOKUP(L259,设备合同!$L$6:$CC$302,31,0)</f>
        <v>0</v>
      </c>
      <c r="AQ259" s="102">
        <f>VLOOKUP(L259,设备合同!$L$6:$CC$302,32,0)</f>
        <v>0</v>
      </c>
      <c r="AR259" s="102">
        <f>VLOOKUP(L259,设备合同!$L$6:$CC$302,33,0)</f>
        <v>0</v>
      </c>
      <c r="AS259" s="102">
        <f>VLOOKUP(L259,设备合同!$L$6:$CC$302,34,0)</f>
        <v>0</v>
      </c>
      <c r="AT259" s="102">
        <f>VLOOKUP(L259,设备合同!$L$6:$CC$302,35,0)</f>
        <v>0</v>
      </c>
      <c r="AU259" s="102">
        <f>VLOOKUP(L259,设备合同!$L$6:$CC$302,36,0)</f>
        <v>0</v>
      </c>
      <c r="AV259" s="102">
        <f>VLOOKUP(L259,设备合同!$L$6:$CC$302,37,0)</f>
        <v>0</v>
      </c>
      <c r="AW259" s="102">
        <f>VLOOKUP(L259,设备合同!$L$6:$CC$302,38,0)</f>
        <v>0</v>
      </c>
      <c r="AX259" s="102">
        <f>VLOOKUP(L259,设备合同!$L$6:$CC$302,39,0)</f>
        <v>0</v>
      </c>
      <c r="AY259" s="102">
        <f>VLOOKUP(L259,设备合同!$L$6:$CC$302,40,0)</f>
        <v>0</v>
      </c>
      <c r="AZ259" s="102">
        <f>VLOOKUP(L259,设备合同!$L$6:$CC$302,41,0)</f>
        <v>0</v>
      </c>
      <c r="BA259" s="102">
        <f>VLOOKUP(L259,设备合同!$L$6:$CC$302,42,0)</f>
        <v>0</v>
      </c>
      <c r="BB259" s="102">
        <f>VLOOKUP(L259,设备合同!$L$6:$CC$302,43,0)</f>
        <v>0</v>
      </c>
      <c r="BC259" s="102">
        <f>VLOOKUP(L259,设备合同!$L$6:$CC$302,44,0)</f>
        <v>0</v>
      </c>
      <c r="BD259" s="102">
        <f>VLOOKUP(L259,设备合同!$L$6:$CC$302,45,0)</f>
        <v>0</v>
      </c>
      <c r="BE259" s="102">
        <f>VLOOKUP(L259,设备合同!$L$6:$CC$302,46,0)</f>
        <v>0</v>
      </c>
      <c r="BF259" s="102">
        <f>VLOOKUP(L259,设备合同!$L$6:$CC$302,47,0)</f>
        <v>0</v>
      </c>
      <c r="BG259" s="102">
        <f>VLOOKUP(L259,设备合同!$L$6:$CC$302,48,0)</f>
        <v>0</v>
      </c>
      <c r="BH259" s="102">
        <f>VLOOKUP(L259,设备合同!$L$6:$CC$302,49,0)</f>
        <v>0</v>
      </c>
      <c r="BI259" s="102">
        <f>VLOOKUP(L259,设备合同!$L$6:$CC$302,50,0)</f>
        <v>0</v>
      </c>
      <c r="BJ259" s="102">
        <f>VLOOKUP(L259,设备合同!$L$6:$CC$302,51,0)</f>
        <v>0</v>
      </c>
      <c r="BK259" s="102">
        <f>VLOOKUP(L259,设备合同!$L$6:$CC$302,52,0)</f>
        <v>0</v>
      </c>
      <c r="BL259" s="102">
        <f>VLOOKUP(L259,设备合同!$L$6:$CC$302,53,0)</f>
        <v>0</v>
      </c>
      <c r="BM259" s="102">
        <f>VLOOKUP(L259,设备合同!$L$6:$CC$302,54,0)</f>
        <v>0</v>
      </c>
      <c r="BN259" s="102">
        <f>VLOOKUP(L259,设备合同!$L$6:$CC$302,55,0)</f>
        <v>0</v>
      </c>
      <c r="BO259" s="102">
        <f>VLOOKUP(L259,设备合同!$L$6:$CC$302,56,0)</f>
        <v>0</v>
      </c>
      <c r="BP259" s="102">
        <f>VLOOKUP(L259,设备合同!$L$6:$CC$302,57,0)</f>
        <v>0</v>
      </c>
      <c r="BQ259" s="102">
        <f>VLOOKUP(L259,设备合同!$L$6:$CC$302,58,0)</f>
        <v>0</v>
      </c>
      <c r="BR259" s="102">
        <f>VLOOKUP(L259,设备合同!$L$6:$CC$302,59,0)</f>
        <v>0</v>
      </c>
      <c r="BS259" s="102">
        <f>VLOOKUP(L259,设备合同!$L$6:$CC$302,60,0)</f>
        <v>0</v>
      </c>
      <c r="BT259" s="102">
        <f>VLOOKUP(L259,设备合同!$L$6:$CC$302,61,0)</f>
        <v>0</v>
      </c>
      <c r="BU259" s="102">
        <f>VLOOKUP(L259,设备合同!$L$6:$CC$302,62,0)</f>
        <v>0</v>
      </c>
      <c r="BV259" s="102">
        <f>VLOOKUP(L259,设备合同!$L$6:$CC$302,63,0)</f>
        <v>0</v>
      </c>
      <c r="BW259" s="102">
        <f>VLOOKUP(L259,设备合同!$L$6:$CC$302,64,0)</f>
        <v>0</v>
      </c>
      <c r="BX259" s="102">
        <f>VLOOKUP(L259,设备合同!$L$6:$CC$302,65,0)</f>
        <v>0</v>
      </c>
      <c r="BY259" s="102">
        <f>VLOOKUP(L259,设备合同!$L$6:$CC$302,66,0)</f>
        <v>0</v>
      </c>
      <c r="BZ259" s="102">
        <f>VLOOKUP(L259,设备合同!$L$6:$CC$302,67,0)</f>
        <v>0</v>
      </c>
      <c r="CA259" s="102">
        <f>VLOOKUP(L259,设备合同!$L$6:$CC$302,68,0)</f>
        <v>0</v>
      </c>
      <c r="CB259" s="102">
        <f>VLOOKUP(L259,设备合同!$L$6:$CC$302,69,0)</f>
        <v>0</v>
      </c>
      <c r="CC259" s="102">
        <f>VLOOKUP(L259,设备合同!$L$6:$CC$302,70,0)</f>
        <v>0</v>
      </c>
      <c r="CD259" s="123">
        <f t="shared" si="55"/>
        <v>970000</v>
      </c>
      <c r="CE259" s="102">
        <f t="shared" si="56"/>
        <v>194000</v>
      </c>
      <c r="CF259" s="102">
        <f t="shared" si="57"/>
        <v>194000</v>
      </c>
      <c r="CG259" s="102">
        <f t="shared" si="58"/>
        <v>0</v>
      </c>
      <c r="CH259" s="124">
        <f t="shared" si="59"/>
        <v>776000</v>
      </c>
      <c r="CI259" s="125">
        <f t="shared" si="60"/>
        <v>0.2</v>
      </c>
      <c r="CJ259" s="126" t="str">
        <f t="shared" si="61"/>
        <v>数据正确</v>
      </c>
    </row>
    <row r="260" s="60" customFormat="1" customHeight="1" spans="2:88">
      <c r="B260" s="70" t="str">
        <f t="shared" si="51"/>
        <v>-</v>
      </c>
      <c r="C260" s="71" t="str">
        <f t="shared" si="52"/>
        <v>-</v>
      </c>
      <c r="D260" s="181">
        <f t="shared" si="53"/>
        <v>152000</v>
      </c>
      <c r="E260" s="181">
        <f>SUMIF(设备合同!$L$6:$L$302,L260,设备合同!$E$6:$E$302)</f>
        <v>0</v>
      </c>
      <c r="F260" s="181">
        <f>SUMIF(设备合同!$L$6:$L$302,L260,设备合同!$F$6:$F$302)</f>
        <v>0</v>
      </c>
      <c r="G260" s="181">
        <f>SUMIF(设备合同!$L$6:$L$302,L260,设备合同!$G$6:$G$302)</f>
        <v>0</v>
      </c>
      <c r="H260" s="181">
        <f>SUMIF(设备合同!$L$6:$L$302,L260,设备合同!$H$6:$H$302)</f>
        <v>0</v>
      </c>
      <c r="I260" s="181">
        <f t="shared" si="54"/>
        <v>0</v>
      </c>
      <c r="J260" s="86" t="s">
        <v>98</v>
      </c>
      <c r="K260" s="87"/>
      <c r="L260" s="88">
        <v>255</v>
      </c>
      <c r="M260" s="89" t="str">
        <f>VLOOKUP(L260,设备合同!$L$6:$CC$302,2,0)</f>
        <v>YRKJEQ-170096</v>
      </c>
      <c r="N260" s="90" t="str">
        <f>VLOOKUP(L260,设备合同!$L$6:$CC$302,3,0)</f>
        <v>设备合同</v>
      </c>
      <c r="O260" s="265">
        <f>VLOOKUP(L260,设备合同!$L$6:$CC$302,4,0)</f>
        <v>2017080051</v>
      </c>
      <c r="P260" s="266">
        <f>VLOOKUP(L260,设备合同!$L$6:$CC$302,5,0)</f>
        <v>42991</v>
      </c>
      <c r="Q260" s="275">
        <f>VLOOKUP(L260,设备合同!$L$6:$CC$302,6,0)</f>
        <v>760000</v>
      </c>
      <c r="R260" s="89" t="str">
        <f>VLOOKUP(L260,设备合同!$L$6:$CC$302,7,0)</f>
        <v>起重机、电动葫芦</v>
      </c>
      <c r="S260" s="89" t="str">
        <f>VLOOKUP(L260,设备合同!$L$6:$CC$302,8,0)</f>
        <v>河南省矿山起重机有限公司</v>
      </c>
      <c r="T260" s="107">
        <f>VLOOKUP(L260,设备合同!$L$6:$CC$302,9,0)</f>
        <v>0</v>
      </c>
      <c r="U260" s="103" t="str">
        <f>VLOOKUP(L260,设备合同!$L$6:$CC$302,10,0)</f>
        <v>电汇</v>
      </c>
      <c r="V260" s="276" t="str">
        <f>VLOOKUP(L260,设备合同!$L$6:$CC$302,11,0)</f>
        <v>甲方收到乙方20%的预付款保函以等额专票后15个工作日支付20%预付款 10%履约保函</v>
      </c>
      <c r="W260" s="102">
        <f>VLOOKUP(L260,设备合同!$L$6:$CC$302,12,0)</f>
        <v>152000</v>
      </c>
      <c r="X260" s="102">
        <f>VLOOKUP(L260,设备合同!$L$6:$CC$302,13,0)</f>
        <v>152000</v>
      </c>
      <c r="Y260" s="102">
        <f>VLOOKUP(L260,设备合同!$L$6:$CC$302,14,0)</f>
        <v>152000</v>
      </c>
      <c r="Z260" s="102" t="str">
        <f>VLOOKUP(L260,设备合同!$L$6:$CC$302,15,0)</f>
        <v>甲方到乙方现场确认无误后，收到17%等额、专票，15个工作日内支付40%发货款</v>
      </c>
      <c r="AA260" s="102">
        <f>VLOOKUP(L260,设备合同!$L$6:$CC$302,16,0)</f>
        <v>304000</v>
      </c>
      <c r="AB260" s="102">
        <f>VLOOKUP(L260,设备合同!$L$6:$CC$302,17,0)</f>
        <v>0</v>
      </c>
      <c r="AC260" s="102">
        <f>VLOOKUP(L260,设备合同!$L$6:$CC$302,18,0)</f>
        <v>0</v>
      </c>
      <c r="AD260" s="102" t="str">
        <f>VLOOKUP(L260,设备合同!$L$6:$CC$302,19,0)</f>
        <v>甲方核定的调试合格报告及足额的发票后付30%的验收款</v>
      </c>
      <c r="AE260" s="102">
        <f>VLOOKUP(L260,设备合同!$L$6:$CC$302,20,0)</f>
        <v>228000</v>
      </c>
      <c r="AF260" s="102">
        <f>VLOOKUP(L260,设备合同!$L$6:$CC$302,21,0)</f>
        <v>0</v>
      </c>
      <c r="AG260" s="102">
        <f>VLOOKUP(L260,设备合同!$L$6:$CC$302,22,0)</f>
        <v>0</v>
      </c>
      <c r="AH260" s="102" t="str">
        <f>VLOOKUP(L260,设备合同!$L$6:$CC$302,23,0)</f>
        <v>10%质保金，验收合格12个月或到货现场18个月 承兑</v>
      </c>
      <c r="AI260" s="102">
        <f>VLOOKUP(L260,设备合同!$L$6:$CC$302,24,0)</f>
        <v>76000</v>
      </c>
      <c r="AJ260" s="102">
        <f>VLOOKUP(L260,设备合同!$L$6:$CC$302,25,0)</f>
        <v>0</v>
      </c>
      <c r="AK260" s="102">
        <f>VLOOKUP(L260,设备合同!$L$6:$CC$302,26,0)</f>
        <v>0</v>
      </c>
      <c r="AL260" s="102">
        <f>VLOOKUP(L260,设备合同!$L$6:$CC$302,27,0)</f>
        <v>0</v>
      </c>
      <c r="AM260" s="102">
        <f>VLOOKUP(L260,设备合同!$L$6:$CC$302,28,0)</f>
        <v>0</v>
      </c>
      <c r="AN260" s="102">
        <f>VLOOKUP(L260,设备合同!$L$6:$CC$302,29,0)</f>
        <v>0</v>
      </c>
      <c r="AO260" s="102">
        <f>VLOOKUP(L260,设备合同!$L$6:$CC$302,30,0)</f>
        <v>0</v>
      </c>
      <c r="AP260" s="102">
        <f>VLOOKUP(L260,设备合同!$L$6:$CC$302,31,0)</f>
        <v>0</v>
      </c>
      <c r="AQ260" s="102">
        <f>VLOOKUP(L260,设备合同!$L$6:$CC$302,32,0)</f>
        <v>0</v>
      </c>
      <c r="AR260" s="102">
        <f>VLOOKUP(L260,设备合同!$L$6:$CC$302,33,0)</f>
        <v>0</v>
      </c>
      <c r="AS260" s="102">
        <f>VLOOKUP(L260,设备合同!$L$6:$CC$302,34,0)</f>
        <v>0</v>
      </c>
      <c r="AT260" s="102">
        <f>VLOOKUP(L260,设备合同!$L$6:$CC$302,35,0)</f>
        <v>0</v>
      </c>
      <c r="AU260" s="102">
        <f>VLOOKUP(L260,设备合同!$L$6:$CC$302,36,0)</f>
        <v>0</v>
      </c>
      <c r="AV260" s="102">
        <f>VLOOKUP(L260,设备合同!$L$6:$CC$302,37,0)</f>
        <v>0</v>
      </c>
      <c r="AW260" s="102">
        <f>VLOOKUP(L260,设备合同!$L$6:$CC$302,38,0)</f>
        <v>0</v>
      </c>
      <c r="AX260" s="102">
        <f>VLOOKUP(L260,设备合同!$L$6:$CC$302,39,0)</f>
        <v>0</v>
      </c>
      <c r="AY260" s="102">
        <f>VLOOKUP(L260,设备合同!$L$6:$CC$302,40,0)</f>
        <v>0</v>
      </c>
      <c r="AZ260" s="102">
        <f>VLOOKUP(L260,设备合同!$L$6:$CC$302,41,0)</f>
        <v>0</v>
      </c>
      <c r="BA260" s="102">
        <f>VLOOKUP(L260,设备合同!$L$6:$CC$302,42,0)</f>
        <v>0</v>
      </c>
      <c r="BB260" s="102">
        <f>VLOOKUP(L260,设备合同!$L$6:$CC$302,43,0)</f>
        <v>0</v>
      </c>
      <c r="BC260" s="102">
        <f>VLOOKUP(L260,设备合同!$L$6:$CC$302,44,0)</f>
        <v>0</v>
      </c>
      <c r="BD260" s="102">
        <f>VLOOKUP(L260,设备合同!$L$6:$CC$302,45,0)</f>
        <v>0</v>
      </c>
      <c r="BE260" s="102">
        <f>VLOOKUP(L260,设备合同!$L$6:$CC$302,46,0)</f>
        <v>0</v>
      </c>
      <c r="BF260" s="102">
        <f>VLOOKUP(L260,设备合同!$L$6:$CC$302,47,0)</f>
        <v>0</v>
      </c>
      <c r="BG260" s="102">
        <f>VLOOKUP(L260,设备合同!$L$6:$CC$302,48,0)</f>
        <v>0</v>
      </c>
      <c r="BH260" s="102">
        <f>VLOOKUP(L260,设备合同!$L$6:$CC$302,49,0)</f>
        <v>0</v>
      </c>
      <c r="BI260" s="102">
        <f>VLOOKUP(L260,设备合同!$L$6:$CC$302,50,0)</f>
        <v>0</v>
      </c>
      <c r="BJ260" s="102">
        <f>VLOOKUP(L260,设备合同!$L$6:$CC$302,51,0)</f>
        <v>0</v>
      </c>
      <c r="BK260" s="102">
        <f>VLOOKUP(L260,设备合同!$L$6:$CC$302,52,0)</f>
        <v>0</v>
      </c>
      <c r="BL260" s="102">
        <f>VLOOKUP(L260,设备合同!$L$6:$CC$302,53,0)</f>
        <v>0</v>
      </c>
      <c r="BM260" s="102">
        <f>VLOOKUP(L260,设备合同!$L$6:$CC$302,54,0)</f>
        <v>0</v>
      </c>
      <c r="BN260" s="102">
        <f>VLOOKUP(L260,设备合同!$L$6:$CC$302,55,0)</f>
        <v>0</v>
      </c>
      <c r="BO260" s="102">
        <f>VLOOKUP(L260,设备合同!$L$6:$CC$302,56,0)</f>
        <v>0</v>
      </c>
      <c r="BP260" s="102">
        <f>VLOOKUP(L260,设备合同!$L$6:$CC$302,57,0)</f>
        <v>0</v>
      </c>
      <c r="BQ260" s="102">
        <f>VLOOKUP(L260,设备合同!$L$6:$CC$302,58,0)</f>
        <v>0</v>
      </c>
      <c r="BR260" s="102">
        <f>VLOOKUP(L260,设备合同!$L$6:$CC$302,59,0)</f>
        <v>0</v>
      </c>
      <c r="BS260" s="102">
        <f>VLOOKUP(L260,设备合同!$L$6:$CC$302,60,0)</f>
        <v>0</v>
      </c>
      <c r="BT260" s="102">
        <f>VLOOKUP(L260,设备合同!$L$6:$CC$302,61,0)</f>
        <v>0</v>
      </c>
      <c r="BU260" s="102">
        <f>VLOOKUP(L260,设备合同!$L$6:$CC$302,62,0)</f>
        <v>0</v>
      </c>
      <c r="BV260" s="102">
        <f>VLOOKUP(L260,设备合同!$L$6:$CC$302,63,0)</f>
        <v>0</v>
      </c>
      <c r="BW260" s="102">
        <f>VLOOKUP(L260,设备合同!$L$6:$CC$302,64,0)</f>
        <v>0</v>
      </c>
      <c r="BX260" s="102">
        <f>VLOOKUP(L260,设备合同!$L$6:$CC$302,65,0)</f>
        <v>0</v>
      </c>
      <c r="BY260" s="102">
        <f>VLOOKUP(L260,设备合同!$L$6:$CC$302,66,0)</f>
        <v>0</v>
      </c>
      <c r="BZ260" s="102">
        <f>VLOOKUP(L260,设备合同!$L$6:$CC$302,67,0)</f>
        <v>0</v>
      </c>
      <c r="CA260" s="102">
        <f>VLOOKUP(L260,设备合同!$L$6:$CC$302,68,0)</f>
        <v>0</v>
      </c>
      <c r="CB260" s="102">
        <f>VLOOKUP(L260,设备合同!$L$6:$CC$302,69,0)</f>
        <v>0</v>
      </c>
      <c r="CC260" s="102">
        <f>VLOOKUP(L260,设备合同!$L$6:$CC$302,70,0)</f>
        <v>0</v>
      </c>
      <c r="CD260" s="123">
        <f t="shared" si="55"/>
        <v>760000</v>
      </c>
      <c r="CE260" s="102">
        <f t="shared" si="56"/>
        <v>152000</v>
      </c>
      <c r="CF260" s="102">
        <f t="shared" si="57"/>
        <v>152000</v>
      </c>
      <c r="CG260" s="102">
        <f t="shared" si="58"/>
        <v>0</v>
      </c>
      <c r="CH260" s="124">
        <f t="shared" si="59"/>
        <v>608000</v>
      </c>
      <c r="CI260" s="125">
        <f t="shared" si="60"/>
        <v>0.2</v>
      </c>
      <c r="CJ260" s="126" t="str">
        <f t="shared" si="61"/>
        <v>数据正确</v>
      </c>
    </row>
    <row r="261" s="60" customFormat="1" customHeight="1" spans="2:88">
      <c r="B261" s="70" t="str">
        <f t="shared" si="51"/>
        <v>-</v>
      </c>
      <c r="C261" s="71" t="str">
        <f t="shared" si="52"/>
        <v>-</v>
      </c>
      <c r="D261" s="181">
        <f t="shared" si="53"/>
        <v>292500</v>
      </c>
      <c r="E261" s="181">
        <f>SUMIF(服务合同!$L$6:$L$300,L261,服务合同!$E$6:$E$300)</f>
        <v>0</v>
      </c>
      <c r="F261" s="181">
        <f>SUMIF(服务合同!$L$6:$L$300,L261,服务合同!$F$6:$F$300)</f>
        <v>0</v>
      </c>
      <c r="G261" s="181">
        <f>SUMIF(服务合同!$L$6:$L$300,L261,服务合同!$G$6:$G$300)</f>
        <v>0</v>
      </c>
      <c r="H261" s="181">
        <f>SUMIF(服务合同!$L$6:$L$300,L261,服务合同!$H$6:$H$300)</f>
        <v>0</v>
      </c>
      <c r="I261" s="181">
        <f t="shared" si="54"/>
        <v>0</v>
      </c>
      <c r="J261" s="86" t="s">
        <v>98</v>
      </c>
      <c r="K261" s="87"/>
      <c r="L261" s="88">
        <v>256</v>
      </c>
      <c r="M261" s="89" t="str">
        <f>VLOOKUP(L261,服务合同!$L$6:$CC$300,2,0)</f>
        <v>YRKJXZ-170028</v>
      </c>
      <c r="N261" s="90" t="str">
        <f>VLOOKUP(L261,服务合同!$L$6:$CC$300,3,0)</f>
        <v>服务合同</v>
      </c>
      <c r="O261" s="265" t="str">
        <f>VLOOKUP(L261,服务合同!$L$6:$CC$300,4,0)</f>
        <v>-</v>
      </c>
      <c r="P261" s="266">
        <f>VLOOKUP(L261,服务合同!$L$6:$CC$300,5,0)</f>
        <v>43003</v>
      </c>
      <c r="Q261" s="275">
        <f>VLOOKUP(L261,服务合同!$L$6:$CC$300,6,0)</f>
        <v>800000</v>
      </c>
      <c r="R261" s="89" t="str">
        <f>VLOOKUP(L261,服务合同!$L$6:$CC$300,7,0)</f>
        <v>项目管理信息系统建设合同</v>
      </c>
      <c r="S261" s="89" t="str">
        <f>VLOOKUP(L261,服务合同!$L$6:$CC$300,8,0)</f>
        <v>上海普华科技发展有限公司</v>
      </c>
      <c r="T261" s="107">
        <f>VLOOKUP(L261,服务合同!$L$6:$CC$300,9,0)</f>
        <v>0</v>
      </c>
      <c r="U261" s="103" t="str">
        <f>VLOOKUP(L261,服务合同!$L$6:$CC$300,10,0)</f>
        <v>电汇</v>
      </c>
      <c r="V261" s="276" t="str">
        <f>VLOOKUP(L261,服务合同!$L$6:$CC$300,11,0)</f>
        <v>合同签订2周后，甲方需确定首批许可人数，在乙方提供软件许可款项25万的100%，实施服务与开发55万的10%，乙方收到款项后，开具5.5万履约保函。</v>
      </c>
      <c r="W261" s="102">
        <f>VLOOKUP(L261,服务合同!$L$6:$CC$300,12,0)</f>
        <v>292500</v>
      </c>
      <c r="X261" s="102">
        <f>VLOOKUP(L261,服务合同!$L$6:$CC$300,13,0)</f>
        <v>292500</v>
      </c>
      <c r="Y261" s="102">
        <f>VLOOKUP(L261,服务合同!$L$6:$CC$300,14,0)</f>
        <v>292500</v>
      </c>
      <c r="Z261" s="102" t="str">
        <f>VLOOKUP(L261,服务合同!$L$6:$CC$300,15,0)</f>
        <v>项目管理系统业务调研规划完成，提交（系统应用方案）两周内，支付55万的20%</v>
      </c>
      <c r="AA261" s="102">
        <f>VLOOKUP(L261,服务合同!$L$6:$CC$300,16,0)</f>
        <v>110000</v>
      </c>
      <c r="AB261" s="102">
        <f>VLOOKUP(L261,服务合同!$L$6:$CC$300,17,0)</f>
        <v>0</v>
      </c>
      <c r="AC261" s="102">
        <f>VLOOKUP(L261,服务合同!$L$6:$CC$300,18,0)</f>
        <v>0</v>
      </c>
      <c r="AD261" s="102" t="str">
        <f>VLOOKUP(L261,服务合同!$L$6:$CC$300,19,0)</f>
        <v>系统建设完成，提交（系统分析说明书）（用户操作手册）（系统维护手册）后两周内，支付55万的30%</v>
      </c>
      <c r="AE261" s="102">
        <f>VLOOKUP(L261,服务合同!$L$6:$CC$300,20,0)</f>
        <v>165000</v>
      </c>
      <c r="AF261" s="102">
        <f>VLOOKUP(L261,服务合同!$L$6:$CC$300,21,0)</f>
        <v>0</v>
      </c>
      <c r="AG261" s="102">
        <f>VLOOKUP(L261,服务合同!$L$6:$CC$300,22,0)</f>
        <v>0</v>
      </c>
      <c r="AH261" s="102" t="str">
        <f>VLOOKUP(L261,服务合同!$L$6:$CC$300,23,0)</f>
        <v>系统建设完成，提交（系统验收报告）（系统运行维护管理规定）后两周，支付55万的35%</v>
      </c>
      <c r="AI261" s="102">
        <f>VLOOKUP(L261,服务合同!$L$6:$CC$300,24,0)</f>
        <v>192500</v>
      </c>
      <c r="AJ261" s="102">
        <f>VLOOKUP(L261,服务合同!$L$6:$CC$300,25,0)</f>
        <v>0</v>
      </c>
      <c r="AK261" s="102">
        <f>VLOOKUP(L261,服务合同!$L$6:$CC$300,26,0)</f>
        <v>0</v>
      </c>
      <c r="AL261" s="102" t="str">
        <f>VLOOKUP(L261,服务合同!$L$6:$CC$300,27,0)</f>
        <v>系统通过验收后12个月，剩余的5%</v>
      </c>
      <c r="AM261" s="102">
        <f>VLOOKUP(L261,服务合同!$L$6:$CC$300,28,0)</f>
        <v>40000</v>
      </c>
      <c r="AN261" s="102">
        <f>VLOOKUP(L261,服务合同!$L$6:$CC$300,29,0)</f>
        <v>0</v>
      </c>
      <c r="AO261" s="102">
        <f>VLOOKUP(L261,服务合同!$L$6:$CC$300,30,0)</f>
        <v>0</v>
      </c>
      <c r="AP261" s="102">
        <f>VLOOKUP(L261,服务合同!$L$6:$CC$300,31,0)</f>
        <v>0</v>
      </c>
      <c r="AQ261" s="102">
        <f>VLOOKUP(L261,服务合同!$L$6:$CC$300,32,0)</f>
        <v>0</v>
      </c>
      <c r="AR261" s="102">
        <f>VLOOKUP(L261,服务合同!$L$6:$CC$300,33,0)</f>
        <v>0</v>
      </c>
      <c r="AS261" s="102">
        <f>VLOOKUP(L261,服务合同!$L$6:$CC$300,34,0)</f>
        <v>0</v>
      </c>
      <c r="AT261" s="102">
        <f>VLOOKUP(L261,服务合同!$L$6:$CC$300,35,0)</f>
        <v>0</v>
      </c>
      <c r="AU261" s="102">
        <f>VLOOKUP(L261,服务合同!$L$6:$CC$300,36,0)</f>
        <v>0</v>
      </c>
      <c r="AV261" s="102">
        <f>VLOOKUP(L261,服务合同!$L$6:$CC$300,37,0)</f>
        <v>0</v>
      </c>
      <c r="AW261" s="102">
        <f>VLOOKUP(L261,服务合同!$L$6:$CC$300,38,0)</f>
        <v>0</v>
      </c>
      <c r="AX261" s="102">
        <f>VLOOKUP(L261,服务合同!$L$6:$CC$300,39,0)</f>
        <v>0</v>
      </c>
      <c r="AY261" s="102">
        <f>VLOOKUP(L261,服务合同!$L$6:$CC$300,40,0)</f>
        <v>0</v>
      </c>
      <c r="AZ261" s="102">
        <f>VLOOKUP(L261,服务合同!$L$6:$CC$300,41,0)</f>
        <v>0</v>
      </c>
      <c r="BA261" s="102">
        <f>VLOOKUP(L261,服务合同!$L$6:$CC$300,42,0)</f>
        <v>0</v>
      </c>
      <c r="BB261" s="102">
        <f>VLOOKUP(L261,服务合同!$L$6:$CC$300,43,0)</f>
        <v>0</v>
      </c>
      <c r="BC261" s="102">
        <f>VLOOKUP(L261,服务合同!$L$6:$CC$300,44,0)</f>
        <v>0</v>
      </c>
      <c r="BD261" s="102">
        <f>VLOOKUP(L261,服务合同!$L$6:$CC$300,45,0)</f>
        <v>0</v>
      </c>
      <c r="BE261" s="102">
        <f>VLOOKUP(L261,服务合同!$L$6:$CC$300,46,0)</f>
        <v>0</v>
      </c>
      <c r="BF261" s="102">
        <f>VLOOKUP(L261,服务合同!$L$6:$CC$300,47,0)</f>
        <v>0</v>
      </c>
      <c r="BG261" s="102">
        <f>VLOOKUP(L261,服务合同!$L$6:$CC$300,48,0)</f>
        <v>0</v>
      </c>
      <c r="BH261" s="102">
        <f>VLOOKUP(L261,服务合同!$L$6:$CC$300,49,0)</f>
        <v>0</v>
      </c>
      <c r="BI261" s="102">
        <f>VLOOKUP(L261,服务合同!$L$6:$CC$300,50,0)</f>
        <v>0</v>
      </c>
      <c r="BJ261" s="102">
        <f>VLOOKUP(L261,服务合同!$L$6:$CC$300,51,0)</f>
        <v>0</v>
      </c>
      <c r="BK261" s="102">
        <f>VLOOKUP(L261,服务合同!$L$6:$CC$300,52,0)</f>
        <v>0</v>
      </c>
      <c r="BL261" s="102">
        <f>VLOOKUP(L261,服务合同!$L$6:$CC$300,53,0)</f>
        <v>0</v>
      </c>
      <c r="BM261" s="102">
        <f>VLOOKUP(L261,服务合同!$L$6:$CC$300,54,0)</f>
        <v>0</v>
      </c>
      <c r="BN261" s="102">
        <f>VLOOKUP(L261,服务合同!$L$6:$CC$300,55,0)</f>
        <v>0</v>
      </c>
      <c r="BO261" s="102">
        <f>VLOOKUP(L261,服务合同!$L$6:$CC$300,56,0)</f>
        <v>0</v>
      </c>
      <c r="BP261" s="102">
        <f>VLOOKUP(L261,服务合同!$L$6:$CC$300,57,0)</f>
        <v>0</v>
      </c>
      <c r="BQ261" s="102">
        <f>VLOOKUP(L261,服务合同!$L$6:$CC$300,58,0)</f>
        <v>0</v>
      </c>
      <c r="BR261" s="102">
        <f>VLOOKUP(L261,服务合同!$L$6:$CC$300,59,0)</f>
        <v>0</v>
      </c>
      <c r="BS261" s="102">
        <f>VLOOKUP(L261,服务合同!$L$6:$CC$300,60,0)</f>
        <v>0</v>
      </c>
      <c r="BT261" s="102">
        <f>VLOOKUP(L261,服务合同!$L$6:$CC$300,61,0)</f>
        <v>0</v>
      </c>
      <c r="BU261" s="102">
        <f>VLOOKUP(L261,服务合同!$L$6:$CC$300,62,0)</f>
        <v>0</v>
      </c>
      <c r="BV261" s="102">
        <f>VLOOKUP(L261,服务合同!$L$6:$CC$300,63,0)</f>
        <v>0</v>
      </c>
      <c r="BW261" s="102">
        <f>VLOOKUP(L261,服务合同!$L$6:$CC$300,64,0)</f>
        <v>0</v>
      </c>
      <c r="BX261" s="102">
        <f>VLOOKUP(L261,服务合同!$L$6:$CC$300,65,0)</f>
        <v>0</v>
      </c>
      <c r="BY261" s="102">
        <f>VLOOKUP(L261,服务合同!$L$6:$CC$300,66,0)</f>
        <v>0</v>
      </c>
      <c r="BZ261" s="102">
        <f>VLOOKUP(L261,服务合同!$L$6:$CC$300,67,0)</f>
        <v>0</v>
      </c>
      <c r="CA261" s="102">
        <f>VLOOKUP(L261,服务合同!$L$6:$CC$300,68,0)</f>
        <v>0</v>
      </c>
      <c r="CB261" s="102">
        <f>VLOOKUP(L261,服务合同!$L$6:$CC$300,69,0)</f>
        <v>0</v>
      </c>
      <c r="CC261" s="102">
        <f>VLOOKUP(L261,服务合同!$L$6:$CC$300,70,0)</f>
        <v>0</v>
      </c>
      <c r="CD261" s="123">
        <f t="shared" si="55"/>
        <v>800000</v>
      </c>
      <c r="CE261" s="102">
        <f t="shared" si="56"/>
        <v>292500</v>
      </c>
      <c r="CF261" s="102">
        <f t="shared" si="57"/>
        <v>292500</v>
      </c>
      <c r="CG261" s="102">
        <f t="shared" si="58"/>
        <v>0</v>
      </c>
      <c r="CH261" s="124">
        <f t="shared" si="59"/>
        <v>507500</v>
      </c>
      <c r="CI261" s="125">
        <f t="shared" si="60"/>
        <v>0.365625</v>
      </c>
      <c r="CJ261" s="126" t="str">
        <f t="shared" si="61"/>
        <v>数据正确</v>
      </c>
    </row>
    <row r="262" s="60" customFormat="1" customHeight="1" spans="2:88">
      <c r="B262" s="70" t="str">
        <f t="shared" si="51"/>
        <v>-</v>
      </c>
      <c r="C262" s="71" t="str">
        <f t="shared" si="52"/>
        <v>已付清</v>
      </c>
      <c r="D262" s="181">
        <f t="shared" si="53"/>
        <v>0.001</v>
      </c>
      <c r="E262" s="181">
        <f>SUMIF(工程合同!$L$6:$L$299,L262,工程合同!$E$6:$E$299)</f>
        <v>0</v>
      </c>
      <c r="F262" s="181">
        <f>SUMIF(工程合同!$L$6:$L$299,L262,工程合同!$F$6:$F$299)</f>
        <v>0</v>
      </c>
      <c r="G262" s="181">
        <f>SUMIF(工程合同!$L$6:$L$299,L262,工程合同!$G$6:$G$299)</f>
        <v>0</v>
      </c>
      <c r="H262" s="181">
        <f>SUMIF(工程合同!$L$6:$L$299,L262,工程合同!$H$6:$H$299)</f>
        <v>0</v>
      </c>
      <c r="I262" s="181">
        <f t="shared" si="54"/>
        <v>0</v>
      </c>
      <c r="J262" s="86" t="s">
        <v>98</v>
      </c>
      <c r="K262" s="87"/>
      <c r="L262" s="88">
        <v>257</v>
      </c>
      <c r="M262" s="89" t="str">
        <f>VLOOKUP(L262,工程合同!$L$6:$CC$299,2,0)</f>
        <v>YRKJGC-150012</v>
      </c>
      <c r="N262" s="90" t="str">
        <f>VLOOKUP(L262,工程合同!$L$6:$CC$299,3,0)</f>
        <v>工程合同</v>
      </c>
      <c r="O262" s="265" t="str">
        <f>VLOOKUP(L262,工程合同!$L$6:$CC$299,4,0)</f>
        <v>-</v>
      </c>
      <c r="P262" s="266">
        <f>VLOOKUP(L262,工程合同!$L$6:$CC$299,5,0)</f>
        <v>42136</v>
      </c>
      <c r="Q262" s="275">
        <f>VLOOKUP(L262,工程合同!$L$6:$CC$299,6,0)</f>
        <v>0.001</v>
      </c>
      <c r="R262" s="89" t="str">
        <f>VLOOKUP(L262,工程合同!$L$6:$CC$299,7,0)</f>
        <v>软地基政府补贴已到账2.1亿元，已申请未到账4732万元</v>
      </c>
      <c r="S262" s="89" t="str">
        <f>VLOOKUP(L262,工程合同!$L$6:$CC$299,8,0)</f>
        <v>-</v>
      </c>
      <c r="T262" s="107" t="str">
        <f>VLOOKUP(L262,工程合同!$L$6:$CC$299,9,0)</f>
        <v>软基</v>
      </c>
      <c r="U262" s="103" t="str">
        <f>VLOOKUP(L262,工程合同!$L$6:$CC$299,10,0)</f>
        <v>承兑/转账</v>
      </c>
      <c r="V262" s="276" t="str">
        <f>VLOOKUP(L262,工程合同!$L$6:$CC$299,11,0)</f>
        <v>-</v>
      </c>
      <c r="W262" s="102">
        <f>VLOOKUP(L262,工程合同!$L$6:$CC$299,12,0)</f>
        <v>0.001</v>
      </c>
      <c r="X262" s="102">
        <f>VLOOKUP(L262,工程合同!$L$6:$CC$299,13,0)</f>
        <v>0.001</v>
      </c>
      <c r="Y262" s="102">
        <f>VLOOKUP(L262,工程合同!$L$6:$CC$299,14,0)</f>
        <v>0.001</v>
      </c>
      <c r="Z262" s="102">
        <f>VLOOKUP(L262,工程合同!$L$6:$CC$299,15,0)</f>
        <v>0</v>
      </c>
      <c r="AA262" s="102">
        <f>VLOOKUP(L262,工程合同!$L$6:$CC$299,16,0)</f>
        <v>0</v>
      </c>
      <c r="AB262" s="102">
        <f>VLOOKUP(L262,工程合同!$L$6:$CC$299,17,0)</f>
        <v>0</v>
      </c>
      <c r="AC262" s="102">
        <f>VLOOKUP(L262,工程合同!$L$6:$CC$299,18,0)</f>
        <v>0</v>
      </c>
      <c r="AD262" s="102">
        <f>VLOOKUP(L262,工程合同!$L$6:$CC$299,19,0)</f>
        <v>0</v>
      </c>
      <c r="AE262" s="102">
        <f>VLOOKUP(L262,工程合同!$L$6:$CC$299,20,0)</f>
        <v>0</v>
      </c>
      <c r="AF262" s="102">
        <f>VLOOKUP(L262,工程合同!$L$6:$CC$299,21,0)</f>
        <v>0</v>
      </c>
      <c r="AG262" s="102">
        <f>VLOOKUP(L262,工程合同!$L$6:$CC$299,22,0)</f>
        <v>0</v>
      </c>
      <c r="AH262" s="102">
        <f>VLOOKUP(L262,工程合同!$L$6:$CC$299,23,0)</f>
        <v>0</v>
      </c>
      <c r="AI262" s="102">
        <f>VLOOKUP(L262,工程合同!$L$6:$CC$299,24,0)</f>
        <v>0</v>
      </c>
      <c r="AJ262" s="102">
        <f>VLOOKUP(L262,工程合同!$L$6:$CC$299,25,0)</f>
        <v>0</v>
      </c>
      <c r="AK262" s="102">
        <f>VLOOKUP(L262,工程合同!$L$6:$CC$299,26,0)</f>
        <v>0</v>
      </c>
      <c r="AL262" s="102">
        <f>VLOOKUP(L262,工程合同!$L$6:$CC$299,27,0)</f>
        <v>0</v>
      </c>
      <c r="AM262" s="102">
        <f>VLOOKUP(L262,工程合同!$L$6:$CC$299,28,0)</f>
        <v>0</v>
      </c>
      <c r="AN262" s="102">
        <f>VLOOKUP(L262,工程合同!$L$6:$CC$299,29,0)</f>
        <v>0</v>
      </c>
      <c r="AO262" s="102">
        <f>VLOOKUP(L262,工程合同!$L$6:$CC$299,30,0)</f>
        <v>0</v>
      </c>
      <c r="AP262" s="102">
        <f>VLOOKUP(L262,工程合同!$L$6:$CC$299,31,0)</f>
        <v>0</v>
      </c>
      <c r="AQ262" s="102">
        <f>VLOOKUP(L262,工程合同!$L$6:$CC$299,32,0)</f>
        <v>0</v>
      </c>
      <c r="AR262" s="102">
        <f>VLOOKUP(L262,工程合同!$L$6:$CC$299,33,0)</f>
        <v>0</v>
      </c>
      <c r="AS262" s="102">
        <f>VLOOKUP(L262,工程合同!$L$6:$CC$299,34,0)</f>
        <v>0</v>
      </c>
      <c r="AT262" s="102">
        <f>VLOOKUP(L262,工程合同!$L$6:$CC$299,35,0)</f>
        <v>0</v>
      </c>
      <c r="AU262" s="102">
        <f>VLOOKUP(L262,工程合同!$L$6:$CC$299,36,0)</f>
        <v>0</v>
      </c>
      <c r="AV262" s="102">
        <f>VLOOKUP(L262,工程合同!$L$6:$CC$299,37,0)</f>
        <v>0</v>
      </c>
      <c r="AW262" s="102">
        <f>VLOOKUP(L262,工程合同!$L$6:$CC$299,38,0)</f>
        <v>0</v>
      </c>
      <c r="AX262" s="102">
        <f>VLOOKUP(L262,工程合同!$L$6:$CC$299,39,0)</f>
        <v>0</v>
      </c>
      <c r="AY262" s="102">
        <f>VLOOKUP(L262,工程合同!$L$6:$CC$299,40,0)</f>
        <v>0</v>
      </c>
      <c r="AZ262" s="102">
        <f>VLOOKUP(L262,工程合同!$L$6:$CC$299,41,0)</f>
        <v>0</v>
      </c>
      <c r="BA262" s="102">
        <f>VLOOKUP(L262,工程合同!$L$6:$CC$299,42,0)</f>
        <v>0</v>
      </c>
      <c r="BB262" s="102">
        <f>VLOOKUP(L262,工程合同!$L$6:$CC$299,43,0)</f>
        <v>0</v>
      </c>
      <c r="BC262" s="102">
        <f>VLOOKUP(L262,工程合同!$L$6:$CC$299,44,0)</f>
        <v>0</v>
      </c>
      <c r="BD262" s="102">
        <f>VLOOKUP(L262,工程合同!$L$6:$CC$299,45,0)</f>
        <v>0</v>
      </c>
      <c r="BE262" s="102">
        <f>VLOOKUP(L262,工程合同!$L$6:$CC$299,46,0)</f>
        <v>0</v>
      </c>
      <c r="BF262" s="102">
        <f>VLOOKUP(L262,工程合同!$L$6:$CC$299,47,0)</f>
        <v>0</v>
      </c>
      <c r="BG262" s="102">
        <f>VLOOKUP(L262,工程合同!$L$6:$CC$299,48,0)</f>
        <v>0</v>
      </c>
      <c r="BH262" s="102">
        <f>VLOOKUP(L262,工程合同!$L$6:$CC$299,49,0)</f>
        <v>0</v>
      </c>
      <c r="BI262" s="102">
        <f>VLOOKUP(L262,工程合同!$L$6:$CC$299,50,0)</f>
        <v>0</v>
      </c>
      <c r="BJ262" s="102">
        <f>VLOOKUP(L262,工程合同!$L$6:$CC$299,51,0)</f>
        <v>0</v>
      </c>
      <c r="BK262" s="102">
        <f>VLOOKUP(L262,工程合同!$L$6:$CC$299,52,0)</f>
        <v>0</v>
      </c>
      <c r="BL262" s="102">
        <f>VLOOKUP(L262,工程合同!$L$6:$CC$299,53,0)</f>
        <v>0</v>
      </c>
      <c r="BM262" s="102">
        <f>VLOOKUP(L262,工程合同!$L$6:$CC$299,54,0)</f>
        <v>0</v>
      </c>
      <c r="BN262" s="102">
        <f>VLOOKUP(L262,工程合同!$L$6:$CC$299,55,0)</f>
        <v>0</v>
      </c>
      <c r="BO262" s="102">
        <f>VLOOKUP(L262,工程合同!$L$6:$CC$299,56,0)</f>
        <v>0</v>
      </c>
      <c r="BP262" s="102">
        <f>VLOOKUP(L262,工程合同!$L$6:$CC$299,57,0)</f>
        <v>0</v>
      </c>
      <c r="BQ262" s="102">
        <f>VLOOKUP(L262,工程合同!$L$6:$CC$299,58,0)</f>
        <v>0</v>
      </c>
      <c r="BR262" s="102">
        <f>VLOOKUP(L262,工程合同!$L$6:$CC$299,59,0)</f>
        <v>0</v>
      </c>
      <c r="BS262" s="102">
        <f>VLOOKUP(L262,工程合同!$L$6:$CC$299,60,0)</f>
        <v>0</v>
      </c>
      <c r="BT262" s="102">
        <f>VLOOKUP(L262,工程合同!$L$6:$CC$299,61,0)</f>
        <v>0</v>
      </c>
      <c r="BU262" s="102">
        <f>VLOOKUP(L262,工程合同!$L$6:$CC$299,62,0)</f>
        <v>0</v>
      </c>
      <c r="BV262" s="102">
        <f>VLOOKUP(L262,工程合同!$L$6:$CC$299,63,0)</f>
        <v>0</v>
      </c>
      <c r="BW262" s="102">
        <f>VLOOKUP(L262,工程合同!$L$6:$CC$299,64,0)</f>
        <v>0</v>
      </c>
      <c r="BX262" s="102">
        <f>VLOOKUP(L262,工程合同!$L$6:$CC$299,65,0)</f>
        <v>0</v>
      </c>
      <c r="BY262" s="102">
        <f>VLOOKUP(L262,工程合同!$L$6:$CC$299,66,0)</f>
        <v>0</v>
      </c>
      <c r="BZ262" s="102">
        <f>VLOOKUP(L262,工程合同!$L$6:$CC$299,67,0)</f>
        <v>0</v>
      </c>
      <c r="CA262" s="102">
        <f>VLOOKUP(L262,工程合同!$L$6:$CC$299,68,0)</f>
        <v>0</v>
      </c>
      <c r="CB262" s="102">
        <f>VLOOKUP(L262,工程合同!$L$6:$CC$299,69,0)</f>
        <v>0</v>
      </c>
      <c r="CC262" s="102">
        <f>VLOOKUP(L262,工程合同!$L$6:$CC$299,70,0)</f>
        <v>0</v>
      </c>
      <c r="CD262" s="123">
        <f t="shared" si="55"/>
        <v>0.001</v>
      </c>
      <c r="CE262" s="102">
        <f t="shared" si="56"/>
        <v>0.001</v>
      </c>
      <c r="CF262" s="102">
        <f t="shared" si="57"/>
        <v>0.001</v>
      </c>
      <c r="CG262" s="102">
        <f t="shared" si="58"/>
        <v>0</v>
      </c>
      <c r="CH262" s="124">
        <f t="shared" si="59"/>
        <v>0</v>
      </c>
      <c r="CI262" s="125">
        <f t="shared" si="60"/>
        <v>1</v>
      </c>
      <c r="CJ262" s="126" t="str">
        <f t="shared" si="61"/>
        <v>数据正确</v>
      </c>
    </row>
    <row r="263" s="60" customFormat="1" customHeight="1" spans="2:88">
      <c r="B263" s="70" t="str">
        <f t="shared" si="51"/>
        <v>-</v>
      </c>
      <c r="C263" s="71" t="str">
        <f t="shared" si="52"/>
        <v>-</v>
      </c>
      <c r="D263" s="181">
        <f t="shared" si="53"/>
        <v>750000</v>
      </c>
      <c r="E263" s="181">
        <f>SUMIF(服务合同!$L$6:$L$300,L263,服务合同!$E$6:$E$300)</f>
        <v>0</v>
      </c>
      <c r="F263" s="181">
        <f>SUMIF(服务合同!$L$6:$L$300,L263,服务合同!$F$6:$F$300)</f>
        <v>0</v>
      </c>
      <c r="G263" s="181">
        <f>SUMIF(服务合同!$L$6:$L$300,L263,服务合同!$G$6:$G$300)</f>
        <v>0</v>
      </c>
      <c r="H263" s="181">
        <f>SUMIF(服务合同!$L$6:$L$300,L263,服务合同!$H$6:$H$300)</f>
        <v>0</v>
      </c>
      <c r="I263" s="181">
        <f t="shared" si="54"/>
        <v>0</v>
      </c>
      <c r="J263" s="86" t="s">
        <v>98</v>
      </c>
      <c r="K263" s="87"/>
      <c r="L263" s="88">
        <v>258</v>
      </c>
      <c r="M263" s="89" t="str">
        <f>VLOOKUP(L263,服务合同!$L$6:$CC$300,2,0)</f>
        <v>YRKJGC-170056</v>
      </c>
      <c r="N263" s="90" t="str">
        <f>VLOOKUP(L263,服务合同!$L$6:$CC$300,3,0)</f>
        <v>服务合同</v>
      </c>
      <c r="O263" s="265">
        <f>VLOOKUP(L263,服务合同!$L$6:$CC$300,4,0)</f>
        <v>0</v>
      </c>
      <c r="P263" s="266">
        <f>VLOOKUP(L263,服务合同!$L$6:$CC$300,5,0)</f>
        <v>42986</v>
      </c>
      <c r="Q263" s="275">
        <f>VLOOKUP(L263,服务合同!$L$6:$CC$300,6,0)</f>
        <v>3000000</v>
      </c>
      <c r="R263" s="89" t="str">
        <f>VLOOKUP(L263,服务合同!$L$6:$CC$300,7,0)</f>
        <v>环己烷脱氢设计</v>
      </c>
      <c r="S263" s="89" t="str">
        <f>VLOOKUP(L263,服务合同!$L$6:$CC$300,8,0)</f>
        <v>北京石油化工工程有限公司</v>
      </c>
      <c r="T263" s="107">
        <f>VLOOKUP(L263,服务合同!$L$6:$CC$300,9,0)</f>
        <v>0</v>
      </c>
      <c r="U263" s="103" t="str">
        <f>VLOOKUP(L263,服务合同!$L$6:$CC$300,10,0)</f>
        <v>电汇</v>
      </c>
      <c r="V263" s="276" t="str">
        <f>VLOOKUP(L263,服务合同!$L$6:$CC$300,11,0)</f>
        <v>合同生效20天内，支付25%定金</v>
      </c>
      <c r="W263" s="102">
        <f>VLOOKUP(L263,服务合同!$L$6:$CC$300,12,0)</f>
        <v>750000</v>
      </c>
      <c r="X263" s="102">
        <f>VLOOKUP(L263,服务合同!$L$6:$CC$300,13,0)</f>
        <v>750000</v>
      </c>
      <c r="Y263" s="102">
        <f>VLOOKUP(L263,服务合同!$L$6:$CC$300,14,0)</f>
        <v>750000</v>
      </c>
      <c r="Z263" s="102" t="str">
        <f>VLOOKUP(L263,服务合同!$L$6:$CC$300,15,0)</f>
        <v>乙方提交主要设备清单20天内，支付25%</v>
      </c>
      <c r="AA263" s="102">
        <f>VLOOKUP(L263,服务合同!$L$6:$CC$300,16,0)</f>
        <v>750000</v>
      </c>
      <c r="AB263" s="102">
        <f>VLOOKUP(L263,服务合同!$L$6:$CC$300,17,0)</f>
        <v>0</v>
      </c>
      <c r="AC263" s="102">
        <f>VLOOKUP(L263,服务合同!$L$6:$CC$300,18,0)</f>
        <v>0</v>
      </c>
      <c r="AD263" s="102" t="str">
        <f>VLOOKUP(L263,服务合同!$L$6:$CC$300,19,0)</f>
        <v>乙方提供桩基图20天内，支付20%</v>
      </c>
      <c r="AE263" s="102">
        <f>VLOOKUP(L263,服务合同!$L$6:$CC$300,20,0)</f>
        <v>600000</v>
      </c>
      <c r="AF263" s="102">
        <f>VLOOKUP(L263,服务合同!$L$6:$CC$300,21,0)</f>
        <v>0</v>
      </c>
      <c r="AG263" s="102">
        <f>VLOOKUP(L263,服务合同!$L$6:$CC$300,22,0)</f>
        <v>0</v>
      </c>
      <c r="AH263" s="102" t="str">
        <f>VLOOKUP(L263,服务合同!$L$6:$CC$300,23,0)</f>
        <v>乙方提供全部详细设计文件存档后20天内，支付25%</v>
      </c>
      <c r="AI263" s="102">
        <f>VLOOKUP(L263,服务合同!$L$6:$CC$300,24,0)</f>
        <v>750000</v>
      </c>
      <c r="AJ263" s="102">
        <f>VLOOKUP(L263,服务合同!$L$6:$CC$300,25,0)</f>
        <v>0</v>
      </c>
      <c r="AK263" s="102">
        <f>VLOOKUP(L263,服务合同!$L$6:$CC$300,26,0)</f>
        <v>0</v>
      </c>
      <c r="AL263" s="102" t="str">
        <f>VLOOKUP(L263,服务合同!$L$6:$CC$300,27,0)</f>
        <v>开车成功，支付5%</v>
      </c>
      <c r="AM263" s="102">
        <f>VLOOKUP(L263,服务合同!$L$6:$CC$300,28,0)</f>
        <v>150000</v>
      </c>
      <c r="AN263" s="102">
        <f>VLOOKUP(L263,服务合同!$L$6:$CC$300,29,0)</f>
        <v>0</v>
      </c>
      <c r="AO263" s="102">
        <f>VLOOKUP(L263,服务合同!$L$6:$CC$300,30,0)</f>
        <v>0</v>
      </c>
      <c r="AP263" s="102">
        <f>VLOOKUP(L263,服务合同!$L$6:$CC$300,31,0)</f>
        <v>0</v>
      </c>
      <c r="AQ263" s="102">
        <f>VLOOKUP(L263,服务合同!$L$6:$CC$300,32,0)</f>
        <v>0</v>
      </c>
      <c r="AR263" s="102">
        <f>VLOOKUP(L263,服务合同!$L$6:$CC$300,33,0)</f>
        <v>0</v>
      </c>
      <c r="AS263" s="102">
        <f>VLOOKUP(L263,服务合同!$L$6:$CC$300,34,0)</f>
        <v>0</v>
      </c>
      <c r="AT263" s="102">
        <f>VLOOKUP(L263,服务合同!$L$6:$CC$300,35,0)</f>
        <v>0</v>
      </c>
      <c r="AU263" s="102">
        <f>VLOOKUP(L263,服务合同!$L$6:$CC$300,36,0)</f>
        <v>0</v>
      </c>
      <c r="AV263" s="102">
        <f>VLOOKUP(L263,服务合同!$L$6:$CC$300,37,0)</f>
        <v>0</v>
      </c>
      <c r="AW263" s="102">
        <f>VLOOKUP(L263,服务合同!$L$6:$CC$300,38,0)</f>
        <v>0</v>
      </c>
      <c r="AX263" s="102">
        <f>VLOOKUP(L263,服务合同!$L$6:$CC$300,39,0)</f>
        <v>0</v>
      </c>
      <c r="AY263" s="102">
        <f>VLOOKUP(L263,服务合同!$L$6:$CC$300,40,0)</f>
        <v>0</v>
      </c>
      <c r="AZ263" s="102">
        <f>VLOOKUP(L263,服务合同!$L$6:$CC$300,41,0)</f>
        <v>0</v>
      </c>
      <c r="BA263" s="102">
        <f>VLOOKUP(L263,服务合同!$L$6:$CC$300,42,0)</f>
        <v>0</v>
      </c>
      <c r="BB263" s="102">
        <f>VLOOKUP(L263,服务合同!$L$6:$CC$300,43,0)</f>
        <v>0</v>
      </c>
      <c r="BC263" s="102">
        <f>VLOOKUP(L263,服务合同!$L$6:$CC$300,44,0)</f>
        <v>0</v>
      </c>
      <c r="BD263" s="102">
        <f>VLOOKUP(L263,服务合同!$L$6:$CC$300,45,0)</f>
        <v>0</v>
      </c>
      <c r="BE263" s="102">
        <f>VLOOKUP(L263,服务合同!$L$6:$CC$300,46,0)</f>
        <v>0</v>
      </c>
      <c r="BF263" s="102">
        <f>VLOOKUP(L263,服务合同!$L$6:$CC$300,47,0)</f>
        <v>0</v>
      </c>
      <c r="BG263" s="102">
        <f>VLOOKUP(L263,服务合同!$L$6:$CC$300,48,0)</f>
        <v>0</v>
      </c>
      <c r="BH263" s="102">
        <f>VLOOKUP(L263,服务合同!$L$6:$CC$300,49,0)</f>
        <v>0</v>
      </c>
      <c r="BI263" s="102">
        <f>VLOOKUP(L263,服务合同!$L$6:$CC$300,50,0)</f>
        <v>0</v>
      </c>
      <c r="BJ263" s="102">
        <f>VLOOKUP(L263,服务合同!$L$6:$CC$300,51,0)</f>
        <v>0</v>
      </c>
      <c r="BK263" s="102">
        <f>VLOOKUP(L263,服务合同!$L$6:$CC$300,52,0)</f>
        <v>0</v>
      </c>
      <c r="BL263" s="102">
        <f>VLOOKUP(L263,服务合同!$L$6:$CC$300,53,0)</f>
        <v>0</v>
      </c>
      <c r="BM263" s="102">
        <f>VLOOKUP(L263,服务合同!$L$6:$CC$300,54,0)</f>
        <v>0</v>
      </c>
      <c r="BN263" s="102">
        <f>VLOOKUP(L263,服务合同!$L$6:$CC$300,55,0)</f>
        <v>0</v>
      </c>
      <c r="BO263" s="102">
        <f>VLOOKUP(L263,服务合同!$L$6:$CC$300,56,0)</f>
        <v>0</v>
      </c>
      <c r="BP263" s="102">
        <f>VLOOKUP(L263,服务合同!$L$6:$CC$300,57,0)</f>
        <v>0</v>
      </c>
      <c r="BQ263" s="102">
        <f>VLOOKUP(L263,服务合同!$L$6:$CC$300,58,0)</f>
        <v>0</v>
      </c>
      <c r="BR263" s="102">
        <f>VLOOKUP(L263,服务合同!$L$6:$CC$300,59,0)</f>
        <v>0</v>
      </c>
      <c r="BS263" s="102">
        <f>VLOOKUP(L263,服务合同!$L$6:$CC$300,60,0)</f>
        <v>0</v>
      </c>
      <c r="BT263" s="102">
        <f>VLOOKUP(L263,服务合同!$L$6:$CC$300,61,0)</f>
        <v>0</v>
      </c>
      <c r="BU263" s="102">
        <f>VLOOKUP(L263,服务合同!$L$6:$CC$300,62,0)</f>
        <v>0</v>
      </c>
      <c r="BV263" s="102">
        <f>VLOOKUP(L263,服务合同!$L$6:$CC$300,63,0)</f>
        <v>0</v>
      </c>
      <c r="BW263" s="102">
        <f>VLOOKUP(L263,服务合同!$L$6:$CC$300,64,0)</f>
        <v>0</v>
      </c>
      <c r="BX263" s="102">
        <f>VLOOKUP(L263,服务合同!$L$6:$CC$300,65,0)</f>
        <v>0</v>
      </c>
      <c r="BY263" s="102">
        <f>VLOOKUP(L263,服务合同!$L$6:$CC$300,66,0)</f>
        <v>0</v>
      </c>
      <c r="BZ263" s="102">
        <f>VLOOKUP(L263,服务合同!$L$6:$CC$300,67,0)</f>
        <v>0</v>
      </c>
      <c r="CA263" s="102">
        <f>VLOOKUP(L263,服务合同!$L$6:$CC$300,68,0)</f>
        <v>0</v>
      </c>
      <c r="CB263" s="102">
        <f>VLOOKUP(L263,服务合同!$L$6:$CC$300,69,0)</f>
        <v>0</v>
      </c>
      <c r="CC263" s="102">
        <f>VLOOKUP(L263,服务合同!$L$6:$CC$300,70,0)</f>
        <v>0</v>
      </c>
      <c r="CD263" s="123">
        <f t="shared" si="55"/>
        <v>3000000</v>
      </c>
      <c r="CE263" s="102">
        <f t="shared" si="56"/>
        <v>750000</v>
      </c>
      <c r="CF263" s="102">
        <f t="shared" si="57"/>
        <v>750000</v>
      </c>
      <c r="CG263" s="102">
        <f t="shared" si="58"/>
        <v>0</v>
      </c>
      <c r="CH263" s="124">
        <f t="shared" si="59"/>
        <v>2250000</v>
      </c>
      <c r="CI263" s="125">
        <f t="shared" si="60"/>
        <v>0.25</v>
      </c>
      <c r="CJ263" s="126" t="str">
        <f t="shared" si="61"/>
        <v>数据正确</v>
      </c>
    </row>
    <row r="264" s="60" customFormat="1" customHeight="1" spans="2:88">
      <c r="B264" s="70" t="str">
        <f t="shared" si="51"/>
        <v>-</v>
      </c>
      <c r="C264" s="71" t="str">
        <f t="shared" si="52"/>
        <v>-</v>
      </c>
      <c r="D264" s="181">
        <f t="shared" si="53"/>
        <v>4998335</v>
      </c>
      <c r="E264" s="181">
        <f>SUMIF(材料合同!$L$6:$L$305,L264,材料合同!$E$6:$E$305)</f>
        <v>0</v>
      </c>
      <c r="F264" s="181">
        <f>SUMIF(材料合同!$L$6:$L$305,L264,材料合同!$F$6:$F$305)</f>
        <v>0</v>
      </c>
      <c r="G264" s="181">
        <f>SUMIF(材料合同!$L$6:$L$305,L264,材料合同!$G$6:$G$305)</f>
        <v>0</v>
      </c>
      <c r="H264" s="181">
        <f>SUMIF(材料合同!$L$6:$L$305,L264,材料合同!$H$6:$H$305)</f>
        <v>0</v>
      </c>
      <c r="I264" s="181">
        <f t="shared" si="54"/>
        <v>0</v>
      </c>
      <c r="J264" s="86" t="s">
        <v>98</v>
      </c>
      <c r="K264" s="87"/>
      <c r="L264" s="88">
        <v>259</v>
      </c>
      <c r="M264" s="89" t="str">
        <f>VLOOKUP(L264,材料合同!$L$6:$CC$305,2,0)</f>
        <v>YRKJGC-170055</v>
      </c>
      <c r="N264" s="90" t="str">
        <f>VLOOKUP(L264,材料合同!$L$6:$CC$305,3,0)</f>
        <v>材料合同</v>
      </c>
      <c r="O264" s="265">
        <f>VLOOKUP(L264,材料合同!$L$6:$CC$305,4,0)</f>
        <v>2017090006</v>
      </c>
      <c r="P264" s="266">
        <f>VLOOKUP(L264,材料合同!$L$6:$CC$305,5,0)</f>
        <v>42989</v>
      </c>
      <c r="Q264" s="275">
        <f>VLOOKUP(L264,材料合同!$L$6:$CC$305,6,0)</f>
        <v>7472250.92</v>
      </c>
      <c r="R264" s="89" t="str">
        <f>VLOOKUP(L264,材料合同!$L$6:$CC$305,7,0)</f>
        <v>碳钢板材</v>
      </c>
      <c r="S264" s="89" t="str">
        <f>VLOOKUP(L264,材料合同!$L$6:$CC$305,8,0)</f>
        <v>福州乐之贸易有限公司</v>
      </c>
      <c r="T264" s="107">
        <f>VLOOKUP(L264,材料合同!$L$6:$CC$305,9,0)</f>
        <v>0</v>
      </c>
      <c r="U264" s="103" t="str">
        <f>VLOOKUP(L264,材料合同!$L$6:$CC$305,10,0)</f>
        <v>电汇</v>
      </c>
      <c r="V264" s="276" t="str">
        <f>VLOOKUP(L264,材料合同!$L$6:$CC$305,11,0)</f>
        <v>货到付款，累计100万以上支付</v>
      </c>
      <c r="W264" s="102">
        <f>VLOOKUP(L264,材料合同!$L$6:$CC$305,12,0)</f>
        <v>7472250.92</v>
      </c>
      <c r="X264" s="102">
        <f>VLOOKUP(L264,材料合同!$L$6:$CC$305,13,0)</f>
        <v>4998335</v>
      </c>
      <c r="Y264" s="102">
        <f>VLOOKUP(L264,材料合同!$L$6:$CC$305,14,0)</f>
        <v>4998335</v>
      </c>
      <c r="Z264" s="102">
        <f>VLOOKUP(L264,材料合同!$L$6:$CC$305,15,0)</f>
        <v>0</v>
      </c>
      <c r="AA264" s="102">
        <f>VLOOKUP(L264,材料合同!$L$6:$CC$305,16,0)</f>
        <v>0</v>
      </c>
      <c r="AB264" s="102">
        <f>VLOOKUP(L264,材料合同!$L$6:$CC$305,17,0)</f>
        <v>0</v>
      </c>
      <c r="AC264" s="102">
        <f>VLOOKUP(L264,材料合同!$L$6:$CC$305,18,0)</f>
        <v>0</v>
      </c>
      <c r="AD264" s="102">
        <f>VLOOKUP(L264,材料合同!$L$6:$CC$305,19,0)</f>
        <v>0</v>
      </c>
      <c r="AE264" s="102">
        <f>VLOOKUP(L264,材料合同!$L$6:$CC$305,20,0)</f>
        <v>0</v>
      </c>
      <c r="AF264" s="102">
        <f>VLOOKUP(L264,材料合同!$L$6:$CC$305,21,0)</f>
        <v>0</v>
      </c>
      <c r="AG264" s="102">
        <f>VLOOKUP(L264,材料合同!$L$6:$CC$305,22,0)</f>
        <v>0</v>
      </c>
      <c r="AH264" s="102">
        <f>VLOOKUP(L264,材料合同!$L$6:$CC$305,23,0)</f>
        <v>0</v>
      </c>
      <c r="AI264" s="102">
        <f>VLOOKUP(L264,材料合同!$L$6:$CC$305,24,0)</f>
        <v>0</v>
      </c>
      <c r="AJ264" s="102">
        <f>VLOOKUP(L264,材料合同!$L$6:$CC$305,25,0)</f>
        <v>0</v>
      </c>
      <c r="AK264" s="102">
        <f>VLOOKUP(L264,材料合同!$L$6:$CC$305,26,0)</f>
        <v>0</v>
      </c>
      <c r="AL264" s="102">
        <f>VLOOKUP(L264,材料合同!$L$6:$CC$305,27,0)</f>
        <v>0</v>
      </c>
      <c r="AM264" s="102">
        <f>VLOOKUP(L264,材料合同!$L$6:$CC$305,28,0)</f>
        <v>0</v>
      </c>
      <c r="AN264" s="102">
        <f>VLOOKUP(L264,材料合同!$L$6:$CC$305,29,0)</f>
        <v>0</v>
      </c>
      <c r="AO264" s="102">
        <f>VLOOKUP(L264,材料合同!$L$6:$CC$305,30,0)</f>
        <v>0</v>
      </c>
      <c r="AP264" s="102">
        <f>VLOOKUP(L264,材料合同!$L$6:$CC$305,31,0)</f>
        <v>0</v>
      </c>
      <c r="AQ264" s="102">
        <f>VLOOKUP(L264,材料合同!$L$6:$CC$305,32,0)</f>
        <v>0</v>
      </c>
      <c r="AR264" s="102">
        <f>VLOOKUP(L264,材料合同!$L$6:$CC$305,33,0)</f>
        <v>0</v>
      </c>
      <c r="AS264" s="102">
        <f>VLOOKUP(L264,材料合同!$L$6:$CC$305,34,0)</f>
        <v>0</v>
      </c>
      <c r="AT264" s="102">
        <f>VLOOKUP(L264,材料合同!$L$6:$CC$305,35,0)</f>
        <v>0</v>
      </c>
      <c r="AU264" s="102">
        <f>VLOOKUP(L264,材料合同!$L$6:$CC$305,36,0)</f>
        <v>0</v>
      </c>
      <c r="AV264" s="102">
        <f>VLOOKUP(L264,材料合同!$L$6:$CC$305,37,0)</f>
        <v>0</v>
      </c>
      <c r="AW264" s="102">
        <f>VLOOKUP(L264,材料合同!$L$6:$CC$305,38,0)</f>
        <v>0</v>
      </c>
      <c r="AX264" s="102">
        <f>VLOOKUP(L264,材料合同!$L$6:$CC$305,39,0)</f>
        <v>0</v>
      </c>
      <c r="AY264" s="102">
        <f>VLOOKUP(L264,材料合同!$L$6:$CC$305,40,0)</f>
        <v>0</v>
      </c>
      <c r="AZ264" s="102">
        <f>VLOOKUP(L264,材料合同!$L$6:$CC$305,41,0)</f>
        <v>0</v>
      </c>
      <c r="BA264" s="102">
        <f>VLOOKUP(L264,材料合同!$L$6:$CC$305,42,0)</f>
        <v>0</v>
      </c>
      <c r="BB264" s="102">
        <f>VLOOKUP(L264,材料合同!$L$6:$CC$305,43,0)</f>
        <v>0</v>
      </c>
      <c r="BC264" s="102">
        <f>VLOOKUP(L264,材料合同!$L$6:$CC$305,44,0)</f>
        <v>0</v>
      </c>
      <c r="BD264" s="102">
        <f>VLOOKUP(L264,材料合同!$L$6:$CC$305,45,0)</f>
        <v>0</v>
      </c>
      <c r="BE264" s="102">
        <f>VLOOKUP(L264,材料合同!$L$6:$CC$305,46,0)</f>
        <v>0</v>
      </c>
      <c r="BF264" s="102">
        <f>VLOOKUP(L264,材料合同!$L$6:$CC$305,47,0)</f>
        <v>0</v>
      </c>
      <c r="BG264" s="102">
        <f>VLOOKUP(L264,材料合同!$L$6:$CC$305,48,0)</f>
        <v>0</v>
      </c>
      <c r="BH264" s="102">
        <f>VLOOKUP(L264,材料合同!$L$6:$CC$305,49,0)</f>
        <v>0</v>
      </c>
      <c r="BI264" s="102">
        <f>VLOOKUP(L264,材料合同!$L$6:$CC$305,50,0)</f>
        <v>0</v>
      </c>
      <c r="BJ264" s="102">
        <f>VLOOKUP(L264,材料合同!$L$6:$CC$305,51,0)</f>
        <v>0</v>
      </c>
      <c r="BK264" s="102">
        <f>VLOOKUP(L264,材料合同!$L$6:$CC$305,52,0)</f>
        <v>0</v>
      </c>
      <c r="BL264" s="102">
        <f>VLOOKUP(L264,材料合同!$L$6:$CC$305,53,0)</f>
        <v>0</v>
      </c>
      <c r="BM264" s="102">
        <f>VLOOKUP(L264,材料合同!$L$6:$CC$305,54,0)</f>
        <v>0</v>
      </c>
      <c r="BN264" s="102">
        <f>VLOOKUP(L264,材料合同!$L$6:$CC$305,55,0)</f>
        <v>0</v>
      </c>
      <c r="BO264" s="102">
        <f>VLOOKUP(L264,材料合同!$L$6:$CC$305,56,0)</f>
        <v>0</v>
      </c>
      <c r="BP264" s="102">
        <f>VLOOKUP(L264,材料合同!$L$6:$CC$305,57,0)</f>
        <v>0</v>
      </c>
      <c r="BQ264" s="102">
        <f>VLOOKUP(L264,材料合同!$L$6:$CC$305,58,0)</f>
        <v>0</v>
      </c>
      <c r="BR264" s="102">
        <f>VLOOKUP(L264,材料合同!$L$6:$CC$305,59,0)</f>
        <v>0</v>
      </c>
      <c r="BS264" s="102">
        <f>VLOOKUP(L264,材料合同!$L$6:$CC$305,60,0)</f>
        <v>0</v>
      </c>
      <c r="BT264" s="102">
        <f>VLOOKUP(L264,材料合同!$L$6:$CC$305,61,0)</f>
        <v>0</v>
      </c>
      <c r="BU264" s="102">
        <f>VLOOKUP(L264,材料合同!$L$6:$CC$305,62,0)</f>
        <v>0</v>
      </c>
      <c r="BV264" s="102">
        <f>VLOOKUP(L264,材料合同!$L$6:$CC$305,63,0)</f>
        <v>0</v>
      </c>
      <c r="BW264" s="102">
        <f>VLOOKUP(L264,材料合同!$L$6:$CC$305,64,0)</f>
        <v>0</v>
      </c>
      <c r="BX264" s="102">
        <f>VLOOKUP(L264,材料合同!$L$6:$CC$305,65,0)</f>
        <v>0</v>
      </c>
      <c r="BY264" s="102">
        <f>VLOOKUP(L264,材料合同!$L$6:$CC$305,66,0)</f>
        <v>0</v>
      </c>
      <c r="BZ264" s="102">
        <f>VLOOKUP(L264,材料合同!$L$6:$CC$305,67,0)</f>
        <v>0</v>
      </c>
      <c r="CA264" s="102">
        <f>VLOOKUP(L264,材料合同!$L$6:$CC$305,68,0)</f>
        <v>0</v>
      </c>
      <c r="CB264" s="102">
        <f>VLOOKUP(L264,材料合同!$L$6:$CC$305,69,0)</f>
        <v>0</v>
      </c>
      <c r="CC264" s="102">
        <f>VLOOKUP(L264,材料合同!$L$6:$CC$305,70,0)</f>
        <v>0</v>
      </c>
      <c r="CD264" s="123">
        <f t="shared" si="55"/>
        <v>7472250.92</v>
      </c>
      <c r="CE264" s="102">
        <f t="shared" si="56"/>
        <v>4998335</v>
      </c>
      <c r="CF264" s="102">
        <f t="shared" si="57"/>
        <v>4998335</v>
      </c>
      <c r="CG264" s="102">
        <f t="shared" si="58"/>
        <v>0</v>
      </c>
      <c r="CH264" s="124">
        <f t="shared" si="59"/>
        <v>2473915.92</v>
      </c>
      <c r="CI264" s="125">
        <f t="shared" si="60"/>
        <v>0.668919587084744</v>
      </c>
      <c r="CJ264" s="126" t="str">
        <f t="shared" si="61"/>
        <v>数据正确</v>
      </c>
    </row>
    <row r="265" s="60" customFormat="1" customHeight="1" spans="2:88">
      <c r="B265" s="70" t="str">
        <f t="shared" si="51"/>
        <v>-</v>
      </c>
      <c r="C265" s="71" t="str">
        <f t="shared" si="52"/>
        <v>-</v>
      </c>
      <c r="D265" s="181">
        <f t="shared" si="53"/>
        <v>0</v>
      </c>
      <c r="E265" s="181">
        <f>SUMIF(设备合同!$L$6:$L$302,L265,设备合同!$E$6:$E$302)</f>
        <v>0</v>
      </c>
      <c r="F265" s="181">
        <f>SUMIF(设备合同!$L$6:$L$302,L265,设备合同!$F$6:$F$302)</f>
        <v>0</v>
      </c>
      <c r="G265" s="181">
        <f>SUMIF(设备合同!$L$6:$L$302,L265,设备合同!$G$6:$G$302)</f>
        <v>0</v>
      </c>
      <c r="H265" s="181">
        <f>SUMIF(设备合同!$L$6:$L$302,L265,设备合同!$H$6:$H$302)</f>
        <v>0</v>
      </c>
      <c r="I265" s="181">
        <f t="shared" si="54"/>
        <v>0</v>
      </c>
      <c r="J265" s="86" t="s">
        <v>98</v>
      </c>
      <c r="K265" s="87"/>
      <c r="L265" s="88">
        <v>260</v>
      </c>
      <c r="M265" s="89" t="str">
        <f>VLOOKUP(L265,设备合同!$L$6:$CC$302,2,0)</f>
        <v>YRKJRM-170002</v>
      </c>
      <c r="N265" s="90" t="str">
        <f>VLOOKUP(L265,设备合同!$L$6:$CC$302,3,0)</f>
        <v>设备合同</v>
      </c>
      <c r="O265" s="265">
        <f>VLOOKUP(L265,设备合同!$L$6:$CC$302,4,0)</f>
        <v>2017080073</v>
      </c>
      <c r="P265" s="266">
        <f>VLOOKUP(L265,设备合同!$L$6:$CC$302,5,0)</f>
        <v>43005</v>
      </c>
      <c r="Q265" s="275">
        <f>VLOOKUP(L265,设备合同!$L$6:$CC$302,6,0)</f>
        <v>3680000</v>
      </c>
      <c r="R265" s="89" t="str">
        <f>VLOOKUP(L265,设备合同!$L$6:$CC$302,7,0)</f>
        <v>己内酰胺装置精制加氢催化剂  合同未移交</v>
      </c>
      <c r="S265" s="89" t="str">
        <f>VLOOKUP(L265,设备合同!$L$6:$CC$302,8,0)</f>
        <v>上海烜高化工科技有限公司</v>
      </c>
      <c r="T265" s="107" t="str">
        <f>VLOOKUP(L265,设备合同!$L$6:$CC$302,9,0)</f>
        <v>己内酰胺装置</v>
      </c>
      <c r="U265" s="103" t="str">
        <f>VLOOKUP(L265,设备合同!$L$6:$CC$302,10,0)</f>
        <v>6个月承兑汇票/电汇按360万元结算</v>
      </c>
      <c r="V265" s="276" t="str">
        <f>VLOOKUP(L265,设备合同!$L$6:$CC$302,11,0)</f>
        <v>甲方15个工作日支付30%预付款  10%履约保函</v>
      </c>
      <c r="W265" s="102">
        <f>VLOOKUP(L265,设备合同!$L$6:$CC$302,12,0)</f>
        <v>1104000</v>
      </c>
      <c r="X265" s="102">
        <f>VLOOKUP(L265,设备合同!$L$6:$CC$302,13,0)</f>
        <v>0</v>
      </c>
      <c r="Y265" s="102">
        <f>VLOOKUP(L265,设备合同!$L$6:$CC$302,14,0)</f>
        <v>0</v>
      </c>
      <c r="Z265" s="102" t="str">
        <f>VLOOKUP(L265,设备合同!$L$6:$CC$302,15,0)</f>
        <v>甲方到乙方现场确认无误后，收到17%等额专票，15个工作日内支付50%发货款</v>
      </c>
      <c r="AA265" s="102">
        <f>VLOOKUP(L265,设备合同!$L$6:$CC$302,16,0)</f>
        <v>1840000</v>
      </c>
      <c r="AB265" s="102">
        <f>VLOOKUP(L265,设备合同!$L$6:$CC$302,17,0)</f>
        <v>0</v>
      </c>
      <c r="AC265" s="102">
        <f>VLOOKUP(L265,设备合同!$L$6:$CC$302,18,0)</f>
        <v>0</v>
      </c>
      <c r="AD265" s="102" t="str">
        <f>VLOOKUP(L265,设备合同!$L$6:$CC$302,19,0)</f>
        <v>甲方核定的调试合格报告及足额的发票后付15%的验收款</v>
      </c>
      <c r="AE265" s="102">
        <f>VLOOKUP(L265,设备合同!$L$6:$CC$302,20,0)</f>
        <v>552000</v>
      </c>
      <c r="AF265" s="102">
        <f>VLOOKUP(L265,设备合同!$L$6:$CC$302,21,0)</f>
        <v>0</v>
      </c>
      <c r="AG265" s="102">
        <f>VLOOKUP(L265,设备合同!$L$6:$CC$302,22,0)</f>
        <v>0</v>
      </c>
      <c r="AH265" s="102" t="str">
        <f>VLOOKUP(L265,设备合同!$L$6:$CC$302,23,0)</f>
        <v>5%质保金，验收合格12个月或到货现场18个月 承兑</v>
      </c>
      <c r="AI265" s="102">
        <f>VLOOKUP(L265,设备合同!$L$6:$CC$302,24,0)</f>
        <v>184000</v>
      </c>
      <c r="AJ265" s="102">
        <f>VLOOKUP(L265,设备合同!$L$6:$CC$302,25,0)</f>
        <v>0</v>
      </c>
      <c r="AK265" s="102">
        <f>VLOOKUP(L265,设备合同!$L$6:$CC$302,26,0)</f>
        <v>0</v>
      </c>
      <c r="AL265" s="102">
        <f>VLOOKUP(L265,设备合同!$L$6:$CC$302,27,0)</f>
        <v>0</v>
      </c>
      <c r="AM265" s="102">
        <f>VLOOKUP(L265,设备合同!$L$6:$CC$302,28,0)</f>
        <v>0</v>
      </c>
      <c r="AN265" s="102">
        <f>VLOOKUP(L265,设备合同!$L$6:$CC$302,29,0)</f>
        <v>0</v>
      </c>
      <c r="AO265" s="102">
        <f>VLOOKUP(L265,设备合同!$L$6:$CC$302,30,0)</f>
        <v>0</v>
      </c>
      <c r="AP265" s="102">
        <f>VLOOKUP(L265,设备合同!$L$6:$CC$302,31,0)</f>
        <v>0</v>
      </c>
      <c r="AQ265" s="102">
        <f>VLOOKUP(L265,设备合同!$L$6:$CC$302,32,0)</f>
        <v>0</v>
      </c>
      <c r="AR265" s="102">
        <f>VLOOKUP(L265,设备合同!$L$6:$CC$302,33,0)</f>
        <v>0</v>
      </c>
      <c r="AS265" s="102">
        <f>VLOOKUP(L265,设备合同!$L$6:$CC$302,34,0)</f>
        <v>0</v>
      </c>
      <c r="AT265" s="102">
        <f>VLOOKUP(L265,设备合同!$L$6:$CC$302,35,0)</f>
        <v>0</v>
      </c>
      <c r="AU265" s="102">
        <f>VLOOKUP(L265,设备合同!$L$6:$CC$302,36,0)</f>
        <v>0</v>
      </c>
      <c r="AV265" s="102">
        <f>VLOOKUP(L265,设备合同!$L$6:$CC$302,37,0)</f>
        <v>0</v>
      </c>
      <c r="AW265" s="102">
        <f>VLOOKUP(L265,设备合同!$L$6:$CC$302,38,0)</f>
        <v>0</v>
      </c>
      <c r="AX265" s="102">
        <f>VLOOKUP(L265,设备合同!$L$6:$CC$302,39,0)</f>
        <v>0</v>
      </c>
      <c r="AY265" s="102">
        <f>VLOOKUP(L265,设备合同!$L$6:$CC$302,40,0)</f>
        <v>0</v>
      </c>
      <c r="AZ265" s="102">
        <f>VLOOKUP(L265,设备合同!$L$6:$CC$302,41,0)</f>
        <v>0</v>
      </c>
      <c r="BA265" s="102">
        <f>VLOOKUP(L265,设备合同!$L$6:$CC$302,42,0)</f>
        <v>0</v>
      </c>
      <c r="BB265" s="102">
        <f>VLOOKUP(L265,设备合同!$L$6:$CC$302,43,0)</f>
        <v>0</v>
      </c>
      <c r="BC265" s="102">
        <f>VLOOKUP(L265,设备合同!$L$6:$CC$302,44,0)</f>
        <v>0</v>
      </c>
      <c r="BD265" s="102">
        <f>VLOOKUP(L265,设备合同!$L$6:$CC$302,45,0)</f>
        <v>0</v>
      </c>
      <c r="BE265" s="102">
        <f>VLOOKUP(L265,设备合同!$L$6:$CC$302,46,0)</f>
        <v>0</v>
      </c>
      <c r="BF265" s="102">
        <f>VLOOKUP(L265,设备合同!$L$6:$CC$302,47,0)</f>
        <v>0</v>
      </c>
      <c r="BG265" s="102">
        <f>VLOOKUP(L265,设备合同!$L$6:$CC$302,48,0)</f>
        <v>0</v>
      </c>
      <c r="BH265" s="102">
        <f>VLOOKUP(L265,设备合同!$L$6:$CC$302,49,0)</f>
        <v>0</v>
      </c>
      <c r="BI265" s="102">
        <f>VLOOKUP(L265,设备合同!$L$6:$CC$302,50,0)</f>
        <v>0</v>
      </c>
      <c r="BJ265" s="102">
        <f>VLOOKUP(L265,设备合同!$L$6:$CC$302,51,0)</f>
        <v>0</v>
      </c>
      <c r="BK265" s="102">
        <f>VLOOKUP(L265,设备合同!$L$6:$CC$302,52,0)</f>
        <v>0</v>
      </c>
      <c r="BL265" s="102">
        <f>VLOOKUP(L265,设备合同!$L$6:$CC$302,53,0)</f>
        <v>0</v>
      </c>
      <c r="BM265" s="102">
        <f>VLOOKUP(L265,设备合同!$L$6:$CC$302,54,0)</f>
        <v>0</v>
      </c>
      <c r="BN265" s="102">
        <f>VLOOKUP(L265,设备合同!$L$6:$CC$302,55,0)</f>
        <v>0</v>
      </c>
      <c r="BO265" s="102">
        <f>VLOOKUP(L265,设备合同!$L$6:$CC$302,56,0)</f>
        <v>0</v>
      </c>
      <c r="BP265" s="102">
        <f>VLOOKUP(L265,设备合同!$L$6:$CC$302,57,0)</f>
        <v>0</v>
      </c>
      <c r="BQ265" s="102">
        <f>VLOOKUP(L265,设备合同!$L$6:$CC$302,58,0)</f>
        <v>0</v>
      </c>
      <c r="BR265" s="102">
        <f>VLOOKUP(L265,设备合同!$L$6:$CC$302,59,0)</f>
        <v>0</v>
      </c>
      <c r="BS265" s="102">
        <f>VLOOKUP(L265,设备合同!$L$6:$CC$302,60,0)</f>
        <v>0</v>
      </c>
      <c r="BT265" s="102">
        <f>VLOOKUP(L265,设备合同!$L$6:$CC$302,61,0)</f>
        <v>0</v>
      </c>
      <c r="BU265" s="102">
        <f>VLOOKUP(L265,设备合同!$L$6:$CC$302,62,0)</f>
        <v>0</v>
      </c>
      <c r="BV265" s="102">
        <f>VLOOKUP(L265,设备合同!$L$6:$CC$302,63,0)</f>
        <v>0</v>
      </c>
      <c r="BW265" s="102">
        <f>VLOOKUP(L265,设备合同!$L$6:$CC$302,64,0)</f>
        <v>0</v>
      </c>
      <c r="BX265" s="102">
        <f>VLOOKUP(L265,设备合同!$L$6:$CC$302,65,0)</f>
        <v>0</v>
      </c>
      <c r="BY265" s="102">
        <f>VLOOKUP(L265,设备合同!$L$6:$CC$302,66,0)</f>
        <v>0</v>
      </c>
      <c r="BZ265" s="102">
        <f>VLOOKUP(L265,设备合同!$L$6:$CC$302,67,0)</f>
        <v>0</v>
      </c>
      <c r="CA265" s="102">
        <f>VLOOKUP(L265,设备合同!$L$6:$CC$302,68,0)</f>
        <v>0</v>
      </c>
      <c r="CB265" s="102">
        <f>VLOOKUP(L265,设备合同!$L$6:$CC$302,69,0)</f>
        <v>0</v>
      </c>
      <c r="CC265" s="102">
        <f>VLOOKUP(L265,设备合同!$L$6:$CC$302,70,0)</f>
        <v>0</v>
      </c>
      <c r="CD265" s="123">
        <f t="shared" si="55"/>
        <v>3680000</v>
      </c>
      <c r="CE265" s="102">
        <f t="shared" si="56"/>
        <v>0</v>
      </c>
      <c r="CF265" s="102">
        <f t="shared" si="57"/>
        <v>0</v>
      </c>
      <c r="CG265" s="102">
        <f t="shared" si="58"/>
        <v>0</v>
      </c>
      <c r="CH265" s="124">
        <f t="shared" si="59"/>
        <v>3680000</v>
      </c>
      <c r="CI265" s="125">
        <f t="shared" si="60"/>
        <v>0</v>
      </c>
      <c r="CJ265" s="126" t="str">
        <f t="shared" si="61"/>
        <v>数据正确</v>
      </c>
    </row>
    <row r="266" s="60" customFormat="1" customHeight="1" spans="2:88">
      <c r="B266" s="70" t="str">
        <f t="shared" si="51"/>
        <v>-</v>
      </c>
      <c r="C266" s="71" t="str">
        <f t="shared" si="52"/>
        <v>已付清</v>
      </c>
      <c r="D266" s="181">
        <f t="shared" si="53"/>
        <v>16000</v>
      </c>
      <c r="E266" s="181">
        <f>SUMIF(服务合同!$L$6:$L$300,L266,服务合同!$E$6:$E$300)</f>
        <v>0</v>
      </c>
      <c r="F266" s="181">
        <f>SUMIF(服务合同!$L$6:$L$300,L266,服务合同!$F$6:$F$300)</f>
        <v>0</v>
      </c>
      <c r="G266" s="181">
        <f>SUMIF(服务合同!$L$6:$L$300,L266,服务合同!$G$6:$G$300)</f>
        <v>0</v>
      </c>
      <c r="H266" s="181">
        <f>SUMIF(服务合同!$L$6:$L$300,L266,服务合同!$H$6:$H$300)</f>
        <v>0</v>
      </c>
      <c r="I266" s="181">
        <f t="shared" si="54"/>
        <v>0</v>
      </c>
      <c r="J266" s="86" t="s">
        <v>98</v>
      </c>
      <c r="K266" s="87"/>
      <c r="L266" s="88">
        <v>261</v>
      </c>
      <c r="M266" s="89" t="str">
        <f>VLOOKUP(L266,服务合同!$L$6:$CC$300,2,0)</f>
        <v>YRKJXZ-170041</v>
      </c>
      <c r="N266" s="90" t="str">
        <f>VLOOKUP(L266,服务合同!$L$6:$CC$300,3,0)</f>
        <v>服务合同</v>
      </c>
      <c r="O266" s="265">
        <f>VLOOKUP(L266,服务合同!$L$6:$CC$300,4,0)</f>
        <v>2017100002</v>
      </c>
      <c r="P266" s="266">
        <f>VLOOKUP(L266,服务合同!$L$6:$CC$300,5,0)</f>
        <v>43006</v>
      </c>
      <c r="Q266" s="275">
        <f>VLOOKUP(L266,服务合同!$L$6:$CC$300,6,0)</f>
        <v>16000</v>
      </c>
      <c r="R266" s="89" t="str">
        <f>VLOOKUP(L266,服务合同!$L$6:$CC$300,7,0)</f>
        <v>工程清单计价软件</v>
      </c>
      <c r="S266" s="89" t="str">
        <f>VLOOKUP(L266,服务合同!$L$6:$CC$300,8,0)</f>
        <v>深圳市斯维尔科技股份有限公司</v>
      </c>
      <c r="T266" s="107">
        <f>VLOOKUP(L266,服务合同!$L$6:$CC$300,9,0)</f>
        <v>0</v>
      </c>
      <c r="U266" s="103" t="str">
        <f>VLOOKUP(L266,服务合同!$L$6:$CC$300,10,0)</f>
        <v>电汇</v>
      </c>
      <c r="V266" s="276" t="str">
        <f>VLOOKUP(L266,服务合同!$L$6:$CC$300,11,0)</f>
        <v>收到发票后5个工作日支付全款</v>
      </c>
      <c r="W266" s="102">
        <f>VLOOKUP(L266,服务合同!$L$6:$CC$300,12,0)</f>
        <v>16000</v>
      </c>
      <c r="X266" s="102">
        <f>VLOOKUP(L266,服务合同!$L$6:$CC$300,13,0)</f>
        <v>16000</v>
      </c>
      <c r="Y266" s="102">
        <f>VLOOKUP(L266,服务合同!$L$6:$CC$300,14,0)</f>
        <v>16000</v>
      </c>
      <c r="Z266" s="102">
        <f>VLOOKUP(L266,服务合同!$L$6:$CC$300,15,0)</f>
        <v>0</v>
      </c>
      <c r="AA266" s="102">
        <f>VLOOKUP(L266,服务合同!$L$6:$CC$300,16,0)</f>
        <v>0</v>
      </c>
      <c r="AB266" s="102">
        <f>VLOOKUP(L266,服务合同!$L$6:$CC$300,17,0)</f>
        <v>0</v>
      </c>
      <c r="AC266" s="102">
        <f>VLOOKUP(L266,服务合同!$L$6:$CC$300,18,0)</f>
        <v>0</v>
      </c>
      <c r="AD266" s="102">
        <f>VLOOKUP(L266,服务合同!$L$6:$CC$300,19,0)</f>
        <v>0</v>
      </c>
      <c r="AE266" s="102">
        <f>VLOOKUP(L266,服务合同!$L$6:$CC$300,20,0)</f>
        <v>0</v>
      </c>
      <c r="AF266" s="102">
        <f>VLOOKUP(L266,服务合同!$L$6:$CC$300,21,0)</f>
        <v>0</v>
      </c>
      <c r="AG266" s="102">
        <f>VLOOKUP(L266,服务合同!$L$6:$CC$300,22,0)</f>
        <v>0</v>
      </c>
      <c r="AH266" s="102">
        <f>VLOOKUP(L266,服务合同!$L$6:$CC$300,23,0)</f>
        <v>0</v>
      </c>
      <c r="AI266" s="102">
        <f>VLOOKUP(L266,服务合同!$L$6:$CC$300,24,0)</f>
        <v>0</v>
      </c>
      <c r="AJ266" s="102">
        <f>VLOOKUP(L266,服务合同!$L$6:$CC$300,25,0)</f>
        <v>0</v>
      </c>
      <c r="AK266" s="102">
        <f>VLOOKUP(L266,服务合同!$L$6:$CC$300,26,0)</f>
        <v>0</v>
      </c>
      <c r="AL266" s="102">
        <f>VLOOKUP(L266,服务合同!$L$6:$CC$300,27,0)</f>
        <v>0</v>
      </c>
      <c r="AM266" s="102">
        <f>VLOOKUP(L266,服务合同!$L$6:$CC$300,28,0)</f>
        <v>0</v>
      </c>
      <c r="AN266" s="102">
        <f>VLOOKUP(L266,服务合同!$L$6:$CC$300,29,0)</f>
        <v>0</v>
      </c>
      <c r="AO266" s="102">
        <f>VLOOKUP(L266,服务合同!$L$6:$CC$300,30,0)</f>
        <v>0</v>
      </c>
      <c r="AP266" s="102">
        <f>VLOOKUP(L266,服务合同!$L$6:$CC$300,31,0)</f>
        <v>0</v>
      </c>
      <c r="AQ266" s="102">
        <f>VLOOKUP(L266,服务合同!$L$6:$CC$300,32,0)</f>
        <v>0</v>
      </c>
      <c r="AR266" s="102">
        <f>VLOOKUP(L266,服务合同!$L$6:$CC$300,33,0)</f>
        <v>0</v>
      </c>
      <c r="AS266" s="102">
        <f>VLOOKUP(L266,服务合同!$L$6:$CC$300,34,0)</f>
        <v>0</v>
      </c>
      <c r="AT266" s="102">
        <f>VLOOKUP(L266,服务合同!$L$6:$CC$300,35,0)</f>
        <v>0</v>
      </c>
      <c r="AU266" s="102">
        <f>VLOOKUP(L266,服务合同!$L$6:$CC$300,36,0)</f>
        <v>0</v>
      </c>
      <c r="AV266" s="102">
        <f>VLOOKUP(L266,服务合同!$L$6:$CC$300,37,0)</f>
        <v>0</v>
      </c>
      <c r="AW266" s="102">
        <f>VLOOKUP(L266,服务合同!$L$6:$CC$300,38,0)</f>
        <v>0</v>
      </c>
      <c r="AX266" s="102">
        <f>VLOOKUP(L266,服务合同!$L$6:$CC$300,39,0)</f>
        <v>0</v>
      </c>
      <c r="AY266" s="102">
        <f>VLOOKUP(L266,服务合同!$L$6:$CC$300,40,0)</f>
        <v>0</v>
      </c>
      <c r="AZ266" s="102">
        <f>VLOOKUP(L266,服务合同!$L$6:$CC$300,41,0)</f>
        <v>0</v>
      </c>
      <c r="BA266" s="102">
        <f>VLOOKUP(L266,服务合同!$L$6:$CC$300,42,0)</f>
        <v>0</v>
      </c>
      <c r="BB266" s="102">
        <f>VLOOKUP(L266,服务合同!$L$6:$CC$300,43,0)</f>
        <v>0</v>
      </c>
      <c r="BC266" s="102">
        <f>VLOOKUP(L266,服务合同!$L$6:$CC$300,44,0)</f>
        <v>0</v>
      </c>
      <c r="BD266" s="102">
        <f>VLOOKUP(L266,服务合同!$L$6:$CC$300,45,0)</f>
        <v>0</v>
      </c>
      <c r="BE266" s="102">
        <f>VLOOKUP(L266,服务合同!$L$6:$CC$300,46,0)</f>
        <v>0</v>
      </c>
      <c r="BF266" s="102">
        <f>VLOOKUP(L266,服务合同!$L$6:$CC$300,47,0)</f>
        <v>0</v>
      </c>
      <c r="BG266" s="102">
        <f>VLOOKUP(L266,服务合同!$L$6:$CC$300,48,0)</f>
        <v>0</v>
      </c>
      <c r="BH266" s="102">
        <f>VLOOKUP(L266,服务合同!$L$6:$CC$300,49,0)</f>
        <v>0</v>
      </c>
      <c r="BI266" s="102">
        <f>VLOOKUP(L266,服务合同!$L$6:$CC$300,50,0)</f>
        <v>0</v>
      </c>
      <c r="BJ266" s="102">
        <f>VLOOKUP(L266,服务合同!$L$6:$CC$300,51,0)</f>
        <v>0</v>
      </c>
      <c r="BK266" s="102">
        <f>VLOOKUP(L266,服务合同!$L$6:$CC$300,52,0)</f>
        <v>0</v>
      </c>
      <c r="BL266" s="102">
        <f>VLOOKUP(L266,服务合同!$L$6:$CC$300,53,0)</f>
        <v>0</v>
      </c>
      <c r="BM266" s="102">
        <f>VLOOKUP(L266,服务合同!$L$6:$CC$300,54,0)</f>
        <v>0</v>
      </c>
      <c r="BN266" s="102">
        <f>VLOOKUP(L266,服务合同!$L$6:$CC$300,55,0)</f>
        <v>0</v>
      </c>
      <c r="BO266" s="102">
        <f>VLOOKUP(L266,服务合同!$L$6:$CC$300,56,0)</f>
        <v>0</v>
      </c>
      <c r="BP266" s="102">
        <f>VLOOKUP(L266,服务合同!$L$6:$CC$300,57,0)</f>
        <v>0</v>
      </c>
      <c r="BQ266" s="102">
        <f>VLOOKUP(L266,服务合同!$L$6:$CC$300,58,0)</f>
        <v>0</v>
      </c>
      <c r="BR266" s="102">
        <f>VLOOKUP(L266,服务合同!$L$6:$CC$300,59,0)</f>
        <v>0</v>
      </c>
      <c r="BS266" s="102">
        <f>VLOOKUP(L266,服务合同!$L$6:$CC$300,60,0)</f>
        <v>0</v>
      </c>
      <c r="BT266" s="102">
        <f>VLOOKUP(L266,服务合同!$L$6:$CC$300,61,0)</f>
        <v>0</v>
      </c>
      <c r="BU266" s="102">
        <f>VLOOKUP(L266,服务合同!$L$6:$CC$300,62,0)</f>
        <v>0</v>
      </c>
      <c r="BV266" s="102">
        <f>VLOOKUP(L266,服务合同!$L$6:$CC$300,63,0)</f>
        <v>0</v>
      </c>
      <c r="BW266" s="102">
        <f>VLOOKUP(L266,服务合同!$L$6:$CC$300,64,0)</f>
        <v>0</v>
      </c>
      <c r="BX266" s="102">
        <f>VLOOKUP(L266,服务合同!$L$6:$CC$300,65,0)</f>
        <v>0</v>
      </c>
      <c r="BY266" s="102">
        <f>VLOOKUP(L266,服务合同!$L$6:$CC$300,66,0)</f>
        <v>0</v>
      </c>
      <c r="BZ266" s="102">
        <f>VLOOKUP(L266,服务合同!$L$6:$CC$300,67,0)</f>
        <v>0</v>
      </c>
      <c r="CA266" s="102">
        <f>VLOOKUP(L266,服务合同!$L$6:$CC$300,68,0)</f>
        <v>0</v>
      </c>
      <c r="CB266" s="102">
        <f>VLOOKUP(L266,服务合同!$L$6:$CC$300,69,0)</f>
        <v>0</v>
      </c>
      <c r="CC266" s="102">
        <f>VLOOKUP(L266,服务合同!$L$6:$CC$300,70,0)</f>
        <v>0</v>
      </c>
      <c r="CD266" s="123">
        <f t="shared" si="55"/>
        <v>16000</v>
      </c>
      <c r="CE266" s="102">
        <f t="shared" si="56"/>
        <v>16000</v>
      </c>
      <c r="CF266" s="102">
        <f t="shared" si="57"/>
        <v>16000</v>
      </c>
      <c r="CG266" s="102">
        <f t="shared" si="58"/>
        <v>0</v>
      </c>
      <c r="CH266" s="124">
        <f t="shared" si="59"/>
        <v>0</v>
      </c>
      <c r="CI266" s="125">
        <f t="shared" si="60"/>
        <v>1</v>
      </c>
      <c r="CJ266" s="126" t="str">
        <f t="shared" si="61"/>
        <v>数据正确</v>
      </c>
    </row>
    <row r="267" s="60" customFormat="1" customHeight="1" spans="2:88">
      <c r="B267" s="70" t="str">
        <f t="shared" si="51"/>
        <v>-</v>
      </c>
      <c r="C267" s="71" t="str">
        <f t="shared" si="52"/>
        <v>-</v>
      </c>
      <c r="D267" s="181">
        <f t="shared" si="53"/>
        <v>0</v>
      </c>
      <c r="E267" s="181">
        <f>SUMIF(行政合同!$L$6:$L$300,L267,行政合同!$E$6:$E$300)</f>
        <v>0</v>
      </c>
      <c r="F267" s="181">
        <f>SUMIF(行政合同!$L$6:$L$300,L267,行政合同!$F$6:$F$300)</f>
        <v>0</v>
      </c>
      <c r="G267" s="181">
        <f>SUMIF(行政合同!$L$6:$L$300,L267,行政合同!$G$6:$G$300)</f>
        <v>0</v>
      </c>
      <c r="H267" s="181">
        <f>SUMIF(行政合同!$L$6:$L$300,L267,行政合同!$H$6:$H$300)</f>
        <v>0</v>
      </c>
      <c r="I267" s="181">
        <f t="shared" si="54"/>
        <v>0</v>
      </c>
      <c r="J267" s="86" t="s">
        <v>98</v>
      </c>
      <c r="K267" s="87"/>
      <c r="L267" s="88">
        <v>262</v>
      </c>
      <c r="M267" s="89" t="str">
        <f>VLOOKUP(L267,行政合同!$L$6:$CC$300,2,0)</f>
        <v>YRKJXZ-170034</v>
      </c>
      <c r="N267" s="90" t="str">
        <f>VLOOKUP(L267,行政合同!$L$6:$CC$300,3,0)</f>
        <v>行政合同</v>
      </c>
      <c r="O267" s="265" t="str">
        <f>VLOOKUP(L267,行政合同!$L$6:$CC$300,4,0)</f>
        <v>-</v>
      </c>
      <c r="P267" s="266">
        <f>VLOOKUP(L267,行政合同!$L$6:$CC$300,5,0)</f>
        <v>42993</v>
      </c>
      <c r="Q267" s="275">
        <f>VLOOKUP(L267,行政合同!$L$6:$CC$300,6,0)</f>
        <v>97520</v>
      </c>
      <c r="R267" s="89" t="str">
        <f>VLOOKUP(L267,行政合同!$L$6:$CC$300,7,0)</f>
        <v>电视机92台</v>
      </c>
      <c r="S267" s="89" t="str">
        <f>VLOOKUP(L267,行政合同!$L$6:$CC$300,8,0)</f>
        <v>福建广电网络集团有限公司莆田分公司</v>
      </c>
      <c r="T267" s="107">
        <f>VLOOKUP(L267,行政合同!$L$6:$CC$300,9,0)</f>
        <v>0</v>
      </c>
      <c r="U267" s="103" t="str">
        <f>VLOOKUP(L267,行政合同!$L$6:$CC$300,10,0)</f>
        <v>6个月承兑汇票/电汇无说明</v>
      </c>
      <c r="V267" s="276" t="str">
        <f>VLOOKUP(L267,行政合同!$L$6:$CC$300,11,0)</f>
        <v>货到验收合格收到全额发票后支付90%</v>
      </c>
      <c r="W267" s="102">
        <f>VLOOKUP(L267,行政合同!$L$6:$CC$300,12,0)</f>
        <v>87768</v>
      </c>
      <c r="X267" s="102">
        <f>VLOOKUP(L267,行政合同!$L$6:$CC$300,13,0)</f>
        <v>0</v>
      </c>
      <c r="Y267" s="102">
        <f>VLOOKUP(L267,行政合同!$L$6:$CC$300,14,0)</f>
        <v>0</v>
      </c>
      <c r="Z267" s="102" t="str">
        <f>VLOOKUP(L267,行政合同!$L$6:$CC$300,15,0)</f>
        <v>10%质量保证金，验收合格后12个月支付</v>
      </c>
      <c r="AA267" s="102">
        <f>VLOOKUP(L267,行政合同!$L$6:$CC$300,16,0)</f>
        <v>9752</v>
      </c>
      <c r="AB267" s="102">
        <f>VLOOKUP(L267,行政合同!$L$6:$CC$300,17,0)</f>
        <v>0</v>
      </c>
      <c r="AC267" s="102">
        <f>VLOOKUP(L267,行政合同!$L$6:$CC$300,18,0)</f>
        <v>0</v>
      </c>
      <c r="AD267" s="102">
        <f>VLOOKUP(L267,行政合同!$L$6:$CC$300,19,0)</f>
        <v>0</v>
      </c>
      <c r="AE267" s="102">
        <f>VLOOKUP(L267,行政合同!$L$6:$CC$300,20,0)</f>
        <v>0</v>
      </c>
      <c r="AF267" s="102">
        <f>VLOOKUP(L267,行政合同!$L$6:$CC$300,21,0)</f>
        <v>0</v>
      </c>
      <c r="AG267" s="102">
        <f>VLOOKUP(L267,行政合同!$L$6:$CC$300,22,0)</f>
        <v>0</v>
      </c>
      <c r="AH267" s="102">
        <f>VLOOKUP(L267,行政合同!$L$6:$CC$300,23,0)</f>
        <v>0</v>
      </c>
      <c r="AI267" s="102">
        <f>VLOOKUP(L267,行政合同!$L$6:$CC$300,24,0)</f>
        <v>0</v>
      </c>
      <c r="AJ267" s="102">
        <f>VLOOKUP(L267,行政合同!$L$6:$CC$300,25,0)</f>
        <v>0</v>
      </c>
      <c r="AK267" s="102">
        <f>VLOOKUP(L267,行政合同!$L$6:$CC$300,26,0)</f>
        <v>0</v>
      </c>
      <c r="AL267" s="102">
        <f>VLOOKUP(L267,行政合同!$L$6:$CC$300,27,0)</f>
        <v>0</v>
      </c>
      <c r="AM267" s="102">
        <f>VLOOKUP(L267,行政合同!$L$6:$CC$300,28,0)</f>
        <v>0</v>
      </c>
      <c r="AN267" s="102">
        <f>VLOOKUP(L267,行政合同!$L$6:$CC$300,29,0)</f>
        <v>0</v>
      </c>
      <c r="AO267" s="102">
        <f>VLOOKUP(L267,行政合同!$L$6:$CC$300,30,0)</f>
        <v>0</v>
      </c>
      <c r="AP267" s="102">
        <f>VLOOKUP(L267,行政合同!$L$6:$CC$300,31,0)</f>
        <v>0</v>
      </c>
      <c r="AQ267" s="102">
        <f>VLOOKUP(L267,行政合同!$L$6:$CC$300,32,0)</f>
        <v>0</v>
      </c>
      <c r="AR267" s="102">
        <f>VLOOKUP(L267,行政合同!$L$6:$CC$300,33,0)</f>
        <v>0</v>
      </c>
      <c r="AS267" s="102">
        <f>VLOOKUP(L267,行政合同!$L$6:$CC$300,34,0)</f>
        <v>0</v>
      </c>
      <c r="AT267" s="102">
        <f>VLOOKUP(L267,行政合同!$L$6:$CC$300,35,0)</f>
        <v>0</v>
      </c>
      <c r="AU267" s="102">
        <f>VLOOKUP(L267,行政合同!$L$6:$CC$300,36,0)</f>
        <v>0</v>
      </c>
      <c r="AV267" s="102">
        <f>VLOOKUP(L267,行政合同!$L$6:$CC$300,37,0)</f>
        <v>0</v>
      </c>
      <c r="AW267" s="102">
        <f>VLOOKUP(L267,行政合同!$L$6:$CC$300,38,0)</f>
        <v>0</v>
      </c>
      <c r="AX267" s="102">
        <f>VLOOKUP(L267,行政合同!$L$6:$CC$300,39,0)</f>
        <v>0</v>
      </c>
      <c r="AY267" s="102">
        <f>VLOOKUP(L267,行政合同!$L$6:$CC$300,40,0)</f>
        <v>0</v>
      </c>
      <c r="AZ267" s="102">
        <f>VLOOKUP(L267,行政合同!$L$6:$CC$300,41,0)</f>
        <v>0</v>
      </c>
      <c r="BA267" s="102">
        <f>VLOOKUP(L267,行政合同!$L$6:$CC$300,42,0)</f>
        <v>0</v>
      </c>
      <c r="BB267" s="102">
        <f>VLOOKUP(L267,行政合同!$L$6:$CC$300,43,0)</f>
        <v>0</v>
      </c>
      <c r="BC267" s="102">
        <f>VLOOKUP(L267,行政合同!$L$6:$CC$300,44,0)</f>
        <v>0</v>
      </c>
      <c r="BD267" s="102">
        <f>VLOOKUP(L267,行政合同!$L$6:$CC$300,45,0)</f>
        <v>0</v>
      </c>
      <c r="BE267" s="102">
        <f>VLOOKUP(L267,行政合同!$L$6:$CC$300,46,0)</f>
        <v>0</v>
      </c>
      <c r="BF267" s="102">
        <f>VLOOKUP(L267,行政合同!$L$6:$CC$300,47,0)</f>
        <v>0</v>
      </c>
      <c r="BG267" s="102">
        <f>VLOOKUP(L267,行政合同!$L$6:$CC$300,48,0)</f>
        <v>0</v>
      </c>
      <c r="BH267" s="102">
        <f>VLOOKUP(L267,行政合同!$L$6:$CC$300,49,0)</f>
        <v>0</v>
      </c>
      <c r="BI267" s="102">
        <f>VLOOKUP(L267,行政合同!$L$6:$CC$300,50,0)</f>
        <v>0</v>
      </c>
      <c r="BJ267" s="102">
        <f>VLOOKUP(L267,行政合同!$L$6:$CC$300,51,0)</f>
        <v>0</v>
      </c>
      <c r="BK267" s="102">
        <f>VLOOKUP(L267,行政合同!$L$6:$CC$300,52,0)</f>
        <v>0</v>
      </c>
      <c r="BL267" s="102">
        <f>VLOOKUP(L267,行政合同!$L$6:$CC$300,53,0)</f>
        <v>0</v>
      </c>
      <c r="BM267" s="102">
        <f>VLOOKUP(L267,行政合同!$L$6:$CC$300,54,0)</f>
        <v>0</v>
      </c>
      <c r="BN267" s="102">
        <f>VLOOKUP(L267,行政合同!$L$6:$CC$300,55,0)</f>
        <v>0</v>
      </c>
      <c r="BO267" s="102">
        <f>VLOOKUP(L267,行政合同!$L$6:$CC$300,56,0)</f>
        <v>0</v>
      </c>
      <c r="BP267" s="102">
        <f>VLOOKUP(L267,行政合同!$L$6:$CC$300,57,0)</f>
        <v>0</v>
      </c>
      <c r="BQ267" s="102">
        <f>VLOOKUP(L267,行政合同!$L$6:$CC$300,58,0)</f>
        <v>0</v>
      </c>
      <c r="BR267" s="102">
        <f>VLOOKUP(L267,行政合同!$L$6:$CC$300,59,0)</f>
        <v>0</v>
      </c>
      <c r="BS267" s="102">
        <f>VLOOKUP(L267,行政合同!$L$6:$CC$300,60,0)</f>
        <v>0</v>
      </c>
      <c r="BT267" s="102">
        <f>VLOOKUP(L267,行政合同!$L$6:$CC$300,61,0)</f>
        <v>0</v>
      </c>
      <c r="BU267" s="102">
        <f>VLOOKUP(L267,行政合同!$L$6:$CC$300,62,0)</f>
        <v>0</v>
      </c>
      <c r="BV267" s="102">
        <f>VLOOKUP(L267,行政合同!$L$6:$CC$300,63,0)</f>
        <v>0</v>
      </c>
      <c r="BW267" s="102">
        <f>VLOOKUP(L267,行政合同!$L$6:$CC$300,64,0)</f>
        <v>0</v>
      </c>
      <c r="BX267" s="102">
        <f>VLOOKUP(L267,行政合同!$L$6:$CC$300,65,0)</f>
        <v>0</v>
      </c>
      <c r="BY267" s="102">
        <f>VLOOKUP(L267,行政合同!$L$6:$CC$300,66,0)</f>
        <v>0</v>
      </c>
      <c r="BZ267" s="102">
        <f>VLOOKUP(L267,行政合同!$L$6:$CC$300,67,0)</f>
        <v>0</v>
      </c>
      <c r="CA267" s="102">
        <f>VLOOKUP(L267,行政合同!$L$6:$CC$300,68,0)</f>
        <v>0</v>
      </c>
      <c r="CB267" s="102">
        <f>VLOOKUP(L267,行政合同!$L$6:$CC$300,69,0)</f>
        <v>0</v>
      </c>
      <c r="CC267" s="102">
        <f>VLOOKUP(L267,行政合同!$L$6:$CC$300,70,0)</f>
        <v>0</v>
      </c>
      <c r="CD267" s="123">
        <f t="shared" si="55"/>
        <v>97520</v>
      </c>
      <c r="CE267" s="102">
        <f t="shared" si="56"/>
        <v>0</v>
      </c>
      <c r="CF267" s="102">
        <f t="shared" si="57"/>
        <v>0</v>
      </c>
      <c r="CG267" s="102">
        <f t="shared" si="58"/>
        <v>0</v>
      </c>
      <c r="CH267" s="124">
        <f t="shared" si="59"/>
        <v>97520</v>
      </c>
      <c r="CI267" s="125">
        <f t="shared" si="60"/>
        <v>0</v>
      </c>
      <c r="CJ267" s="126" t="str">
        <f t="shared" si="61"/>
        <v>数据正确</v>
      </c>
    </row>
    <row r="268" s="60" customFormat="1" customHeight="1" spans="2:88">
      <c r="B268" s="70" t="str">
        <f t="shared" ref="B268:B331" si="62">IF(I268=0,"-","申请中")</f>
        <v>-</v>
      </c>
      <c r="C268" s="71" t="str">
        <f t="shared" ref="C268:C331" si="63">IF(CI268=100%,"已付清","-")</f>
        <v>已付清</v>
      </c>
      <c r="D268" s="181">
        <f t="shared" ref="D268:D331" si="64">CF268</f>
        <v>104000</v>
      </c>
      <c r="E268" s="181">
        <f>SUMIF(行政合同!$L$6:$L$300,L268,行政合同!$E$6:$E$300)</f>
        <v>0</v>
      </c>
      <c r="F268" s="181">
        <f>SUMIF(行政合同!$L$6:$L$300,L268,行政合同!$F$6:$F$300)</f>
        <v>0</v>
      </c>
      <c r="G268" s="181">
        <f>SUMIF(行政合同!$L$6:$L$300,L268,行政合同!$G$6:$G$300)</f>
        <v>0</v>
      </c>
      <c r="H268" s="181">
        <f>SUMIF(行政合同!$L$6:$L$300,L268,行政合同!$H$6:$H$300)</f>
        <v>0</v>
      </c>
      <c r="I268" s="181">
        <f t="shared" ref="I268:I331" si="65">CE268-CF268-CG268</f>
        <v>0</v>
      </c>
      <c r="J268" s="86" t="s">
        <v>98</v>
      </c>
      <c r="K268" s="87"/>
      <c r="L268" s="88">
        <v>263</v>
      </c>
      <c r="M268" s="89" t="str">
        <f>VLOOKUP(L268,行政合同!$L$6:$CC$300,2,0)</f>
        <v>YRKJXZ-170033</v>
      </c>
      <c r="N268" s="90" t="str">
        <f>VLOOKUP(L268,行政合同!$L$6:$CC$300,3,0)</f>
        <v>行政合同</v>
      </c>
      <c r="O268" s="265">
        <f>VLOOKUP(L268,行政合同!$L$6:$CC$300,4,0)</f>
        <v>2017090007</v>
      </c>
      <c r="P268" s="266">
        <f>VLOOKUP(L268,行政合同!$L$6:$CC$300,5,0)</f>
        <v>42998</v>
      </c>
      <c r="Q268" s="275">
        <f>VLOOKUP(L268,行政合同!$L$6:$CC$300,6,0)</f>
        <v>104000</v>
      </c>
      <c r="R268" s="89" t="str">
        <f>VLOOKUP(L268,行政合同!$L$6:$CC$300,7,0)</f>
        <v>台式电脑28台，笔记本2台</v>
      </c>
      <c r="S268" s="89" t="str">
        <f>VLOOKUP(L268,行政合同!$L$6:$CC$300,8,0)</f>
        <v>莆田市广汇电脑有限公司</v>
      </c>
      <c r="T268" s="107">
        <f>VLOOKUP(L268,行政合同!$L$6:$CC$300,9,0)</f>
        <v>0</v>
      </c>
      <c r="U268" s="103" t="str">
        <f>VLOOKUP(L268,行政合同!$L$6:$CC$300,10,0)</f>
        <v>电汇</v>
      </c>
      <c r="V268" s="276" t="str">
        <f>VLOOKUP(L268,行政合同!$L$6:$CC$300,11,0)</f>
        <v>货到验收合格收到全额发票后支付100%</v>
      </c>
      <c r="W268" s="102">
        <f>VLOOKUP(L268,行政合同!$L$6:$CC$300,12,0)</f>
        <v>104000</v>
      </c>
      <c r="X268" s="102">
        <f>VLOOKUP(L268,行政合同!$L$6:$CC$300,13,0)</f>
        <v>104000</v>
      </c>
      <c r="Y268" s="102">
        <f>VLOOKUP(L268,行政合同!$L$6:$CC$300,14,0)</f>
        <v>104000</v>
      </c>
      <c r="Z268" s="102">
        <f>VLOOKUP(L268,行政合同!$L$6:$CC$300,15,0)</f>
        <v>0</v>
      </c>
      <c r="AA268" s="102">
        <f>VLOOKUP(L268,行政合同!$L$6:$CC$300,16,0)</f>
        <v>0</v>
      </c>
      <c r="AB268" s="102">
        <f>VLOOKUP(L268,行政合同!$L$6:$CC$300,17,0)</f>
        <v>0</v>
      </c>
      <c r="AC268" s="102">
        <f>VLOOKUP(L268,行政合同!$L$6:$CC$300,18,0)</f>
        <v>0</v>
      </c>
      <c r="AD268" s="102">
        <f>VLOOKUP(L268,行政合同!$L$6:$CC$300,19,0)</f>
        <v>0</v>
      </c>
      <c r="AE268" s="102">
        <f>VLOOKUP(L268,行政合同!$L$6:$CC$300,20,0)</f>
        <v>0</v>
      </c>
      <c r="AF268" s="102">
        <f>VLOOKUP(L268,行政合同!$L$6:$CC$300,21,0)</f>
        <v>0</v>
      </c>
      <c r="AG268" s="102">
        <f>VLOOKUP(L268,行政合同!$L$6:$CC$300,22,0)</f>
        <v>0</v>
      </c>
      <c r="AH268" s="102">
        <f>VLOOKUP(L268,行政合同!$L$6:$CC$300,23,0)</f>
        <v>0</v>
      </c>
      <c r="AI268" s="102">
        <f>VLOOKUP(L268,行政合同!$L$6:$CC$300,24,0)</f>
        <v>0</v>
      </c>
      <c r="AJ268" s="102">
        <f>VLOOKUP(L268,行政合同!$L$6:$CC$300,25,0)</f>
        <v>0</v>
      </c>
      <c r="AK268" s="102">
        <f>VLOOKUP(L268,行政合同!$L$6:$CC$300,26,0)</f>
        <v>0</v>
      </c>
      <c r="AL268" s="102">
        <f>VLOOKUP(L268,行政合同!$L$6:$CC$300,27,0)</f>
        <v>0</v>
      </c>
      <c r="AM268" s="102">
        <f>VLOOKUP(L268,行政合同!$L$6:$CC$300,28,0)</f>
        <v>0</v>
      </c>
      <c r="AN268" s="102">
        <f>VLOOKUP(L268,行政合同!$L$6:$CC$300,29,0)</f>
        <v>0</v>
      </c>
      <c r="AO268" s="102">
        <f>VLOOKUP(L268,行政合同!$L$6:$CC$300,30,0)</f>
        <v>0</v>
      </c>
      <c r="AP268" s="102">
        <f>VLOOKUP(L268,行政合同!$L$6:$CC$300,31,0)</f>
        <v>0</v>
      </c>
      <c r="AQ268" s="102">
        <f>VLOOKUP(L268,行政合同!$L$6:$CC$300,32,0)</f>
        <v>0</v>
      </c>
      <c r="AR268" s="102">
        <f>VLOOKUP(L268,行政合同!$L$6:$CC$300,33,0)</f>
        <v>0</v>
      </c>
      <c r="AS268" s="102">
        <f>VLOOKUP(L268,行政合同!$L$6:$CC$300,34,0)</f>
        <v>0</v>
      </c>
      <c r="AT268" s="102">
        <f>VLOOKUP(L268,行政合同!$L$6:$CC$300,35,0)</f>
        <v>0</v>
      </c>
      <c r="AU268" s="102">
        <f>VLOOKUP(L268,行政合同!$L$6:$CC$300,36,0)</f>
        <v>0</v>
      </c>
      <c r="AV268" s="102">
        <f>VLOOKUP(L268,行政合同!$L$6:$CC$300,37,0)</f>
        <v>0</v>
      </c>
      <c r="AW268" s="102">
        <f>VLOOKUP(L268,行政合同!$L$6:$CC$300,38,0)</f>
        <v>0</v>
      </c>
      <c r="AX268" s="102">
        <f>VLOOKUP(L268,行政合同!$L$6:$CC$300,39,0)</f>
        <v>0</v>
      </c>
      <c r="AY268" s="102">
        <f>VLOOKUP(L268,行政合同!$L$6:$CC$300,40,0)</f>
        <v>0</v>
      </c>
      <c r="AZ268" s="102">
        <f>VLOOKUP(L268,行政合同!$L$6:$CC$300,41,0)</f>
        <v>0</v>
      </c>
      <c r="BA268" s="102">
        <f>VLOOKUP(L268,行政合同!$L$6:$CC$300,42,0)</f>
        <v>0</v>
      </c>
      <c r="BB268" s="102">
        <f>VLOOKUP(L268,行政合同!$L$6:$CC$300,43,0)</f>
        <v>0</v>
      </c>
      <c r="BC268" s="102">
        <f>VLOOKUP(L268,行政合同!$L$6:$CC$300,44,0)</f>
        <v>0</v>
      </c>
      <c r="BD268" s="102">
        <f>VLOOKUP(L268,行政合同!$L$6:$CC$300,45,0)</f>
        <v>0</v>
      </c>
      <c r="BE268" s="102">
        <f>VLOOKUP(L268,行政合同!$L$6:$CC$300,46,0)</f>
        <v>0</v>
      </c>
      <c r="BF268" s="102">
        <f>VLOOKUP(L268,行政合同!$L$6:$CC$300,47,0)</f>
        <v>0</v>
      </c>
      <c r="BG268" s="102">
        <f>VLOOKUP(L268,行政合同!$L$6:$CC$300,48,0)</f>
        <v>0</v>
      </c>
      <c r="BH268" s="102">
        <f>VLOOKUP(L268,行政合同!$L$6:$CC$300,49,0)</f>
        <v>0</v>
      </c>
      <c r="BI268" s="102">
        <f>VLOOKUP(L268,行政合同!$L$6:$CC$300,50,0)</f>
        <v>0</v>
      </c>
      <c r="BJ268" s="102">
        <f>VLOOKUP(L268,行政合同!$L$6:$CC$300,51,0)</f>
        <v>0</v>
      </c>
      <c r="BK268" s="102">
        <f>VLOOKUP(L268,行政合同!$L$6:$CC$300,52,0)</f>
        <v>0</v>
      </c>
      <c r="BL268" s="102">
        <f>VLOOKUP(L268,行政合同!$L$6:$CC$300,53,0)</f>
        <v>0</v>
      </c>
      <c r="BM268" s="102">
        <f>VLOOKUP(L268,行政合同!$L$6:$CC$300,54,0)</f>
        <v>0</v>
      </c>
      <c r="BN268" s="102">
        <f>VLOOKUP(L268,行政合同!$L$6:$CC$300,55,0)</f>
        <v>0</v>
      </c>
      <c r="BO268" s="102">
        <f>VLOOKUP(L268,行政合同!$L$6:$CC$300,56,0)</f>
        <v>0</v>
      </c>
      <c r="BP268" s="102">
        <f>VLOOKUP(L268,行政合同!$L$6:$CC$300,57,0)</f>
        <v>0</v>
      </c>
      <c r="BQ268" s="102">
        <f>VLOOKUP(L268,行政合同!$L$6:$CC$300,58,0)</f>
        <v>0</v>
      </c>
      <c r="BR268" s="102">
        <f>VLOOKUP(L268,行政合同!$L$6:$CC$300,59,0)</f>
        <v>0</v>
      </c>
      <c r="BS268" s="102">
        <f>VLOOKUP(L268,行政合同!$L$6:$CC$300,60,0)</f>
        <v>0</v>
      </c>
      <c r="BT268" s="102">
        <f>VLOOKUP(L268,行政合同!$L$6:$CC$300,61,0)</f>
        <v>0</v>
      </c>
      <c r="BU268" s="102">
        <f>VLOOKUP(L268,行政合同!$L$6:$CC$300,62,0)</f>
        <v>0</v>
      </c>
      <c r="BV268" s="102">
        <f>VLOOKUP(L268,行政合同!$L$6:$CC$300,63,0)</f>
        <v>0</v>
      </c>
      <c r="BW268" s="102">
        <f>VLOOKUP(L268,行政合同!$L$6:$CC$300,64,0)</f>
        <v>0</v>
      </c>
      <c r="BX268" s="102">
        <f>VLOOKUP(L268,行政合同!$L$6:$CC$300,65,0)</f>
        <v>0</v>
      </c>
      <c r="BY268" s="102">
        <f>VLOOKUP(L268,行政合同!$L$6:$CC$300,66,0)</f>
        <v>0</v>
      </c>
      <c r="BZ268" s="102">
        <f>VLOOKUP(L268,行政合同!$L$6:$CC$300,67,0)</f>
        <v>0</v>
      </c>
      <c r="CA268" s="102">
        <f>VLOOKUP(L268,行政合同!$L$6:$CC$300,68,0)</f>
        <v>0</v>
      </c>
      <c r="CB268" s="102">
        <f>VLOOKUP(L268,行政合同!$L$6:$CC$300,69,0)</f>
        <v>0</v>
      </c>
      <c r="CC268" s="102">
        <f>VLOOKUP(L268,行政合同!$L$6:$CC$300,70,0)</f>
        <v>0</v>
      </c>
      <c r="CD268" s="123">
        <f t="shared" ref="CD268:CD331" si="66">W268+AA268+AE268+AI268+AM268+AQ268+AU268+AY268+BC268+BG268+BK268+BO268+BS268+BW268+CA268</f>
        <v>104000</v>
      </c>
      <c r="CE268" s="102">
        <f t="shared" ref="CE268:CE331" si="67">X268+AB268+AF268+AJ268+AN268+AR268+AV268+AZ268+BD268+BH268+BL268+BP268+BT268+BX268+CB268</f>
        <v>104000</v>
      </c>
      <c r="CF268" s="102">
        <f t="shared" ref="CF268:CF331" si="68">Y268+AC268+AG268+AK268+AO268+AS268+AW268+BA268+BE268+BI268+BM268+BQ268+BU268+BY268+CC268</f>
        <v>104000</v>
      </c>
      <c r="CG268" s="102">
        <f t="shared" ref="CG268:CG331" si="69">E268+F268+G268+H268</f>
        <v>0</v>
      </c>
      <c r="CH268" s="124">
        <f t="shared" ref="CH268:CH331" si="70">Q268-CF268-CG268</f>
        <v>0</v>
      </c>
      <c r="CI268" s="125">
        <f t="shared" ref="CI268:CI331" si="71">IF(ISERROR((CF268+CG268)/Q268),"-",(CF268+CG268)/Q268)</f>
        <v>1</v>
      </c>
      <c r="CJ268" s="126" t="str">
        <f t="shared" ref="CJ268:CJ331" si="72">IF(Q268-CD268=0,"数据正确","数据错误")</f>
        <v>数据正确</v>
      </c>
    </row>
    <row r="269" s="60" customFormat="1" customHeight="1" spans="2:88">
      <c r="B269" s="70" t="str">
        <f t="shared" si="62"/>
        <v>-</v>
      </c>
      <c r="C269" s="71" t="str">
        <f t="shared" si="63"/>
        <v>-</v>
      </c>
      <c r="D269" s="181">
        <f t="shared" si="64"/>
        <v>0</v>
      </c>
      <c r="E269" s="181">
        <f>SUMIF(行政合同!$L$6:$L$300,L269,行政合同!$E$6:$E$300)</f>
        <v>0</v>
      </c>
      <c r="F269" s="181">
        <f>SUMIF(行政合同!$L$6:$L$300,L269,行政合同!$F$6:$F$300)</f>
        <v>0</v>
      </c>
      <c r="G269" s="181">
        <f>SUMIF(行政合同!$L$6:$L$300,L269,行政合同!$G$6:$G$300)</f>
        <v>0</v>
      </c>
      <c r="H269" s="181">
        <f>SUMIF(行政合同!$L$6:$L$300,L269,行政合同!$H$6:$H$300)</f>
        <v>0</v>
      </c>
      <c r="I269" s="181">
        <f t="shared" si="65"/>
        <v>0</v>
      </c>
      <c r="J269" s="86" t="s">
        <v>98</v>
      </c>
      <c r="K269" s="87"/>
      <c r="L269" s="88">
        <v>264</v>
      </c>
      <c r="M269" s="89" t="str">
        <f>VLOOKUP(L269,行政合同!$L$6:$CC$300,2,0)</f>
        <v>YRKJXZ-170011</v>
      </c>
      <c r="N269" s="90" t="str">
        <f>VLOOKUP(L269,行政合同!$L$6:$CC$300,3,0)</f>
        <v>行政合同</v>
      </c>
      <c r="O269" s="265" t="str">
        <f>VLOOKUP(L269,行政合同!$L$6:$CC$300,4,0)</f>
        <v>-</v>
      </c>
      <c r="P269" s="266">
        <f>VLOOKUP(L269,行政合同!$L$6:$CC$300,5,0)</f>
        <v>42954</v>
      </c>
      <c r="Q269" s="275">
        <f>VLOOKUP(L269,行政合同!$L$6:$CC$300,6,0)</f>
        <v>99830</v>
      </c>
      <c r="R269" s="89" t="str">
        <f>VLOOKUP(L269,行政合同!$L$6:$CC$300,7,0)</f>
        <v>屏风桌、办公椅、沙发</v>
      </c>
      <c r="S269" s="89" t="str">
        <f>VLOOKUP(L269,行政合同!$L$6:$CC$300,8,0)</f>
        <v>福州市仓山区恒通日用品经营部</v>
      </c>
      <c r="T269" s="107">
        <f>VLOOKUP(L269,行政合同!$L$6:$CC$300,9,0)</f>
        <v>0</v>
      </c>
      <c r="U269" s="103" t="str">
        <f>VLOOKUP(L269,行政合同!$L$6:$CC$300,10,0)</f>
        <v>6个月承兑汇票/电汇无说明</v>
      </c>
      <c r="V269" s="276" t="str">
        <f>VLOOKUP(L269,行政合同!$L$6:$CC$300,11,0)</f>
        <v>货到验收合格收到全额发票后支付95%</v>
      </c>
      <c r="W269" s="102">
        <f>VLOOKUP(L269,行政合同!$L$6:$CC$300,12,0)</f>
        <v>94838.5</v>
      </c>
      <c r="X269" s="102">
        <f>VLOOKUP(L269,行政合同!$L$6:$CC$300,13,0)</f>
        <v>0</v>
      </c>
      <c r="Y269" s="102">
        <f>VLOOKUP(L269,行政合同!$L$6:$CC$300,14,0)</f>
        <v>0</v>
      </c>
      <c r="Z269" s="102" t="str">
        <f>VLOOKUP(L269,行政合同!$L$6:$CC$300,15,0)</f>
        <v>5%质量保证金，验收合格后12个月支付</v>
      </c>
      <c r="AA269" s="102">
        <f>VLOOKUP(L269,行政合同!$L$6:$CC$300,16,0)</f>
        <v>4991.5</v>
      </c>
      <c r="AB269" s="102">
        <f>VLOOKUP(L269,行政合同!$L$6:$CC$300,17,0)</f>
        <v>0</v>
      </c>
      <c r="AC269" s="102">
        <f>VLOOKUP(L269,行政合同!$L$6:$CC$300,18,0)</f>
        <v>0</v>
      </c>
      <c r="AD269" s="102">
        <f>VLOOKUP(L269,行政合同!$L$6:$CC$300,19,0)</f>
        <v>0</v>
      </c>
      <c r="AE269" s="102">
        <f>VLOOKUP(L269,行政合同!$L$6:$CC$300,20,0)</f>
        <v>0</v>
      </c>
      <c r="AF269" s="102">
        <f>VLOOKUP(L269,行政合同!$L$6:$CC$300,21,0)</f>
        <v>0</v>
      </c>
      <c r="AG269" s="102">
        <f>VLOOKUP(L269,行政合同!$L$6:$CC$300,22,0)</f>
        <v>0</v>
      </c>
      <c r="AH269" s="102">
        <f>VLOOKUP(L269,行政合同!$L$6:$CC$300,23,0)</f>
        <v>0</v>
      </c>
      <c r="AI269" s="102">
        <f>VLOOKUP(L269,行政合同!$L$6:$CC$300,24,0)</f>
        <v>0</v>
      </c>
      <c r="AJ269" s="102">
        <f>VLOOKUP(L269,行政合同!$L$6:$CC$300,25,0)</f>
        <v>0</v>
      </c>
      <c r="AK269" s="102">
        <f>VLOOKUP(L269,行政合同!$L$6:$CC$300,26,0)</f>
        <v>0</v>
      </c>
      <c r="AL269" s="102">
        <f>VLOOKUP(L269,行政合同!$L$6:$CC$300,27,0)</f>
        <v>0</v>
      </c>
      <c r="AM269" s="102">
        <f>VLOOKUP(L269,行政合同!$L$6:$CC$300,28,0)</f>
        <v>0</v>
      </c>
      <c r="AN269" s="102">
        <f>VLOOKUP(L269,行政合同!$L$6:$CC$300,29,0)</f>
        <v>0</v>
      </c>
      <c r="AO269" s="102">
        <f>VLOOKUP(L269,行政合同!$L$6:$CC$300,30,0)</f>
        <v>0</v>
      </c>
      <c r="AP269" s="102">
        <f>VLOOKUP(L269,行政合同!$L$6:$CC$300,31,0)</f>
        <v>0</v>
      </c>
      <c r="AQ269" s="102">
        <f>VLOOKUP(L269,行政合同!$L$6:$CC$300,32,0)</f>
        <v>0</v>
      </c>
      <c r="AR269" s="102">
        <f>VLOOKUP(L269,行政合同!$L$6:$CC$300,33,0)</f>
        <v>0</v>
      </c>
      <c r="AS269" s="102">
        <f>VLOOKUP(L269,行政合同!$L$6:$CC$300,34,0)</f>
        <v>0</v>
      </c>
      <c r="AT269" s="102">
        <f>VLOOKUP(L269,行政合同!$L$6:$CC$300,35,0)</f>
        <v>0</v>
      </c>
      <c r="AU269" s="102">
        <f>VLOOKUP(L269,行政合同!$L$6:$CC$300,36,0)</f>
        <v>0</v>
      </c>
      <c r="AV269" s="102">
        <f>VLOOKUP(L269,行政合同!$L$6:$CC$300,37,0)</f>
        <v>0</v>
      </c>
      <c r="AW269" s="102">
        <f>VLOOKUP(L269,行政合同!$L$6:$CC$300,38,0)</f>
        <v>0</v>
      </c>
      <c r="AX269" s="102">
        <f>VLOOKUP(L269,行政合同!$L$6:$CC$300,39,0)</f>
        <v>0</v>
      </c>
      <c r="AY269" s="102">
        <f>VLOOKUP(L269,行政合同!$L$6:$CC$300,40,0)</f>
        <v>0</v>
      </c>
      <c r="AZ269" s="102">
        <f>VLOOKUP(L269,行政合同!$L$6:$CC$300,41,0)</f>
        <v>0</v>
      </c>
      <c r="BA269" s="102">
        <f>VLOOKUP(L269,行政合同!$L$6:$CC$300,42,0)</f>
        <v>0</v>
      </c>
      <c r="BB269" s="102">
        <f>VLOOKUP(L269,行政合同!$L$6:$CC$300,43,0)</f>
        <v>0</v>
      </c>
      <c r="BC269" s="102">
        <f>VLOOKUP(L269,行政合同!$L$6:$CC$300,44,0)</f>
        <v>0</v>
      </c>
      <c r="BD269" s="102">
        <f>VLOOKUP(L269,行政合同!$L$6:$CC$300,45,0)</f>
        <v>0</v>
      </c>
      <c r="BE269" s="102">
        <f>VLOOKUP(L269,行政合同!$L$6:$CC$300,46,0)</f>
        <v>0</v>
      </c>
      <c r="BF269" s="102">
        <f>VLOOKUP(L269,行政合同!$L$6:$CC$300,47,0)</f>
        <v>0</v>
      </c>
      <c r="BG269" s="102">
        <f>VLOOKUP(L269,行政合同!$L$6:$CC$300,48,0)</f>
        <v>0</v>
      </c>
      <c r="BH269" s="102">
        <f>VLOOKUP(L269,行政合同!$L$6:$CC$300,49,0)</f>
        <v>0</v>
      </c>
      <c r="BI269" s="102">
        <f>VLOOKUP(L269,行政合同!$L$6:$CC$300,50,0)</f>
        <v>0</v>
      </c>
      <c r="BJ269" s="102">
        <f>VLOOKUP(L269,行政合同!$L$6:$CC$300,51,0)</f>
        <v>0</v>
      </c>
      <c r="BK269" s="102">
        <f>VLOOKUP(L269,行政合同!$L$6:$CC$300,52,0)</f>
        <v>0</v>
      </c>
      <c r="BL269" s="102">
        <f>VLOOKUP(L269,行政合同!$L$6:$CC$300,53,0)</f>
        <v>0</v>
      </c>
      <c r="BM269" s="102">
        <f>VLOOKUP(L269,行政合同!$L$6:$CC$300,54,0)</f>
        <v>0</v>
      </c>
      <c r="BN269" s="102">
        <f>VLOOKUP(L269,行政合同!$L$6:$CC$300,55,0)</f>
        <v>0</v>
      </c>
      <c r="BO269" s="102">
        <f>VLOOKUP(L269,行政合同!$L$6:$CC$300,56,0)</f>
        <v>0</v>
      </c>
      <c r="BP269" s="102">
        <f>VLOOKUP(L269,行政合同!$L$6:$CC$300,57,0)</f>
        <v>0</v>
      </c>
      <c r="BQ269" s="102">
        <f>VLOOKUP(L269,行政合同!$L$6:$CC$300,58,0)</f>
        <v>0</v>
      </c>
      <c r="BR269" s="102">
        <f>VLOOKUP(L269,行政合同!$L$6:$CC$300,59,0)</f>
        <v>0</v>
      </c>
      <c r="BS269" s="102">
        <f>VLOOKUP(L269,行政合同!$L$6:$CC$300,60,0)</f>
        <v>0</v>
      </c>
      <c r="BT269" s="102">
        <f>VLOOKUP(L269,行政合同!$L$6:$CC$300,61,0)</f>
        <v>0</v>
      </c>
      <c r="BU269" s="102">
        <f>VLOOKUP(L269,行政合同!$L$6:$CC$300,62,0)</f>
        <v>0</v>
      </c>
      <c r="BV269" s="102">
        <f>VLOOKUP(L269,行政合同!$L$6:$CC$300,63,0)</f>
        <v>0</v>
      </c>
      <c r="BW269" s="102">
        <f>VLOOKUP(L269,行政合同!$L$6:$CC$300,64,0)</f>
        <v>0</v>
      </c>
      <c r="BX269" s="102">
        <f>VLOOKUP(L269,行政合同!$L$6:$CC$300,65,0)</f>
        <v>0</v>
      </c>
      <c r="BY269" s="102">
        <f>VLOOKUP(L269,行政合同!$L$6:$CC$300,66,0)</f>
        <v>0</v>
      </c>
      <c r="BZ269" s="102">
        <f>VLOOKUP(L269,行政合同!$L$6:$CC$300,67,0)</f>
        <v>0</v>
      </c>
      <c r="CA269" s="102">
        <f>VLOOKUP(L269,行政合同!$L$6:$CC$300,68,0)</f>
        <v>0</v>
      </c>
      <c r="CB269" s="102">
        <f>VLOOKUP(L269,行政合同!$L$6:$CC$300,69,0)</f>
        <v>0</v>
      </c>
      <c r="CC269" s="102">
        <f>VLOOKUP(L269,行政合同!$L$6:$CC$300,70,0)</f>
        <v>0</v>
      </c>
      <c r="CD269" s="123">
        <f t="shared" si="66"/>
        <v>99830</v>
      </c>
      <c r="CE269" s="102">
        <f t="shared" si="67"/>
        <v>0</v>
      </c>
      <c r="CF269" s="102">
        <f t="shared" si="68"/>
        <v>0</v>
      </c>
      <c r="CG269" s="102">
        <f t="shared" si="69"/>
        <v>0</v>
      </c>
      <c r="CH269" s="124">
        <f t="shared" si="70"/>
        <v>99830</v>
      </c>
      <c r="CI269" s="125">
        <f t="shared" si="71"/>
        <v>0</v>
      </c>
      <c r="CJ269" s="126" t="str">
        <f t="shared" si="72"/>
        <v>数据正确</v>
      </c>
    </row>
    <row r="270" s="60" customFormat="1" customHeight="1" spans="2:88">
      <c r="B270" s="70" t="str">
        <f t="shared" si="62"/>
        <v>-</v>
      </c>
      <c r="C270" s="71" t="str">
        <f t="shared" si="63"/>
        <v>-</v>
      </c>
      <c r="D270" s="181">
        <f t="shared" si="64"/>
        <v>0</v>
      </c>
      <c r="E270" s="181">
        <f>SUMIF(行政合同!$L$6:$L$300,L270,行政合同!$E$6:$E$300)</f>
        <v>0</v>
      </c>
      <c r="F270" s="181">
        <f>SUMIF(行政合同!$L$6:$L$300,L270,行政合同!$F$6:$F$300)</f>
        <v>0</v>
      </c>
      <c r="G270" s="181">
        <f>SUMIF(行政合同!$L$6:$L$300,L270,行政合同!$G$6:$G$300)</f>
        <v>0</v>
      </c>
      <c r="H270" s="181">
        <f>SUMIF(行政合同!$L$6:$L$300,L270,行政合同!$H$6:$H$300)</f>
        <v>0</v>
      </c>
      <c r="I270" s="181">
        <f t="shared" si="65"/>
        <v>0</v>
      </c>
      <c r="J270" s="86" t="s">
        <v>98</v>
      </c>
      <c r="K270" s="87"/>
      <c r="L270" s="88">
        <v>265</v>
      </c>
      <c r="M270" s="89" t="str">
        <f>VLOOKUP(L270,行政合同!$L$6:$CC$300,2,0)</f>
        <v>YRKJXZ-170030</v>
      </c>
      <c r="N270" s="90" t="str">
        <f>VLOOKUP(L270,行政合同!$L$6:$CC$300,3,0)</f>
        <v>行政合同</v>
      </c>
      <c r="O270" s="265" t="str">
        <f>VLOOKUP(L270,行政合同!$L$6:$CC$300,4,0)</f>
        <v>-</v>
      </c>
      <c r="P270" s="266">
        <f>VLOOKUP(L270,行政合同!$L$6:$CC$300,5,0)</f>
        <v>42961</v>
      </c>
      <c r="Q270" s="275">
        <f>VLOOKUP(L270,行政合同!$L$6:$CC$300,6,0)</f>
        <v>50715</v>
      </c>
      <c r="R270" s="89" t="str">
        <f>VLOOKUP(L270,行政合同!$L$6:$CC$300,7,0)</f>
        <v>条形桌（可折叠）147台</v>
      </c>
      <c r="S270" s="89" t="str">
        <f>VLOOKUP(L270,行政合同!$L$6:$CC$300,8,0)</f>
        <v>福州市仓山区恒通日用品经营部</v>
      </c>
      <c r="T270" s="107">
        <f>VLOOKUP(L270,行政合同!$L$6:$CC$300,9,0)</f>
        <v>0</v>
      </c>
      <c r="U270" s="103" t="str">
        <f>VLOOKUP(L270,行政合同!$L$6:$CC$300,10,0)</f>
        <v>6个月承兑汇票/电汇无说明</v>
      </c>
      <c r="V270" s="276" t="str">
        <f>VLOOKUP(L270,行政合同!$L$6:$CC$300,11,0)</f>
        <v>货到验收合格收到全额发票后支付100%</v>
      </c>
      <c r="W270" s="102">
        <f>VLOOKUP(L270,行政合同!$L$6:$CC$300,12,0)</f>
        <v>50715</v>
      </c>
      <c r="X270" s="102">
        <f>VLOOKUP(L270,行政合同!$L$6:$CC$300,13,0)</f>
        <v>0</v>
      </c>
      <c r="Y270" s="102">
        <f>VLOOKUP(L270,行政合同!$L$6:$CC$300,14,0)</f>
        <v>0</v>
      </c>
      <c r="Z270" s="102">
        <f>VLOOKUP(L270,行政合同!$L$6:$CC$300,15,0)</f>
        <v>0</v>
      </c>
      <c r="AA270" s="102">
        <f>VLOOKUP(L270,行政合同!$L$6:$CC$300,16,0)</f>
        <v>0</v>
      </c>
      <c r="AB270" s="102">
        <f>VLOOKUP(L270,行政合同!$L$6:$CC$300,17,0)</f>
        <v>0</v>
      </c>
      <c r="AC270" s="102">
        <f>VLOOKUP(L270,行政合同!$L$6:$CC$300,18,0)</f>
        <v>0</v>
      </c>
      <c r="AD270" s="102">
        <f>VLOOKUP(L270,行政合同!$L$6:$CC$300,19,0)</f>
        <v>0</v>
      </c>
      <c r="AE270" s="102">
        <f>VLOOKUP(L270,行政合同!$L$6:$CC$300,20,0)</f>
        <v>0</v>
      </c>
      <c r="AF270" s="102">
        <f>VLOOKUP(L270,行政合同!$L$6:$CC$300,21,0)</f>
        <v>0</v>
      </c>
      <c r="AG270" s="102">
        <f>VLOOKUP(L270,行政合同!$L$6:$CC$300,22,0)</f>
        <v>0</v>
      </c>
      <c r="AH270" s="102">
        <f>VLOOKUP(L270,行政合同!$L$6:$CC$300,23,0)</f>
        <v>0</v>
      </c>
      <c r="AI270" s="102">
        <f>VLOOKUP(L270,行政合同!$L$6:$CC$300,24,0)</f>
        <v>0</v>
      </c>
      <c r="AJ270" s="102">
        <f>VLOOKUP(L270,行政合同!$L$6:$CC$300,25,0)</f>
        <v>0</v>
      </c>
      <c r="AK270" s="102">
        <f>VLOOKUP(L270,行政合同!$L$6:$CC$300,26,0)</f>
        <v>0</v>
      </c>
      <c r="AL270" s="102">
        <f>VLOOKUP(L270,行政合同!$L$6:$CC$300,27,0)</f>
        <v>0</v>
      </c>
      <c r="AM270" s="102">
        <f>VLOOKUP(L270,行政合同!$L$6:$CC$300,28,0)</f>
        <v>0</v>
      </c>
      <c r="AN270" s="102">
        <f>VLOOKUP(L270,行政合同!$L$6:$CC$300,29,0)</f>
        <v>0</v>
      </c>
      <c r="AO270" s="102">
        <f>VLOOKUP(L270,行政合同!$L$6:$CC$300,30,0)</f>
        <v>0</v>
      </c>
      <c r="AP270" s="102">
        <f>VLOOKUP(L270,行政合同!$L$6:$CC$300,31,0)</f>
        <v>0</v>
      </c>
      <c r="AQ270" s="102">
        <f>VLOOKUP(L270,行政合同!$L$6:$CC$300,32,0)</f>
        <v>0</v>
      </c>
      <c r="AR270" s="102">
        <f>VLOOKUP(L270,行政合同!$L$6:$CC$300,33,0)</f>
        <v>0</v>
      </c>
      <c r="AS270" s="102">
        <f>VLOOKUP(L270,行政合同!$L$6:$CC$300,34,0)</f>
        <v>0</v>
      </c>
      <c r="AT270" s="102">
        <f>VLOOKUP(L270,行政合同!$L$6:$CC$300,35,0)</f>
        <v>0</v>
      </c>
      <c r="AU270" s="102">
        <f>VLOOKUP(L270,行政合同!$L$6:$CC$300,36,0)</f>
        <v>0</v>
      </c>
      <c r="AV270" s="102">
        <f>VLOOKUP(L270,行政合同!$L$6:$CC$300,37,0)</f>
        <v>0</v>
      </c>
      <c r="AW270" s="102">
        <f>VLOOKUP(L270,行政合同!$L$6:$CC$300,38,0)</f>
        <v>0</v>
      </c>
      <c r="AX270" s="102">
        <f>VLOOKUP(L270,行政合同!$L$6:$CC$300,39,0)</f>
        <v>0</v>
      </c>
      <c r="AY270" s="102">
        <f>VLOOKUP(L270,行政合同!$L$6:$CC$300,40,0)</f>
        <v>0</v>
      </c>
      <c r="AZ270" s="102">
        <f>VLOOKUP(L270,行政合同!$L$6:$CC$300,41,0)</f>
        <v>0</v>
      </c>
      <c r="BA270" s="102">
        <f>VLOOKUP(L270,行政合同!$L$6:$CC$300,42,0)</f>
        <v>0</v>
      </c>
      <c r="BB270" s="102">
        <f>VLOOKUP(L270,行政合同!$L$6:$CC$300,43,0)</f>
        <v>0</v>
      </c>
      <c r="BC270" s="102">
        <f>VLOOKUP(L270,行政合同!$L$6:$CC$300,44,0)</f>
        <v>0</v>
      </c>
      <c r="BD270" s="102">
        <f>VLOOKUP(L270,行政合同!$L$6:$CC$300,45,0)</f>
        <v>0</v>
      </c>
      <c r="BE270" s="102">
        <f>VLOOKUP(L270,行政合同!$L$6:$CC$300,46,0)</f>
        <v>0</v>
      </c>
      <c r="BF270" s="102">
        <f>VLOOKUP(L270,行政合同!$L$6:$CC$300,47,0)</f>
        <v>0</v>
      </c>
      <c r="BG270" s="102">
        <f>VLOOKUP(L270,行政合同!$L$6:$CC$300,48,0)</f>
        <v>0</v>
      </c>
      <c r="BH270" s="102">
        <f>VLOOKUP(L270,行政合同!$L$6:$CC$300,49,0)</f>
        <v>0</v>
      </c>
      <c r="BI270" s="102">
        <f>VLOOKUP(L270,行政合同!$L$6:$CC$300,50,0)</f>
        <v>0</v>
      </c>
      <c r="BJ270" s="102">
        <f>VLOOKUP(L270,行政合同!$L$6:$CC$300,51,0)</f>
        <v>0</v>
      </c>
      <c r="BK270" s="102">
        <f>VLOOKUP(L270,行政合同!$L$6:$CC$300,52,0)</f>
        <v>0</v>
      </c>
      <c r="BL270" s="102">
        <f>VLOOKUP(L270,行政合同!$L$6:$CC$300,53,0)</f>
        <v>0</v>
      </c>
      <c r="BM270" s="102">
        <f>VLOOKUP(L270,行政合同!$L$6:$CC$300,54,0)</f>
        <v>0</v>
      </c>
      <c r="BN270" s="102">
        <f>VLOOKUP(L270,行政合同!$L$6:$CC$300,55,0)</f>
        <v>0</v>
      </c>
      <c r="BO270" s="102">
        <f>VLOOKUP(L270,行政合同!$L$6:$CC$300,56,0)</f>
        <v>0</v>
      </c>
      <c r="BP270" s="102">
        <f>VLOOKUP(L270,行政合同!$L$6:$CC$300,57,0)</f>
        <v>0</v>
      </c>
      <c r="BQ270" s="102">
        <f>VLOOKUP(L270,行政合同!$L$6:$CC$300,58,0)</f>
        <v>0</v>
      </c>
      <c r="BR270" s="102">
        <f>VLOOKUP(L270,行政合同!$L$6:$CC$300,59,0)</f>
        <v>0</v>
      </c>
      <c r="BS270" s="102">
        <f>VLOOKUP(L270,行政合同!$L$6:$CC$300,60,0)</f>
        <v>0</v>
      </c>
      <c r="BT270" s="102">
        <f>VLOOKUP(L270,行政合同!$L$6:$CC$300,61,0)</f>
        <v>0</v>
      </c>
      <c r="BU270" s="102">
        <f>VLOOKUP(L270,行政合同!$L$6:$CC$300,62,0)</f>
        <v>0</v>
      </c>
      <c r="BV270" s="102">
        <f>VLOOKUP(L270,行政合同!$L$6:$CC$300,63,0)</f>
        <v>0</v>
      </c>
      <c r="BW270" s="102">
        <f>VLOOKUP(L270,行政合同!$L$6:$CC$300,64,0)</f>
        <v>0</v>
      </c>
      <c r="BX270" s="102">
        <f>VLOOKUP(L270,行政合同!$L$6:$CC$300,65,0)</f>
        <v>0</v>
      </c>
      <c r="BY270" s="102">
        <f>VLOOKUP(L270,行政合同!$L$6:$CC$300,66,0)</f>
        <v>0</v>
      </c>
      <c r="BZ270" s="102">
        <f>VLOOKUP(L270,行政合同!$L$6:$CC$300,67,0)</f>
        <v>0</v>
      </c>
      <c r="CA270" s="102">
        <f>VLOOKUP(L270,行政合同!$L$6:$CC$300,68,0)</f>
        <v>0</v>
      </c>
      <c r="CB270" s="102">
        <f>VLOOKUP(L270,行政合同!$L$6:$CC$300,69,0)</f>
        <v>0</v>
      </c>
      <c r="CC270" s="102">
        <f>VLOOKUP(L270,行政合同!$L$6:$CC$300,70,0)</f>
        <v>0</v>
      </c>
      <c r="CD270" s="123">
        <f t="shared" si="66"/>
        <v>50715</v>
      </c>
      <c r="CE270" s="102">
        <f t="shared" si="67"/>
        <v>0</v>
      </c>
      <c r="CF270" s="102">
        <f t="shared" si="68"/>
        <v>0</v>
      </c>
      <c r="CG270" s="102">
        <f t="shared" si="69"/>
        <v>0</v>
      </c>
      <c r="CH270" s="124">
        <f t="shared" si="70"/>
        <v>50715</v>
      </c>
      <c r="CI270" s="125">
        <f t="shared" si="71"/>
        <v>0</v>
      </c>
      <c r="CJ270" s="126" t="str">
        <f t="shared" si="72"/>
        <v>数据正确</v>
      </c>
    </row>
    <row r="271" s="60" customFormat="1" customHeight="1" spans="2:88">
      <c r="B271" s="70" t="str">
        <f t="shared" si="62"/>
        <v>-</v>
      </c>
      <c r="C271" s="71" t="str">
        <f t="shared" si="63"/>
        <v>-</v>
      </c>
      <c r="D271" s="181">
        <f t="shared" si="64"/>
        <v>0</v>
      </c>
      <c r="E271" s="181">
        <f>SUMIF(行政合同!$L$6:$L$300,L271,行政合同!$E$6:$E$300)</f>
        <v>0</v>
      </c>
      <c r="F271" s="181">
        <f>SUMIF(行政合同!$L$6:$L$300,L271,行政合同!$F$6:$F$300)</f>
        <v>0</v>
      </c>
      <c r="G271" s="181">
        <f>SUMIF(行政合同!$L$6:$L$300,L271,行政合同!$G$6:$G$300)</f>
        <v>0</v>
      </c>
      <c r="H271" s="181">
        <f>SUMIF(行政合同!$L$6:$L$300,L271,行政合同!$H$6:$H$300)</f>
        <v>0</v>
      </c>
      <c r="I271" s="181">
        <f t="shared" si="65"/>
        <v>0</v>
      </c>
      <c r="J271" s="86" t="s">
        <v>98</v>
      </c>
      <c r="K271" s="87"/>
      <c r="L271" s="88">
        <v>266</v>
      </c>
      <c r="M271" s="89" t="str">
        <f>VLOOKUP(L271,行政合同!$L$6:$CC$300,2,0)</f>
        <v>YRKJXZ-170042</v>
      </c>
      <c r="N271" s="90" t="str">
        <f>VLOOKUP(L271,行政合同!$L$6:$CC$300,3,0)</f>
        <v>行政合同</v>
      </c>
      <c r="O271" s="265">
        <f>VLOOKUP(L271,行政合同!$L$6:$CC$300,4,0)</f>
        <v>2017090015</v>
      </c>
      <c r="P271" s="266">
        <f>VLOOKUP(L271,行政合同!$L$6:$CC$300,5,0)</f>
        <v>43006</v>
      </c>
      <c r="Q271" s="275">
        <f>VLOOKUP(L271,行政合同!$L$6:$CC$300,6,0)</f>
        <v>192345</v>
      </c>
      <c r="R271" s="89" t="str">
        <f>VLOOKUP(L271,行政合同!$L$6:$CC$300,7,0)</f>
        <v>5#、6#宿舍楼床垫507个</v>
      </c>
      <c r="S271" s="89" t="str">
        <f>VLOOKUP(L271,行政合同!$L$6:$CC$300,8,0)</f>
        <v>福建鸿达家具有限公司</v>
      </c>
      <c r="T271" s="107">
        <f>VLOOKUP(L271,行政合同!$L$6:$CC$300,9,0)</f>
        <v>0</v>
      </c>
      <c r="U271" s="103" t="str">
        <f>VLOOKUP(L271,行政合同!$L$6:$CC$300,10,0)</f>
        <v>6个月承兑汇票/电汇无说明</v>
      </c>
      <c r="V271" s="276" t="str">
        <f>VLOOKUP(L271,行政合同!$L$6:$CC$300,11,0)</f>
        <v>货到验收合格收到全额发票后支付90%</v>
      </c>
      <c r="W271" s="102">
        <f>VLOOKUP(L271,行政合同!$L$6:$CC$300,12,0)</f>
        <v>173110.5</v>
      </c>
      <c r="X271" s="102">
        <f>VLOOKUP(L271,行政合同!$L$6:$CC$300,13,0)</f>
        <v>0</v>
      </c>
      <c r="Y271" s="102">
        <f>VLOOKUP(L271,行政合同!$L$6:$CC$300,14,0)</f>
        <v>0</v>
      </c>
      <c r="Z271" s="102" t="str">
        <f>VLOOKUP(L271,行政合同!$L$6:$CC$300,15,0)</f>
        <v>10%质量保证金，验收合格后12个月支付</v>
      </c>
      <c r="AA271" s="102">
        <f>VLOOKUP(L271,行政合同!$L$6:$CC$300,16,0)</f>
        <v>19234.5</v>
      </c>
      <c r="AB271" s="102">
        <f>VLOOKUP(L271,行政合同!$L$6:$CC$300,17,0)</f>
        <v>0</v>
      </c>
      <c r="AC271" s="102">
        <f>VLOOKUP(L271,行政合同!$L$6:$CC$300,18,0)</f>
        <v>0</v>
      </c>
      <c r="AD271" s="102">
        <f>VLOOKUP(L271,行政合同!$L$6:$CC$300,19,0)</f>
        <v>0</v>
      </c>
      <c r="AE271" s="102">
        <f>VLOOKUP(L271,行政合同!$L$6:$CC$300,20,0)</f>
        <v>0</v>
      </c>
      <c r="AF271" s="102">
        <f>VLOOKUP(L271,行政合同!$L$6:$CC$300,21,0)</f>
        <v>0</v>
      </c>
      <c r="AG271" s="102">
        <f>VLOOKUP(L271,行政合同!$L$6:$CC$300,22,0)</f>
        <v>0</v>
      </c>
      <c r="AH271" s="102">
        <f>VLOOKUP(L271,行政合同!$L$6:$CC$300,23,0)</f>
        <v>0</v>
      </c>
      <c r="AI271" s="102">
        <f>VLOOKUP(L271,行政合同!$L$6:$CC$300,24,0)</f>
        <v>0</v>
      </c>
      <c r="AJ271" s="102">
        <f>VLOOKUP(L271,行政合同!$L$6:$CC$300,25,0)</f>
        <v>0</v>
      </c>
      <c r="AK271" s="102">
        <f>VLOOKUP(L271,行政合同!$L$6:$CC$300,26,0)</f>
        <v>0</v>
      </c>
      <c r="AL271" s="102">
        <f>VLOOKUP(L271,行政合同!$L$6:$CC$300,27,0)</f>
        <v>0</v>
      </c>
      <c r="AM271" s="102">
        <f>VLOOKUP(L271,行政合同!$L$6:$CC$300,28,0)</f>
        <v>0</v>
      </c>
      <c r="AN271" s="102">
        <f>VLOOKUP(L271,行政合同!$L$6:$CC$300,29,0)</f>
        <v>0</v>
      </c>
      <c r="AO271" s="102">
        <f>VLOOKUP(L271,行政合同!$L$6:$CC$300,30,0)</f>
        <v>0</v>
      </c>
      <c r="AP271" s="102">
        <f>VLOOKUP(L271,行政合同!$L$6:$CC$300,31,0)</f>
        <v>0</v>
      </c>
      <c r="AQ271" s="102">
        <f>VLOOKUP(L271,行政合同!$L$6:$CC$300,32,0)</f>
        <v>0</v>
      </c>
      <c r="AR271" s="102">
        <f>VLOOKUP(L271,行政合同!$L$6:$CC$300,33,0)</f>
        <v>0</v>
      </c>
      <c r="AS271" s="102">
        <f>VLOOKUP(L271,行政合同!$L$6:$CC$300,34,0)</f>
        <v>0</v>
      </c>
      <c r="AT271" s="102">
        <f>VLOOKUP(L271,行政合同!$L$6:$CC$300,35,0)</f>
        <v>0</v>
      </c>
      <c r="AU271" s="102">
        <f>VLOOKUP(L271,行政合同!$L$6:$CC$300,36,0)</f>
        <v>0</v>
      </c>
      <c r="AV271" s="102">
        <f>VLOOKUP(L271,行政合同!$L$6:$CC$300,37,0)</f>
        <v>0</v>
      </c>
      <c r="AW271" s="102">
        <f>VLOOKUP(L271,行政合同!$L$6:$CC$300,38,0)</f>
        <v>0</v>
      </c>
      <c r="AX271" s="102">
        <f>VLOOKUP(L271,行政合同!$L$6:$CC$300,39,0)</f>
        <v>0</v>
      </c>
      <c r="AY271" s="102">
        <f>VLOOKUP(L271,行政合同!$L$6:$CC$300,40,0)</f>
        <v>0</v>
      </c>
      <c r="AZ271" s="102">
        <f>VLOOKUP(L271,行政合同!$L$6:$CC$300,41,0)</f>
        <v>0</v>
      </c>
      <c r="BA271" s="102">
        <f>VLOOKUP(L271,行政合同!$L$6:$CC$300,42,0)</f>
        <v>0</v>
      </c>
      <c r="BB271" s="102">
        <f>VLOOKUP(L271,行政合同!$L$6:$CC$300,43,0)</f>
        <v>0</v>
      </c>
      <c r="BC271" s="102">
        <f>VLOOKUP(L271,行政合同!$L$6:$CC$300,44,0)</f>
        <v>0</v>
      </c>
      <c r="BD271" s="102">
        <f>VLOOKUP(L271,行政合同!$L$6:$CC$300,45,0)</f>
        <v>0</v>
      </c>
      <c r="BE271" s="102">
        <f>VLOOKUP(L271,行政合同!$L$6:$CC$300,46,0)</f>
        <v>0</v>
      </c>
      <c r="BF271" s="102">
        <f>VLOOKUP(L271,行政合同!$L$6:$CC$300,47,0)</f>
        <v>0</v>
      </c>
      <c r="BG271" s="102">
        <f>VLOOKUP(L271,行政合同!$L$6:$CC$300,48,0)</f>
        <v>0</v>
      </c>
      <c r="BH271" s="102">
        <f>VLOOKUP(L271,行政合同!$L$6:$CC$300,49,0)</f>
        <v>0</v>
      </c>
      <c r="BI271" s="102">
        <f>VLOOKUP(L271,行政合同!$L$6:$CC$300,50,0)</f>
        <v>0</v>
      </c>
      <c r="BJ271" s="102">
        <f>VLOOKUP(L271,行政合同!$L$6:$CC$300,51,0)</f>
        <v>0</v>
      </c>
      <c r="BK271" s="102">
        <f>VLOOKUP(L271,行政合同!$L$6:$CC$300,52,0)</f>
        <v>0</v>
      </c>
      <c r="BL271" s="102">
        <f>VLOOKUP(L271,行政合同!$L$6:$CC$300,53,0)</f>
        <v>0</v>
      </c>
      <c r="BM271" s="102">
        <f>VLOOKUP(L271,行政合同!$L$6:$CC$300,54,0)</f>
        <v>0</v>
      </c>
      <c r="BN271" s="102">
        <f>VLOOKUP(L271,行政合同!$L$6:$CC$300,55,0)</f>
        <v>0</v>
      </c>
      <c r="BO271" s="102">
        <f>VLOOKUP(L271,行政合同!$L$6:$CC$300,56,0)</f>
        <v>0</v>
      </c>
      <c r="BP271" s="102">
        <f>VLOOKUP(L271,行政合同!$L$6:$CC$300,57,0)</f>
        <v>0</v>
      </c>
      <c r="BQ271" s="102">
        <f>VLOOKUP(L271,行政合同!$L$6:$CC$300,58,0)</f>
        <v>0</v>
      </c>
      <c r="BR271" s="102">
        <f>VLOOKUP(L271,行政合同!$L$6:$CC$300,59,0)</f>
        <v>0</v>
      </c>
      <c r="BS271" s="102">
        <f>VLOOKUP(L271,行政合同!$L$6:$CC$300,60,0)</f>
        <v>0</v>
      </c>
      <c r="BT271" s="102">
        <f>VLOOKUP(L271,行政合同!$L$6:$CC$300,61,0)</f>
        <v>0</v>
      </c>
      <c r="BU271" s="102">
        <f>VLOOKUP(L271,行政合同!$L$6:$CC$300,62,0)</f>
        <v>0</v>
      </c>
      <c r="BV271" s="102">
        <f>VLOOKUP(L271,行政合同!$L$6:$CC$300,63,0)</f>
        <v>0</v>
      </c>
      <c r="BW271" s="102">
        <f>VLOOKUP(L271,行政合同!$L$6:$CC$300,64,0)</f>
        <v>0</v>
      </c>
      <c r="BX271" s="102">
        <f>VLOOKUP(L271,行政合同!$L$6:$CC$300,65,0)</f>
        <v>0</v>
      </c>
      <c r="BY271" s="102">
        <f>VLOOKUP(L271,行政合同!$L$6:$CC$300,66,0)</f>
        <v>0</v>
      </c>
      <c r="BZ271" s="102">
        <f>VLOOKUP(L271,行政合同!$L$6:$CC$300,67,0)</f>
        <v>0</v>
      </c>
      <c r="CA271" s="102">
        <f>VLOOKUP(L271,行政合同!$L$6:$CC$300,68,0)</f>
        <v>0</v>
      </c>
      <c r="CB271" s="102">
        <f>VLOOKUP(L271,行政合同!$L$6:$CC$300,69,0)</f>
        <v>0</v>
      </c>
      <c r="CC271" s="102">
        <f>VLOOKUP(L271,行政合同!$L$6:$CC$300,70,0)</f>
        <v>0</v>
      </c>
      <c r="CD271" s="123">
        <f t="shared" si="66"/>
        <v>192345</v>
      </c>
      <c r="CE271" s="102">
        <f t="shared" si="67"/>
        <v>0</v>
      </c>
      <c r="CF271" s="102">
        <f t="shared" si="68"/>
        <v>0</v>
      </c>
      <c r="CG271" s="102">
        <f t="shared" si="69"/>
        <v>0</v>
      </c>
      <c r="CH271" s="124">
        <f t="shared" si="70"/>
        <v>192345</v>
      </c>
      <c r="CI271" s="125">
        <f t="shared" si="71"/>
        <v>0</v>
      </c>
      <c r="CJ271" s="126" t="str">
        <f t="shared" si="72"/>
        <v>数据正确</v>
      </c>
    </row>
    <row r="272" s="60" customFormat="1" customHeight="1" spans="2:88">
      <c r="B272" s="70" t="str">
        <f t="shared" si="62"/>
        <v>-</v>
      </c>
      <c r="C272" s="71" t="str">
        <f t="shared" si="63"/>
        <v>已付清</v>
      </c>
      <c r="D272" s="181">
        <f t="shared" si="64"/>
        <v>450000</v>
      </c>
      <c r="E272" s="181">
        <f>SUMIF(行政合同!$L$6:$L$300,L272,行政合同!$E$6:$E$300)</f>
        <v>0</v>
      </c>
      <c r="F272" s="181">
        <f>SUMIF(行政合同!$L$6:$L$300,L272,行政合同!$F$6:$F$300)</f>
        <v>0</v>
      </c>
      <c r="G272" s="181">
        <f>SUMIF(行政合同!$L$6:$L$300,L272,行政合同!$G$6:$G$300)</f>
        <v>0</v>
      </c>
      <c r="H272" s="181">
        <f>SUMIF(行政合同!$L$6:$L$300,L272,行政合同!$H$6:$H$300)</f>
        <v>0</v>
      </c>
      <c r="I272" s="181">
        <f t="shared" si="65"/>
        <v>0</v>
      </c>
      <c r="J272" s="86" t="s">
        <v>98</v>
      </c>
      <c r="K272" s="87"/>
      <c r="L272" s="88">
        <v>267</v>
      </c>
      <c r="M272" s="89" t="str">
        <f>VLOOKUP(L272,行政合同!$L$6:$CC$300,2,0)</f>
        <v>YRKJXZ-170038</v>
      </c>
      <c r="N272" s="90" t="str">
        <f>VLOOKUP(L272,行政合同!$L$6:$CC$300,3,0)</f>
        <v>行政合同</v>
      </c>
      <c r="O272" s="265" t="str">
        <f>VLOOKUP(L272,行政合同!$L$6:$CC$300,4,0)</f>
        <v>-</v>
      </c>
      <c r="P272" s="266">
        <f>VLOOKUP(L272,行政合同!$L$6:$CC$300,5,0)</f>
        <v>42992</v>
      </c>
      <c r="Q272" s="275">
        <f>VLOOKUP(L272,行政合同!$L$6:$CC$300,6,0)</f>
        <v>450000</v>
      </c>
      <c r="R272" s="89" t="str">
        <f>VLOOKUP(L272,行政合同!$L$6:$CC$300,7,0)</f>
        <v>金龙客车47座</v>
      </c>
      <c r="S272" s="89" t="str">
        <f>VLOOKUP(L272,行政合同!$L$6:$CC$300,8,0)</f>
        <v>福建省琪龙经贸发展有限公司</v>
      </c>
      <c r="T272" s="107">
        <f>VLOOKUP(L272,行政合同!$L$6:$CC$300,9,0)</f>
        <v>0</v>
      </c>
      <c r="U272" s="103" t="str">
        <f>VLOOKUP(L272,行政合同!$L$6:$CC$300,10,0)</f>
        <v>电汇</v>
      </c>
      <c r="V272" s="276" t="str">
        <f>VLOOKUP(L272,行政合同!$L$6:$CC$300,11,0)</f>
        <v>提车前一次性支付</v>
      </c>
      <c r="W272" s="102">
        <f>VLOOKUP(L272,行政合同!$L$6:$CC$300,12,0)</f>
        <v>450000</v>
      </c>
      <c r="X272" s="102">
        <f>VLOOKUP(L272,行政合同!$L$6:$CC$300,13,0)</f>
        <v>450000</v>
      </c>
      <c r="Y272" s="102">
        <f>VLOOKUP(L272,行政合同!$L$6:$CC$300,14,0)</f>
        <v>450000</v>
      </c>
      <c r="Z272" s="102">
        <f>VLOOKUP(L272,行政合同!$L$6:$CC$300,15,0)</f>
        <v>0</v>
      </c>
      <c r="AA272" s="102">
        <f>VLOOKUP(L272,行政合同!$L$6:$CC$300,16,0)</f>
        <v>0</v>
      </c>
      <c r="AB272" s="102">
        <f>VLOOKUP(L272,行政合同!$L$6:$CC$300,17,0)</f>
        <v>0</v>
      </c>
      <c r="AC272" s="102">
        <f>VLOOKUP(L272,行政合同!$L$6:$CC$300,18,0)</f>
        <v>0</v>
      </c>
      <c r="AD272" s="102">
        <f>VLOOKUP(L272,行政合同!$L$6:$CC$300,19,0)</f>
        <v>0</v>
      </c>
      <c r="AE272" s="102">
        <f>VLOOKUP(L272,行政合同!$L$6:$CC$300,20,0)</f>
        <v>0</v>
      </c>
      <c r="AF272" s="102">
        <f>VLOOKUP(L272,行政合同!$L$6:$CC$300,21,0)</f>
        <v>0</v>
      </c>
      <c r="AG272" s="102">
        <f>VLOOKUP(L272,行政合同!$L$6:$CC$300,22,0)</f>
        <v>0</v>
      </c>
      <c r="AH272" s="102">
        <f>VLOOKUP(L272,行政合同!$L$6:$CC$300,23,0)</f>
        <v>0</v>
      </c>
      <c r="AI272" s="102">
        <f>VLOOKUP(L272,行政合同!$L$6:$CC$300,24,0)</f>
        <v>0</v>
      </c>
      <c r="AJ272" s="102">
        <f>VLOOKUP(L272,行政合同!$L$6:$CC$300,25,0)</f>
        <v>0</v>
      </c>
      <c r="AK272" s="102">
        <f>VLOOKUP(L272,行政合同!$L$6:$CC$300,26,0)</f>
        <v>0</v>
      </c>
      <c r="AL272" s="102">
        <f>VLOOKUP(L272,行政合同!$L$6:$CC$300,27,0)</f>
        <v>0</v>
      </c>
      <c r="AM272" s="102">
        <f>VLOOKUP(L272,行政合同!$L$6:$CC$300,28,0)</f>
        <v>0</v>
      </c>
      <c r="AN272" s="102">
        <f>VLOOKUP(L272,行政合同!$L$6:$CC$300,29,0)</f>
        <v>0</v>
      </c>
      <c r="AO272" s="102">
        <f>VLOOKUP(L272,行政合同!$L$6:$CC$300,30,0)</f>
        <v>0</v>
      </c>
      <c r="AP272" s="102">
        <f>VLOOKUP(L272,行政合同!$L$6:$CC$300,31,0)</f>
        <v>0</v>
      </c>
      <c r="AQ272" s="102">
        <f>VLOOKUP(L272,行政合同!$L$6:$CC$300,32,0)</f>
        <v>0</v>
      </c>
      <c r="AR272" s="102">
        <f>VLOOKUP(L272,行政合同!$L$6:$CC$300,33,0)</f>
        <v>0</v>
      </c>
      <c r="AS272" s="102">
        <f>VLOOKUP(L272,行政合同!$L$6:$CC$300,34,0)</f>
        <v>0</v>
      </c>
      <c r="AT272" s="102">
        <f>VLOOKUP(L272,行政合同!$L$6:$CC$300,35,0)</f>
        <v>0</v>
      </c>
      <c r="AU272" s="102">
        <f>VLOOKUP(L272,行政合同!$L$6:$CC$300,36,0)</f>
        <v>0</v>
      </c>
      <c r="AV272" s="102">
        <f>VLOOKUP(L272,行政合同!$L$6:$CC$300,37,0)</f>
        <v>0</v>
      </c>
      <c r="AW272" s="102">
        <f>VLOOKUP(L272,行政合同!$L$6:$CC$300,38,0)</f>
        <v>0</v>
      </c>
      <c r="AX272" s="102">
        <f>VLOOKUP(L272,行政合同!$L$6:$CC$300,39,0)</f>
        <v>0</v>
      </c>
      <c r="AY272" s="102">
        <f>VLOOKUP(L272,行政合同!$L$6:$CC$300,40,0)</f>
        <v>0</v>
      </c>
      <c r="AZ272" s="102">
        <f>VLOOKUP(L272,行政合同!$L$6:$CC$300,41,0)</f>
        <v>0</v>
      </c>
      <c r="BA272" s="102">
        <f>VLOOKUP(L272,行政合同!$L$6:$CC$300,42,0)</f>
        <v>0</v>
      </c>
      <c r="BB272" s="102">
        <f>VLOOKUP(L272,行政合同!$L$6:$CC$300,43,0)</f>
        <v>0</v>
      </c>
      <c r="BC272" s="102">
        <f>VLOOKUP(L272,行政合同!$L$6:$CC$300,44,0)</f>
        <v>0</v>
      </c>
      <c r="BD272" s="102">
        <f>VLOOKUP(L272,行政合同!$L$6:$CC$300,45,0)</f>
        <v>0</v>
      </c>
      <c r="BE272" s="102">
        <f>VLOOKUP(L272,行政合同!$L$6:$CC$300,46,0)</f>
        <v>0</v>
      </c>
      <c r="BF272" s="102">
        <f>VLOOKUP(L272,行政合同!$L$6:$CC$300,47,0)</f>
        <v>0</v>
      </c>
      <c r="BG272" s="102">
        <f>VLOOKUP(L272,行政合同!$L$6:$CC$300,48,0)</f>
        <v>0</v>
      </c>
      <c r="BH272" s="102">
        <f>VLOOKUP(L272,行政合同!$L$6:$CC$300,49,0)</f>
        <v>0</v>
      </c>
      <c r="BI272" s="102">
        <f>VLOOKUP(L272,行政合同!$L$6:$CC$300,50,0)</f>
        <v>0</v>
      </c>
      <c r="BJ272" s="102">
        <f>VLOOKUP(L272,行政合同!$L$6:$CC$300,51,0)</f>
        <v>0</v>
      </c>
      <c r="BK272" s="102">
        <f>VLOOKUP(L272,行政合同!$L$6:$CC$300,52,0)</f>
        <v>0</v>
      </c>
      <c r="BL272" s="102">
        <f>VLOOKUP(L272,行政合同!$L$6:$CC$300,53,0)</f>
        <v>0</v>
      </c>
      <c r="BM272" s="102">
        <f>VLOOKUP(L272,行政合同!$L$6:$CC$300,54,0)</f>
        <v>0</v>
      </c>
      <c r="BN272" s="102">
        <f>VLOOKUP(L272,行政合同!$L$6:$CC$300,55,0)</f>
        <v>0</v>
      </c>
      <c r="BO272" s="102">
        <f>VLOOKUP(L272,行政合同!$L$6:$CC$300,56,0)</f>
        <v>0</v>
      </c>
      <c r="BP272" s="102">
        <f>VLOOKUP(L272,行政合同!$L$6:$CC$300,57,0)</f>
        <v>0</v>
      </c>
      <c r="BQ272" s="102">
        <f>VLOOKUP(L272,行政合同!$L$6:$CC$300,58,0)</f>
        <v>0</v>
      </c>
      <c r="BR272" s="102">
        <f>VLOOKUP(L272,行政合同!$L$6:$CC$300,59,0)</f>
        <v>0</v>
      </c>
      <c r="BS272" s="102">
        <f>VLOOKUP(L272,行政合同!$L$6:$CC$300,60,0)</f>
        <v>0</v>
      </c>
      <c r="BT272" s="102">
        <f>VLOOKUP(L272,行政合同!$L$6:$CC$300,61,0)</f>
        <v>0</v>
      </c>
      <c r="BU272" s="102">
        <f>VLOOKUP(L272,行政合同!$L$6:$CC$300,62,0)</f>
        <v>0</v>
      </c>
      <c r="BV272" s="102">
        <f>VLOOKUP(L272,行政合同!$L$6:$CC$300,63,0)</f>
        <v>0</v>
      </c>
      <c r="BW272" s="102">
        <f>VLOOKUP(L272,行政合同!$L$6:$CC$300,64,0)</f>
        <v>0</v>
      </c>
      <c r="BX272" s="102">
        <f>VLOOKUP(L272,行政合同!$L$6:$CC$300,65,0)</f>
        <v>0</v>
      </c>
      <c r="BY272" s="102">
        <f>VLOOKUP(L272,行政合同!$L$6:$CC$300,66,0)</f>
        <v>0</v>
      </c>
      <c r="BZ272" s="102">
        <f>VLOOKUP(L272,行政合同!$L$6:$CC$300,67,0)</f>
        <v>0</v>
      </c>
      <c r="CA272" s="102">
        <f>VLOOKUP(L272,行政合同!$L$6:$CC$300,68,0)</f>
        <v>0</v>
      </c>
      <c r="CB272" s="102">
        <f>VLOOKUP(L272,行政合同!$L$6:$CC$300,69,0)</f>
        <v>0</v>
      </c>
      <c r="CC272" s="102">
        <f>VLOOKUP(L272,行政合同!$L$6:$CC$300,70,0)</f>
        <v>0</v>
      </c>
      <c r="CD272" s="123">
        <f t="shared" si="66"/>
        <v>450000</v>
      </c>
      <c r="CE272" s="102">
        <f t="shared" si="67"/>
        <v>450000</v>
      </c>
      <c r="CF272" s="102">
        <f t="shared" si="68"/>
        <v>450000</v>
      </c>
      <c r="CG272" s="102">
        <f t="shared" si="69"/>
        <v>0</v>
      </c>
      <c r="CH272" s="124">
        <f t="shared" si="70"/>
        <v>0</v>
      </c>
      <c r="CI272" s="125">
        <f t="shared" si="71"/>
        <v>1</v>
      </c>
      <c r="CJ272" s="126" t="str">
        <f t="shared" si="72"/>
        <v>数据正确</v>
      </c>
    </row>
    <row r="273" s="60" customFormat="1" customHeight="1" spans="2:88">
      <c r="B273" s="70" t="str">
        <f t="shared" si="62"/>
        <v>-</v>
      </c>
      <c r="C273" s="71" t="str">
        <f t="shared" si="63"/>
        <v>-</v>
      </c>
      <c r="D273" s="181">
        <f t="shared" si="64"/>
        <v>0</v>
      </c>
      <c r="E273" s="181">
        <f>SUMIF(材料合同!$L$6:$L$305,L273,材料合同!$E$6:$E$305)</f>
        <v>0</v>
      </c>
      <c r="F273" s="181">
        <f>SUMIF(材料合同!$L$6:$L$305,L273,材料合同!$F$6:$F$305)</f>
        <v>0</v>
      </c>
      <c r="G273" s="181">
        <f>SUMIF(材料合同!$L$6:$L$305,L273,材料合同!$G$6:$G$305)</f>
        <v>0</v>
      </c>
      <c r="H273" s="181">
        <f>SUMIF(材料合同!$L$6:$L$305,L273,材料合同!$H$6:$H$305)</f>
        <v>0</v>
      </c>
      <c r="I273" s="181">
        <f t="shared" si="65"/>
        <v>0</v>
      </c>
      <c r="J273" s="86" t="s">
        <v>98</v>
      </c>
      <c r="K273" s="87"/>
      <c r="L273" s="88">
        <v>268</v>
      </c>
      <c r="M273" s="89" t="str">
        <f>VLOOKUP(L273,材料合同!$L$6:$CC$305,2,0)</f>
        <v>YRKJGC-170036</v>
      </c>
      <c r="N273" s="90" t="str">
        <f>VLOOKUP(L273,材料合同!$L$6:$CC$305,3,0)</f>
        <v>材料合同</v>
      </c>
      <c r="O273" s="265">
        <f>VLOOKUP(L273,材料合同!$L$6:$CC$305,4,0)</f>
        <v>2017060093</v>
      </c>
      <c r="P273" s="266">
        <f>VLOOKUP(L273,材料合同!$L$6:$CC$305,5,0)</f>
        <v>42948</v>
      </c>
      <c r="Q273" s="275">
        <f>VLOOKUP(L273,材料合同!$L$6:$CC$305,6,0)</f>
        <v>264000</v>
      </c>
      <c r="R273" s="89" t="str">
        <f>VLOOKUP(L273,材料合同!$L$6:$CC$305,7,0)</f>
        <v>不锈钢阀门</v>
      </c>
      <c r="S273" s="89" t="str">
        <f>VLOOKUP(L273,材料合同!$L$6:$CC$305,8,0)</f>
        <v>安徽铜都流体科技股份有限公司</v>
      </c>
      <c r="T273" s="107">
        <f>VLOOKUP(L273,材料合同!$L$6:$CC$305,9,0)</f>
        <v>0</v>
      </c>
      <c r="U273" s="103" t="str">
        <f>VLOOKUP(L273,材料合同!$L$6:$CC$305,10,0)</f>
        <v>6个月承兑汇票/电汇按189150元</v>
      </c>
      <c r="V273" s="276" t="str">
        <f>VLOOKUP(L273,材料合同!$L$6:$CC$305,11,0)</f>
        <v>货到交货点验收合格，收到全额发票后，支付95%</v>
      </c>
      <c r="W273" s="102">
        <f>VLOOKUP(L273,材料合同!$L$6:$CC$305,12,0)</f>
        <v>226650</v>
      </c>
      <c r="X273" s="102">
        <f>VLOOKUP(L273,材料合同!$L$6:$CC$305,13,0)</f>
        <v>0</v>
      </c>
      <c r="Y273" s="102">
        <f>VLOOKUP(L273,材料合同!$L$6:$CC$305,14,0)</f>
        <v>0</v>
      </c>
      <c r="Z273" s="102" t="str">
        <f>VLOOKUP(L273,材料合同!$L$6:$CC$305,15,0)</f>
        <v>5%质保金，自验收合格，满12月或货到现场19个月支付</v>
      </c>
      <c r="AA273" s="102">
        <f>VLOOKUP(L273,材料合同!$L$6:$CC$305,16,0)</f>
        <v>30450</v>
      </c>
      <c r="AB273" s="102">
        <f>VLOOKUP(L273,材料合同!$L$6:$CC$305,17,0)</f>
        <v>0</v>
      </c>
      <c r="AC273" s="102">
        <f>VLOOKUP(L273,材料合同!$L$6:$CC$305,18,0)</f>
        <v>0</v>
      </c>
      <c r="AD273" s="102">
        <f>VLOOKUP(L273,材料合同!$L$6:$CC$305,19,0)</f>
        <v>0</v>
      </c>
      <c r="AE273" s="102">
        <f>VLOOKUP(L273,材料合同!$L$6:$CC$305,20,0)</f>
        <v>6900</v>
      </c>
      <c r="AF273" s="102">
        <f>VLOOKUP(L273,材料合同!$L$6:$CC$305,21,0)</f>
        <v>0</v>
      </c>
      <c r="AG273" s="102">
        <f>VLOOKUP(L273,材料合同!$L$6:$CC$305,22,0)</f>
        <v>0</v>
      </c>
      <c r="AH273" s="102">
        <f>VLOOKUP(L273,材料合同!$L$6:$CC$305,23,0)</f>
        <v>0</v>
      </c>
      <c r="AI273" s="102">
        <f>VLOOKUP(L273,材料合同!$L$6:$CC$305,24,0)</f>
        <v>0</v>
      </c>
      <c r="AJ273" s="102">
        <f>VLOOKUP(L273,材料合同!$L$6:$CC$305,25,0)</f>
        <v>0</v>
      </c>
      <c r="AK273" s="102">
        <f>VLOOKUP(L273,材料合同!$L$6:$CC$305,26,0)</f>
        <v>0</v>
      </c>
      <c r="AL273" s="102">
        <f>VLOOKUP(L273,材料合同!$L$6:$CC$305,27,0)</f>
        <v>0</v>
      </c>
      <c r="AM273" s="102">
        <f>VLOOKUP(L273,材料合同!$L$6:$CC$305,28,0)</f>
        <v>0</v>
      </c>
      <c r="AN273" s="102">
        <f>VLOOKUP(L273,材料合同!$L$6:$CC$305,29,0)</f>
        <v>0</v>
      </c>
      <c r="AO273" s="102">
        <f>VLOOKUP(L273,材料合同!$L$6:$CC$305,30,0)</f>
        <v>0</v>
      </c>
      <c r="AP273" s="102">
        <f>VLOOKUP(L273,材料合同!$L$6:$CC$305,31,0)</f>
        <v>0</v>
      </c>
      <c r="AQ273" s="102">
        <f>VLOOKUP(L273,材料合同!$L$6:$CC$305,32,0)</f>
        <v>0</v>
      </c>
      <c r="AR273" s="102">
        <f>VLOOKUP(L273,材料合同!$L$6:$CC$305,33,0)</f>
        <v>0</v>
      </c>
      <c r="AS273" s="102">
        <f>VLOOKUP(L273,材料合同!$L$6:$CC$305,34,0)</f>
        <v>0</v>
      </c>
      <c r="AT273" s="102">
        <f>VLOOKUP(L273,材料合同!$L$6:$CC$305,35,0)</f>
        <v>0</v>
      </c>
      <c r="AU273" s="102">
        <f>VLOOKUP(L273,材料合同!$L$6:$CC$305,36,0)</f>
        <v>0</v>
      </c>
      <c r="AV273" s="102">
        <f>VLOOKUP(L273,材料合同!$L$6:$CC$305,37,0)</f>
        <v>0</v>
      </c>
      <c r="AW273" s="102">
        <f>VLOOKUP(L273,材料合同!$L$6:$CC$305,38,0)</f>
        <v>0</v>
      </c>
      <c r="AX273" s="102">
        <f>VLOOKUP(L273,材料合同!$L$6:$CC$305,39,0)</f>
        <v>0</v>
      </c>
      <c r="AY273" s="102">
        <f>VLOOKUP(L273,材料合同!$L$6:$CC$305,40,0)</f>
        <v>0</v>
      </c>
      <c r="AZ273" s="102">
        <f>VLOOKUP(L273,材料合同!$L$6:$CC$305,41,0)</f>
        <v>0</v>
      </c>
      <c r="BA273" s="102">
        <f>VLOOKUP(L273,材料合同!$L$6:$CC$305,42,0)</f>
        <v>0</v>
      </c>
      <c r="BB273" s="102">
        <f>VLOOKUP(L273,材料合同!$L$6:$CC$305,43,0)</f>
        <v>0</v>
      </c>
      <c r="BC273" s="102">
        <f>VLOOKUP(L273,材料合同!$L$6:$CC$305,44,0)</f>
        <v>0</v>
      </c>
      <c r="BD273" s="102">
        <f>VLOOKUP(L273,材料合同!$L$6:$CC$305,45,0)</f>
        <v>0</v>
      </c>
      <c r="BE273" s="102">
        <f>VLOOKUP(L273,材料合同!$L$6:$CC$305,46,0)</f>
        <v>0</v>
      </c>
      <c r="BF273" s="102">
        <f>VLOOKUP(L273,材料合同!$L$6:$CC$305,47,0)</f>
        <v>0</v>
      </c>
      <c r="BG273" s="102">
        <f>VLOOKUP(L273,材料合同!$L$6:$CC$305,48,0)</f>
        <v>0</v>
      </c>
      <c r="BH273" s="102">
        <f>VLOOKUP(L273,材料合同!$L$6:$CC$305,49,0)</f>
        <v>0</v>
      </c>
      <c r="BI273" s="102">
        <f>VLOOKUP(L273,材料合同!$L$6:$CC$305,50,0)</f>
        <v>0</v>
      </c>
      <c r="BJ273" s="102">
        <f>VLOOKUP(L273,材料合同!$L$6:$CC$305,51,0)</f>
        <v>0</v>
      </c>
      <c r="BK273" s="102">
        <f>VLOOKUP(L273,材料合同!$L$6:$CC$305,52,0)</f>
        <v>0</v>
      </c>
      <c r="BL273" s="102">
        <f>VLOOKUP(L273,材料合同!$L$6:$CC$305,53,0)</f>
        <v>0</v>
      </c>
      <c r="BM273" s="102">
        <f>VLOOKUP(L273,材料合同!$L$6:$CC$305,54,0)</f>
        <v>0</v>
      </c>
      <c r="BN273" s="102">
        <f>VLOOKUP(L273,材料合同!$L$6:$CC$305,55,0)</f>
        <v>0</v>
      </c>
      <c r="BO273" s="102">
        <f>VLOOKUP(L273,材料合同!$L$6:$CC$305,56,0)</f>
        <v>0</v>
      </c>
      <c r="BP273" s="102">
        <f>VLOOKUP(L273,材料合同!$L$6:$CC$305,57,0)</f>
        <v>0</v>
      </c>
      <c r="BQ273" s="102">
        <f>VLOOKUP(L273,材料合同!$L$6:$CC$305,58,0)</f>
        <v>0</v>
      </c>
      <c r="BR273" s="102">
        <f>VLOOKUP(L273,材料合同!$L$6:$CC$305,59,0)</f>
        <v>0</v>
      </c>
      <c r="BS273" s="102">
        <f>VLOOKUP(L273,材料合同!$L$6:$CC$305,60,0)</f>
        <v>0</v>
      </c>
      <c r="BT273" s="102">
        <f>VLOOKUP(L273,材料合同!$L$6:$CC$305,61,0)</f>
        <v>0</v>
      </c>
      <c r="BU273" s="102">
        <f>VLOOKUP(L273,材料合同!$L$6:$CC$305,62,0)</f>
        <v>0</v>
      </c>
      <c r="BV273" s="102">
        <f>VLOOKUP(L273,材料合同!$L$6:$CC$305,63,0)</f>
        <v>0</v>
      </c>
      <c r="BW273" s="102">
        <f>VLOOKUP(L273,材料合同!$L$6:$CC$305,64,0)</f>
        <v>0</v>
      </c>
      <c r="BX273" s="102">
        <f>VLOOKUP(L273,材料合同!$L$6:$CC$305,65,0)</f>
        <v>0</v>
      </c>
      <c r="BY273" s="102">
        <f>VLOOKUP(L273,材料合同!$L$6:$CC$305,66,0)</f>
        <v>0</v>
      </c>
      <c r="BZ273" s="102">
        <f>VLOOKUP(L273,材料合同!$L$6:$CC$305,67,0)</f>
        <v>0</v>
      </c>
      <c r="CA273" s="102">
        <f>VLOOKUP(L273,材料合同!$L$6:$CC$305,68,0)</f>
        <v>0</v>
      </c>
      <c r="CB273" s="102">
        <f>VLOOKUP(L273,材料合同!$L$6:$CC$305,69,0)</f>
        <v>0</v>
      </c>
      <c r="CC273" s="102">
        <f>VLOOKUP(L273,材料合同!$L$6:$CC$305,70,0)</f>
        <v>0</v>
      </c>
      <c r="CD273" s="123">
        <f t="shared" si="66"/>
        <v>264000</v>
      </c>
      <c r="CE273" s="102">
        <f t="shared" si="67"/>
        <v>0</v>
      </c>
      <c r="CF273" s="102">
        <f t="shared" si="68"/>
        <v>0</v>
      </c>
      <c r="CG273" s="102">
        <f t="shared" si="69"/>
        <v>0</v>
      </c>
      <c r="CH273" s="124">
        <f t="shared" si="70"/>
        <v>264000</v>
      </c>
      <c r="CI273" s="125">
        <f t="shared" si="71"/>
        <v>0</v>
      </c>
      <c r="CJ273" s="126" t="str">
        <f t="shared" si="72"/>
        <v>数据正确</v>
      </c>
    </row>
    <row r="274" s="60" customFormat="1" customHeight="1" spans="2:88">
      <c r="B274" s="70" t="str">
        <f t="shared" si="62"/>
        <v>-</v>
      </c>
      <c r="C274" s="71" t="str">
        <f t="shared" si="63"/>
        <v>-</v>
      </c>
      <c r="D274" s="181">
        <f t="shared" si="64"/>
        <v>0</v>
      </c>
      <c r="E274" s="181">
        <f>SUMIF(材料合同!$L$6:$L$305,L274,材料合同!$E$6:$E$305)</f>
        <v>0</v>
      </c>
      <c r="F274" s="181">
        <f>SUMIF(材料合同!$L$6:$L$305,L274,材料合同!$F$6:$F$305)</f>
        <v>0</v>
      </c>
      <c r="G274" s="181">
        <f>SUMIF(材料合同!$L$6:$L$305,L274,材料合同!$G$6:$G$305)</f>
        <v>0</v>
      </c>
      <c r="H274" s="181">
        <f>SUMIF(材料合同!$L$6:$L$305,L274,材料合同!$H$6:$H$305)</f>
        <v>0</v>
      </c>
      <c r="I274" s="181">
        <f t="shared" si="65"/>
        <v>0</v>
      </c>
      <c r="J274" s="86" t="s">
        <v>98</v>
      </c>
      <c r="K274" s="87"/>
      <c r="L274" s="88">
        <v>269</v>
      </c>
      <c r="M274" s="89" t="str">
        <f>VLOOKUP(L274,材料合同!$L$6:$CC$305,2,0)</f>
        <v>YRKJGC-170040</v>
      </c>
      <c r="N274" s="90" t="str">
        <f>VLOOKUP(L274,材料合同!$L$6:$CC$305,3,0)</f>
        <v>材料合同</v>
      </c>
      <c r="O274" s="265">
        <f>VLOOKUP(L274,材料合同!$L$6:$CC$305,4,0)</f>
        <v>2017070074</v>
      </c>
      <c r="P274" s="266">
        <f>VLOOKUP(L274,材料合同!$L$6:$CC$305,5,0)</f>
        <v>42968</v>
      </c>
      <c r="Q274" s="275">
        <f>VLOOKUP(L274,材料合同!$L$6:$CC$305,6,0)</f>
        <v>206610</v>
      </c>
      <c r="R274" s="89" t="str">
        <f>VLOOKUP(L274,材料合同!$L$6:$CC$305,7,0)</f>
        <v>法兰、垫片、螺铨</v>
      </c>
      <c r="S274" s="89" t="str">
        <f>VLOOKUP(L274,材料合同!$L$6:$CC$305,8,0)</f>
        <v>大通互惠集团有限公司</v>
      </c>
      <c r="T274" s="107">
        <f>VLOOKUP(L274,材料合同!$L$6:$CC$305,9,0)</f>
        <v>0</v>
      </c>
      <c r="U274" s="103" t="str">
        <f>VLOOKUP(L274,材料合同!$L$6:$CC$305,10,0)</f>
        <v>电汇</v>
      </c>
      <c r="V274" s="276" t="str">
        <f>VLOOKUP(L274,材料合同!$L$6:$CC$305,11,0)</f>
        <v>货到交货点验收合格，收到全额发票后，支付95%</v>
      </c>
      <c r="W274" s="102">
        <f>VLOOKUP(L274,材料合同!$L$6:$CC$305,12,0)</f>
        <v>196279.5</v>
      </c>
      <c r="X274" s="102">
        <f>VLOOKUP(L274,材料合同!$L$6:$CC$305,13,0)</f>
        <v>0</v>
      </c>
      <c r="Y274" s="102">
        <f>VLOOKUP(L274,材料合同!$L$6:$CC$305,14,0)</f>
        <v>0</v>
      </c>
      <c r="Z274" s="102" t="str">
        <f>VLOOKUP(L274,材料合同!$L$6:$CC$305,15,0)</f>
        <v>5%质保金，自验收合格，满12月或货到现场19个月支付</v>
      </c>
      <c r="AA274" s="102">
        <f>VLOOKUP(L274,材料合同!$L$6:$CC$305,16,0)</f>
        <v>10330.5</v>
      </c>
      <c r="AB274" s="102">
        <f>VLOOKUP(L274,材料合同!$L$6:$CC$305,17,0)</f>
        <v>0</v>
      </c>
      <c r="AC274" s="102">
        <f>VLOOKUP(L274,材料合同!$L$6:$CC$305,18,0)</f>
        <v>0</v>
      </c>
      <c r="AD274" s="102">
        <f>VLOOKUP(L274,材料合同!$L$6:$CC$305,19,0)</f>
        <v>0</v>
      </c>
      <c r="AE274" s="102">
        <f>VLOOKUP(L274,材料合同!$L$6:$CC$305,20,0)</f>
        <v>0</v>
      </c>
      <c r="AF274" s="102">
        <f>VLOOKUP(L274,材料合同!$L$6:$CC$305,21,0)</f>
        <v>0</v>
      </c>
      <c r="AG274" s="102">
        <f>VLOOKUP(L274,材料合同!$L$6:$CC$305,22,0)</f>
        <v>0</v>
      </c>
      <c r="AH274" s="102">
        <f>VLOOKUP(L274,材料合同!$L$6:$CC$305,23,0)</f>
        <v>0</v>
      </c>
      <c r="AI274" s="102">
        <f>VLOOKUP(L274,材料合同!$L$6:$CC$305,24,0)</f>
        <v>0</v>
      </c>
      <c r="AJ274" s="102">
        <f>VLOOKUP(L274,材料合同!$L$6:$CC$305,25,0)</f>
        <v>0</v>
      </c>
      <c r="AK274" s="102">
        <f>VLOOKUP(L274,材料合同!$L$6:$CC$305,26,0)</f>
        <v>0</v>
      </c>
      <c r="AL274" s="102">
        <f>VLOOKUP(L274,材料合同!$L$6:$CC$305,27,0)</f>
        <v>0</v>
      </c>
      <c r="AM274" s="102">
        <f>VLOOKUP(L274,材料合同!$L$6:$CC$305,28,0)</f>
        <v>0</v>
      </c>
      <c r="AN274" s="102">
        <f>VLOOKUP(L274,材料合同!$L$6:$CC$305,29,0)</f>
        <v>0</v>
      </c>
      <c r="AO274" s="102">
        <f>VLOOKUP(L274,材料合同!$L$6:$CC$305,30,0)</f>
        <v>0</v>
      </c>
      <c r="AP274" s="102">
        <f>VLOOKUP(L274,材料合同!$L$6:$CC$305,31,0)</f>
        <v>0</v>
      </c>
      <c r="AQ274" s="102">
        <f>VLOOKUP(L274,材料合同!$L$6:$CC$305,32,0)</f>
        <v>0</v>
      </c>
      <c r="AR274" s="102">
        <f>VLOOKUP(L274,材料合同!$L$6:$CC$305,33,0)</f>
        <v>0</v>
      </c>
      <c r="AS274" s="102">
        <f>VLOOKUP(L274,材料合同!$L$6:$CC$305,34,0)</f>
        <v>0</v>
      </c>
      <c r="AT274" s="102">
        <f>VLOOKUP(L274,材料合同!$L$6:$CC$305,35,0)</f>
        <v>0</v>
      </c>
      <c r="AU274" s="102">
        <f>VLOOKUP(L274,材料合同!$L$6:$CC$305,36,0)</f>
        <v>0</v>
      </c>
      <c r="AV274" s="102">
        <f>VLOOKUP(L274,材料合同!$L$6:$CC$305,37,0)</f>
        <v>0</v>
      </c>
      <c r="AW274" s="102">
        <f>VLOOKUP(L274,材料合同!$L$6:$CC$305,38,0)</f>
        <v>0</v>
      </c>
      <c r="AX274" s="102">
        <f>VLOOKUP(L274,材料合同!$L$6:$CC$305,39,0)</f>
        <v>0</v>
      </c>
      <c r="AY274" s="102">
        <f>VLOOKUP(L274,材料合同!$L$6:$CC$305,40,0)</f>
        <v>0</v>
      </c>
      <c r="AZ274" s="102">
        <f>VLOOKUP(L274,材料合同!$L$6:$CC$305,41,0)</f>
        <v>0</v>
      </c>
      <c r="BA274" s="102">
        <f>VLOOKUP(L274,材料合同!$L$6:$CC$305,42,0)</f>
        <v>0</v>
      </c>
      <c r="BB274" s="102">
        <f>VLOOKUP(L274,材料合同!$L$6:$CC$305,43,0)</f>
        <v>0</v>
      </c>
      <c r="BC274" s="102">
        <f>VLOOKUP(L274,材料合同!$L$6:$CC$305,44,0)</f>
        <v>0</v>
      </c>
      <c r="BD274" s="102">
        <f>VLOOKUP(L274,材料合同!$L$6:$CC$305,45,0)</f>
        <v>0</v>
      </c>
      <c r="BE274" s="102">
        <f>VLOOKUP(L274,材料合同!$L$6:$CC$305,46,0)</f>
        <v>0</v>
      </c>
      <c r="BF274" s="102">
        <f>VLOOKUP(L274,材料合同!$L$6:$CC$305,47,0)</f>
        <v>0</v>
      </c>
      <c r="BG274" s="102">
        <f>VLOOKUP(L274,材料合同!$L$6:$CC$305,48,0)</f>
        <v>0</v>
      </c>
      <c r="BH274" s="102">
        <f>VLOOKUP(L274,材料合同!$L$6:$CC$305,49,0)</f>
        <v>0</v>
      </c>
      <c r="BI274" s="102">
        <f>VLOOKUP(L274,材料合同!$L$6:$CC$305,50,0)</f>
        <v>0</v>
      </c>
      <c r="BJ274" s="102">
        <f>VLOOKUP(L274,材料合同!$L$6:$CC$305,51,0)</f>
        <v>0</v>
      </c>
      <c r="BK274" s="102">
        <f>VLOOKUP(L274,材料合同!$L$6:$CC$305,52,0)</f>
        <v>0</v>
      </c>
      <c r="BL274" s="102">
        <f>VLOOKUP(L274,材料合同!$L$6:$CC$305,53,0)</f>
        <v>0</v>
      </c>
      <c r="BM274" s="102">
        <f>VLOOKUP(L274,材料合同!$L$6:$CC$305,54,0)</f>
        <v>0</v>
      </c>
      <c r="BN274" s="102">
        <f>VLOOKUP(L274,材料合同!$L$6:$CC$305,55,0)</f>
        <v>0</v>
      </c>
      <c r="BO274" s="102">
        <f>VLOOKUP(L274,材料合同!$L$6:$CC$305,56,0)</f>
        <v>0</v>
      </c>
      <c r="BP274" s="102">
        <f>VLOOKUP(L274,材料合同!$L$6:$CC$305,57,0)</f>
        <v>0</v>
      </c>
      <c r="BQ274" s="102">
        <f>VLOOKUP(L274,材料合同!$L$6:$CC$305,58,0)</f>
        <v>0</v>
      </c>
      <c r="BR274" s="102">
        <f>VLOOKUP(L274,材料合同!$L$6:$CC$305,59,0)</f>
        <v>0</v>
      </c>
      <c r="BS274" s="102">
        <f>VLOOKUP(L274,材料合同!$L$6:$CC$305,60,0)</f>
        <v>0</v>
      </c>
      <c r="BT274" s="102">
        <f>VLOOKUP(L274,材料合同!$L$6:$CC$305,61,0)</f>
        <v>0</v>
      </c>
      <c r="BU274" s="102">
        <f>VLOOKUP(L274,材料合同!$L$6:$CC$305,62,0)</f>
        <v>0</v>
      </c>
      <c r="BV274" s="102">
        <f>VLOOKUP(L274,材料合同!$L$6:$CC$305,63,0)</f>
        <v>0</v>
      </c>
      <c r="BW274" s="102">
        <f>VLOOKUP(L274,材料合同!$L$6:$CC$305,64,0)</f>
        <v>0</v>
      </c>
      <c r="BX274" s="102">
        <f>VLOOKUP(L274,材料合同!$L$6:$CC$305,65,0)</f>
        <v>0</v>
      </c>
      <c r="BY274" s="102">
        <f>VLOOKUP(L274,材料合同!$L$6:$CC$305,66,0)</f>
        <v>0</v>
      </c>
      <c r="BZ274" s="102">
        <f>VLOOKUP(L274,材料合同!$L$6:$CC$305,67,0)</f>
        <v>0</v>
      </c>
      <c r="CA274" s="102">
        <f>VLOOKUP(L274,材料合同!$L$6:$CC$305,68,0)</f>
        <v>0</v>
      </c>
      <c r="CB274" s="102">
        <f>VLOOKUP(L274,材料合同!$L$6:$CC$305,69,0)</f>
        <v>0</v>
      </c>
      <c r="CC274" s="102">
        <f>VLOOKUP(L274,材料合同!$L$6:$CC$305,70,0)</f>
        <v>0</v>
      </c>
      <c r="CD274" s="123">
        <f t="shared" si="66"/>
        <v>206610</v>
      </c>
      <c r="CE274" s="102">
        <f t="shared" si="67"/>
        <v>0</v>
      </c>
      <c r="CF274" s="102">
        <f t="shared" si="68"/>
        <v>0</v>
      </c>
      <c r="CG274" s="102">
        <f t="shared" si="69"/>
        <v>0</v>
      </c>
      <c r="CH274" s="124">
        <f t="shared" si="70"/>
        <v>206610</v>
      </c>
      <c r="CI274" s="125">
        <f t="shared" si="71"/>
        <v>0</v>
      </c>
      <c r="CJ274" s="126" t="str">
        <f t="shared" si="72"/>
        <v>数据正确</v>
      </c>
    </row>
    <row r="275" s="60" customFormat="1" customHeight="1" spans="2:88">
      <c r="B275" s="70" t="str">
        <f t="shared" si="62"/>
        <v>-</v>
      </c>
      <c r="C275" s="71" t="str">
        <f t="shared" si="63"/>
        <v>-</v>
      </c>
      <c r="D275" s="181">
        <f t="shared" si="64"/>
        <v>3360000</v>
      </c>
      <c r="E275" s="181">
        <f>SUMIF(材料合同!$L$6:$L$305,L275,材料合同!$E$6:$E$305)</f>
        <v>0</v>
      </c>
      <c r="F275" s="181">
        <f>SUMIF(材料合同!$L$6:$L$305,L275,材料合同!$F$6:$F$305)</f>
        <v>0</v>
      </c>
      <c r="G275" s="181">
        <f>SUMIF(材料合同!$L$6:$L$305,L275,材料合同!$G$6:$G$305)</f>
        <v>0</v>
      </c>
      <c r="H275" s="181">
        <f>SUMIF(材料合同!$L$6:$L$305,L275,材料合同!$H$6:$H$305)</f>
        <v>0</v>
      </c>
      <c r="I275" s="181">
        <f t="shared" si="65"/>
        <v>0</v>
      </c>
      <c r="J275" s="86" t="s">
        <v>98</v>
      </c>
      <c r="K275" s="87"/>
      <c r="L275" s="88">
        <v>270</v>
      </c>
      <c r="M275" s="89" t="str">
        <f>VLOOKUP(L275,材料合同!$L$6:$CC$305,2,0)</f>
        <v>YRKJGC-170050</v>
      </c>
      <c r="N275" s="90" t="str">
        <f>VLOOKUP(L275,材料合同!$L$6:$CC$305,3,0)</f>
        <v>材料合同</v>
      </c>
      <c r="O275" s="265">
        <f>VLOOKUP(L275,材料合同!$L$6:$CC$305,4,0)</f>
        <v>0</v>
      </c>
      <c r="P275" s="266">
        <f>VLOOKUP(L275,材料合同!$L$6:$CC$305,5,0)</f>
        <v>42979</v>
      </c>
      <c r="Q275" s="275">
        <f>VLOOKUP(L275,材料合同!$L$6:$CC$305,6,0)</f>
        <v>4200000</v>
      </c>
      <c r="R275" s="89" t="str">
        <f>VLOOKUP(L275,材料合同!$L$6:$CC$305,7,0)</f>
        <v>焊接钢管</v>
      </c>
      <c r="S275" s="89" t="str">
        <f>VLOOKUP(L275,材料合同!$L$6:$CC$305,8,0)</f>
        <v>厦门天亮不锈钢销售有限公司</v>
      </c>
      <c r="T275" s="107" t="str">
        <f>VLOOKUP(L275,材料合同!$L$6:$CC$305,9,0)</f>
        <v>全厂给排水管网、全厂工艺及供热外管</v>
      </c>
      <c r="U275" s="103" t="str">
        <f>VLOOKUP(L275,材料合同!$L$6:$CC$305,10,0)</f>
        <v>电汇</v>
      </c>
      <c r="V275" s="276" t="str">
        <f>VLOOKUP(L275,材料合同!$L$6:$CC$305,11,0)</f>
        <v>甲方到乙方检验合格，签发发货同意书，收到全额17%专票，支付80%货款；乙方提供10%履约保函</v>
      </c>
      <c r="W275" s="102">
        <f>VLOOKUP(L275,材料合同!$L$6:$CC$305,12,0)</f>
        <v>3360000</v>
      </c>
      <c r="X275" s="102">
        <f>VLOOKUP(L275,材料合同!$L$6:$CC$305,13,0)</f>
        <v>3360000</v>
      </c>
      <c r="Y275" s="102">
        <f>VLOOKUP(L275,材料合同!$L$6:$CC$305,14,0)</f>
        <v>3360000</v>
      </c>
      <c r="Z275" s="102" t="str">
        <f>VLOOKUP(L275,材料合同!$L$6:$CC$305,15,0)</f>
        <v>甲方材料到货验收完成，审查认可后30日内支付15%验收款</v>
      </c>
      <c r="AA275" s="102">
        <f>VLOOKUP(L275,材料合同!$L$6:$CC$305,16,0)</f>
        <v>630000</v>
      </c>
      <c r="AB275" s="102">
        <f>VLOOKUP(L275,材料合同!$L$6:$CC$305,17,0)</f>
        <v>0</v>
      </c>
      <c r="AC275" s="102">
        <f>VLOOKUP(L275,材料合同!$L$6:$CC$305,18,0)</f>
        <v>0</v>
      </c>
      <c r="AD275" s="102" t="str">
        <f>VLOOKUP(L275,材料合同!$L$6:$CC$305,19,0)</f>
        <v>5%质保金，自验收合格，满12月或货到现场18个月支付</v>
      </c>
      <c r="AE275" s="102">
        <f>VLOOKUP(L275,材料合同!$L$6:$CC$305,20,0)</f>
        <v>210000</v>
      </c>
      <c r="AF275" s="102">
        <f>VLOOKUP(L275,材料合同!$L$6:$CC$305,21,0)</f>
        <v>0</v>
      </c>
      <c r="AG275" s="102">
        <f>VLOOKUP(L275,材料合同!$L$6:$CC$305,22,0)</f>
        <v>0</v>
      </c>
      <c r="AH275" s="102">
        <f>VLOOKUP(L275,材料合同!$L$6:$CC$305,23,0)</f>
        <v>0</v>
      </c>
      <c r="AI275" s="102">
        <f>VLOOKUP(L275,材料合同!$L$6:$CC$305,24,0)</f>
        <v>0</v>
      </c>
      <c r="AJ275" s="102">
        <f>VLOOKUP(L275,材料合同!$L$6:$CC$305,25,0)</f>
        <v>0</v>
      </c>
      <c r="AK275" s="102">
        <f>VLOOKUP(L275,材料合同!$L$6:$CC$305,26,0)</f>
        <v>0</v>
      </c>
      <c r="AL275" s="102">
        <f>VLOOKUP(L275,材料合同!$L$6:$CC$305,27,0)</f>
        <v>0</v>
      </c>
      <c r="AM275" s="102">
        <f>VLOOKUP(L275,材料合同!$L$6:$CC$305,28,0)</f>
        <v>0</v>
      </c>
      <c r="AN275" s="102">
        <f>VLOOKUP(L275,材料合同!$L$6:$CC$305,29,0)</f>
        <v>0</v>
      </c>
      <c r="AO275" s="102">
        <f>VLOOKUP(L275,材料合同!$L$6:$CC$305,30,0)</f>
        <v>0</v>
      </c>
      <c r="AP275" s="102">
        <f>VLOOKUP(L275,材料合同!$L$6:$CC$305,31,0)</f>
        <v>0</v>
      </c>
      <c r="AQ275" s="102">
        <f>VLOOKUP(L275,材料合同!$L$6:$CC$305,32,0)</f>
        <v>0</v>
      </c>
      <c r="AR275" s="102">
        <f>VLOOKUP(L275,材料合同!$L$6:$CC$305,33,0)</f>
        <v>0</v>
      </c>
      <c r="AS275" s="102">
        <f>VLOOKUP(L275,材料合同!$L$6:$CC$305,34,0)</f>
        <v>0</v>
      </c>
      <c r="AT275" s="102">
        <f>VLOOKUP(L275,材料合同!$L$6:$CC$305,35,0)</f>
        <v>0</v>
      </c>
      <c r="AU275" s="102">
        <f>VLOOKUP(L275,材料合同!$L$6:$CC$305,36,0)</f>
        <v>0</v>
      </c>
      <c r="AV275" s="102">
        <f>VLOOKUP(L275,材料合同!$L$6:$CC$305,37,0)</f>
        <v>0</v>
      </c>
      <c r="AW275" s="102">
        <f>VLOOKUP(L275,材料合同!$L$6:$CC$305,38,0)</f>
        <v>0</v>
      </c>
      <c r="AX275" s="102">
        <f>VLOOKUP(L275,材料合同!$L$6:$CC$305,39,0)</f>
        <v>0</v>
      </c>
      <c r="AY275" s="102">
        <f>VLOOKUP(L275,材料合同!$L$6:$CC$305,40,0)</f>
        <v>0</v>
      </c>
      <c r="AZ275" s="102">
        <f>VLOOKUP(L275,材料合同!$L$6:$CC$305,41,0)</f>
        <v>0</v>
      </c>
      <c r="BA275" s="102">
        <f>VLOOKUP(L275,材料合同!$L$6:$CC$305,42,0)</f>
        <v>0</v>
      </c>
      <c r="BB275" s="102">
        <f>VLOOKUP(L275,材料合同!$L$6:$CC$305,43,0)</f>
        <v>0</v>
      </c>
      <c r="BC275" s="102">
        <f>VLOOKUP(L275,材料合同!$L$6:$CC$305,44,0)</f>
        <v>0</v>
      </c>
      <c r="BD275" s="102">
        <f>VLOOKUP(L275,材料合同!$L$6:$CC$305,45,0)</f>
        <v>0</v>
      </c>
      <c r="BE275" s="102">
        <f>VLOOKUP(L275,材料合同!$L$6:$CC$305,46,0)</f>
        <v>0</v>
      </c>
      <c r="BF275" s="102">
        <f>VLOOKUP(L275,材料合同!$L$6:$CC$305,47,0)</f>
        <v>0</v>
      </c>
      <c r="BG275" s="102">
        <f>VLOOKUP(L275,材料合同!$L$6:$CC$305,48,0)</f>
        <v>0</v>
      </c>
      <c r="BH275" s="102">
        <f>VLOOKUP(L275,材料合同!$L$6:$CC$305,49,0)</f>
        <v>0</v>
      </c>
      <c r="BI275" s="102">
        <f>VLOOKUP(L275,材料合同!$L$6:$CC$305,50,0)</f>
        <v>0</v>
      </c>
      <c r="BJ275" s="102">
        <f>VLOOKUP(L275,材料合同!$L$6:$CC$305,51,0)</f>
        <v>0</v>
      </c>
      <c r="BK275" s="102">
        <f>VLOOKUP(L275,材料合同!$L$6:$CC$305,52,0)</f>
        <v>0</v>
      </c>
      <c r="BL275" s="102">
        <f>VLOOKUP(L275,材料合同!$L$6:$CC$305,53,0)</f>
        <v>0</v>
      </c>
      <c r="BM275" s="102">
        <f>VLOOKUP(L275,材料合同!$L$6:$CC$305,54,0)</f>
        <v>0</v>
      </c>
      <c r="BN275" s="102">
        <f>VLOOKUP(L275,材料合同!$L$6:$CC$305,55,0)</f>
        <v>0</v>
      </c>
      <c r="BO275" s="102">
        <f>VLOOKUP(L275,材料合同!$L$6:$CC$305,56,0)</f>
        <v>0</v>
      </c>
      <c r="BP275" s="102">
        <f>VLOOKUP(L275,材料合同!$L$6:$CC$305,57,0)</f>
        <v>0</v>
      </c>
      <c r="BQ275" s="102">
        <f>VLOOKUP(L275,材料合同!$L$6:$CC$305,58,0)</f>
        <v>0</v>
      </c>
      <c r="BR275" s="102">
        <f>VLOOKUP(L275,材料合同!$L$6:$CC$305,59,0)</f>
        <v>0</v>
      </c>
      <c r="BS275" s="102">
        <f>VLOOKUP(L275,材料合同!$L$6:$CC$305,60,0)</f>
        <v>0</v>
      </c>
      <c r="BT275" s="102">
        <f>VLOOKUP(L275,材料合同!$L$6:$CC$305,61,0)</f>
        <v>0</v>
      </c>
      <c r="BU275" s="102">
        <f>VLOOKUP(L275,材料合同!$L$6:$CC$305,62,0)</f>
        <v>0</v>
      </c>
      <c r="BV275" s="102">
        <f>VLOOKUP(L275,材料合同!$L$6:$CC$305,63,0)</f>
        <v>0</v>
      </c>
      <c r="BW275" s="102">
        <f>VLOOKUP(L275,材料合同!$L$6:$CC$305,64,0)</f>
        <v>0</v>
      </c>
      <c r="BX275" s="102">
        <f>VLOOKUP(L275,材料合同!$L$6:$CC$305,65,0)</f>
        <v>0</v>
      </c>
      <c r="BY275" s="102">
        <f>VLOOKUP(L275,材料合同!$L$6:$CC$305,66,0)</f>
        <v>0</v>
      </c>
      <c r="BZ275" s="102">
        <f>VLOOKUP(L275,材料合同!$L$6:$CC$305,67,0)</f>
        <v>0</v>
      </c>
      <c r="CA275" s="102">
        <f>VLOOKUP(L275,材料合同!$L$6:$CC$305,68,0)</f>
        <v>0</v>
      </c>
      <c r="CB275" s="102">
        <f>VLOOKUP(L275,材料合同!$L$6:$CC$305,69,0)</f>
        <v>0</v>
      </c>
      <c r="CC275" s="102">
        <f>VLOOKUP(L275,材料合同!$L$6:$CC$305,70,0)</f>
        <v>0</v>
      </c>
      <c r="CD275" s="123">
        <f t="shared" si="66"/>
        <v>4200000</v>
      </c>
      <c r="CE275" s="102">
        <f t="shared" si="67"/>
        <v>3360000</v>
      </c>
      <c r="CF275" s="102">
        <f t="shared" si="68"/>
        <v>3360000</v>
      </c>
      <c r="CG275" s="102">
        <f t="shared" si="69"/>
        <v>0</v>
      </c>
      <c r="CH275" s="124">
        <f t="shared" si="70"/>
        <v>840000</v>
      </c>
      <c r="CI275" s="125">
        <f t="shared" si="71"/>
        <v>0.8</v>
      </c>
      <c r="CJ275" s="126" t="str">
        <f t="shared" si="72"/>
        <v>数据正确</v>
      </c>
    </row>
    <row r="276" s="60" customFormat="1" customHeight="1" spans="2:88">
      <c r="B276" s="70" t="str">
        <f t="shared" si="62"/>
        <v>申请中</v>
      </c>
      <c r="C276" s="71" t="str">
        <f t="shared" si="63"/>
        <v>-</v>
      </c>
      <c r="D276" s="181">
        <f t="shared" si="64"/>
        <v>2880000</v>
      </c>
      <c r="E276" s="181">
        <f>SUMIF(材料合同!$L$6:$L$305,L276,材料合同!$E$6:$E$305)</f>
        <v>0</v>
      </c>
      <c r="F276" s="181">
        <f>SUMIF(材料合同!$L$6:$L$305,L276,材料合同!$F$6:$F$305)</f>
        <v>0</v>
      </c>
      <c r="G276" s="181">
        <f>SUMIF(材料合同!$L$6:$L$305,L276,材料合同!$G$6:$G$305)</f>
        <v>0</v>
      </c>
      <c r="H276" s="181">
        <f>SUMIF(材料合同!$L$6:$L$305,L276,材料合同!$H$6:$H$305)</f>
        <v>0</v>
      </c>
      <c r="I276" s="181">
        <f t="shared" si="65"/>
        <v>540000</v>
      </c>
      <c r="J276" s="86" t="s">
        <v>98</v>
      </c>
      <c r="K276" s="87"/>
      <c r="L276" s="88">
        <v>271</v>
      </c>
      <c r="M276" s="89" t="str">
        <f>VLOOKUP(L276,材料合同!$L$6:$CC$305,2,0)</f>
        <v>YRKJGC-170049</v>
      </c>
      <c r="N276" s="90" t="str">
        <f>VLOOKUP(L276,材料合同!$L$6:$CC$305,3,0)</f>
        <v>材料合同</v>
      </c>
      <c r="O276" s="265">
        <f>VLOOKUP(L276,材料合同!$L$6:$CC$305,4,0)</f>
        <v>0</v>
      </c>
      <c r="P276" s="266">
        <f>VLOOKUP(L276,材料合同!$L$6:$CC$305,5,0)</f>
        <v>42979</v>
      </c>
      <c r="Q276" s="275">
        <f>VLOOKUP(L276,材料合同!$L$6:$CC$305,6,0)</f>
        <v>3600000</v>
      </c>
      <c r="R276" s="89" t="str">
        <f>VLOOKUP(L276,材料合同!$L$6:$CC$305,7,0)</f>
        <v>无缝钢管</v>
      </c>
      <c r="S276" s="89" t="str">
        <f>VLOOKUP(L276,材料合同!$L$6:$CC$305,8,0)</f>
        <v>厦门天亮不锈钢销售有限公司</v>
      </c>
      <c r="T276" s="107">
        <f>VLOOKUP(L276,材料合同!$L$6:$CC$305,9,0)</f>
        <v>0</v>
      </c>
      <c r="U276" s="103" t="str">
        <f>VLOOKUP(L276,材料合同!$L$6:$CC$305,10,0)</f>
        <v>电汇</v>
      </c>
      <c r="V276" s="276" t="str">
        <f>VLOOKUP(L276,材料合同!$L$6:$CC$305,11,0)</f>
        <v>甲方到乙方检验合格，签发发货同意书，收到全额17%专票，支付80%货款；乙方提供10%履约保函</v>
      </c>
      <c r="W276" s="102">
        <f>VLOOKUP(L276,材料合同!$L$6:$CC$305,12,0)</f>
        <v>2880000</v>
      </c>
      <c r="X276" s="102">
        <f>VLOOKUP(L276,材料合同!$L$6:$CC$305,13,0)</f>
        <v>2880000</v>
      </c>
      <c r="Y276" s="102">
        <f>VLOOKUP(L276,材料合同!$L$6:$CC$305,14,0)</f>
        <v>2880000</v>
      </c>
      <c r="Z276" s="102" t="str">
        <f>VLOOKUP(L276,材料合同!$L$6:$CC$305,15,0)</f>
        <v>甲方材料到货验收完成，审查认可后30日内支付15%验收款</v>
      </c>
      <c r="AA276" s="102">
        <f>VLOOKUP(L276,材料合同!$L$6:$CC$305,16,0)</f>
        <v>540000</v>
      </c>
      <c r="AB276" s="102">
        <f>VLOOKUP(L276,材料合同!$L$6:$CC$305,17,0)</f>
        <v>540000</v>
      </c>
      <c r="AC276" s="102">
        <f>VLOOKUP(L276,材料合同!$L$6:$CC$305,18,0)</f>
        <v>0</v>
      </c>
      <c r="AD276" s="102" t="str">
        <f>VLOOKUP(L276,材料合同!$L$6:$CC$305,19,0)</f>
        <v>5%质保金，自验收合格，满12月或货到现场18个月支付</v>
      </c>
      <c r="AE276" s="102">
        <f>VLOOKUP(L276,材料合同!$L$6:$CC$305,20,0)</f>
        <v>180000</v>
      </c>
      <c r="AF276" s="102">
        <f>VLOOKUP(L276,材料合同!$L$6:$CC$305,21,0)</f>
        <v>0</v>
      </c>
      <c r="AG276" s="102">
        <f>VLOOKUP(L276,材料合同!$L$6:$CC$305,22,0)</f>
        <v>0</v>
      </c>
      <c r="AH276" s="102">
        <f>VLOOKUP(L276,材料合同!$L$6:$CC$305,23,0)</f>
        <v>0</v>
      </c>
      <c r="AI276" s="102">
        <f>VLOOKUP(L276,材料合同!$L$6:$CC$305,24,0)</f>
        <v>0</v>
      </c>
      <c r="AJ276" s="102">
        <f>VLOOKUP(L276,材料合同!$L$6:$CC$305,25,0)</f>
        <v>0</v>
      </c>
      <c r="AK276" s="102">
        <f>VLOOKUP(L276,材料合同!$L$6:$CC$305,26,0)</f>
        <v>0</v>
      </c>
      <c r="AL276" s="102">
        <f>VLOOKUP(L276,材料合同!$L$6:$CC$305,27,0)</f>
        <v>0</v>
      </c>
      <c r="AM276" s="102">
        <f>VLOOKUP(L276,材料合同!$L$6:$CC$305,28,0)</f>
        <v>0</v>
      </c>
      <c r="AN276" s="102">
        <f>VLOOKUP(L276,材料合同!$L$6:$CC$305,29,0)</f>
        <v>0</v>
      </c>
      <c r="AO276" s="102">
        <f>VLOOKUP(L276,材料合同!$L$6:$CC$305,30,0)</f>
        <v>0</v>
      </c>
      <c r="AP276" s="102">
        <f>VLOOKUP(L276,材料合同!$L$6:$CC$305,31,0)</f>
        <v>0</v>
      </c>
      <c r="AQ276" s="102">
        <f>VLOOKUP(L276,材料合同!$L$6:$CC$305,32,0)</f>
        <v>0</v>
      </c>
      <c r="AR276" s="102">
        <f>VLOOKUP(L276,材料合同!$L$6:$CC$305,33,0)</f>
        <v>0</v>
      </c>
      <c r="AS276" s="102">
        <f>VLOOKUP(L276,材料合同!$L$6:$CC$305,34,0)</f>
        <v>0</v>
      </c>
      <c r="AT276" s="102">
        <f>VLOOKUP(L276,材料合同!$L$6:$CC$305,35,0)</f>
        <v>0</v>
      </c>
      <c r="AU276" s="102">
        <f>VLOOKUP(L276,材料合同!$L$6:$CC$305,36,0)</f>
        <v>0</v>
      </c>
      <c r="AV276" s="102">
        <f>VLOOKUP(L276,材料合同!$L$6:$CC$305,37,0)</f>
        <v>0</v>
      </c>
      <c r="AW276" s="102">
        <f>VLOOKUP(L276,材料合同!$L$6:$CC$305,38,0)</f>
        <v>0</v>
      </c>
      <c r="AX276" s="102">
        <f>VLOOKUP(L276,材料合同!$L$6:$CC$305,39,0)</f>
        <v>0</v>
      </c>
      <c r="AY276" s="102">
        <f>VLOOKUP(L276,材料合同!$L$6:$CC$305,40,0)</f>
        <v>0</v>
      </c>
      <c r="AZ276" s="102">
        <f>VLOOKUP(L276,材料合同!$L$6:$CC$305,41,0)</f>
        <v>0</v>
      </c>
      <c r="BA276" s="102">
        <f>VLOOKUP(L276,材料合同!$L$6:$CC$305,42,0)</f>
        <v>0</v>
      </c>
      <c r="BB276" s="102">
        <f>VLOOKUP(L276,材料合同!$L$6:$CC$305,43,0)</f>
        <v>0</v>
      </c>
      <c r="BC276" s="102">
        <f>VLOOKUP(L276,材料合同!$L$6:$CC$305,44,0)</f>
        <v>0</v>
      </c>
      <c r="BD276" s="102">
        <f>VLOOKUP(L276,材料合同!$L$6:$CC$305,45,0)</f>
        <v>0</v>
      </c>
      <c r="BE276" s="102">
        <f>VLOOKUP(L276,材料合同!$L$6:$CC$305,46,0)</f>
        <v>0</v>
      </c>
      <c r="BF276" s="102">
        <f>VLOOKUP(L276,材料合同!$L$6:$CC$305,47,0)</f>
        <v>0</v>
      </c>
      <c r="BG276" s="102">
        <f>VLOOKUP(L276,材料合同!$L$6:$CC$305,48,0)</f>
        <v>0</v>
      </c>
      <c r="BH276" s="102">
        <f>VLOOKUP(L276,材料合同!$L$6:$CC$305,49,0)</f>
        <v>0</v>
      </c>
      <c r="BI276" s="102">
        <f>VLOOKUP(L276,材料合同!$L$6:$CC$305,50,0)</f>
        <v>0</v>
      </c>
      <c r="BJ276" s="102">
        <f>VLOOKUP(L276,材料合同!$L$6:$CC$305,51,0)</f>
        <v>0</v>
      </c>
      <c r="BK276" s="102">
        <f>VLOOKUP(L276,材料合同!$L$6:$CC$305,52,0)</f>
        <v>0</v>
      </c>
      <c r="BL276" s="102">
        <f>VLOOKUP(L276,材料合同!$L$6:$CC$305,53,0)</f>
        <v>0</v>
      </c>
      <c r="BM276" s="102">
        <f>VLOOKUP(L276,材料合同!$L$6:$CC$305,54,0)</f>
        <v>0</v>
      </c>
      <c r="BN276" s="102">
        <f>VLOOKUP(L276,材料合同!$L$6:$CC$305,55,0)</f>
        <v>0</v>
      </c>
      <c r="BO276" s="102">
        <f>VLOOKUP(L276,材料合同!$L$6:$CC$305,56,0)</f>
        <v>0</v>
      </c>
      <c r="BP276" s="102">
        <f>VLOOKUP(L276,材料合同!$L$6:$CC$305,57,0)</f>
        <v>0</v>
      </c>
      <c r="BQ276" s="102">
        <f>VLOOKUP(L276,材料合同!$L$6:$CC$305,58,0)</f>
        <v>0</v>
      </c>
      <c r="BR276" s="102">
        <f>VLOOKUP(L276,材料合同!$L$6:$CC$305,59,0)</f>
        <v>0</v>
      </c>
      <c r="BS276" s="102">
        <f>VLOOKUP(L276,材料合同!$L$6:$CC$305,60,0)</f>
        <v>0</v>
      </c>
      <c r="BT276" s="102">
        <f>VLOOKUP(L276,材料合同!$L$6:$CC$305,61,0)</f>
        <v>0</v>
      </c>
      <c r="BU276" s="102">
        <f>VLOOKUP(L276,材料合同!$L$6:$CC$305,62,0)</f>
        <v>0</v>
      </c>
      <c r="BV276" s="102">
        <f>VLOOKUP(L276,材料合同!$L$6:$CC$305,63,0)</f>
        <v>0</v>
      </c>
      <c r="BW276" s="102">
        <f>VLOOKUP(L276,材料合同!$L$6:$CC$305,64,0)</f>
        <v>0</v>
      </c>
      <c r="BX276" s="102">
        <f>VLOOKUP(L276,材料合同!$L$6:$CC$305,65,0)</f>
        <v>0</v>
      </c>
      <c r="BY276" s="102">
        <f>VLOOKUP(L276,材料合同!$L$6:$CC$305,66,0)</f>
        <v>0</v>
      </c>
      <c r="BZ276" s="102">
        <f>VLOOKUP(L276,材料合同!$L$6:$CC$305,67,0)</f>
        <v>0</v>
      </c>
      <c r="CA276" s="102">
        <f>VLOOKUP(L276,材料合同!$L$6:$CC$305,68,0)</f>
        <v>0</v>
      </c>
      <c r="CB276" s="102">
        <f>VLOOKUP(L276,材料合同!$L$6:$CC$305,69,0)</f>
        <v>0</v>
      </c>
      <c r="CC276" s="102">
        <f>VLOOKUP(L276,材料合同!$L$6:$CC$305,70,0)</f>
        <v>0</v>
      </c>
      <c r="CD276" s="123">
        <f t="shared" si="66"/>
        <v>3600000</v>
      </c>
      <c r="CE276" s="102">
        <f t="shared" si="67"/>
        <v>3420000</v>
      </c>
      <c r="CF276" s="102">
        <f t="shared" si="68"/>
        <v>2880000</v>
      </c>
      <c r="CG276" s="102">
        <f t="shared" si="69"/>
        <v>0</v>
      </c>
      <c r="CH276" s="124">
        <f t="shared" si="70"/>
        <v>720000</v>
      </c>
      <c r="CI276" s="125">
        <f t="shared" si="71"/>
        <v>0.8</v>
      </c>
      <c r="CJ276" s="126" t="str">
        <f t="shared" si="72"/>
        <v>数据正确</v>
      </c>
    </row>
    <row r="277" s="60" customFormat="1" customHeight="1" spans="2:88">
      <c r="B277" s="70" t="str">
        <f t="shared" si="62"/>
        <v>申请中</v>
      </c>
      <c r="C277" s="71" t="str">
        <f t="shared" si="63"/>
        <v>-</v>
      </c>
      <c r="D277" s="181">
        <f t="shared" si="64"/>
        <v>179098</v>
      </c>
      <c r="E277" s="181">
        <f>SUMIF(材料合同!$L$6:$L$305,L277,材料合同!$E$6:$E$305)</f>
        <v>0</v>
      </c>
      <c r="F277" s="181">
        <f>SUMIF(材料合同!$L$6:$L$305,L277,材料合同!$F$6:$F$305)</f>
        <v>0</v>
      </c>
      <c r="G277" s="181">
        <f>SUMIF(材料合同!$L$6:$L$305,L277,材料合同!$G$6:$G$305)</f>
        <v>0</v>
      </c>
      <c r="H277" s="181">
        <f>SUMIF(材料合同!$L$6:$L$305,L277,材料合同!$H$6:$H$305)</f>
        <v>0</v>
      </c>
      <c r="I277" s="181">
        <f t="shared" si="65"/>
        <v>112185.6</v>
      </c>
      <c r="J277" s="86" t="s">
        <v>98</v>
      </c>
      <c r="K277" s="87"/>
      <c r="L277" s="88">
        <v>272</v>
      </c>
      <c r="M277" s="89" t="str">
        <f>VLOOKUP(L277,材料合同!$L$6:$CC$305,2,0)</f>
        <v>YRKJGC-170048</v>
      </c>
      <c r="N277" s="90" t="str">
        <f>VLOOKUP(L277,材料合同!$L$6:$CC$305,3,0)</f>
        <v>材料合同</v>
      </c>
      <c r="O277" s="265" t="str">
        <f>VLOOKUP(L277,材料合同!$L$6:$CC$305,4,0)</f>
        <v>-</v>
      </c>
      <c r="P277" s="266">
        <f>VLOOKUP(L277,材料合同!$L$6:$CC$305,5,0)</f>
        <v>42980</v>
      </c>
      <c r="Q277" s="275">
        <f>VLOOKUP(L277,材料合同!$L$6:$CC$305,6,0)</f>
        <v>291283.6</v>
      </c>
      <c r="R277" s="89" t="str">
        <f>VLOOKUP(L277,材料合同!$L$6:$CC$305,7,0)</f>
        <v>地脚螺铨框架协议</v>
      </c>
      <c r="S277" s="89" t="str">
        <f>VLOOKUP(L277,材料合同!$L$6:$CC$305,8,0)</f>
        <v>泉州市中天石油化工机械制造有限公司 合计</v>
      </c>
      <c r="T277" s="107" t="str">
        <f>VLOOKUP(L277,材料合同!$L$6:$CC$305,9,0)</f>
        <v>-</v>
      </c>
      <c r="U277" s="103" t="str">
        <f>VLOOKUP(L277,材料合同!$L$6:$CC$305,10,0)</f>
        <v>电汇</v>
      </c>
      <c r="V277" s="276" t="str">
        <f>VLOOKUP(L277,材料合同!$L$6:$CC$305,11,0)</f>
        <v>甲方验收合格后，收到100%的增值税发票后支付合同100%的价款</v>
      </c>
      <c r="W277" s="102">
        <f>VLOOKUP(L277,材料合同!$L$6:$CC$305,12,0)</f>
        <v>291283.6</v>
      </c>
      <c r="X277" s="102">
        <f>VLOOKUP(L277,材料合同!$L$6:$CC$305,13,0)</f>
        <v>291283.6</v>
      </c>
      <c r="Y277" s="102">
        <f>VLOOKUP(L277,材料合同!$L$6:$CC$305,14,0)</f>
        <v>179098</v>
      </c>
      <c r="Z277" s="102">
        <f>VLOOKUP(L277,材料合同!$L$6:$CC$305,15,0)</f>
        <v>0</v>
      </c>
      <c r="AA277" s="102">
        <f>VLOOKUP(L277,材料合同!$L$6:$CC$305,16,0)</f>
        <v>0</v>
      </c>
      <c r="AB277" s="102">
        <f>VLOOKUP(L277,材料合同!$L$6:$CC$305,17,0)</f>
        <v>0</v>
      </c>
      <c r="AC277" s="102">
        <f>VLOOKUP(L277,材料合同!$L$6:$CC$305,18,0)</f>
        <v>0</v>
      </c>
      <c r="AD277" s="102">
        <f>VLOOKUP(L277,材料合同!$L$6:$CC$305,19,0)</f>
        <v>0</v>
      </c>
      <c r="AE277" s="102">
        <f>VLOOKUP(L277,材料合同!$L$6:$CC$305,20,0)</f>
        <v>0</v>
      </c>
      <c r="AF277" s="102">
        <f>VLOOKUP(L277,材料合同!$L$6:$CC$305,21,0)</f>
        <v>0</v>
      </c>
      <c r="AG277" s="102">
        <f>VLOOKUP(L277,材料合同!$L$6:$CC$305,22,0)</f>
        <v>0</v>
      </c>
      <c r="AH277" s="102">
        <f>VLOOKUP(L277,材料合同!$L$6:$CC$305,23,0)</f>
        <v>0</v>
      </c>
      <c r="AI277" s="102">
        <f>VLOOKUP(L277,材料合同!$L$6:$CC$305,24,0)</f>
        <v>0</v>
      </c>
      <c r="AJ277" s="102">
        <f>VLOOKUP(L277,材料合同!$L$6:$CC$305,25,0)</f>
        <v>0</v>
      </c>
      <c r="AK277" s="102">
        <f>VLOOKUP(L277,材料合同!$L$6:$CC$305,26,0)</f>
        <v>0</v>
      </c>
      <c r="AL277" s="102">
        <f>VLOOKUP(L277,材料合同!$L$6:$CC$305,27,0)</f>
        <v>0</v>
      </c>
      <c r="AM277" s="102">
        <f>VLOOKUP(L277,材料合同!$L$6:$CC$305,28,0)</f>
        <v>0</v>
      </c>
      <c r="AN277" s="102">
        <f>VLOOKUP(L277,材料合同!$L$6:$CC$305,29,0)</f>
        <v>0</v>
      </c>
      <c r="AO277" s="102">
        <f>VLOOKUP(L277,材料合同!$L$6:$CC$305,30,0)</f>
        <v>0</v>
      </c>
      <c r="AP277" s="102">
        <f>VLOOKUP(L277,材料合同!$L$6:$CC$305,31,0)</f>
        <v>0</v>
      </c>
      <c r="AQ277" s="102">
        <f>VLOOKUP(L277,材料合同!$L$6:$CC$305,32,0)</f>
        <v>0</v>
      </c>
      <c r="AR277" s="102">
        <f>VLOOKUP(L277,材料合同!$L$6:$CC$305,33,0)</f>
        <v>0</v>
      </c>
      <c r="AS277" s="102">
        <f>VLOOKUP(L277,材料合同!$L$6:$CC$305,34,0)</f>
        <v>0</v>
      </c>
      <c r="AT277" s="102">
        <f>VLOOKUP(L277,材料合同!$L$6:$CC$305,35,0)</f>
        <v>0</v>
      </c>
      <c r="AU277" s="102">
        <f>VLOOKUP(L277,材料合同!$L$6:$CC$305,36,0)</f>
        <v>0</v>
      </c>
      <c r="AV277" s="102">
        <f>VLOOKUP(L277,材料合同!$L$6:$CC$305,37,0)</f>
        <v>0</v>
      </c>
      <c r="AW277" s="102">
        <f>VLOOKUP(L277,材料合同!$L$6:$CC$305,38,0)</f>
        <v>0</v>
      </c>
      <c r="AX277" s="102">
        <f>VLOOKUP(L277,材料合同!$L$6:$CC$305,39,0)</f>
        <v>0</v>
      </c>
      <c r="AY277" s="102">
        <f>VLOOKUP(L277,材料合同!$L$6:$CC$305,40,0)</f>
        <v>0</v>
      </c>
      <c r="AZ277" s="102">
        <f>VLOOKUP(L277,材料合同!$L$6:$CC$305,41,0)</f>
        <v>0</v>
      </c>
      <c r="BA277" s="102">
        <f>VLOOKUP(L277,材料合同!$L$6:$CC$305,42,0)</f>
        <v>0</v>
      </c>
      <c r="BB277" s="102">
        <f>VLOOKUP(L277,材料合同!$L$6:$CC$305,43,0)</f>
        <v>0</v>
      </c>
      <c r="BC277" s="102">
        <f>VLOOKUP(L277,材料合同!$L$6:$CC$305,44,0)</f>
        <v>0</v>
      </c>
      <c r="BD277" s="102">
        <f>VLOOKUP(L277,材料合同!$L$6:$CC$305,45,0)</f>
        <v>0</v>
      </c>
      <c r="BE277" s="102">
        <f>VLOOKUP(L277,材料合同!$L$6:$CC$305,46,0)</f>
        <v>0</v>
      </c>
      <c r="BF277" s="102">
        <f>VLOOKUP(L277,材料合同!$L$6:$CC$305,47,0)</f>
        <v>0</v>
      </c>
      <c r="BG277" s="102">
        <f>VLOOKUP(L277,材料合同!$L$6:$CC$305,48,0)</f>
        <v>0</v>
      </c>
      <c r="BH277" s="102">
        <f>VLOOKUP(L277,材料合同!$L$6:$CC$305,49,0)</f>
        <v>0</v>
      </c>
      <c r="BI277" s="102">
        <f>VLOOKUP(L277,材料合同!$L$6:$CC$305,50,0)</f>
        <v>0</v>
      </c>
      <c r="BJ277" s="102">
        <f>VLOOKUP(L277,材料合同!$L$6:$CC$305,51,0)</f>
        <v>0</v>
      </c>
      <c r="BK277" s="102">
        <f>VLOOKUP(L277,材料合同!$L$6:$CC$305,52,0)</f>
        <v>0</v>
      </c>
      <c r="BL277" s="102">
        <f>VLOOKUP(L277,材料合同!$L$6:$CC$305,53,0)</f>
        <v>0</v>
      </c>
      <c r="BM277" s="102">
        <f>VLOOKUP(L277,材料合同!$L$6:$CC$305,54,0)</f>
        <v>0</v>
      </c>
      <c r="BN277" s="102">
        <f>VLOOKUP(L277,材料合同!$L$6:$CC$305,55,0)</f>
        <v>0</v>
      </c>
      <c r="BO277" s="102">
        <f>VLOOKUP(L277,材料合同!$L$6:$CC$305,56,0)</f>
        <v>0</v>
      </c>
      <c r="BP277" s="102">
        <f>VLOOKUP(L277,材料合同!$L$6:$CC$305,57,0)</f>
        <v>0</v>
      </c>
      <c r="BQ277" s="102">
        <f>VLOOKUP(L277,材料合同!$L$6:$CC$305,58,0)</f>
        <v>0</v>
      </c>
      <c r="BR277" s="102">
        <f>VLOOKUP(L277,材料合同!$L$6:$CC$305,59,0)</f>
        <v>0</v>
      </c>
      <c r="BS277" s="102">
        <f>VLOOKUP(L277,材料合同!$L$6:$CC$305,60,0)</f>
        <v>0</v>
      </c>
      <c r="BT277" s="102">
        <f>VLOOKUP(L277,材料合同!$L$6:$CC$305,61,0)</f>
        <v>0</v>
      </c>
      <c r="BU277" s="102">
        <f>VLOOKUP(L277,材料合同!$L$6:$CC$305,62,0)</f>
        <v>0</v>
      </c>
      <c r="BV277" s="102">
        <f>VLOOKUP(L277,材料合同!$L$6:$CC$305,63,0)</f>
        <v>0</v>
      </c>
      <c r="BW277" s="102">
        <f>VLOOKUP(L277,材料合同!$L$6:$CC$305,64,0)</f>
        <v>0</v>
      </c>
      <c r="BX277" s="102">
        <f>VLOOKUP(L277,材料合同!$L$6:$CC$305,65,0)</f>
        <v>0</v>
      </c>
      <c r="BY277" s="102">
        <f>VLOOKUP(L277,材料合同!$L$6:$CC$305,66,0)</f>
        <v>0</v>
      </c>
      <c r="BZ277" s="102">
        <f>VLOOKUP(L277,材料合同!$L$6:$CC$305,67,0)</f>
        <v>0</v>
      </c>
      <c r="CA277" s="102">
        <f>VLOOKUP(L277,材料合同!$L$6:$CC$305,68,0)</f>
        <v>0</v>
      </c>
      <c r="CB277" s="102">
        <f>VLOOKUP(L277,材料合同!$L$6:$CC$305,69,0)</f>
        <v>0</v>
      </c>
      <c r="CC277" s="102">
        <f>VLOOKUP(L277,材料合同!$L$6:$CC$305,70,0)</f>
        <v>0</v>
      </c>
      <c r="CD277" s="123">
        <f t="shared" si="66"/>
        <v>291283.6</v>
      </c>
      <c r="CE277" s="102">
        <f t="shared" si="67"/>
        <v>291283.6</v>
      </c>
      <c r="CF277" s="102">
        <f t="shared" si="68"/>
        <v>179098</v>
      </c>
      <c r="CG277" s="102">
        <f t="shared" si="69"/>
        <v>0</v>
      </c>
      <c r="CH277" s="124">
        <f t="shared" si="70"/>
        <v>112185.6</v>
      </c>
      <c r="CI277" s="125">
        <f t="shared" si="71"/>
        <v>0.614857822410874</v>
      </c>
      <c r="CJ277" s="126" t="str">
        <f t="shared" si="72"/>
        <v>数据正确</v>
      </c>
    </row>
    <row r="278" s="60" customFormat="1" customHeight="1" spans="2:88">
      <c r="B278" s="70" t="str">
        <f t="shared" si="62"/>
        <v>-</v>
      </c>
      <c r="C278" s="71" t="str">
        <f t="shared" si="63"/>
        <v>已付清</v>
      </c>
      <c r="D278" s="181">
        <f t="shared" si="64"/>
        <v>28000</v>
      </c>
      <c r="E278" s="181">
        <f>SUMIF(材料合同!$L$6:$L$305,L278,材料合同!$E$6:$E$305)</f>
        <v>0</v>
      </c>
      <c r="F278" s="181">
        <f>SUMIF(材料合同!$L$6:$L$305,L278,材料合同!$F$6:$F$305)</f>
        <v>0</v>
      </c>
      <c r="G278" s="181">
        <f>SUMIF(材料合同!$L$6:$L$305,L278,材料合同!$G$6:$G$305)</f>
        <v>0</v>
      </c>
      <c r="H278" s="181">
        <f>SUMIF(材料合同!$L$6:$L$305,L278,材料合同!$H$6:$H$305)</f>
        <v>0</v>
      </c>
      <c r="I278" s="181">
        <f t="shared" si="65"/>
        <v>0</v>
      </c>
      <c r="J278" s="86" t="s">
        <v>98</v>
      </c>
      <c r="K278" s="87"/>
      <c r="L278" s="88">
        <v>273</v>
      </c>
      <c r="M278" s="89" t="str">
        <f>VLOOKUP(L278,材料合同!$L$6:$CC$305,2,0)</f>
        <v>YRKJGC-170057</v>
      </c>
      <c r="N278" s="90" t="str">
        <f>VLOOKUP(L278,材料合同!$L$6:$CC$305,3,0)</f>
        <v>材料合同</v>
      </c>
      <c r="O278" s="265">
        <f>VLOOKUP(L278,材料合同!$L$6:$CC$305,4,0)</f>
        <v>2017090011</v>
      </c>
      <c r="P278" s="266">
        <f>VLOOKUP(L278,材料合同!$L$6:$CC$305,5,0)</f>
        <v>42996</v>
      </c>
      <c r="Q278" s="275">
        <f>VLOOKUP(L278,材料合同!$L$6:$CC$305,6,0)</f>
        <v>28000</v>
      </c>
      <c r="R278" s="89" t="str">
        <f>VLOOKUP(L278,材料合同!$L$6:$CC$305,7,0)</f>
        <v>电气工具</v>
      </c>
      <c r="S278" s="89" t="str">
        <f>VLOOKUP(L278,材料合同!$L$6:$CC$305,8,0)</f>
        <v>莆田冠亿自动化科技有限公司</v>
      </c>
      <c r="T278" s="107">
        <f>VLOOKUP(L278,材料合同!$L$6:$CC$305,9,0)</f>
        <v>0</v>
      </c>
      <c r="U278" s="103" t="str">
        <f>VLOOKUP(L278,材料合同!$L$6:$CC$305,10,0)</f>
        <v>电汇</v>
      </c>
      <c r="V278" s="276" t="str">
        <f>VLOOKUP(L278,材料合同!$L$6:$CC$305,11,0)</f>
        <v>甲方验收合格后，收到100%的增值税发票后支付合同100%的价款</v>
      </c>
      <c r="W278" s="102">
        <f>VLOOKUP(L278,材料合同!$L$6:$CC$305,12,0)</f>
        <v>28000</v>
      </c>
      <c r="X278" s="102">
        <f>VLOOKUP(L278,材料合同!$L$6:$CC$305,13,0)</f>
        <v>28000</v>
      </c>
      <c r="Y278" s="102">
        <f>VLOOKUP(L278,材料合同!$L$6:$CC$305,14,0)</f>
        <v>28000</v>
      </c>
      <c r="Z278" s="102">
        <f>VLOOKUP(L278,材料合同!$L$6:$CC$305,15,0)</f>
        <v>0</v>
      </c>
      <c r="AA278" s="102">
        <f>VLOOKUP(L278,材料合同!$L$6:$CC$305,16,0)</f>
        <v>0</v>
      </c>
      <c r="AB278" s="102">
        <f>VLOOKUP(L278,材料合同!$L$6:$CC$305,17,0)</f>
        <v>0</v>
      </c>
      <c r="AC278" s="102">
        <f>VLOOKUP(L278,材料合同!$L$6:$CC$305,18,0)</f>
        <v>0</v>
      </c>
      <c r="AD278" s="102">
        <f>VLOOKUP(L278,材料合同!$L$6:$CC$305,19,0)</f>
        <v>0</v>
      </c>
      <c r="AE278" s="102">
        <f>VLOOKUP(L278,材料合同!$L$6:$CC$305,20,0)</f>
        <v>0</v>
      </c>
      <c r="AF278" s="102">
        <f>VLOOKUP(L278,材料合同!$L$6:$CC$305,21,0)</f>
        <v>0</v>
      </c>
      <c r="AG278" s="102">
        <f>VLOOKUP(L278,材料合同!$L$6:$CC$305,22,0)</f>
        <v>0</v>
      </c>
      <c r="AH278" s="102">
        <f>VLOOKUP(L278,材料合同!$L$6:$CC$305,23,0)</f>
        <v>0</v>
      </c>
      <c r="AI278" s="102">
        <f>VLOOKUP(L278,材料合同!$L$6:$CC$305,24,0)</f>
        <v>0</v>
      </c>
      <c r="AJ278" s="102">
        <f>VLOOKUP(L278,材料合同!$L$6:$CC$305,25,0)</f>
        <v>0</v>
      </c>
      <c r="AK278" s="102">
        <f>VLOOKUP(L278,材料合同!$L$6:$CC$305,26,0)</f>
        <v>0</v>
      </c>
      <c r="AL278" s="102">
        <f>VLOOKUP(L278,材料合同!$L$6:$CC$305,27,0)</f>
        <v>0</v>
      </c>
      <c r="AM278" s="102">
        <f>VLOOKUP(L278,材料合同!$L$6:$CC$305,28,0)</f>
        <v>0</v>
      </c>
      <c r="AN278" s="102">
        <f>VLOOKUP(L278,材料合同!$L$6:$CC$305,29,0)</f>
        <v>0</v>
      </c>
      <c r="AO278" s="102">
        <f>VLOOKUP(L278,材料合同!$L$6:$CC$305,30,0)</f>
        <v>0</v>
      </c>
      <c r="AP278" s="102">
        <f>VLOOKUP(L278,材料合同!$L$6:$CC$305,31,0)</f>
        <v>0</v>
      </c>
      <c r="AQ278" s="102">
        <f>VLOOKUP(L278,材料合同!$L$6:$CC$305,32,0)</f>
        <v>0</v>
      </c>
      <c r="AR278" s="102">
        <f>VLOOKUP(L278,材料合同!$L$6:$CC$305,33,0)</f>
        <v>0</v>
      </c>
      <c r="AS278" s="102">
        <f>VLOOKUP(L278,材料合同!$L$6:$CC$305,34,0)</f>
        <v>0</v>
      </c>
      <c r="AT278" s="102">
        <f>VLOOKUP(L278,材料合同!$L$6:$CC$305,35,0)</f>
        <v>0</v>
      </c>
      <c r="AU278" s="102">
        <f>VLOOKUP(L278,材料合同!$L$6:$CC$305,36,0)</f>
        <v>0</v>
      </c>
      <c r="AV278" s="102">
        <f>VLOOKUP(L278,材料合同!$L$6:$CC$305,37,0)</f>
        <v>0</v>
      </c>
      <c r="AW278" s="102">
        <f>VLOOKUP(L278,材料合同!$L$6:$CC$305,38,0)</f>
        <v>0</v>
      </c>
      <c r="AX278" s="102">
        <f>VLOOKUP(L278,材料合同!$L$6:$CC$305,39,0)</f>
        <v>0</v>
      </c>
      <c r="AY278" s="102">
        <f>VLOOKUP(L278,材料合同!$L$6:$CC$305,40,0)</f>
        <v>0</v>
      </c>
      <c r="AZ278" s="102">
        <f>VLOOKUP(L278,材料合同!$L$6:$CC$305,41,0)</f>
        <v>0</v>
      </c>
      <c r="BA278" s="102">
        <f>VLOOKUP(L278,材料合同!$L$6:$CC$305,42,0)</f>
        <v>0</v>
      </c>
      <c r="BB278" s="102">
        <f>VLOOKUP(L278,材料合同!$L$6:$CC$305,43,0)</f>
        <v>0</v>
      </c>
      <c r="BC278" s="102">
        <f>VLOOKUP(L278,材料合同!$L$6:$CC$305,44,0)</f>
        <v>0</v>
      </c>
      <c r="BD278" s="102">
        <f>VLOOKUP(L278,材料合同!$L$6:$CC$305,45,0)</f>
        <v>0</v>
      </c>
      <c r="BE278" s="102">
        <f>VLOOKUP(L278,材料合同!$L$6:$CC$305,46,0)</f>
        <v>0</v>
      </c>
      <c r="BF278" s="102">
        <f>VLOOKUP(L278,材料合同!$L$6:$CC$305,47,0)</f>
        <v>0</v>
      </c>
      <c r="BG278" s="102">
        <f>VLOOKUP(L278,材料合同!$L$6:$CC$305,48,0)</f>
        <v>0</v>
      </c>
      <c r="BH278" s="102">
        <f>VLOOKUP(L278,材料合同!$L$6:$CC$305,49,0)</f>
        <v>0</v>
      </c>
      <c r="BI278" s="102">
        <f>VLOOKUP(L278,材料合同!$L$6:$CC$305,50,0)</f>
        <v>0</v>
      </c>
      <c r="BJ278" s="102">
        <f>VLOOKUP(L278,材料合同!$L$6:$CC$305,51,0)</f>
        <v>0</v>
      </c>
      <c r="BK278" s="102">
        <f>VLOOKUP(L278,材料合同!$L$6:$CC$305,52,0)</f>
        <v>0</v>
      </c>
      <c r="BL278" s="102">
        <f>VLOOKUP(L278,材料合同!$L$6:$CC$305,53,0)</f>
        <v>0</v>
      </c>
      <c r="BM278" s="102">
        <f>VLOOKUP(L278,材料合同!$L$6:$CC$305,54,0)</f>
        <v>0</v>
      </c>
      <c r="BN278" s="102">
        <f>VLOOKUP(L278,材料合同!$L$6:$CC$305,55,0)</f>
        <v>0</v>
      </c>
      <c r="BO278" s="102">
        <f>VLOOKUP(L278,材料合同!$L$6:$CC$305,56,0)</f>
        <v>0</v>
      </c>
      <c r="BP278" s="102">
        <f>VLOOKUP(L278,材料合同!$L$6:$CC$305,57,0)</f>
        <v>0</v>
      </c>
      <c r="BQ278" s="102">
        <f>VLOOKUP(L278,材料合同!$L$6:$CC$305,58,0)</f>
        <v>0</v>
      </c>
      <c r="BR278" s="102">
        <f>VLOOKUP(L278,材料合同!$L$6:$CC$305,59,0)</f>
        <v>0</v>
      </c>
      <c r="BS278" s="102">
        <f>VLOOKUP(L278,材料合同!$L$6:$CC$305,60,0)</f>
        <v>0</v>
      </c>
      <c r="BT278" s="102">
        <f>VLOOKUP(L278,材料合同!$L$6:$CC$305,61,0)</f>
        <v>0</v>
      </c>
      <c r="BU278" s="102">
        <f>VLOOKUP(L278,材料合同!$L$6:$CC$305,62,0)</f>
        <v>0</v>
      </c>
      <c r="BV278" s="102">
        <f>VLOOKUP(L278,材料合同!$L$6:$CC$305,63,0)</f>
        <v>0</v>
      </c>
      <c r="BW278" s="102">
        <f>VLOOKUP(L278,材料合同!$L$6:$CC$305,64,0)</f>
        <v>0</v>
      </c>
      <c r="BX278" s="102">
        <f>VLOOKUP(L278,材料合同!$L$6:$CC$305,65,0)</f>
        <v>0</v>
      </c>
      <c r="BY278" s="102">
        <f>VLOOKUP(L278,材料合同!$L$6:$CC$305,66,0)</f>
        <v>0</v>
      </c>
      <c r="BZ278" s="102">
        <f>VLOOKUP(L278,材料合同!$L$6:$CC$305,67,0)</f>
        <v>0</v>
      </c>
      <c r="CA278" s="102">
        <f>VLOOKUP(L278,材料合同!$L$6:$CC$305,68,0)</f>
        <v>0</v>
      </c>
      <c r="CB278" s="102">
        <f>VLOOKUP(L278,材料合同!$L$6:$CC$305,69,0)</f>
        <v>0</v>
      </c>
      <c r="CC278" s="102">
        <f>VLOOKUP(L278,材料合同!$L$6:$CC$305,70,0)</f>
        <v>0</v>
      </c>
      <c r="CD278" s="123">
        <f t="shared" si="66"/>
        <v>28000</v>
      </c>
      <c r="CE278" s="102">
        <f t="shared" si="67"/>
        <v>28000</v>
      </c>
      <c r="CF278" s="102">
        <f t="shared" si="68"/>
        <v>28000</v>
      </c>
      <c r="CG278" s="102">
        <f t="shared" si="69"/>
        <v>0</v>
      </c>
      <c r="CH278" s="124">
        <f t="shared" si="70"/>
        <v>0</v>
      </c>
      <c r="CI278" s="125">
        <f t="shared" si="71"/>
        <v>1</v>
      </c>
      <c r="CJ278" s="126" t="str">
        <f t="shared" si="72"/>
        <v>数据正确</v>
      </c>
    </row>
    <row r="279" s="60" customFormat="1" customHeight="1" spans="2:88">
      <c r="B279" s="70" t="str">
        <f t="shared" si="62"/>
        <v>-</v>
      </c>
      <c r="C279" s="71" t="str">
        <f t="shared" si="63"/>
        <v>-</v>
      </c>
      <c r="D279" s="181">
        <f t="shared" si="64"/>
        <v>530000</v>
      </c>
      <c r="E279" s="181">
        <f>SUMIF(材料合同!$L$6:$L$305,L279,材料合同!$E$6:$E$305)</f>
        <v>0</v>
      </c>
      <c r="F279" s="181">
        <f>SUMIF(材料合同!$L$6:$L$305,L279,材料合同!$F$6:$F$305)</f>
        <v>0</v>
      </c>
      <c r="G279" s="181">
        <f>SUMIF(材料合同!$L$6:$L$305,L279,材料合同!$G$6:$G$305)</f>
        <v>0</v>
      </c>
      <c r="H279" s="181">
        <f>SUMIF(材料合同!$L$6:$L$305,L279,材料合同!$H$6:$H$305)</f>
        <v>0</v>
      </c>
      <c r="I279" s="181">
        <f t="shared" si="65"/>
        <v>0</v>
      </c>
      <c r="J279" s="86" t="s">
        <v>98</v>
      </c>
      <c r="K279" s="87"/>
      <c r="L279" s="88">
        <v>274</v>
      </c>
      <c r="M279" s="89" t="str">
        <f>VLOOKUP(L279,材料合同!$L$6:$CC$305,2,0)</f>
        <v>YRKJBT-170111</v>
      </c>
      <c r="N279" s="90" t="str">
        <f>VLOOKUP(L279,材料合同!$L$6:$CC$305,3,0)</f>
        <v>材料合同</v>
      </c>
      <c r="O279" s="265">
        <f>VLOOKUP(L279,材料合同!$L$6:$CC$305,4,0)</f>
        <v>2017080065</v>
      </c>
      <c r="P279" s="266">
        <f>VLOOKUP(L279,材料合同!$L$6:$CC$305,5,0)</f>
        <v>43004</v>
      </c>
      <c r="Q279" s="275">
        <f>VLOOKUP(L279,材料合同!$L$6:$CC$305,6,0)</f>
        <v>2650000</v>
      </c>
      <c r="R279" s="89" t="str">
        <f>VLOOKUP(L279,材料合同!$L$6:$CC$305,7,0)</f>
        <v>调节阀、球阀一批</v>
      </c>
      <c r="S279" s="89" t="str">
        <f>VLOOKUP(L279,材料合同!$L$6:$CC$305,8,0)</f>
        <v>浙江永盛科技股份有限公司</v>
      </c>
      <c r="T279" s="107">
        <f>VLOOKUP(L279,材料合同!$L$6:$CC$305,9,0)</f>
        <v>0</v>
      </c>
      <c r="U279" s="103" t="str">
        <f>VLOOKUP(L279,材料合同!$L$6:$CC$305,10,0)</f>
        <v>6个月承兑汇票/电汇无说明</v>
      </c>
      <c r="V279" s="276" t="str">
        <f>VLOOKUP(L279,材料合同!$L$6:$CC$305,11,0)</f>
        <v>甲方收到10%履约保函和等额发票，15个工作日支付20%预付款</v>
      </c>
      <c r="W279" s="102">
        <f>VLOOKUP(L279,材料合同!$L$6:$CC$305,12,0)</f>
        <v>530000</v>
      </c>
      <c r="X279" s="102">
        <f>VLOOKUP(L279,材料合同!$L$6:$CC$305,13,0)</f>
        <v>530000</v>
      </c>
      <c r="Y279" s="102">
        <f>VLOOKUP(L279,材料合同!$L$6:$CC$305,14,0)</f>
        <v>530000</v>
      </c>
      <c r="Z279" s="102" t="str">
        <f>VLOOKUP(L279,材料合同!$L$6:$CC$305,15,0)</f>
        <v>甲方去乙方工厂验收，完成后，5个工作日支付40%发货款，开具等额发票</v>
      </c>
      <c r="AA279" s="102">
        <f>VLOOKUP(L279,材料合同!$L$6:$CC$305,16,0)</f>
        <v>1060000</v>
      </c>
      <c r="AB279" s="102">
        <f>VLOOKUP(L279,材料合同!$L$6:$CC$305,17,0)</f>
        <v>0</v>
      </c>
      <c r="AC279" s="102">
        <f>VLOOKUP(L279,材料合同!$L$6:$CC$305,18,0)</f>
        <v>0</v>
      </c>
      <c r="AD279" s="102" t="str">
        <f>VLOOKUP(L279,材料合同!$L$6:$CC$305,19,0)</f>
        <v>甲方收到经甲方核定调试合格报告及全额的发票后15个工作日支付30%调试款</v>
      </c>
      <c r="AE279" s="102">
        <f>VLOOKUP(L279,材料合同!$L$6:$CC$305,20,0)</f>
        <v>795000</v>
      </c>
      <c r="AF279" s="102">
        <f>VLOOKUP(L279,材料合同!$L$6:$CC$305,21,0)</f>
        <v>0</v>
      </c>
      <c r="AG279" s="102">
        <f>VLOOKUP(L279,材料合同!$L$6:$CC$305,22,0)</f>
        <v>0</v>
      </c>
      <c r="AH279" s="102" t="str">
        <f>VLOOKUP(L279,材料合同!$L$6:$CC$305,23,0)</f>
        <v>10%质保金，自验收合格，满12月或货到现场18个月支付</v>
      </c>
      <c r="AI279" s="102">
        <f>VLOOKUP(L279,材料合同!$L$6:$CC$305,24,0)</f>
        <v>265000</v>
      </c>
      <c r="AJ279" s="102">
        <f>VLOOKUP(L279,材料合同!$L$6:$CC$305,25,0)</f>
        <v>0</v>
      </c>
      <c r="AK279" s="102">
        <f>VLOOKUP(L279,材料合同!$L$6:$CC$305,26,0)</f>
        <v>0</v>
      </c>
      <c r="AL279" s="102">
        <f>VLOOKUP(L279,材料合同!$L$6:$CC$305,27,0)</f>
        <v>0</v>
      </c>
      <c r="AM279" s="102">
        <f>VLOOKUP(L279,材料合同!$L$6:$CC$305,28,0)</f>
        <v>0</v>
      </c>
      <c r="AN279" s="102">
        <f>VLOOKUP(L279,材料合同!$L$6:$CC$305,29,0)</f>
        <v>0</v>
      </c>
      <c r="AO279" s="102">
        <f>VLOOKUP(L279,材料合同!$L$6:$CC$305,30,0)</f>
        <v>0</v>
      </c>
      <c r="AP279" s="102">
        <f>VLOOKUP(L279,材料合同!$L$6:$CC$305,31,0)</f>
        <v>0</v>
      </c>
      <c r="AQ279" s="102">
        <f>VLOOKUP(L279,材料合同!$L$6:$CC$305,32,0)</f>
        <v>0</v>
      </c>
      <c r="AR279" s="102">
        <f>VLOOKUP(L279,材料合同!$L$6:$CC$305,33,0)</f>
        <v>0</v>
      </c>
      <c r="AS279" s="102">
        <f>VLOOKUP(L279,材料合同!$L$6:$CC$305,34,0)</f>
        <v>0</v>
      </c>
      <c r="AT279" s="102">
        <f>VLOOKUP(L279,材料合同!$L$6:$CC$305,35,0)</f>
        <v>0</v>
      </c>
      <c r="AU279" s="102">
        <f>VLOOKUP(L279,材料合同!$L$6:$CC$305,36,0)</f>
        <v>0</v>
      </c>
      <c r="AV279" s="102">
        <f>VLOOKUP(L279,材料合同!$L$6:$CC$305,37,0)</f>
        <v>0</v>
      </c>
      <c r="AW279" s="102">
        <f>VLOOKUP(L279,材料合同!$L$6:$CC$305,38,0)</f>
        <v>0</v>
      </c>
      <c r="AX279" s="102">
        <f>VLOOKUP(L279,材料合同!$L$6:$CC$305,39,0)</f>
        <v>0</v>
      </c>
      <c r="AY279" s="102">
        <f>VLOOKUP(L279,材料合同!$L$6:$CC$305,40,0)</f>
        <v>0</v>
      </c>
      <c r="AZ279" s="102">
        <f>VLOOKUP(L279,材料合同!$L$6:$CC$305,41,0)</f>
        <v>0</v>
      </c>
      <c r="BA279" s="102">
        <f>VLOOKUP(L279,材料合同!$L$6:$CC$305,42,0)</f>
        <v>0</v>
      </c>
      <c r="BB279" s="102">
        <f>VLOOKUP(L279,材料合同!$L$6:$CC$305,43,0)</f>
        <v>0</v>
      </c>
      <c r="BC279" s="102">
        <f>VLOOKUP(L279,材料合同!$L$6:$CC$305,44,0)</f>
        <v>0</v>
      </c>
      <c r="BD279" s="102">
        <f>VLOOKUP(L279,材料合同!$L$6:$CC$305,45,0)</f>
        <v>0</v>
      </c>
      <c r="BE279" s="102">
        <f>VLOOKUP(L279,材料合同!$L$6:$CC$305,46,0)</f>
        <v>0</v>
      </c>
      <c r="BF279" s="102">
        <f>VLOOKUP(L279,材料合同!$L$6:$CC$305,47,0)</f>
        <v>0</v>
      </c>
      <c r="BG279" s="102">
        <f>VLOOKUP(L279,材料合同!$L$6:$CC$305,48,0)</f>
        <v>0</v>
      </c>
      <c r="BH279" s="102">
        <f>VLOOKUP(L279,材料合同!$L$6:$CC$305,49,0)</f>
        <v>0</v>
      </c>
      <c r="BI279" s="102">
        <f>VLOOKUP(L279,材料合同!$L$6:$CC$305,50,0)</f>
        <v>0</v>
      </c>
      <c r="BJ279" s="102">
        <f>VLOOKUP(L279,材料合同!$L$6:$CC$305,51,0)</f>
        <v>0</v>
      </c>
      <c r="BK279" s="102">
        <f>VLOOKUP(L279,材料合同!$L$6:$CC$305,52,0)</f>
        <v>0</v>
      </c>
      <c r="BL279" s="102">
        <f>VLOOKUP(L279,材料合同!$L$6:$CC$305,53,0)</f>
        <v>0</v>
      </c>
      <c r="BM279" s="102">
        <f>VLOOKUP(L279,材料合同!$L$6:$CC$305,54,0)</f>
        <v>0</v>
      </c>
      <c r="BN279" s="102">
        <f>VLOOKUP(L279,材料合同!$L$6:$CC$305,55,0)</f>
        <v>0</v>
      </c>
      <c r="BO279" s="102">
        <f>VLOOKUP(L279,材料合同!$L$6:$CC$305,56,0)</f>
        <v>0</v>
      </c>
      <c r="BP279" s="102">
        <f>VLOOKUP(L279,材料合同!$L$6:$CC$305,57,0)</f>
        <v>0</v>
      </c>
      <c r="BQ279" s="102">
        <f>VLOOKUP(L279,材料合同!$L$6:$CC$305,58,0)</f>
        <v>0</v>
      </c>
      <c r="BR279" s="102">
        <f>VLOOKUP(L279,材料合同!$L$6:$CC$305,59,0)</f>
        <v>0</v>
      </c>
      <c r="BS279" s="102">
        <f>VLOOKUP(L279,材料合同!$L$6:$CC$305,60,0)</f>
        <v>0</v>
      </c>
      <c r="BT279" s="102">
        <f>VLOOKUP(L279,材料合同!$L$6:$CC$305,61,0)</f>
        <v>0</v>
      </c>
      <c r="BU279" s="102">
        <f>VLOOKUP(L279,材料合同!$L$6:$CC$305,62,0)</f>
        <v>0</v>
      </c>
      <c r="BV279" s="102">
        <f>VLOOKUP(L279,材料合同!$L$6:$CC$305,63,0)</f>
        <v>0</v>
      </c>
      <c r="BW279" s="102">
        <f>VLOOKUP(L279,材料合同!$L$6:$CC$305,64,0)</f>
        <v>0</v>
      </c>
      <c r="BX279" s="102">
        <f>VLOOKUP(L279,材料合同!$L$6:$CC$305,65,0)</f>
        <v>0</v>
      </c>
      <c r="BY279" s="102">
        <f>VLOOKUP(L279,材料合同!$L$6:$CC$305,66,0)</f>
        <v>0</v>
      </c>
      <c r="BZ279" s="102">
        <f>VLOOKUP(L279,材料合同!$L$6:$CC$305,67,0)</f>
        <v>0</v>
      </c>
      <c r="CA279" s="102">
        <f>VLOOKUP(L279,材料合同!$L$6:$CC$305,68,0)</f>
        <v>0</v>
      </c>
      <c r="CB279" s="102">
        <f>VLOOKUP(L279,材料合同!$L$6:$CC$305,69,0)</f>
        <v>0</v>
      </c>
      <c r="CC279" s="102">
        <f>VLOOKUP(L279,材料合同!$L$6:$CC$305,70,0)</f>
        <v>0</v>
      </c>
      <c r="CD279" s="123">
        <f t="shared" si="66"/>
        <v>2650000</v>
      </c>
      <c r="CE279" s="102">
        <f t="shared" si="67"/>
        <v>530000</v>
      </c>
      <c r="CF279" s="102">
        <f t="shared" si="68"/>
        <v>530000</v>
      </c>
      <c r="CG279" s="102">
        <f t="shared" si="69"/>
        <v>0</v>
      </c>
      <c r="CH279" s="124">
        <f t="shared" si="70"/>
        <v>2120000</v>
      </c>
      <c r="CI279" s="125">
        <f t="shared" si="71"/>
        <v>0.2</v>
      </c>
      <c r="CJ279" s="126" t="str">
        <f t="shared" si="72"/>
        <v>数据正确</v>
      </c>
    </row>
    <row r="280" s="60" customFormat="1" customHeight="1" spans="2:88">
      <c r="B280" s="70" t="str">
        <f t="shared" si="62"/>
        <v>-</v>
      </c>
      <c r="C280" s="71" t="str">
        <f t="shared" si="63"/>
        <v>-</v>
      </c>
      <c r="D280" s="181">
        <f t="shared" si="64"/>
        <v>943000</v>
      </c>
      <c r="E280" s="181">
        <f>SUMIF(材料合同!$L$6:$L$305,L280,材料合同!$E$6:$E$305)</f>
        <v>0</v>
      </c>
      <c r="F280" s="181">
        <f>SUMIF(材料合同!$L$6:$L$305,L280,材料合同!$F$6:$F$305)</f>
        <v>0</v>
      </c>
      <c r="G280" s="181">
        <f>SUMIF(材料合同!$L$6:$L$305,L280,材料合同!$G$6:$G$305)</f>
        <v>0</v>
      </c>
      <c r="H280" s="181">
        <f>SUMIF(材料合同!$L$6:$L$305,L280,材料合同!$H$6:$H$305)</f>
        <v>0</v>
      </c>
      <c r="I280" s="181">
        <f t="shared" si="65"/>
        <v>0</v>
      </c>
      <c r="J280" s="86" t="s">
        <v>98</v>
      </c>
      <c r="K280" s="87"/>
      <c r="L280" s="88">
        <v>275</v>
      </c>
      <c r="M280" s="89" t="str">
        <f>VLOOKUP(L280,材料合同!$L$6:$CC$305,2,0)</f>
        <v>YRKJBT-170118</v>
      </c>
      <c r="N280" s="90" t="str">
        <f>VLOOKUP(L280,材料合同!$L$6:$CC$305,3,0)</f>
        <v>材料合同</v>
      </c>
      <c r="O280" s="265">
        <f>VLOOKUP(L280,材料合同!$L$6:$CC$305,4,0)</f>
        <v>2017080064</v>
      </c>
      <c r="P280" s="266">
        <f>VLOOKUP(L280,材料合同!$L$6:$CC$305,5,0)</f>
        <v>43017</v>
      </c>
      <c r="Q280" s="275">
        <f>VLOOKUP(L280,材料合同!$L$6:$CC$305,6,0)</f>
        <v>4715000</v>
      </c>
      <c r="R280" s="89" t="str">
        <f>VLOOKUP(L280,材料合同!$L$6:$CC$305,7,0)</f>
        <v>关键球阀一批</v>
      </c>
      <c r="S280" s="89" t="str">
        <f>VLOOKUP(L280,材料合同!$L$6:$CC$305,8,0)</f>
        <v>无锡智能自控工程股份有限公司</v>
      </c>
      <c r="T280" s="107">
        <f>VLOOKUP(L280,材料合同!$L$6:$CC$305,9,0)</f>
        <v>0</v>
      </c>
      <c r="U280" s="103" t="str">
        <f>VLOOKUP(L280,材料合同!$L$6:$CC$305,10,0)</f>
        <v>电汇</v>
      </c>
      <c r="V280" s="276" t="str">
        <f>VLOOKUP(L280,材料合同!$L$6:$CC$305,11,0)</f>
        <v>甲方收到10%履约保函和等额发票，15个工作日支付20%预付款</v>
      </c>
      <c r="W280" s="102">
        <f>VLOOKUP(L280,材料合同!$L$6:$CC$305,12,0)</f>
        <v>943000</v>
      </c>
      <c r="X280" s="102">
        <f>VLOOKUP(L280,材料合同!$L$6:$CC$305,13,0)</f>
        <v>943000</v>
      </c>
      <c r="Y280" s="102">
        <f>VLOOKUP(L280,材料合同!$L$6:$CC$305,14,0)</f>
        <v>943000</v>
      </c>
      <c r="Z280" s="102" t="str">
        <f>VLOOKUP(L280,材料合同!$L$6:$CC$305,15,0)</f>
        <v>甲方去乙方工厂验收，完成后，5个工作日支付40%发货款，开具等额发票</v>
      </c>
      <c r="AA280" s="102">
        <f>VLOOKUP(L280,材料合同!$L$6:$CC$305,16,0)</f>
        <v>1886000</v>
      </c>
      <c r="AB280" s="102">
        <f>VLOOKUP(L280,材料合同!$L$6:$CC$305,17,0)</f>
        <v>0</v>
      </c>
      <c r="AC280" s="102">
        <f>VLOOKUP(L280,材料合同!$L$6:$CC$305,18,0)</f>
        <v>0</v>
      </c>
      <c r="AD280" s="102" t="str">
        <f>VLOOKUP(L280,材料合同!$L$6:$CC$305,19,0)</f>
        <v>甲方收到经甲方核定调试合格报告及全额的发票后15个工作日支付30%调试款</v>
      </c>
      <c r="AE280" s="102">
        <f>VLOOKUP(L280,材料合同!$L$6:$CC$305,20,0)</f>
        <v>1414500</v>
      </c>
      <c r="AF280" s="102">
        <f>VLOOKUP(L280,材料合同!$L$6:$CC$305,21,0)</f>
        <v>0</v>
      </c>
      <c r="AG280" s="102">
        <f>VLOOKUP(L280,材料合同!$L$6:$CC$305,22,0)</f>
        <v>0</v>
      </c>
      <c r="AH280" s="102" t="str">
        <f>VLOOKUP(L280,材料合同!$L$6:$CC$305,23,0)</f>
        <v>10%质保金，自验收合格，满12月或货到现场19个月支付</v>
      </c>
      <c r="AI280" s="102">
        <f>VLOOKUP(L280,材料合同!$L$6:$CC$305,24,0)</f>
        <v>471500</v>
      </c>
      <c r="AJ280" s="102">
        <f>VLOOKUP(L280,材料合同!$L$6:$CC$305,25,0)</f>
        <v>0</v>
      </c>
      <c r="AK280" s="102">
        <f>VLOOKUP(L280,材料合同!$L$6:$CC$305,26,0)</f>
        <v>0</v>
      </c>
      <c r="AL280" s="102">
        <f>VLOOKUP(L280,材料合同!$L$6:$CC$305,27,0)</f>
        <v>0</v>
      </c>
      <c r="AM280" s="102">
        <f>VLOOKUP(L280,材料合同!$L$6:$CC$305,28,0)</f>
        <v>0</v>
      </c>
      <c r="AN280" s="102">
        <f>VLOOKUP(L280,材料合同!$L$6:$CC$305,29,0)</f>
        <v>0</v>
      </c>
      <c r="AO280" s="102">
        <f>VLOOKUP(L280,材料合同!$L$6:$CC$305,30,0)</f>
        <v>0</v>
      </c>
      <c r="AP280" s="102">
        <f>VLOOKUP(L280,材料合同!$L$6:$CC$305,31,0)</f>
        <v>0</v>
      </c>
      <c r="AQ280" s="102">
        <f>VLOOKUP(L280,材料合同!$L$6:$CC$305,32,0)</f>
        <v>0</v>
      </c>
      <c r="AR280" s="102">
        <f>VLOOKUP(L280,材料合同!$L$6:$CC$305,33,0)</f>
        <v>0</v>
      </c>
      <c r="AS280" s="102">
        <f>VLOOKUP(L280,材料合同!$L$6:$CC$305,34,0)</f>
        <v>0</v>
      </c>
      <c r="AT280" s="102">
        <f>VLOOKUP(L280,材料合同!$L$6:$CC$305,35,0)</f>
        <v>0</v>
      </c>
      <c r="AU280" s="102">
        <f>VLOOKUP(L280,材料合同!$L$6:$CC$305,36,0)</f>
        <v>0</v>
      </c>
      <c r="AV280" s="102">
        <f>VLOOKUP(L280,材料合同!$L$6:$CC$305,37,0)</f>
        <v>0</v>
      </c>
      <c r="AW280" s="102">
        <f>VLOOKUP(L280,材料合同!$L$6:$CC$305,38,0)</f>
        <v>0</v>
      </c>
      <c r="AX280" s="102">
        <f>VLOOKUP(L280,材料合同!$L$6:$CC$305,39,0)</f>
        <v>0</v>
      </c>
      <c r="AY280" s="102">
        <f>VLOOKUP(L280,材料合同!$L$6:$CC$305,40,0)</f>
        <v>0</v>
      </c>
      <c r="AZ280" s="102">
        <f>VLOOKUP(L280,材料合同!$L$6:$CC$305,41,0)</f>
        <v>0</v>
      </c>
      <c r="BA280" s="102">
        <f>VLOOKUP(L280,材料合同!$L$6:$CC$305,42,0)</f>
        <v>0</v>
      </c>
      <c r="BB280" s="102">
        <f>VLOOKUP(L280,材料合同!$L$6:$CC$305,43,0)</f>
        <v>0</v>
      </c>
      <c r="BC280" s="102">
        <f>VLOOKUP(L280,材料合同!$L$6:$CC$305,44,0)</f>
        <v>0</v>
      </c>
      <c r="BD280" s="102">
        <f>VLOOKUP(L280,材料合同!$L$6:$CC$305,45,0)</f>
        <v>0</v>
      </c>
      <c r="BE280" s="102">
        <f>VLOOKUP(L280,材料合同!$L$6:$CC$305,46,0)</f>
        <v>0</v>
      </c>
      <c r="BF280" s="102">
        <f>VLOOKUP(L280,材料合同!$L$6:$CC$305,47,0)</f>
        <v>0</v>
      </c>
      <c r="BG280" s="102">
        <f>VLOOKUP(L280,材料合同!$L$6:$CC$305,48,0)</f>
        <v>0</v>
      </c>
      <c r="BH280" s="102">
        <f>VLOOKUP(L280,材料合同!$L$6:$CC$305,49,0)</f>
        <v>0</v>
      </c>
      <c r="BI280" s="102">
        <f>VLOOKUP(L280,材料合同!$L$6:$CC$305,50,0)</f>
        <v>0</v>
      </c>
      <c r="BJ280" s="102">
        <f>VLOOKUP(L280,材料合同!$L$6:$CC$305,51,0)</f>
        <v>0</v>
      </c>
      <c r="BK280" s="102">
        <f>VLOOKUP(L280,材料合同!$L$6:$CC$305,52,0)</f>
        <v>0</v>
      </c>
      <c r="BL280" s="102">
        <f>VLOOKUP(L280,材料合同!$L$6:$CC$305,53,0)</f>
        <v>0</v>
      </c>
      <c r="BM280" s="102">
        <f>VLOOKUP(L280,材料合同!$L$6:$CC$305,54,0)</f>
        <v>0</v>
      </c>
      <c r="BN280" s="102">
        <f>VLOOKUP(L280,材料合同!$L$6:$CC$305,55,0)</f>
        <v>0</v>
      </c>
      <c r="BO280" s="102">
        <f>VLOOKUP(L280,材料合同!$L$6:$CC$305,56,0)</f>
        <v>0</v>
      </c>
      <c r="BP280" s="102">
        <f>VLOOKUP(L280,材料合同!$L$6:$CC$305,57,0)</f>
        <v>0</v>
      </c>
      <c r="BQ280" s="102">
        <f>VLOOKUP(L280,材料合同!$L$6:$CC$305,58,0)</f>
        <v>0</v>
      </c>
      <c r="BR280" s="102">
        <f>VLOOKUP(L280,材料合同!$L$6:$CC$305,59,0)</f>
        <v>0</v>
      </c>
      <c r="BS280" s="102">
        <f>VLOOKUP(L280,材料合同!$L$6:$CC$305,60,0)</f>
        <v>0</v>
      </c>
      <c r="BT280" s="102">
        <f>VLOOKUP(L280,材料合同!$L$6:$CC$305,61,0)</f>
        <v>0</v>
      </c>
      <c r="BU280" s="102">
        <f>VLOOKUP(L280,材料合同!$L$6:$CC$305,62,0)</f>
        <v>0</v>
      </c>
      <c r="BV280" s="102">
        <f>VLOOKUP(L280,材料合同!$L$6:$CC$305,63,0)</f>
        <v>0</v>
      </c>
      <c r="BW280" s="102">
        <f>VLOOKUP(L280,材料合同!$L$6:$CC$305,64,0)</f>
        <v>0</v>
      </c>
      <c r="BX280" s="102">
        <f>VLOOKUP(L280,材料合同!$L$6:$CC$305,65,0)</f>
        <v>0</v>
      </c>
      <c r="BY280" s="102">
        <f>VLOOKUP(L280,材料合同!$L$6:$CC$305,66,0)</f>
        <v>0</v>
      </c>
      <c r="BZ280" s="102">
        <f>VLOOKUP(L280,材料合同!$L$6:$CC$305,67,0)</f>
        <v>0</v>
      </c>
      <c r="CA280" s="102">
        <f>VLOOKUP(L280,材料合同!$L$6:$CC$305,68,0)</f>
        <v>0</v>
      </c>
      <c r="CB280" s="102">
        <f>VLOOKUP(L280,材料合同!$L$6:$CC$305,69,0)</f>
        <v>0</v>
      </c>
      <c r="CC280" s="102">
        <f>VLOOKUP(L280,材料合同!$L$6:$CC$305,70,0)</f>
        <v>0</v>
      </c>
      <c r="CD280" s="123">
        <f t="shared" si="66"/>
        <v>4715000</v>
      </c>
      <c r="CE280" s="102">
        <f t="shared" si="67"/>
        <v>943000</v>
      </c>
      <c r="CF280" s="102">
        <f t="shared" si="68"/>
        <v>943000</v>
      </c>
      <c r="CG280" s="102">
        <f t="shared" si="69"/>
        <v>0</v>
      </c>
      <c r="CH280" s="124">
        <f t="shared" si="70"/>
        <v>3772000</v>
      </c>
      <c r="CI280" s="125">
        <f t="shared" si="71"/>
        <v>0.2</v>
      </c>
      <c r="CJ280" s="126" t="str">
        <f t="shared" si="72"/>
        <v>数据正确</v>
      </c>
    </row>
    <row r="281" s="60" customFormat="1" customHeight="1" spans="2:88">
      <c r="B281" s="70" t="str">
        <f t="shared" si="62"/>
        <v>-</v>
      </c>
      <c r="C281" s="71" t="str">
        <f t="shared" si="63"/>
        <v>-</v>
      </c>
      <c r="D281" s="181">
        <f t="shared" si="64"/>
        <v>346000</v>
      </c>
      <c r="E281" s="181">
        <f>SUMIF(材料合同!$L$6:$L$305,L281,材料合同!$E$6:$E$305)</f>
        <v>0</v>
      </c>
      <c r="F281" s="181">
        <f>SUMIF(材料合同!$L$6:$L$305,L281,材料合同!$F$6:$F$305)</f>
        <v>0</v>
      </c>
      <c r="G281" s="181">
        <f>SUMIF(材料合同!$L$6:$L$305,L281,材料合同!$G$6:$G$305)</f>
        <v>0</v>
      </c>
      <c r="H281" s="181">
        <f>SUMIF(材料合同!$L$6:$L$305,L281,材料合同!$H$6:$H$305)</f>
        <v>0</v>
      </c>
      <c r="I281" s="181">
        <f t="shared" si="65"/>
        <v>0</v>
      </c>
      <c r="J281" s="86" t="s">
        <v>98</v>
      </c>
      <c r="K281" s="87"/>
      <c r="L281" s="88">
        <v>276</v>
      </c>
      <c r="M281" s="89" t="str">
        <f>VLOOKUP(L281,材料合同!$L$6:$CC$305,2,0)</f>
        <v>YRKJBT-170113</v>
      </c>
      <c r="N281" s="90" t="str">
        <f>VLOOKUP(L281,材料合同!$L$6:$CC$305,3,0)</f>
        <v>材料合同</v>
      </c>
      <c r="O281" s="265">
        <f>VLOOKUP(L281,材料合同!$L$6:$CC$305,4,0)</f>
        <v>2017080059</v>
      </c>
      <c r="P281" s="266">
        <f>VLOOKUP(L281,材料合同!$L$6:$CC$305,5,0)</f>
        <v>43019</v>
      </c>
      <c r="Q281" s="275">
        <f>VLOOKUP(L281,材料合同!$L$6:$CC$305,6,0)</f>
        <v>1730000</v>
      </c>
      <c r="R281" s="89" t="str">
        <f>VLOOKUP(L281,材料合同!$L$6:$CC$305,7,0)</f>
        <v>三通阀一批</v>
      </c>
      <c r="S281" s="89" t="str">
        <f>VLOOKUP(L281,材料合同!$L$6:$CC$305,8,0)</f>
        <v>无锡市亚迪流体控制技术有限公司</v>
      </c>
      <c r="T281" s="107">
        <f>VLOOKUP(L281,材料合同!$L$6:$CC$305,9,0)</f>
        <v>0</v>
      </c>
      <c r="U281" s="103" t="str">
        <f>VLOOKUP(L281,材料合同!$L$6:$CC$305,10,0)</f>
        <v>电汇</v>
      </c>
      <c r="V281" s="276" t="str">
        <f>VLOOKUP(L281,材料合同!$L$6:$CC$305,11,0)</f>
        <v>甲方收到10%履约保函和等额发票，15个工作日支付20%预付款</v>
      </c>
      <c r="W281" s="102">
        <f>VLOOKUP(L281,材料合同!$L$6:$CC$305,12,0)</f>
        <v>346000</v>
      </c>
      <c r="X281" s="102">
        <f>VLOOKUP(L281,材料合同!$L$6:$CC$305,13,0)</f>
        <v>346000</v>
      </c>
      <c r="Y281" s="102">
        <f>VLOOKUP(L281,材料合同!$L$6:$CC$305,14,0)</f>
        <v>346000</v>
      </c>
      <c r="Z281" s="102" t="str">
        <f>VLOOKUP(L281,材料合同!$L$6:$CC$305,15,0)</f>
        <v>甲方去乙方工厂验收，完成后，5个工作日支付40%发货款，开具等额发票</v>
      </c>
      <c r="AA281" s="102">
        <f>VLOOKUP(L281,材料合同!$L$6:$CC$305,16,0)</f>
        <v>692000</v>
      </c>
      <c r="AB281" s="102">
        <f>VLOOKUP(L281,材料合同!$L$6:$CC$305,17,0)</f>
        <v>0</v>
      </c>
      <c r="AC281" s="102">
        <f>VLOOKUP(L281,材料合同!$L$6:$CC$305,18,0)</f>
        <v>0</v>
      </c>
      <c r="AD281" s="102" t="str">
        <f>VLOOKUP(L281,材料合同!$L$6:$CC$305,19,0)</f>
        <v>甲方收到经甲方核定调试合格报告及全额的发票后15个工作日支付30%调试款</v>
      </c>
      <c r="AE281" s="102">
        <f>VLOOKUP(L281,材料合同!$L$6:$CC$305,20,0)</f>
        <v>519000</v>
      </c>
      <c r="AF281" s="102">
        <f>VLOOKUP(L281,材料合同!$L$6:$CC$305,21,0)</f>
        <v>0</v>
      </c>
      <c r="AG281" s="102">
        <f>VLOOKUP(L281,材料合同!$L$6:$CC$305,22,0)</f>
        <v>0</v>
      </c>
      <c r="AH281" s="102" t="str">
        <f>VLOOKUP(L281,材料合同!$L$6:$CC$305,23,0)</f>
        <v>10%质保金，自验收合格，满12月或货到现场19个月支付</v>
      </c>
      <c r="AI281" s="102">
        <f>VLOOKUP(L281,材料合同!$L$6:$CC$305,24,0)</f>
        <v>173000</v>
      </c>
      <c r="AJ281" s="102">
        <f>VLOOKUP(L281,材料合同!$L$6:$CC$305,25,0)</f>
        <v>0</v>
      </c>
      <c r="AK281" s="102">
        <f>VLOOKUP(L281,材料合同!$L$6:$CC$305,26,0)</f>
        <v>0</v>
      </c>
      <c r="AL281" s="102">
        <f>VLOOKUP(L281,材料合同!$L$6:$CC$305,27,0)</f>
        <v>0</v>
      </c>
      <c r="AM281" s="102">
        <f>VLOOKUP(L281,材料合同!$L$6:$CC$305,28,0)</f>
        <v>0</v>
      </c>
      <c r="AN281" s="102">
        <f>VLOOKUP(L281,材料合同!$L$6:$CC$305,29,0)</f>
        <v>0</v>
      </c>
      <c r="AO281" s="102">
        <f>VLOOKUP(L281,材料合同!$L$6:$CC$305,30,0)</f>
        <v>0</v>
      </c>
      <c r="AP281" s="102">
        <f>VLOOKUP(L281,材料合同!$L$6:$CC$305,31,0)</f>
        <v>0</v>
      </c>
      <c r="AQ281" s="102">
        <f>VLOOKUP(L281,材料合同!$L$6:$CC$305,32,0)</f>
        <v>0</v>
      </c>
      <c r="AR281" s="102">
        <f>VLOOKUP(L281,材料合同!$L$6:$CC$305,33,0)</f>
        <v>0</v>
      </c>
      <c r="AS281" s="102">
        <f>VLOOKUP(L281,材料合同!$L$6:$CC$305,34,0)</f>
        <v>0</v>
      </c>
      <c r="AT281" s="102">
        <f>VLOOKUP(L281,材料合同!$L$6:$CC$305,35,0)</f>
        <v>0</v>
      </c>
      <c r="AU281" s="102">
        <f>VLOOKUP(L281,材料合同!$L$6:$CC$305,36,0)</f>
        <v>0</v>
      </c>
      <c r="AV281" s="102">
        <f>VLOOKUP(L281,材料合同!$L$6:$CC$305,37,0)</f>
        <v>0</v>
      </c>
      <c r="AW281" s="102">
        <f>VLOOKUP(L281,材料合同!$L$6:$CC$305,38,0)</f>
        <v>0</v>
      </c>
      <c r="AX281" s="102">
        <f>VLOOKUP(L281,材料合同!$L$6:$CC$305,39,0)</f>
        <v>0</v>
      </c>
      <c r="AY281" s="102">
        <f>VLOOKUP(L281,材料合同!$L$6:$CC$305,40,0)</f>
        <v>0</v>
      </c>
      <c r="AZ281" s="102">
        <f>VLOOKUP(L281,材料合同!$L$6:$CC$305,41,0)</f>
        <v>0</v>
      </c>
      <c r="BA281" s="102">
        <f>VLOOKUP(L281,材料合同!$L$6:$CC$305,42,0)</f>
        <v>0</v>
      </c>
      <c r="BB281" s="102">
        <f>VLOOKUP(L281,材料合同!$L$6:$CC$305,43,0)</f>
        <v>0</v>
      </c>
      <c r="BC281" s="102">
        <f>VLOOKUP(L281,材料合同!$L$6:$CC$305,44,0)</f>
        <v>0</v>
      </c>
      <c r="BD281" s="102">
        <f>VLOOKUP(L281,材料合同!$L$6:$CC$305,45,0)</f>
        <v>0</v>
      </c>
      <c r="BE281" s="102">
        <f>VLOOKUP(L281,材料合同!$L$6:$CC$305,46,0)</f>
        <v>0</v>
      </c>
      <c r="BF281" s="102">
        <f>VLOOKUP(L281,材料合同!$L$6:$CC$305,47,0)</f>
        <v>0</v>
      </c>
      <c r="BG281" s="102">
        <f>VLOOKUP(L281,材料合同!$L$6:$CC$305,48,0)</f>
        <v>0</v>
      </c>
      <c r="BH281" s="102">
        <f>VLOOKUP(L281,材料合同!$L$6:$CC$305,49,0)</f>
        <v>0</v>
      </c>
      <c r="BI281" s="102">
        <f>VLOOKUP(L281,材料合同!$L$6:$CC$305,50,0)</f>
        <v>0</v>
      </c>
      <c r="BJ281" s="102">
        <f>VLOOKUP(L281,材料合同!$L$6:$CC$305,51,0)</f>
        <v>0</v>
      </c>
      <c r="BK281" s="102">
        <f>VLOOKUP(L281,材料合同!$L$6:$CC$305,52,0)</f>
        <v>0</v>
      </c>
      <c r="BL281" s="102">
        <f>VLOOKUP(L281,材料合同!$L$6:$CC$305,53,0)</f>
        <v>0</v>
      </c>
      <c r="BM281" s="102">
        <f>VLOOKUP(L281,材料合同!$L$6:$CC$305,54,0)</f>
        <v>0</v>
      </c>
      <c r="BN281" s="102">
        <f>VLOOKUP(L281,材料合同!$L$6:$CC$305,55,0)</f>
        <v>0</v>
      </c>
      <c r="BO281" s="102">
        <f>VLOOKUP(L281,材料合同!$L$6:$CC$305,56,0)</f>
        <v>0</v>
      </c>
      <c r="BP281" s="102">
        <f>VLOOKUP(L281,材料合同!$L$6:$CC$305,57,0)</f>
        <v>0</v>
      </c>
      <c r="BQ281" s="102">
        <f>VLOOKUP(L281,材料合同!$L$6:$CC$305,58,0)</f>
        <v>0</v>
      </c>
      <c r="BR281" s="102">
        <f>VLOOKUP(L281,材料合同!$L$6:$CC$305,59,0)</f>
        <v>0</v>
      </c>
      <c r="BS281" s="102">
        <f>VLOOKUP(L281,材料合同!$L$6:$CC$305,60,0)</f>
        <v>0</v>
      </c>
      <c r="BT281" s="102">
        <f>VLOOKUP(L281,材料合同!$L$6:$CC$305,61,0)</f>
        <v>0</v>
      </c>
      <c r="BU281" s="102">
        <f>VLOOKUP(L281,材料合同!$L$6:$CC$305,62,0)</f>
        <v>0</v>
      </c>
      <c r="BV281" s="102">
        <f>VLOOKUP(L281,材料合同!$L$6:$CC$305,63,0)</f>
        <v>0</v>
      </c>
      <c r="BW281" s="102">
        <f>VLOOKUP(L281,材料合同!$L$6:$CC$305,64,0)</f>
        <v>0</v>
      </c>
      <c r="BX281" s="102">
        <f>VLOOKUP(L281,材料合同!$L$6:$CC$305,65,0)</f>
        <v>0</v>
      </c>
      <c r="BY281" s="102">
        <f>VLOOKUP(L281,材料合同!$L$6:$CC$305,66,0)</f>
        <v>0</v>
      </c>
      <c r="BZ281" s="102">
        <f>VLOOKUP(L281,材料合同!$L$6:$CC$305,67,0)</f>
        <v>0</v>
      </c>
      <c r="CA281" s="102">
        <f>VLOOKUP(L281,材料合同!$L$6:$CC$305,68,0)</f>
        <v>0</v>
      </c>
      <c r="CB281" s="102">
        <f>VLOOKUP(L281,材料合同!$L$6:$CC$305,69,0)</f>
        <v>0</v>
      </c>
      <c r="CC281" s="102">
        <f>VLOOKUP(L281,材料合同!$L$6:$CC$305,70,0)</f>
        <v>0</v>
      </c>
      <c r="CD281" s="123">
        <f t="shared" si="66"/>
        <v>1730000</v>
      </c>
      <c r="CE281" s="102">
        <f t="shared" si="67"/>
        <v>346000</v>
      </c>
      <c r="CF281" s="102">
        <f t="shared" si="68"/>
        <v>346000</v>
      </c>
      <c r="CG281" s="102">
        <f t="shared" si="69"/>
        <v>0</v>
      </c>
      <c r="CH281" s="124">
        <f t="shared" si="70"/>
        <v>1384000</v>
      </c>
      <c r="CI281" s="125">
        <f t="shared" si="71"/>
        <v>0.2</v>
      </c>
      <c r="CJ281" s="126" t="str">
        <f t="shared" si="72"/>
        <v>数据正确</v>
      </c>
    </row>
    <row r="282" s="60" customFormat="1" customHeight="1" spans="2:88">
      <c r="B282" s="70" t="str">
        <f t="shared" si="62"/>
        <v>-</v>
      </c>
      <c r="C282" s="71" t="str">
        <f t="shared" si="63"/>
        <v>-</v>
      </c>
      <c r="D282" s="181">
        <f t="shared" si="64"/>
        <v>266000</v>
      </c>
      <c r="E282" s="181">
        <f>SUMIF(材料合同!$L$6:$L$305,L282,材料合同!$E$6:$E$305)</f>
        <v>0</v>
      </c>
      <c r="F282" s="181">
        <f>SUMIF(材料合同!$L$6:$L$305,L282,材料合同!$F$6:$F$305)</f>
        <v>0</v>
      </c>
      <c r="G282" s="181">
        <f>SUMIF(材料合同!$L$6:$L$305,L282,材料合同!$G$6:$G$305)</f>
        <v>0</v>
      </c>
      <c r="H282" s="181">
        <f>SUMIF(材料合同!$L$6:$L$305,L282,材料合同!$H$6:$H$305)</f>
        <v>0</v>
      </c>
      <c r="I282" s="181">
        <f t="shared" si="65"/>
        <v>0</v>
      </c>
      <c r="J282" s="86" t="s">
        <v>98</v>
      </c>
      <c r="K282" s="87"/>
      <c r="L282" s="88">
        <v>277</v>
      </c>
      <c r="M282" s="89" t="str">
        <f>VLOOKUP(L282,材料合同!$L$6:$CC$305,2,0)</f>
        <v>YRKJBT-170112</v>
      </c>
      <c r="N282" s="90" t="str">
        <f>VLOOKUP(L282,材料合同!$L$6:$CC$305,3,0)</f>
        <v>材料合同</v>
      </c>
      <c r="O282" s="265">
        <f>VLOOKUP(L282,材料合同!$L$6:$CC$305,4,0)</f>
        <v>2017080059</v>
      </c>
      <c r="P282" s="266">
        <f>VLOOKUP(L282,材料合同!$L$6:$CC$305,5,0)</f>
        <v>43020</v>
      </c>
      <c r="Q282" s="275">
        <f>VLOOKUP(L282,材料合同!$L$6:$CC$305,6,0)</f>
        <v>1330000</v>
      </c>
      <c r="R282" s="89" t="str">
        <f>VLOOKUP(L282,材料合同!$L$6:$CC$305,7,0)</f>
        <v>偏心旋转阀一批</v>
      </c>
      <c r="S282" s="89" t="str">
        <f>VLOOKUP(L282,材料合同!$L$6:$CC$305,8,0)</f>
        <v>吴忠仪表有限责任公司</v>
      </c>
      <c r="T282" s="107">
        <f>VLOOKUP(L282,材料合同!$L$6:$CC$305,9,0)</f>
        <v>0</v>
      </c>
      <c r="U282" s="103" t="str">
        <f>VLOOKUP(L282,材料合同!$L$6:$CC$305,10,0)</f>
        <v>电汇</v>
      </c>
      <c r="V282" s="276" t="str">
        <f>VLOOKUP(L282,材料合同!$L$6:$CC$305,11,0)</f>
        <v>甲方收到10%履约保函和等额发票，15个工作日支付20%预付款</v>
      </c>
      <c r="W282" s="102">
        <f>VLOOKUP(L282,材料合同!$L$6:$CC$305,12,0)</f>
        <v>266000</v>
      </c>
      <c r="X282" s="102">
        <f>VLOOKUP(L282,材料合同!$L$6:$CC$305,13,0)</f>
        <v>266000</v>
      </c>
      <c r="Y282" s="102">
        <f>VLOOKUP(L282,材料合同!$L$6:$CC$305,14,0)</f>
        <v>266000</v>
      </c>
      <c r="Z282" s="102" t="str">
        <f>VLOOKUP(L282,材料合同!$L$6:$CC$305,15,0)</f>
        <v>甲方去乙方工厂验收，完成后，5个工作日支付40%发货款，开具等额发票</v>
      </c>
      <c r="AA282" s="102">
        <f>VLOOKUP(L282,材料合同!$L$6:$CC$305,16,0)</f>
        <v>532000</v>
      </c>
      <c r="AB282" s="102">
        <f>VLOOKUP(L282,材料合同!$L$6:$CC$305,17,0)</f>
        <v>0</v>
      </c>
      <c r="AC282" s="102">
        <f>VLOOKUP(L282,材料合同!$L$6:$CC$305,18,0)</f>
        <v>0</v>
      </c>
      <c r="AD282" s="102" t="str">
        <f>VLOOKUP(L282,材料合同!$L$6:$CC$305,19,0)</f>
        <v>甲方收到经甲方核定调试合格报告及全额的发票后15个工作日支付30%调试款</v>
      </c>
      <c r="AE282" s="102">
        <f>VLOOKUP(L282,材料合同!$L$6:$CC$305,20,0)</f>
        <v>399000</v>
      </c>
      <c r="AF282" s="102">
        <f>VLOOKUP(L282,材料合同!$L$6:$CC$305,21,0)</f>
        <v>0</v>
      </c>
      <c r="AG282" s="102">
        <f>VLOOKUP(L282,材料合同!$L$6:$CC$305,22,0)</f>
        <v>0</v>
      </c>
      <c r="AH282" s="102" t="str">
        <f>VLOOKUP(L282,材料合同!$L$6:$CC$305,23,0)</f>
        <v>10%质保金，自验收合格，满12月或货到现场19个月支付</v>
      </c>
      <c r="AI282" s="102">
        <f>VLOOKUP(L282,材料合同!$L$6:$CC$305,24,0)</f>
        <v>133000</v>
      </c>
      <c r="AJ282" s="102">
        <f>VLOOKUP(L282,材料合同!$L$6:$CC$305,25,0)</f>
        <v>0</v>
      </c>
      <c r="AK282" s="102">
        <f>VLOOKUP(L282,材料合同!$L$6:$CC$305,26,0)</f>
        <v>0</v>
      </c>
      <c r="AL282" s="102">
        <f>VLOOKUP(L282,材料合同!$L$6:$CC$305,27,0)</f>
        <v>0</v>
      </c>
      <c r="AM282" s="102">
        <f>VLOOKUP(L282,材料合同!$L$6:$CC$305,28,0)</f>
        <v>0</v>
      </c>
      <c r="AN282" s="102">
        <f>VLOOKUP(L282,材料合同!$L$6:$CC$305,29,0)</f>
        <v>0</v>
      </c>
      <c r="AO282" s="102">
        <f>VLOOKUP(L282,材料合同!$L$6:$CC$305,30,0)</f>
        <v>0</v>
      </c>
      <c r="AP282" s="102">
        <f>VLOOKUP(L282,材料合同!$L$6:$CC$305,31,0)</f>
        <v>0</v>
      </c>
      <c r="AQ282" s="102">
        <f>VLOOKUP(L282,材料合同!$L$6:$CC$305,32,0)</f>
        <v>0</v>
      </c>
      <c r="AR282" s="102">
        <f>VLOOKUP(L282,材料合同!$L$6:$CC$305,33,0)</f>
        <v>0</v>
      </c>
      <c r="AS282" s="102">
        <f>VLOOKUP(L282,材料合同!$L$6:$CC$305,34,0)</f>
        <v>0</v>
      </c>
      <c r="AT282" s="102">
        <f>VLOOKUP(L282,材料合同!$L$6:$CC$305,35,0)</f>
        <v>0</v>
      </c>
      <c r="AU282" s="102">
        <f>VLOOKUP(L282,材料合同!$L$6:$CC$305,36,0)</f>
        <v>0</v>
      </c>
      <c r="AV282" s="102">
        <f>VLOOKUP(L282,材料合同!$L$6:$CC$305,37,0)</f>
        <v>0</v>
      </c>
      <c r="AW282" s="102">
        <f>VLOOKUP(L282,材料合同!$L$6:$CC$305,38,0)</f>
        <v>0</v>
      </c>
      <c r="AX282" s="102">
        <f>VLOOKUP(L282,材料合同!$L$6:$CC$305,39,0)</f>
        <v>0</v>
      </c>
      <c r="AY282" s="102">
        <f>VLOOKUP(L282,材料合同!$L$6:$CC$305,40,0)</f>
        <v>0</v>
      </c>
      <c r="AZ282" s="102">
        <f>VLOOKUP(L282,材料合同!$L$6:$CC$305,41,0)</f>
        <v>0</v>
      </c>
      <c r="BA282" s="102">
        <f>VLOOKUP(L282,材料合同!$L$6:$CC$305,42,0)</f>
        <v>0</v>
      </c>
      <c r="BB282" s="102">
        <f>VLOOKUP(L282,材料合同!$L$6:$CC$305,43,0)</f>
        <v>0</v>
      </c>
      <c r="BC282" s="102">
        <f>VLOOKUP(L282,材料合同!$L$6:$CC$305,44,0)</f>
        <v>0</v>
      </c>
      <c r="BD282" s="102">
        <f>VLOOKUP(L282,材料合同!$L$6:$CC$305,45,0)</f>
        <v>0</v>
      </c>
      <c r="BE282" s="102">
        <f>VLOOKUP(L282,材料合同!$L$6:$CC$305,46,0)</f>
        <v>0</v>
      </c>
      <c r="BF282" s="102">
        <f>VLOOKUP(L282,材料合同!$L$6:$CC$305,47,0)</f>
        <v>0</v>
      </c>
      <c r="BG282" s="102">
        <f>VLOOKUP(L282,材料合同!$L$6:$CC$305,48,0)</f>
        <v>0</v>
      </c>
      <c r="BH282" s="102">
        <f>VLOOKUP(L282,材料合同!$L$6:$CC$305,49,0)</f>
        <v>0</v>
      </c>
      <c r="BI282" s="102">
        <f>VLOOKUP(L282,材料合同!$L$6:$CC$305,50,0)</f>
        <v>0</v>
      </c>
      <c r="BJ282" s="102">
        <f>VLOOKUP(L282,材料合同!$L$6:$CC$305,51,0)</f>
        <v>0</v>
      </c>
      <c r="BK282" s="102">
        <f>VLOOKUP(L282,材料合同!$L$6:$CC$305,52,0)</f>
        <v>0</v>
      </c>
      <c r="BL282" s="102">
        <f>VLOOKUP(L282,材料合同!$L$6:$CC$305,53,0)</f>
        <v>0</v>
      </c>
      <c r="BM282" s="102">
        <f>VLOOKUP(L282,材料合同!$L$6:$CC$305,54,0)</f>
        <v>0</v>
      </c>
      <c r="BN282" s="102">
        <f>VLOOKUP(L282,材料合同!$L$6:$CC$305,55,0)</f>
        <v>0</v>
      </c>
      <c r="BO282" s="102">
        <f>VLOOKUP(L282,材料合同!$L$6:$CC$305,56,0)</f>
        <v>0</v>
      </c>
      <c r="BP282" s="102">
        <f>VLOOKUP(L282,材料合同!$L$6:$CC$305,57,0)</f>
        <v>0</v>
      </c>
      <c r="BQ282" s="102">
        <f>VLOOKUP(L282,材料合同!$L$6:$CC$305,58,0)</f>
        <v>0</v>
      </c>
      <c r="BR282" s="102">
        <f>VLOOKUP(L282,材料合同!$L$6:$CC$305,59,0)</f>
        <v>0</v>
      </c>
      <c r="BS282" s="102">
        <f>VLOOKUP(L282,材料合同!$L$6:$CC$305,60,0)</f>
        <v>0</v>
      </c>
      <c r="BT282" s="102">
        <f>VLOOKUP(L282,材料合同!$L$6:$CC$305,61,0)</f>
        <v>0</v>
      </c>
      <c r="BU282" s="102">
        <f>VLOOKUP(L282,材料合同!$L$6:$CC$305,62,0)</f>
        <v>0</v>
      </c>
      <c r="BV282" s="102">
        <f>VLOOKUP(L282,材料合同!$L$6:$CC$305,63,0)</f>
        <v>0</v>
      </c>
      <c r="BW282" s="102">
        <f>VLOOKUP(L282,材料合同!$L$6:$CC$305,64,0)</f>
        <v>0</v>
      </c>
      <c r="BX282" s="102">
        <f>VLOOKUP(L282,材料合同!$L$6:$CC$305,65,0)</f>
        <v>0</v>
      </c>
      <c r="BY282" s="102">
        <f>VLOOKUP(L282,材料合同!$L$6:$CC$305,66,0)</f>
        <v>0</v>
      </c>
      <c r="BZ282" s="102">
        <f>VLOOKUP(L282,材料合同!$L$6:$CC$305,67,0)</f>
        <v>0</v>
      </c>
      <c r="CA282" s="102">
        <f>VLOOKUP(L282,材料合同!$L$6:$CC$305,68,0)</f>
        <v>0</v>
      </c>
      <c r="CB282" s="102">
        <f>VLOOKUP(L282,材料合同!$L$6:$CC$305,69,0)</f>
        <v>0</v>
      </c>
      <c r="CC282" s="102">
        <f>VLOOKUP(L282,材料合同!$L$6:$CC$305,70,0)</f>
        <v>0</v>
      </c>
      <c r="CD282" s="123">
        <f t="shared" si="66"/>
        <v>1330000</v>
      </c>
      <c r="CE282" s="102">
        <f t="shared" si="67"/>
        <v>266000</v>
      </c>
      <c r="CF282" s="102">
        <f t="shared" si="68"/>
        <v>266000</v>
      </c>
      <c r="CG282" s="102">
        <f t="shared" si="69"/>
        <v>0</v>
      </c>
      <c r="CH282" s="124">
        <f t="shared" si="70"/>
        <v>1064000</v>
      </c>
      <c r="CI282" s="125">
        <f t="shared" si="71"/>
        <v>0.2</v>
      </c>
      <c r="CJ282" s="126" t="str">
        <f t="shared" si="72"/>
        <v>数据正确</v>
      </c>
    </row>
    <row r="283" s="60" customFormat="1" customHeight="1" spans="2:88">
      <c r="B283" s="70" t="str">
        <f t="shared" si="62"/>
        <v>-</v>
      </c>
      <c r="C283" s="71" t="str">
        <f t="shared" si="63"/>
        <v>-</v>
      </c>
      <c r="D283" s="181">
        <f t="shared" si="64"/>
        <v>460000</v>
      </c>
      <c r="E283" s="181">
        <f>SUMIF(材料合同!$L$6:$L$305,L283,材料合同!$E$6:$E$305)</f>
        <v>0</v>
      </c>
      <c r="F283" s="181">
        <f>SUMIF(材料合同!$L$6:$L$305,L283,材料合同!$F$6:$F$305)</f>
        <v>0</v>
      </c>
      <c r="G283" s="181">
        <f>SUMIF(材料合同!$L$6:$L$305,L283,材料合同!$G$6:$G$305)</f>
        <v>0</v>
      </c>
      <c r="H283" s="181">
        <f>SUMIF(材料合同!$L$6:$L$305,L283,材料合同!$H$6:$H$305)</f>
        <v>0</v>
      </c>
      <c r="I283" s="181">
        <f t="shared" si="65"/>
        <v>0</v>
      </c>
      <c r="J283" s="86" t="s">
        <v>98</v>
      </c>
      <c r="K283" s="87"/>
      <c r="L283" s="88">
        <v>278</v>
      </c>
      <c r="M283" s="89" t="str">
        <f>VLOOKUP(L283,材料合同!$L$6:$CC$305,2,0)</f>
        <v>YRKJBT-170116</v>
      </c>
      <c r="N283" s="90" t="str">
        <f>VLOOKUP(L283,材料合同!$L$6:$CC$305,3,0)</f>
        <v>材料合同</v>
      </c>
      <c r="O283" s="265">
        <f>VLOOKUP(L283,材料合同!$L$6:$CC$305,4,0)</f>
        <v>2017080066</v>
      </c>
      <c r="P283" s="266">
        <f>VLOOKUP(L283,材料合同!$L$6:$CC$305,5,0)</f>
        <v>43020</v>
      </c>
      <c r="Q283" s="275">
        <f>VLOOKUP(L283,材料合同!$L$6:$CC$305,6,0)</f>
        <v>2300000</v>
      </c>
      <c r="R283" s="89" t="str">
        <f>VLOOKUP(L283,材料合同!$L$6:$CC$305,7,0)</f>
        <v>蝶阀一批</v>
      </c>
      <c r="S283" s="89" t="str">
        <f>VLOOKUP(L283,材料合同!$L$6:$CC$305,8,0)</f>
        <v>吴忠仪表有限责任公司</v>
      </c>
      <c r="T283" s="107">
        <f>VLOOKUP(L283,材料合同!$L$6:$CC$305,9,0)</f>
        <v>0</v>
      </c>
      <c r="U283" s="103" t="str">
        <f>VLOOKUP(L283,材料合同!$L$6:$CC$305,10,0)</f>
        <v>电汇</v>
      </c>
      <c r="V283" s="276" t="str">
        <f>VLOOKUP(L283,材料合同!$L$6:$CC$305,11,0)</f>
        <v>甲方收到10%履约保函和等额发票，15个工作日支付20%预付款</v>
      </c>
      <c r="W283" s="102">
        <f>VLOOKUP(L283,材料合同!$L$6:$CC$305,12,0)</f>
        <v>460000</v>
      </c>
      <c r="X283" s="102">
        <f>VLOOKUP(L283,材料合同!$L$6:$CC$305,13,0)</f>
        <v>460000</v>
      </c>
      <c r="Y283" s="102">
        <f>VLOOKUP(L283,材料合同!$L$6:$CC$305,14,0)</f>
        <v>460000</v>
      </c>
      <c r="Z283" s="102" t="str">
        <f>VLOOKUP(L283,材料合同!$L$6:$CC$305,15,0)</f>
        <v>甲方去乙方工厂验收，完成后，5个工作日支付40%发货款，开具等额发票</v>
      </c>
      <c r="AA283" s="102">
        <f>VLOOKUP(L283,材料合同!$L$6:$CC$305,16,0)</f>
        <v>920000</v>
      </c>
      <c r="AB283" s="102">
        <f>VLOOKUP(L283,材料合同!$L$6:$CC$305,17,0)</f>
        <v>0</v>
      </c>
      <c r="AC283" s="102">
        <f>VLOOKUP(L283,材料合同!$L$6:$CC$305,18,0)</f>
        <v>0</v>
      </c>
      <c r="AD283" s="102" t="str">
        <f>VLOOKUP(L283,材料合同!$L$6:$CC$305,19,0)</f>
        <v>甲方收到经甲方核定调试合格报告及全额的发票后15个工作日支付30%调试款</v>
      </c>
      <c r="AE283" s="102">
        <f>VLOOKUP(L283,材料合同!$L$6:$CC$305,20,0)</f>
        <v>690000</v>
      </c>
      <c r="AF283" s="102">
        <f>VLOOKUP(L283,材料合同!$L$6:$CC$305,21,0)</f>
        <v>0</v>
      </c>
      <c r="AG283" s="102">
        <f>VLOOKUP(L283,材料合同!$L$6:$CC$305,22,0)</f>
        <v>0</v>
      </c>
      <c r="AH283" s="102" t="str">
        <f>VLOOKUP(L283,材料合同!$L$6:$CC$305,23,0)</f>
        <v>10%质保金，自验收合格，满12月或货到现场19个月支付</v>
      </c>
      <c r="AI283" s="102">
        <f>VLOOKUP(L283,材料合同!$L$6:$CC$305,24,0)</f>
        <v>230000</v>
      </c>
      <c r="AJ283" s="102">
        <f>VLOOKUP(L283,材料合同!$L$6:$CC$305,25,0)</f>
        <v>0</v>
      </c>
      <c r="AK283" s="102">
        <f>VLOOKUP(L283,材料合同!$L$6:$CC$305,26,0)</f>
        <v>0</v>
      </c>
      <c r="AL283" s="102">
        <f>VLOOKUP(L283,材料合同!$L$6:$CC$305,27,0)</f>
        <v>0</v>
      </c>
      <c r="AM283" s="102">
        <f>VLOOKUP(L283,材料合同!$L$6:$CC$305,28,0)</f>
        <v>0</v>
      </c>
      <c r="AN283" s="102">
        <f>VLOOKUP(L283,材料合同!$L$6:$CC$305,29,0)</f>
        <v>0</v>
      </c>
      <c r="AO283" s="102">
        <f>VLOOKUP(L283,材料合同!$L$6:$CC$305,30,0)</f>
        <v>0</v>
      </c>
      <c r="AP283" s="102">
        <f>VLOOKUP(L283,材料合同!$L$6:$CC$305,31,0)</f>
        <v>0</v>
      </c>
      <c r="AQ283" s="102">
        <f>VLOOKUP(L283,材料合同!$L$6:$CC$305,32,0)</f>
        <v>0</v>
      </c>
      <c r="AR283" s="102">
        <f>VLOOKUP(L283,材料合同!$L$6:$CC$305,33,0)</f>
        <v>0</v>
      </c>
      <c r="AS283" s="102">
        <f>VLOOKUP(L283,材料合同!$L$6:$CC$305,34,0)</f>
        <v>0</v>
      </c>
      <c r="AT283" s="102">
        <f>VLOOKUP(L283,材料合同!$L$6:$CC$305,35,0)</f>
        <v>0</v>
      </c>
      <c r="AU283" s="102">
        <f>VLOOKUP(L283,材料合同!$L$6:$CC$305,36,0)</f>
        <v>0</v>
      </c>
      <c r="AV283" s="102">
        <f>VLOOKUP(L283,材料合同!$L$6:$CC$305,37,0)</f>
        <v>0</v>
      </c>
      <c r="AW283" s="102">
        <f>VLOOKUP(L283,材料合同!$L$6:$CC$305,38,0)</f>
        <v>0</v>
      </c>
      <c r="AX283" s="102">
        <f>VLOOKUP(L283,材料合同!$L$6:$CC$305,39,0)</f>
        <v>0</v>
      </c>
      <c r="AY283" s="102">
        <f>VLOOKUP(L283,材料合同!$L$6:$CC$305,40,0)</f>
        <v>0</v>
      </c>
      <c r="AZ283" s="102">
        <f>VLOOKUP(L283,材料合同!$L$6:$CC$305,41,0)</f>
        <v>0</v>
      </c>
      <c r="BA283" s="102">
        <f>VLOOKUP(L283,材料合同!$L$6:$CC$305,42,0)</f>
        <v>0</v>
      </c>
      <c r="BB283" s="102">
        <f>VLOOKUP(L283,材料合同!$L$6:$CC$305,43,0)</f>
        <v>0</v>
      </c>
      <c r="BC283" s="102">
        <f>VLOOKUP(L283,材料合同!$L$6:$CC$305,44,0)</f>
        <v>0</v>
      </c>
      <c r="BD283" s="102">
        <f>VLOOKUP(L283,材料合同!$L$6:$CC$305,45,0)</f>
        <v>0</v>
      </c>
      <c r="BE283" s="102">
        <f>VLOOKUP(L283,材料合同!$L$6:$CC$305,46,0)</f>
        <v>0</v>
      </c>
      <c r="BF283" s="102">
        <f>VLOOKUP(L283,材料合同!$L$6:$CC$305,47,0)</f>
        <v>0</v>
      </c>
      <c r="BG283" s="102">
        <f>VLOOKUP(L283,材料合同!$L$6:$CC$305,48,0)</f>
        <v>0</v>
      </c>
      <c r="BH283" s="102">
        <f>VLOOKUP(L283,材料合同!$L$6:$CC$305,49,0)</f>
        <v>0</v>
      </c>
      <c r="BI283" s="102">
        <f>VLOOKUP(L283,材料合同!$L$6:$CC$305,50,0)</f>
        <v>0</v>
      </c>
      <c r="BJ283" s="102">
        <f>VLOOKUP(L283,材料合同!$L$6:$CC$305,51,0)</f>
        <v>0</v>
      </c>
      <c r="BK283" s="102">
        <f>VLOOKUP(L283,材料合同!$L$6:$CC$305,52,0)</f>
        <v>0</v>
      </c>
      <c r="BL283" s="102">
        <f>VLOOKUP(L283,材料合同!$L$6:$CC$305,53,0)</f>
        <v>0</v>
      </c>
      <c r="BM283" s="102">
        <f>VLOOKUP(L283,材料合同!$L$6:$CC$305,54,0)</f>
        <v>0</v>
      </c>
      <c r="BN283" s="102">
        <f>VLOOKUP(L283,材料合同!$L$6:$CC$305,55,0)</f>
        <v>0</v>
      </c>
      <c r="BO283" s="102">
        <f>VLOOKUP(L283,材料合同!$L$6:$CC$305,56,0)</f>
        <v>0</v>
      </c>
      <c r="BP283" s="102">
        <f>VLOOKUP(L283,材料合同!$L$6:$CC$305,57,0)</f>
        <v>0</v>
      </c>
      <c r="BQ283" s="102">
        <f>VLOOKUP(L283,材料合同!$L$6:$CC$305,58,0)</f>
        <v>0</v>
      </c>
      <c r="BR283" s="102">
        <f>VLOOKUP(L283,材料合同!$L$6:$CC$305,59,0)</f>
        <v>0</v>
      </c>
      <c r="BS283" s="102">
        <f>VLOOKUP(L283,材料合同!$L$6:$CC$305,60,0)</f>
        <v>0</v>
      </c>
      <c r="BT283" s="102">
        <f>VLOOKUP(L283,材料合同!$L$6:$CC$305,61,0)</f>
        <v>0</v>
      </c>
      <c r="BU283" s="102">
        <f>VLOOKUP(L283,材料合同!$L$6:$CC$305,62,0)</f>
        <v>0</v>
      </c>
      <c r="BV283" s="102">
        <f>VLOOKUP(L283,材料合同!$L$6:$CC$305,63,0)</f>
        <v>0</v>
      </c>
      <c r="BW283" s="102">
        <f>VLOOKUP(L283,材料合同!$L$6:$CC$305,64,0)</f>
        <v>0</v>
      </c>
      <c r="BX283" s="102">
        <f>VLOOKUP(L283,材料合同!$L$6:$CC$305,65,0)</f>
        <v>0</v>
      </c>
      <c r="BY283" s="102">
        <f>VLOOKUP(L283,材料合同!$L$6:$CC$305,66,0)</f>
        <v>0</v>
      </c>
      <c r="BZ283" s="102">
        <f>VLOOKUP(L283,材料合同!$L$6:$CC$305,67,0)</f>
        <v>0</v>
      </c>
      <c r="CA283" s="102">
        <f>VLOOKUP(L283,材料合同!$L$6:$CC$305,68,0)</f>
        <v>0</v>
      </c>
      <c r="CB283" s="102">
        <f>VLOOKUP(L283,材料合同!$L$6:$CC$305,69,0)</f>
        <v>0</v>
      </c>
      <c r="CC283" s="102">
        <f>VLOOKUP(L283,材料合同!$L$6:$CC$305,70,0)</f>
        <v>0</v>
      </c>
      <c r="CD283" s="123">
        <f t="shared" si="66"/>
        <v>2300000</v>
      </c>
      <c r="CE283" s="102">
        <f t="shared" si="67"/>
        <v>460000</v>
      </c>
      <c r="CF283" s="102">
        <f t="shared" si="68"/>
        <v>460000</v>
      </c>
      <c r="CG283" s="102">
        <f t="shared" si="69"/>
        <v>0</v>
      </c>
      <c r="CH283" s="124">
        <f t="shared" si="70"/>
        <v>1840000</v>
      </c>
      <c r="CI283" s="125">
        <f t="shared" si="71"/>
        <v>0.2</v>
      </c>
      <c r="CJ283" s="126" t="str">
        <f t="shared" si="72"/>
        <v>数据正确</v>
      </c>
    </row>
    <row r="284" s="60" customFormat="1" customHeight="1" spans="2:88">
      <c r="B284" s="70" t="str">
        <f t="shared" si="62"/>
        <v>-</v>
      </c>
      <c r="C284" s="71" t="str">
        <f t="shared" si="63"/>
        <v>已付清</v>
      </c>
      <c r="D284" s="181">
        <f t="shared" si="64"/>
        <v>21517</v>
      </c>
      <c r="E284" s="181">
        <f>SUMIF(材料合同!$L$6:$L$305,L284,材料合同!$E$6:$E$305)</f>
        <v>0</v>
      </c>
      <c r="F284" s="181">
        <f>SUMIF(材料合同!$L$6:$L$305,L284,材料合同!$F$6:$F$305)</f>
        <v>0</v>
      </c>
      <c r="G284" s="181">
        <f>SUMIF(材料合同!$L$6:$L$305,L284,材料合同!$G$6:$G$305)</f>
        <v>0</v>
      </c>
      <c r="H284" s="181">
        <f>SUMIF(材料合同!$L$6:$L$305,L284,材料合同!$H$6:$H$305)</f>
        <v>0</v>
      </c>
      <c r="I284" s="181">
        <f t="shared" si="65"/>
        <v>0</v>
      </c>
      <c r="J284" s="86" t="s">
        <v>98</v>
      </c>
      <c r="K284" s="87"/>
      <c r="L284" s="88">
        <v>279</v>
      </c>
      <c r="M284" s="89" t="str">
        <f>VLOOKUP(L284,材料合同!$L$6:$CC$305,2,0)</f>
        <v>YRKJGC-170065</v>
      </c>
      <c r="N284" s="90" t="str">
        <f>VLOOKUP(L284,材料合同!$L$6:$CC$305,3,0)</f>
        <v>材料合同</v>
      </c>
      <c r="O284" s="265">
        <f>VLOOKUP(L284,材料合同!$L$6:$CC$305,4,0)</f>
        <v>0</v>
      </c>
      <c r="P284" s="266">
        <f>VLOOKUP(L284,材料合同!$L$6:$CC$305,5,0)</f>
        <v>43009</v>
      </c>
      <c r="Q284" s="275">
        <f>VLOOKUP(L284,材料合同!$L$6:$CC$305,6,0)</f>
        <v>21517</v>
      </c>
      <c r="R284" s="89" t="str">
        <f>VLOOKUP(L284,材料合同!$L$6:$CC$305,7,0)</f>
        <v>时控开关、微型断路器、铁丝</v>
      </c>
      <c r="S284" s="89" t="str">
        <f>VLOOKUP(L284,材料合同!$L$6:$CC$305,8,0)</f>
        <v>莆田冠亿自动化科技有限公司</v>
      </c>
      <c r="T284" s="107">
        <f>VLOOKUP(L284,材料合同!$L$6:$CC$305,9,0)</f>
        <v>0</v>
      </c>
      <c r="U284" s="103" t="str">
        <f>VLOOKUP(L284,材料合同!$L$6:$CC$305,10,0)</f>
        <v>电汇</v>
      </c>
      <c r="V284" s="276" t="str">
        <f>VLOOKUP(L284,材料合同!$L$6:$CC$305,11,0)</f>
        <v>甲方收到货、发票后，10-15个工作日全额付清</v>
      </c>
      <c r="W284" s="102">
        <f>VLOOKUP(L284,材料合同!$L$6:$CC$305,12,0)</f>
        <v>21517</v>
      </c>
      <c r="X284" s="102">
        <f>VLOOKUP(L284,材料合同!$L$6:$CC$305,13,0)</f>
        <v>21517</v>
      </c>
      <c r="Y284" s="102">
        <f>VLOOKUP(L284,材料合同!$L$6:$CC$305,14,0)</f>
        <v>21517</v>
      </c>
      <c r="Z284" s="102">
        <f>VLOOKUP(L284,材料合同!$L$6:$CC$305,15,0)</f>
        <v>0</v>
      </c>
      <c r="AA284" s="102">
        <f>VLOOKUP(L284,材料合同!$L$6:$CC$305,16,0)</f>
        <v>0</v>
      </c>
      <c r="AB284" s="102">
        <f>VLOOKUP(L284,材料合同!$L$6:$CC$305,17,0)</f>
        <v>0</v>
      </c>
      <c r="AC284" s="102">
        <f>VLOOKUP(L284,材料合同!$L$6:$CC$305,18,0)</f>
        <v>0</v>
      </c>
      <c r="AD284" s="102">
        <f>VLOOKUP(L284,材料合同!$L$6:$CC$305,19,0)</f>
        <v>0</v>
      </c>
      <c r="AE284" s="102">
        <f>VLOOKUP(L284,材料合同!$L$6:$CC$305,20,0)</f>
        <v>0</v>
      </c>
      <c r="AF284" s="102">
        <f>VLOOKUP(L284,材料合同!$L$6:$CC$305,21,0)</f>
        <v>0</v>
      </c>
      <c r="AG284" s="102">
        <f>VLOOKUP(L284,材料合同!$L$6:$CC$305,22,0)</f>
        <v>0</v>
      </c>
      <c r="AH284" s="102">
        <f>VLOOKUP(L284,材料合同!$L$6:$CC$305,23,0)</f>
        <v>0</v>
      </c>
      <c r="AI284" s="102">
        <f>VLOOKUP(L284,材料合同!$L$6:$CC$305,24,0)</f>
        <v>0</v>
      </c>
      <c r="AJ284" s="102">
        <f>VLOOKUP(L284,材料合同!$L$6:$CC$305,25,0)</f>
        <v>0</v>
      </c>
      <c r="AK284" s="102">
        <f>VLOOKUP(L284,材料合同!$L$6:$CC$305,26,0)</f>
        <v>0</v>
      </c>
      <c r="AL284" s="102">
        <f>VLOOKUP(L284,材料合同!$L$6:$CC$305,27,0)</f>
        <v>0</v>
      </c>
      <c r="AM284" s="102">
        <f>VLOOKUP(L284,材料合同!$L$6:$CC$305,28,0)</f>
        <v>0</v>
      </c>
      <c r="AN284" s="102">
        <f>VLOOKUP(L284,材料合同!$L$6:$CC$305,29,0)</f>
        <v>0</v>
      </c>
      <c r="AO284" s="102">
        <f>VLOOKUP(L284,材料合同!$L$6:$CC$305,30,0)</f>
        <v>0</v>
      </c>
      <c r="AP284" s="102">
        <f>VLOOKUP(L284,材料合同!$L$6:$CC$305,31,0)</f>
        <v>0</v>
      </c>
      <c r="AQ284" s="102">
        <f>VLOOKUP(L284,材料合同!$L$6:$CC$305,32,0)</f>
        <v>0</v>
      </c>
      <c r="AR284" s="102">
        <f>VLOOKUP(L284,材料合同!$L$6:$CC$305,33,0)</f>
        <v>0</v>
      </c>
      <c r="AS284" s="102">
        <f>VLOOKUP(L284,材料合同!$L$6:$CC$305,34,0)</f>
        <v>0</v>
      </c>
      <c r="AT284" s="102">
        <f>VLOOKUP(L284,材料合同!$L$6:$CC$305,35,0)</f>
        <v>0</v>
      </c>
      <c r="AU284" s="102">
        <f>VLOOKUP(L284,材料合同!$L$6:$CC$305,36,0)</f>
        <v>0</v>
      </c>
      <c r="AV284" s="102">
        <f>VLOOKUP(L284,材料合同!$L$6:$CC$305,37,0)</f>
        <v>0</v>
      </c>
      <c r="AW284" s="102">
        <f>VLOOKUP(L284,材料合同!$L$6:$CC$305,38,0)</f>
        <v>0</v>
      </c>
      <c r="AX284" s="102">
        <f>VLOOKUP(L284,材料合同!$L$6:$CC$305,39,0)</f>
        <v>0</v>
      </c>
      <c r="AY284" s="102">
        <f>VLOOKUP(L284,材料合同!$L$6:$CC$305,40,0)</f>
        <v>0</v>
      </c>
      <c r="AZ284" s="102">
        <f>VLOOKUP(L284,材料合同!$L$6:$CC$305,41,0)</f>
        <v>0</v>
      </c>
      <c r="BA284" s="102">
        <f>VLOOKUP(L284,材料合同!$L$6:$CC$305,42,0)</f>
        <v>0</v>
      </c>
      <c r="BB284" s="102">
        <f>VLOOKUP(L284,材料合同!$L$6:$CC$305,43,0)</f>
        <v>0</v>
      </c>
      <c r="BC284" s="102">
        <f>VLOOKUP(L284,材料合同!$L$6:$CC$305,44,0)</f>
        <v>0</v>
      </c>
      <c r="BD284" s="102">
        <f>VLOOKUP(L284,材料合同!$L$6:$CC$305,45,0)</f>
        <v>0</v>
      </c>
      <c r="BE284" s="102">
        <f>VLOOKUP(L284,材料合同!$L$6:$CC$305,46,0)</f>
        <v>0</v>
      </c>
      <c r="BF284" s="102">
        <f>VLOOKUP(L284,材料合同!$L$6:$CC$305,47,0)</f>
        <v>0</v>
      </c>
      <c r="BG284" s="102">
        <f>VLOOKUP(L284,材料合同!$L$6:$CC$305,48,0)</f>
        <v>0</v>
      </c>
      <c r="BH284" s="102">
        <f>VLOOKUP(L284,材料合同!$L$6:$CC$305,49,0)</f>
        <v>0</v>
      </c>
      <c r="BI284" s="102">
        <f>VLOOKUP(L284,材料合同!$L$6:$CC$305,50,0)</f>
        <v>0</v>
      </c>
      <c r="BJ284" s="102">
        <f>VLOOKUP(L284,材料合同!$L$6:$CC$305,51,0)</f>
        <v>0</v>
      </c>
      <c r="BK284" s="102">
        <f>VLOOKUP(L284,材料合同!$L$6:$CC$305,52,0)</f>
        <v>0</v>
      </c>
      <c r="BL284" s="102">
        <f>VLOOKUP(L284,材料合同!$L$6:$CC$305,53,0)</f>
        <v>0</v>
      </c>
      <c r="BM284" s="102">
        <f>VLOOKUP(L284,材料合同!$L$6:$CC$305,54,0)</f>
        <v>0</v>
      </c>
      <c r="BN284" s="102">
        <f>VLOOKUP(L284,材料合同!$L$6:$CC$305,55,0)</f>
        <v>0</v>
      </c>
      <c r="BO284" s="102">
        <f>VLOOKUP(L284,材料合同!$L$6:$CC$305,56,0)</f>
        <v>0</v>
      </c>
      <c r="BP284" s="102">
        <f>VLOOKUP(L284,材料合同!$L$6:$CC$305,57,0)</f>
        <v>0</v>
      </c>
      <c r="BQ284" s="102">
        <f>VLOOKUP(L284,材料合同!$L$6:$CC$305,58,0)</f>
        <v>0</v>
      </c>
      <c r="BR284" s="102">
        <f>VLOOKUP(L284,材料合同!$L$6:$CC$305,59,0)</f>
        <v>0</v>
      </c>
      <c r="BS284" s="102">
        <f>VLOOKUP(L284,材料合同!$L$6:$CC$305,60,0)</f>
        <v>0</v>
      </c>
      <c r="BT284" s="102">
        <f>VLOOKUP(L284,材料合同!$L$6:$CC$305,61,0)</f>
        <v>0</v>
      </c>
      <c r="BU284" s="102">
        <f>VLOOKUP(L284,材料合同!$L$6:$CC$305,62,0)</f>
        <v>0</v>
      </c>
      <c r="BV284" s="102">
        <f>VLOOKUP(L284,材料合同!$L$6:$CC$305,63,0)</f>
        <v>0</v>
      </c>
      <c r="BW284" s="102">
        <f>VLOOKUP(L284,材料合同!$L$6:$CC$305,64,0)</f>
        <v>0</v>
      </c>
      <c r="BX284" s="102">
        <f>VLOOKUP(L284,材料合同!$L$6:$CC$305,65,0)</f>
        <v>0</v>
      </c>
      <c r="BY284" s="102">
        <f>VLOOKUP(L284,材料合同!$L$6:$CC$305,66,0)</f>
        <v>0</v>
      </c>
      <c r="BZ284" s="102">
        <f>VLOOKUP(L284,材料合同!$L$6:$CC$305,67,0)</f>
        <v>0</v>
      </c>
      <c r="CA284" s="102">
        <f>VLOOKUP(L284,材料合同!$L$6:$CC$305,68,0)</f>
        <v>0</v>
      </c>
      <c r="CB284" s="102">
        <f>VLOOKUP(L284,材料合同!$L$6:$CC$305,69,0)</f>
        <v>0</v>
      </c>
      <c r="CC284" s="102">
        <f>VLOOKUP(L284,材料合同!$L$6:$CC$305,70,0)</f>
        <v>0</v>
      </c>
      <c r="CD284" s="123">
        <f t="shared" si="66"/>
        <v>21517</v>
      </c>
      <c r="CE284" s="102">
        <f t="shared" si="67"/>
        <v>21517</v>
      </c>
      <c r="CF284" s="102">
        <f t="shared" si="68"/>
        <v>21517</v>
      </c>
      <c r="CG284" s="102">
        <f t="shared" si="69"/>
        <v>0</v>
      </c>
      <c r="CH284" s="124">
        <f t="shared" si="70"/>
        <v>0</v>
      </c>
      <c r="CI284" s="125">
        <f t="shared" si="71"/>
        <v>1</v>
      </c>
      <c r="CJ284" s="126" t="str">
        <f t="shared" si="72"/>
        <v>数据正确</v>
      </c>
    </row>
    <row r="285" s="60" customFormat="1" customHeight="1" spans="2:88">
      <c r="B285" s="70" t="str">
        <f t="shared" si="62"/>
        <v>-</v>
      </c>
      <c r="C285" s="71" t="str">
        <f t="shared" si="63"/>
        <v>-</v>
      </c>
      <c r="D285" s="181">
        <f t="shared" si="64"/>
        <v>752000</v>
      </c>
      <c r="E285" s="181">
        <f>SUMIF(材料合同!$L$6:$L$305,L285,材料合同!$E$6:$E$305)</f>
        <v>0</v>
      </c>
      <c r="F285" s="181">
        <f>SUMIF(材料合同!$L$6:$L$305,L285,材料合同!$F$6:$F$305)</f>
        <v>0</v>
      </c>
      <c r="G285" s="181">
        <f>SUMIF(材料合同!$L$6:$L$305,L285,材料合同!$G$6:$G$305)</f>
        <v>0</v>
      </c>
      <c r="H285" s="181">
        <f>SUMIF(材料合同!$L$6:$L$305,L285,材料合同!$H$6:$H$305)</f>
        <v>0</v>
      </c>
      <c r="I285" s="181">
        <f t="shared" si="65"/>
        <v>0</v>
      </c>
      <c r="J285" s="86" t="s">
        <v>98</v>
      </c>
      <c r="K285" s="87"/>
      <c r="L285" s="88">
        <v>280</v>
      </c>
      <c r="M285" s="89" t="str">
        <f>VLOOKUP(L285,材料合同!$L$6:$CC$305,2,0)</f>
        <v>YRKJEQ-170097</v>
      </c>
      <c r="N285" s="90" t="str">
        <f>VLOOKUP(L285,材料合同!$L$6:$CC$305,3,0)</f>
        <v>材料合同</v>
      </c>
      <c r="O285" s="265">
        <f>VLOOKUP(L285,材料合同!$L$6:$CC$305,4,0)</f>
        <v>2017080075</v>
      </c>
      <c r="P285" s="266">
        <f>VLOOKUP(L285,材料合同!$L$6:$CC$305,5,0)</f>
        <v>43003</v>
      </c>
      <c r="Q285" s="275">
        <f>VLOOKUP(L285,材料合同!$L$6:$CC$305,6,0)</f>
        <v>3760000</v>
      </c>
      <c r="R285" s="89" t="str">
        <f>VLOOKUP(L285,材料合同!$L$6:$CC$305,7,0)</f>
        <v>气动O型金属密封球阀</v>
      </c>
      <c r="S285" s="89" t="str">
        <f>VLOOKUP(L285,材料合同!$L$6:$CC$305,8,0)</f>
        <v>罗伯（北京）自控设备有限公司</v>
      </c>
      <c r="T285" s="107">
        <f>VLOOKUP(L285,材料合同!$L$6:$CC$305,9,0)</f>
        <v>0</v>
      </c>
      <c r="U285" s="103" t="str">
        <f>VLOOKUP(L285,材料合同!$L$6:$CC$305,10,0)</f>
        <v>电汇</v>
      </c>
      <c r="V285" s="276" t="str">
        <f>VLOOKUP(L285,材料合同!$L$6:$CC$305,11,0)</f>
        <v>甲方收到10%履约保函和等额发票，15个工作日支付20%预付款   10%质量保函</v>
      </c>
      <c r="W285" s="102">
        <f>VLOOKUP(L285,材料合同!$L$6:$CC$305,12,0)</f>
        <v>752000</v>
      </c>
      <c r="X285" s="102">
        <f>VLOOKUP(L285,材料合同!$L$6:$CC$305,13,0)</f>
        <v>752000</v>
      </c>
      <c r="Y285" s="102">
        <f>VLOOKUP(L285,材料合同!$L$6:$CC$305,14,0)</f>
        <v>752000</v>
      </c>
      <c r="Z285" s="102" t="str">
        <f>VLOOKUP(L285,材料合同!$L$6:$CC$305,15,0)</f>
        <v>甲方去乙方工厂验收，完成后，5个工作日支付80%发货款，开具等额发票</v>
      </c>
      <c r="AA285" s="102">
        <f>VLOOKUP(L285,材料合同!$L$6:$CC$305,16,0)</f>
        <v>3008000</v>
      </c>
      <c r="AB285" s="102">
        <f>VLOOKUP(L285,材料合同!$L$6:$CC$305,17,0)</f>
        <v>0</v>
      </c>
      <c r="AC285" s="102">
        <f>VLOOKUP(L285,材料合同!$L$6:$CC$305,18,0)</f>
        <v>0</v>
      </c>
      <c r="AD285" s="102">
        <f>VLOOKUP(L285,材料合同!$L$6:$CC$305,19,0)</f>
        <v>0</v>
      </c>
      <c r="AE285" s="102">
        <f>VLOOKUP(L285,材料合同!$L$6:$CC$305,20,0)</f>
        <v>0</v>
      </c>
      <c r="AF285" s="102">
        <f>VLOOKUP(L285,材料合同!$L$6:$CC$305,21,0)</f>
        <v>0</v>
      </c>
      <c r="AG285" s="102">
        <f>VLOOKUP(L285,材料合同!$L$6:$CC$305,22,0)</f>
        <v>0</v>
      </c>
      <c r="AH285" s="102">
        <f>VLOOKUP(L285,材料合同!$L$6:$CC$305,23,0)</f>
        <v>0</v>
      </c>
      <c r="AI285" s="102">
        <f>VLOOKUP(L285,材料合同!$L$6:$CC$305,24,0)</f>
        <v>0</v>
      </c>
      <c r="AJ285" s="102">
        <f>VLOOKUP(L285,材料合同!$L$6:$CC$305,25,0)</f>
        <v>0</v>
      </c>
      <c r="AK285" s="102">
        <f>VLOOKUP(L285,材料合同!$L$6:$CC$305,26,0)</f>
        <v>0</v>
      </c>
      <c r="AL285" s="102">
        <f>VLOOKUP(L285,材料合同!$L$6:$CC$305,27,0)</f>
        <v>0</v>
      </c>
      <c r="AM285" s="102">
        <f>VLOOKUP(L285,材料合同!$L$6:$CC$305,28,0)</f>
        <v>0</v>
      </c>
      <c r="AN285" s="102">
        <f>VLOOKUP(L285,材料合同!$L$6:$CC$305,29,0)</f>
        <v>0</v>
      </c>
      <c r="AO285" s="102">
        <f>VLOOKUP(L285,材料合同!$L$6:$CC$305,30,0)</f>
        <v>0</v>
      </c>
      <c r="AP285" s="102">
        <f>VLOOKUP(L285,材料合同!$L$6:$CC$305,31,0)</f>
        <v>0</v>
      </c>
      <c r="AQ285" s="102">
        <f>VLOOKUP(L285,材料合同!$L$6:$CC$305,32,0)</f>
        <v>0</v>
      </c>
      <c r="AR285" s="102">
        <f>VLOOKUP(L285,材料合同!$L$6:$CC$305,33,0)</f>
        <v>0</v>
      </c>
      <c r="AS285" s="102">
        <f>VLOOKUP(L285,材料合同!$L$6:$CC$305,34,0)</f>
        <v>0</v>
      </c>
      <c r="AT285" s="102">
        <f>VLOOKUP(L285,材料合同!$L$6:$CC$305,35,0)</f>
        <v>0</v>
      </c>
      <c r="AU285" s="102">
        <f>VLOOKUP(L285,材料合同!$L$6:$CC$305,36,0)</f>
        <v>0</v>
      </c>
      <c r="AV285" s="102">
        <f>VLOOKUP(L285,材料合同!$L$6:$CC$305,37,0)</f>
        <v>0</v>
      </c>
      <c r="AW285" s="102">
        <f>VLOOKUP(L285,材料合同!$L$6:$CC$305,38,0)</f>
        <v>0</v>
      </c>
      <c r="AX285" s="102">
        <f>VLOOKUP(L285,材料合同!$L$6:$CC$305,39,0)</f>
        <v>0</v>
      </c>
      <c r="AY285" s="102">
        <f>VLOOKUP(L285,材料合同!$L$6:$CC$305,40,0)</f>
        <v>0</v>
      </c>
      <c r="AZ285" s="102">
        <f>VLOOKUP(L285,材料合同!$L$6:$CC$305,41,0)</f>
        <v>0</v>
      </c>
      <c r="BA285" s="102">
        <f>VLOOKUP(L285,材料合同!$L$6:$CC$305,42,0)</f>
        <v>0</v>
      </c>
      <c r="BB285" s="102">
        <f>VLOOKUP(L285,材料合同!$L$6:$CC$305,43,0)</f>
        <v>0</v>
      </c>
      <c r="BC285" s="102">
        <f>VLOOKUP(L285,材料合同!$L$6:$CC$305,44,0)</f>
        <v>0</v>
      </c>
      <c r="BD285" s="102">
        <f>VLOOKUP(L285,材料合同!$L$6:$CC$305,45,0)</f>
        <v>0</v>
      </c>
      <c r="BE285" s="102">
        <f>VLOOKUP(L285,材料合同!$L$6:$CC$305,46,0)</f>
        <v>0</v>
      </c>
      <c r="BF285" s="102">
        <f>VLOOKUP(L285,材料合同!$L$6:$CC$305,47,0)</f>
        <v>0</v>
      </c>
      <c r="BG285" s="102">
        <f>VLOOKUP(L285,材料合同!$L$6:$CC$305,48,0)</f>
        <v>0</v>
      </c>
      <c r="BH285" s="102">
        <f>VLOOKUP(L285,材料合同!$L$6:$CC$305,49,0)</f>
        <v>0</v>
      </c>
      <c r="BI285" s="102">
        <f>VLOOKUP(L285,材料合同!$L$6:$CC$305,50,0)</f>
        <v>0</v>
      </c>
      <c r="BJ285" s="102">
        <f>VLOOKUP(L285,材料合同!$L$6:$CC$305,51,0)</f>
        <v>0</v>
      </c>
      <c r="BK285" s="102">
        <f>VLOOKUP(L285,材料合同!$L$6:$CC$305,52,0)</f>
        <v>0</v>
      </c>
      <c r="BL285" s="102">
        <f>VLOOKUP(L285,材料合同!$L$6:$CC$305,53,0)</f>
        <v>0</v>
      </c>
      <c r="BM285" s="102">
        <f>VLOOKUP(L285,材料合同!$L$6:$CC$305,54,0)</f>
        <v>0</v>
      </c>
      <c r="BN285" s="102">
        <f>VLOOKUP(L285,材料合同!$L$6:$CC$305,55,0)</f>
        <v>0</v>
      </c>
      <c r="BO285" s="102">
        <f>VLOOKUP(L285,材料合同!$L$6:$CC$305,56,0)</f>
        <v>0</v>
      </c>
      <c r="BP285" s="102">
        <f>VLOOKUP(L285,材料合同!$L$6:$CC$305,57,0)</f>
        <v>0</v>
      </c>
      <c r="BQ285" s="102">
        <f>VLOOKUP(L285,材料合同!$L$6:$CC$305,58,0)</f>
        <v>0</v>
      </c>
      <c r="BR285" s="102">
        <f>VLOOKUP(L285,材料合同!$L$6:$CC$305,59,0)</f>
        <v>0</v>
      </c>
      <c r="BS285" s="102">
        <f>VLOOKUP(L285,材料合同!$L$6:$CC$305,60,0)</f>
        <v>0</v>
      </c>
      <c r="BT285" s="102">
        <f>VLOOKUP(L285,材料合同!$L$6:$CC$305,61,0)</f>
        <v>0</v>
      </c>
      <c r="BU285" s="102">
        <f>VLOOKUP(L285,材料合同!$L$6:$CC$305,62,0)</f>
        <v>0</v>
      </c>
      <c r="BV285" s="102">
        <f>VLOOKUP(L285,材料合同!$L$6:$CC$305,63,0)</f>
        <v>0</v>
      </c>
      <c r="BW285" s="102">
        <f>VLOOKUP(L285,材料合同!$L$6:$CC$305,64,0)</f>
        <v>0</v>
      </c>
      <c r="BX285" s="102">
        <f>VLOOKUP(L285,材料合同!$L$6:$CC$305,65,0)</f>
        <v>0</v>
      </c>
      <c r="BY285" s="102">
        <f>VLOOKUP(L285,材料合同!$L$6:$CC$305,66,0)</f>
        <v>0</v>
      </c>
      <c r="BZ285" s="102">
        <f>VLOOKUP(L285,材料合同!$L$6:$CC$305,67,0)</f>
        <v>0</v>
      </c>
      <c r="CA285" s="102">
        <f>VLOOKUP(L285,材料合同!$L$6:$CC$305,68,0)</f>
        <v>0</v>
      </c>
      <c r="CB285" s="102">
        <f>VLOOKUP(L285,材料合同!$L$6:$CC$305,69,0)</f>
        <v>0</v>
      </c>
      <c r="CC285" s="102">
        <f>VLOOKUP(L285,材料合同!$L$6:$CC$305,70,0)</f>
        <v>0</v>
      </c>
      <c r="CD285" s="123">
        <f t="shared" si="66"/>
        <v>3760000</v>
      </c>
      <c r="CE285" s="102">
        <f t="shared" si="67"/>
        <v>752000</v>
      </c>
      <c r="CF285" s="102">
        <f t="shared" si="68"/>
        <v>752000</v>
      </c>
      <c r="CG285" s="102">
        <f t="shared" si="69"/>
        <v>0</v>
      </c>
      <c r="CH285" s="124">
        <f t="shared" si="70"/>
        <v>3008000</v>
      </c>
      <c r="CI285" s="125">
        <f t="shared" si="71"/>
        <v>0.2</v>
      </c>
      <c r="CJ285" s="126" t="str">
        <f t="shared" si="72"/>
        <v>数据正确</v>
      </c>
    </row>
    <row r="286" s="60" customFormat="1" customHeight="1" spans="2:88">
      <c r="B286" s="70" t="str">
        <f t="shared" si="62"/>
        <v>-</v>
      </c>
      <c r="C286" s="71" t="str">
        <f t="shared" si="63"/>
        <v>-</v>
      </c>
      <c r="D286" s="181">
        <f t="shared" si="64"/>
        <v>600300</v>
      </c>
      <c r="E286" s="181">
        <f>SUMIF(材料合同!$L$6:$L$305,L286,材料合同!$E$6:$E$305)</f>
        <v>0</v>
      </c>
      <c r="F286" s="181">
        <f>SUMIF(材料合同!$L$6:$L$305,L286,材料合同!$F$6:$F$305)</f>
        <v>0</v>
      </c>
      <c r="G286" s="181">
        <f>SUMIF(材料合同!$L$6:$L$305,L286,材料合同!$G$6:$G$305)</f>
        <v>0</v>
      </c>
      <c r="H286" s="181">
        <f>SUMIF(材料合同!$L$6:$L$305,L286,材料合同!$H$6:$H$305)</f>
        <v>0</v>
      </c>
      <c r="I286" s="181">
        <f t="shared" si="65"/>
        <v>0</v>
      </c>
      <c r="J286" s="86" t="s">
        <v>98</v>
      </c>
      <c r="K286" s="87"/>
      <c r="L286" s="88">
        <v>281</v>
      </c>
      <c r="M286" s="89" t="str">
        <f>VLOOKUP(L286,材料合同!$L$6:$CC$305,2,0)</f>
        <v>YRKJGC-17037</v>
      </c>
      <c r="N286" s="90" t="str">
        <f>VLOOKUP(L286,材料合同!$L$6:$CC$305,3,0)</f>
        <v>材料合同</v>
      </c>
      <c r="O286" s="265">
        <f>VLOOKUP(L286,材料合同!$L$6:$CC$305,4,0)</f>
        <v>2017060076</v>
      </c>
      <c r="P286" s="266">
        <f>VLOOKUP(L286,材料合同!$L$6:$CC$305,5,0)</f>
        <v>42990</v>
      </c>
      <c r="Q286" s="275">
        <f>VLOOKUP(L286,材料合同!$L$6:$CC$305,6,0)</f>
        <v>667000</v>
      </c>
      <c r="R286" s="89" t="str">
        <f>VLOOKUP(L286,材料合同!$L$6:$CC$305,7,0)</f>
        <v>塑料检查井</v>
      </c>
      <c r="S286" s="89" t="str">
        <f>VLOOKUP(L286,材料合同!$L$6:$CC$305,8,0)</f>
        <v>浙江天井塑业有限公司</v>
      </c>
      <c r="T286" s="107" t="str">
        <f>VLOOKUP(L286,材料合同!$L$6:$CC$305,9,0)</f>
        <v>全厂给排水管网</v>
      </c>
      <c r="U286" s="103" t="str">
        <f>VLOOKUP(L286,材料合同!$L$6:$CC$305,10,0)</f>
        <v>6个月承兑汇票/电汇按646000元</v>
      </c>
      <c r="V286" s="276" t="str">
        <f>VLOOKUP(L286,材料合同!$L$6:$CC$305,11,0)</f>
        <v>甲方收到10%履约保函和等额发票，15个工作日支付10%预付款   </v>
      </c>
      <c r="W286" s="102">
        <f>VLOOKUP(L286,材料合同!$L$6:$CC$305,12,0)</f>
        <v>66700</v>
      </c>
      <c r="X286" s="102">
        <f>VLOOKUP(L286,材料合同!$L$6:$CC$305,13,0)</f>
        <v>66700</v>
      </c>
      <c r="Y286" s="102">
        <f>VLOOKUP(L286,材料合同!$L$6:$CC$305,14,0)</f>
        <v>66700</v>
      </c>
      <c r="Z286" s="102" t="str">
        <f>VLOOKUP(L286,材料合同!$L$6:$CC$305,15,0)</f>
        <v>当月支付实际供货合格数量金额的80%</v>
      </c>
      <c r="AA286" s="102">
        <f>VLOOKUP(L286,材料合同!$L$6:$CC$305,16,0)</f>
        <v>533600</v>
      </c>
      <c r="AB286" s="102">
        <f>VLOOKUP(L286,材料合同!$L$6:$CC$305,17,0)</f>
        <v>533600</v>
      </c>
      <c r="AC286" s="102">
        <f>VLOOKUP(L286,材料合同!$L$6:$CC$305,18,0)</f>
        <v>533600</v>
      </c>
      <c r="AD286" s="102" t="str">
        <f>VLOOKUP(L286,材料合同!$L$6:$CC$305,19,0)</f>
        <v>10%质保金，自验收合格，满12月或货到现场18个月支付</v>
      </c>
      <c r="AE286" s="102">
        <f>VLOOKUP(L286,材料合同!$L$6:$CC$305,20,0)</f>
        <v>66700</v>
      </c>
      <c r="AF286" s="102">
        <f>VLOOKUP(L286,材料合同!$L$6:$CC$305,21,0)</f>
        <v>0</v>
      </c>
      <c r="AG286" s="102">
        <f>VLOOKUP(L286,材料合同!$L$6:$CC$305,22,0)</f>
        <v>0</v>
      </c>
      <c r="AH286" s="102">
        <f>VLOOKUP(L286,材料合同!$L$6:$CC$305,23,0)</f>
        <v>0</v>
      </c>
      <c r="AI286" s="102">
        <f>VLOOKUP(L286,材料合同!$L$6:$CC$305,24,0)</f>
        <v>0</v>
      </c>
      <c r="AJ286" s="102">
        <f>VLOOKUP(L286,材料合同!$L$6:$CC$305,25,0)</f>
        <v>0</v>
      </c>
      <c r="AK286" s="102">
        <f>VLOOKUP(L286,材料合同!$L$6:$CC$305,26,0)</f>
        <v>0</v>
      </c>
      <c r="AL286" s="102">
        <f>VLOOKUP(L286,材料合同!$L$6:$CC$305,27,0)</f>
        <v>0</v>
      </c>
      <c r="AM286" s="102">
        <f>VLOOKUP(L286,材料合同!$L$6:$CC$305,28,0)</f>
        <v>0</v>
      </c>
      <c r="AN286" s="102">
        <f>VLOOKUP(L286,材料合同!$L$6:$CC$305,29,0)</f>
        <v>0</v>
      </c>
      <c r="AO286" s="102">
        <f>VLOOKUP(L286,材料合同!$L$6:$CC$305,30,0)</f>
        <v>0</v>
      </c>
      <c r="AP286" s="102">
        <f>VLOOKUP(L286,材料合同!$L$6:$CC$305,31,0)</f>
        <v>0</v>
      </c>
      <c r="AQ286" s="102">
        <f>VLOOKUP(L286,材料合同!$L$6:$CC$305,32,0)</f>
        <v>0</v>
      </c>
      <c r="AR286" s="102">
        <f>VLOOKUP(L286,材料合同!$L$6:$CC$305,33,0)</f>
        <v>0</v>
      </c>
      <c r="AS286" s="102">
        <f>VLOOKUP(L286,材料合同!$L$6:$CC$305,34,0)</f>
        <v>0</v>
      </c>
      <c r="AT286" s="102">
        <f>VLOOKUP(L286,材料合同!$L$6:$CC$305,35,0)</f>
        <v>0</v>
      </c>
      <c r="AU286" s="102">
        <f>VLOOKUP(L286,材料合同!$L$6:$CC$305,36,0)</f>
        <v>0</v>
      </c>
      <c r="AV286" s="102">
        <f>VLOOKUP(L286,材料合同!$L$6:$CC$305,37,0)</f>
        <v>0</v>
      </c>
      <c r="AW286" s="102">
        <f>VLOOKUP(L286,材料合同!$L$6:$CC$305,38,0)</f>
        <v>0</v>
      </c>
      <c r="AX286" s="102">
        <f>VLOOKUP(L286,材料合同!$L$6:$CC$305,39,0)</f>
        <v>0</v>
      </c>
      <c r="AY286" s="102">
        <f>VLOOKUP(L286,材料合同!$L$6:$CC$305,40,0)</f>
        <v>0</v>
      </c>
      <c r="AZ286" s="102">
        <f>VLOOKUP(L286,材料合同!$L$6:$CC$305,41,0)</f>
        <v>0</v>
      </c>
      <c r="BA286" s="102">
        <f>VLOOKUP(L286,材料合同!$L$6:$CC$305,42,0)</f>
        <v>0</v>
      </c>
      <c r="BB286" s="102">
        <f>VLOOKUP(L286,材料合同!$L$6:$CC$305,43,0)</f>
        <v>0</v>
      </c>
      <c r="BC286" s="102">
        <f>VLOOKUP(L286,材料合同!$L$6:$CC$305,44,0)</f>
        <v>0</v>
      </c>
      <c r="BD286" s="102">
        <f>VLOOKUP(L286,材料合同!$L$6:$CC$305,45,0)</f>
        <v>0</v>
      </c>
      <c r="BE286" s="102">
        <f>VLOOKUP(L286,材料合同!$L$6:$CC$305,46,0)</f>
        <v>0</v>
      </c>
      <c r="BF286" s="102">
        <f>VLOOKUP(L286,材料合同!$L$6:$CC$305,47,0)</f>
        <v>0</v>
      </c>
      <c r="BG286" s="102">
        <f>VLOOKUP(L286,材料合同!$L$6:$CC$305,48,0)</f>
        <v>0</v>
      </c>
      <c r="BH286" s="102">
        <f>VLOOKUP(L286,材料合同!$L$6:$CC$305,49,0)</f>
        <v>0</v>
      </c>
      <c r="BI286" s="102">
        <f>VLOOKUP(L286,材料合同!$L$6:$CC$305,50,0)</f>
        <v>0</v>
      </c>
      <c r="BJ286" s="102">
        <f>VLOOKUP(L286,材料合同!$L$6:$CC$305,51,0)</f>
        <v>0</v>
      </c>
      <c r="BK286" s="102">
        <f>VLOOKUP(L286,材料合同!$L$6:$CC$305,52,0)</f>
        <v>0</v>
      </c>
      <c r="BL286" s="102">
        <f>VLOOKUP(L286,材料合同!$L$6:$CC$305,53,0)</f>
        <v>0</v>
      </c>
      <c r="BM286" s="102">
        <f>VLOOKUP(L286,材料合同!$L$6:$CC$305,54,0)</f>
        <v>0</v>
      </c>
      <c r="BN286" s="102">
        <f>VLOOKUP(L286,材料合同!$L$6:$CC$305,55,0)</f>
        <v>0</v>
      </c>
      <c r="BO286" s="102">
        <f>VLOOKUP(L286,材料合同!$L$6:$CC$305,56,0)</f>
        <v>0</v>
      </c>
      <c r="BP286" s="102">
        <f>VLOOKUP(L286,材料合同!$L$6:$CC$305,57,0)</f>
        <v>0</v>
      </c>
      <c r="BQ286" s="102">
        <f>VLOOKUP(L286,材料合同!$L$6:$CC$305,58,0)</f>
        <v>0</v>
      </c>
      <c r="BR286" s="102">
        <f>VLOOKUP(L286,材料合同!$L$6:$CC$305,59,0)</f>
        <v>0</v>
      </c>
      <c r="BS286" s="102">
        <f>VLOOKUP(L286,材料合同!$L$6:$CC$305,60,0)</f>
        <v>0</v>
      </c>
      <c r="BT286" s="102">
        <f>VLOOKUP(L286,材料合同!$L$6:$CC$305,61,0)</f>
        <v>0</v>
      </c>
      <c r="BU286" s="102">
        <f>VLOOKUP(L286,材料合同!$L$6:$CC$305,62,0)</f>
        <v>0</v>
      </c>
      <c r="BV286" s="102">
        <f>VLOOKUP(L286,材料合同!$L$6:$CC$305,63,0)</f>
        <v>0</v>
      </c>
      <c r="BW286" s="102">
        <f>VLOOKUP(L286,材料合同!$L$6:$CC$305,64,0)</f>
        <v>0</v>
      </c>
      <c r="BX286" s="102">
        <f>VLOOKUP(L286,材料合同!$L$6:$CC$305,65,0)</f>
        <v>0</v>
      </c>
      <c r="BY286" s="102">
        <f>VLOOKUP(L286,材料合同!$L$6:$CC$305,66,0)</f>
        <v>0</v>
      </c>
      <c r="BZ286" s="102">
        <f>VLOOKUP(L286,材料合同!$L$6:$CC$305,67,0)</f>
        <v>0</v>
      </c>
      <c r="CA286" s="102">
        <f>VLOOKUP(L286,材料合同!$L$6:$CC$305,68,0)</f>
        <v>0</v>
      </c>
      <c r="CB286" s="102">
        <f>VLOOKUP(L286,材料合同!$L$6:$CC$305,69,0)</f>
        <v>0</v>
      </c>
      <c r="CC286" s="102">
        <f>VLOOKUP(L286,材料合同!$L$6:$CC$305,70,0)</f>
        <v>0</v>
      </c>
      <c r="CD286" s="123">
        <f t="shared" si="66"/>
        <v>667000</v>
      </c>
      <c r="CE286" s="102">
        <f t="shared" si="67"/>
        <v>600300</v>
      </c>
      <c r="CF286" s="102">
        <f t="shared" si="68"/>
        <v>600300</v>
      </c>
      <c r="CG286" s="102">
        <f t="shared" si="69"/>
        <v>0</v>
      </c>
      <c r="CH286" s="124">
        <f t="shared" si="70"/>
        <v>66700</v>
      </c>
      <c r="CI286" s="125">
        <f t="shared" si="71"/>
        <v>0.9</v>
      </c>
      <c r="CJ286" s="126" t="str">
        <f t="shared" si="72"/>
        <v>数据正确</v>
      </c>
    </row>
    <row r="287" s="60" customFormat="1" customHeight="1" spans="2:88">
      <c r="B287" s="70" t="str">
        <f t="shared" si="62"/>
        <v>-</v>
      </c>
      <c r="C287" s="71" t="str">
        <f t="shared" si="63"/>
        <v>-</v>
      </c>
      <c r="D287" s="181">
        <f t="shared" si="64"/>
        <v>1120678</v>
      </c>
      <c r="E287" s="181">
        <f>SUMIF(服务合同!$L$6:$L$300,L287,服务合同!$E$6:$E$300)</f>
        <v>0</v>
      </c>
      <c r="F287" s="181">
        <f>SUMIF(服务合同!$L$6:$L$300,L287,服务合同!$F$6:$F$300)</f>
        <v>0</v>
      </c>
      <c r="G287" s="181">
        <f>SUMIF(服务合同!$L$6:$L$300,L287,服务合同!$G$6:$G$300)</f>
        <v>0</v>
      </c>
      <c r="H287" s="181">
        <f>SUMIF(服务合同!$L$6:$L$300,L287,服务合同!$H$6:$H$300)</f>
        <v>0</v>
      </c>
      <c r="I287" s="181">
        <f t="shared" si="65"/>
        <v>0</v>
      </c>
      <c r="J287" s="86" t="s">
        <v>98</v>
      </c>
      <c r="K287" s="87"/>
      <c r="L287" s="88">
        <v>282</v>
      </c>
      <c r="M287" s="89" t="str">
        <f>VLOOKUP(L287,服务合同!$L$6:$CC$300,2,0)</f>
        <v>施-X150302430号</v>
      </c>
      <c r="N287" s="90" t="str">
        <f>VLOOKUP(L287,服务合同!$L$6:$CC$300,3,0)</f>
        <v>服务合同</v>
      </c>
      <c r="O287" s="265" t="str">
        <f>VLOOKUP(L287,服务合同!$L$6:$CC$300,4,0)</f>
        <v>-</v>
      </c>
      <c r="P287" s="266">
        <f>VLOOKUP(L287,服务合同!$L$6:$CC$300,5,0)</f>
        <v>42040</v>
      </c>
      <c r="Q287" s="275">
        <f>VLOOKUP(L287,服务合同!$L$6:$CC$300,6,0)</f>
        <v>1179661.29</v>
      </c>
      <c r="R287" s="89" t="str">
        <f>VLOOKUP(L287,服务合同!$L$6:$CC$300,7,0)</f>
        <v>新装12台临时变电箱配电工程施工</v>
      </c>
      <c r="S287" s="89" t="str">
        <f>VLOOKUP(L287,服务合同!$L$6:$CC$300,8,0)</f>
        <v>福建省莆田市电力工程有限公司</v>
      </c>
      <c r="T287" s="107">
        <f>VLOOKUP(L287,服务合同!$L$6:$CC$300,9,0)</f>
        <v>0</v>
      </c>
      <c r="U287" s="103" t="str">
        <f>VLOOKUP(L287,服务合同!$L$6:$CC$300,10,0)</f>
        <v>6个月承兑汇票</v>
      </c>
      <c r="V287" s="276" t="str">
        <f>VLOOKUP(L287,服务合同!$L$6:$CC$300,11,0)</f>
        <v>验收合格，收到100%建安发票，支付95%</v>
      </c>
      <c r="W287" s="102">
        <f>VLOOKUP(L287,服务合同!$L$6:$CC$300,12,0)</f>
        <v>1120678.2255</v>
      </c>
      <c r="X287" s="102">
        <f>VLOOKUP(L287,服务合同!$L$6:$CC$300,13,0)</f>
        <v>1120678</v>
      </c>
      <c r="Y287" s="102">
        <f>VLOOKUP(L287,服务合同!$L$6:$CC$300,14,0)</f>
        <v>1120678</v>
      </c>
      <c r="Z287" s="102" t="str">
        <f>VLOOKUP(L287,服务合同!$L$6:$CC$300,15,0)</f>
        <v>5%质保金</v>
      </c>
      <c r="AA287" s="102">
        <f>VLOOKUP(L287,服务合同!$L$6:$CC$300,16,0)</f>
        <v>58983.0645</v>
      </c>
      <c r="AB287" s="102">
        <f>VLOOKUP(L287,服务合同!$L$6:$CC$300,17,0)</f>
        <v>0</v>
      </c>
      <c r="AC287" s="102">
        <f>VLOOKUP(L287,服务合同!$L$6:$CC$300,18,0)</f>
        <v>0</v>
      </c>
      <c r="AD287" s="102">
        <f>VLOOKUP(L287,服务合同!$L$6:$CC$300,19,0)</f>
        <v>0</v>
      </c>
      <c r="AE287" s="102">
        <f>VLOOKUP(L287,服务合同!$L$6:$CC$300,20,0)</f>
        <v>0</v>
      </c>
      <c r="AF287" s="102">
        <f>VLOOKUP(L287,服务合同!$L$6:$CC$300,21,0)</f>
        <v>0</v>
      </c>
      <c r="AG287" s="102">
        <f>VLOOKUP(L287,服务合同!$L$6:$CC$300,22,0)</f>
        <v>0</v>
      </c>
      <c r="AH287" s="102">
        <f>VLOOKUP(L287,服务合同!$L$6:$CC$300,23,0)</f>
        <v>0</v>
      </c>
      <c r="AI287" s="102">
        <f>VLOOKUP(L287,服务合同!$L$6:$CC$300,24,0)</f>
        <v>0</v>
      </c>
      <c r="AJ287" s="102">
        <f>VLOOKUP(L287,服务合同!$L$6:$CC$300,25,0)</f>
        <v>0</v>
      </c>
      <c r="AK287" s="102">
        <f>VLOOKUP(L287,服务合同!$L$6:$CC$300,26,0)</f>
        <v>0</v>
      </c>
      <c r="AL287" s="102">
        <f>VLOOKUP(L287,服务合同!$L$6:$CC$300,27,0)</f>
        <v>0</v>
      </c>
      <c r="AM287" s="102">
        <f>VLOOKUP(L287,服务合同!$L$6:$CC$300,28,0)</f>
        <v>0</v>
      </c>
      <c r="AN287" s="102">
        <f>VLOOKUP(L287,服务合同!$L$6:$CC$300,29,0)</f>
        <v>0</v>
      </c>
      <c r="AO287" s="102">
        <f>VLOOKUP(L287,服务合同!$L$6:$CC$300,30,0)</f>
        <v>0</v>
      </c>
      <c r="AP287" s="102">
        <f>VLOOKUP(L287,服务合同!$L$6:$CC$300,31,0)</f>
        <v>0</v>
      </c>
      <c r="AQ287" s="102">
        <f>VLOOKUP(L287,服务合同!$L$6:$CC$300,32,0)</f>
        <v>0</v>
      </c>
      <c r="AR287" s="102">
        <f>VLOOKUP(L287,服务合同!$L$6:$CC$300,33,0)</f>
        <v>0</v>
      </c>
      <c r="AS287" s="102">
        <f>VLOOKUP(L287,服务合同!$L$6:$CC$300,34,0)</f>
        <v>0</v>
      </c>
      <c r="AT287" s="102">
        <f>VLOOKUP(L287,服务合同!$L$6:$CC$300,35,0)</f>
        <v>0</v>
      </c>
      <c r="AU287" s="102">
        <f>VLOOKUP(L287,服务合同!$L$6:$CC$300,36,0)</f>
        <v>0</v>
      </c>
      <c r="AV287" s="102">
        <f>VLOOKUP(L287,服务合同!$L$6:$CC$300,37,0)</f>
        <v>0</v>
      </c>
      <c r="AW287" s="102">
        <f>VLOOKUP(L287,服务合同!$L$6:$CC$300,38,0)</f>
        <v>0</v>
      </c>
      <c r="AX287" s="102">
        <f>VLOOKUP(L287,服务合同!$L$6:$CC$300,39,0)</f>
        <v>0</v>
      </c>
      <c r="AY287" s="102">
        <f>VLOOKUP(L287,服务合同!$L$6:$CC$300,40,0)</f>
        <v>0</v>
      </c>
      <c r="AZ287" s="102">
        <f>VLOOKUP(L287,服务合同!$L$6:$CC$300,41,0)</f>
        <v>0</v>
      </c>
      <c r="BA287" s="102">
        <f>VLOOKUP(L287,服务合同!$L$6:$CC$300,42,0)</f>
        <v>0</v>
      </c>
      <c r="BB287" s="102">
        <f>VLOOKUP(L287,服务合同!$L$6:$CC$300,43,0)</f>
        <v>0</v>
      </c>
      <c r="BC287" s="102">
        <f>VLOOKUP(L287,服务合同!$L$6:$CC$300,44,0)</f>
        <v>0</v>
      </c>
      <c r="BD287" s="102">
        <f>VLOOKUP(L287,服务合同!$L$6:$CC$300,45,0)</f>
        <v>0</v>
      </c>
      <c r="BE287" s="102">
        <f>VLOOKUP(L287,服务合同!$L$6:$CC$300,46,0)</f>
        <v>0</v>
      </c>
      <c r="BF287" s="102">
        <f>VLOOKUP(L287,服务合同!$L$6:$CC$300,47,0)</f>
        <v>0</v>
      </c>
      <c r="BG287" s="102">
        <f>VLOOKUP(L287,服务合同!$L$6:$CC$300,48,0)</f>
        <v>0</v>
      </c>
      <c r="BH287" s="102">
        <f>VLOOKUP(L287,服务合同!$L$6:$CC$300,49,0)</f>
        <v>0</v>
      </c>
      <c r="BI287" s="102">
        <f>VLOOKUP(L287,服务合同!$L$6:$CC$300,50,0)</f>
        <v>0</v>
      </c>
      <c r="BJ287" s="102">
        <f>VLOOKUP(L287,服务合同!$L$6:$CC$300,51,0)</f>
        <v>0</v>
      </c>
      <c r="BK287" s="102">
        <f>VLOOKUP(L287,服务合同!$L$6:$CC$300,52,0)</f>
        <v>0</v>
      </c>
      <c r="BL287" s="102">
        <f>VLOOKUP(L287,服务合同!$L$6:$CC$300,53,0)</f>
        <v>0</v>
      </c>
      <c r="BM287" s="102">
        <f>VLOOKUP(L287,服务合同!$L$6:$CC$300,54,0)</f>
        <v>0</v>
      </c>
      <c r="BN287" s="102">
        <f>VLOOKUP(L287,服务合同!$L$6:$CC$300,55,0)</f>
        <v>0</v>
      </c>
      <c r="BO287" s="102">
        <f>VLOOKUP(L287,服务合同!$L$6:$CC$300,56,0)</f>
        <v>0</v>
      </c>
      <c r="BP287" s="102">
        <f>VLOOKUP(L287,服务合同!$L$6:$CC$300,57,0)</f>
        <v>0</v>
      </c>
      <c r="BQ287" s="102">
        <f>VLOOKUP(L287,服务合同!$L$6:$CC$300,58,0)</f>
        <v>0</v>
      </c>
      <c r="BR287" s="102">
        <f>VLOOKUP(L287,服务合同!$L$6:$CC$300,59,0)</f>
        <v>0</v>
      </c>
      <c r="BS287" s="102">
        <f>VLOOKUP(L287,服务合同!$L$6:$CC$300,60,0)</f>
        <v>0</v>
      </c>
      <c r="BT287" s="102">
        <f>VLOOKUP(L287,服务合同!$L$6:$CC$300,61,0)</f>
        <v>0</v>
      </c>
      <c r="BU287" s="102">
        <f>VLOOKUP(L287,服务合同!$L$6:$CC$300,62,0)</f>
        <v>0</v>
      </c>
      <c r="BV287" s="102">
        <f>VLOOKUP(L287,服务合同!$L$6:$CC$300,63,0)</f>
        <v>0</v>
      </c>
      <c r="BW287" s="102">
        <f>VLOOKUP(L287,服务合同!$L$6:$CC$300,64,0)</f>
        <v>0</v>
      </c>
      <c r="BX287" s="102">
        <f>VLOOKUP(L287,服务合同!$L$6:$CC$300,65,0)</f>
        <v>0</v>
      </c>
      <c r="BY287" s="102">
        <f>VLOOKUP(L287,服务合同!$L$6:$CC$300,66,0)</f>
        <v>0</v>
      </c>
      <c r="BZ287" s="102">
        <f>VLOOKUP(L287,服务合同!$L$6:$CC$300,67,0)</f>
        <v>0</v>
      </c>
      <c r="CA287" s="102">
        <f>VLOOKUP(L287,服务合同!$L$6:$CC$300,68,0)</f>
        <v>0</v>
      </c>
      <c r="CB287" s="102">
        <f>VLOOKUP(L287,服务合同!$L$6:$CC$300,69,0)</f>
        <v>0</v>
      </c>
      <c r="CC287" s="102">
        <f>VLOOKUP(L287,服务合同!$L$6:$CC$300,70,0)</f>
        <v>0</v>
      </c>
      <c r="CD287" s="123">
        <f t="shared" si="66"/>
        <v>1179661.29</v>
      </c>
      <c r="CE287" s="102">
        <f t="shared" si="67"/>
        <v>1120678</v>
      </c>
      <c r="CF287" s="102">
        <f t="shared" si="68"/>
        <v>1120678</v>
      </c>
      <c r="CG287" s="102">
        <f t="shared" si="69"/>
        <v>0</v>
      </c>
      <c r="CH287" s="124">
        <f t="shared" si="70"/>
        <v>58983.29</v>
      </c>
      <c r="CI287" s="125">
        <f t="shared" si="71"/>
        <v>0.949999808843435</v>
      </c>
      <c r="CJ287" s="126" t="str">
        <f t="shared" si="72"/>
        <v>数据正确</v>
      </c>
    </row>
    <row r="288" s="60" customFormat="1" customHeight="1" spans="2:88">
      <c r="B288" s="70" t="str">
        <f t="shared" si="62"/>
        <v>-</v>
      </c>
      <c r="C288" s="71" t="str">
        <f t="shared" si="63"/>
        <v>已付清</v>
      </c>
      <c r="D288" s="181">
        <f t="shared" si="64"/>
        <v>2000</v>
      </c>
      <c r="E288" s="181">
        <f>SUMIF(服务合同!$L$6:$L$300,L288,服务合同!$E$6:$E$300)</f>
        <v>0</v>
      </c>
      <c r="F288" s="181">
        <f>SUMIF(服务合同!$L$6:$L$300,L288,服务合同!$F$6:$F$300)</f>
        <v>0</v>
      </c>
      <c r="G288" s="181">
        <f>SUMIF(服务合同!$L$6:$L$300,L288,服务合同!$G$6:$G$300)</f>
        <v>0</v>
      </c>
      <c r="H288" s="181">
        <f>SUMIF(服务合同!$L$6:$L$300,L288,服务合同!$H$6:$H$300)</f>
        <v>0</v>
      </c>
      <c r="I288" s="181">
        <f t="shared" si="65"/>
        <v>0</v>
      </c>
      <c r="J288" s="86" t="s">
        <v>98</v>
      </c>
      <c r="K288" s="87"/>
      <c r="L288" s="88">
        <v>283</v>
      </c>
      <c r="M288" s="89" t="str">
        <f>VLOOKUP(L288,服务合同!$L$6:$CC$300,2,0)</f>
        <v>-</v>
      </c>
      <c r="N288" s="90" t="str">
        <f>VLOOKUP(L288,服务合同!$L$6:$CC$300,3,0)</f>
        <v>服务合同</v>
      </c>
      <c r="O288" s="265" t="str">
        <f>VLOOKUP(L288,服务合同!$L$6:$CC$300,4,0)</f>
        <v>-</v>
      </c>
      <c r="P288" s="266">
        <f>VLOOKUP(L288,服务合同!$L$6:$CC$300,5,0)</f>
        <v>42917</v>
      </c>
      <c r="Q288" s="275">
        <f>VLOOKUP(L288,服务合同!$L$6:$CC$300,6,0)</f>
        <v>2000</v>
      </c>
      <c r="R288" s="89" t="str">
        <f>VLOOKUP(L288,服务合同!$L$6:$CC$300,7,0)</f>
        <v>消防站用地地形测量</v>
      </c>
      <c r="S288" s="89" t="str">
        <f>VLOOKUP(L288,服务合同!$L$6:$CC$300,8,0)</f>
        <v>莆田市涵江区大地测量有限公司</v>
      </c>
      <c r="T288" s="107">
        <f>VLOOKUP(L288,服务合同!$L$6:$CC$300,9,0)</f>
        <v>0</v>
      </c>
      <c r="U288" s="103" t="str">
        <f>VLOOKUP(L288,服务合同!$L$6:$CC$300,10,0)</f>
        <v>电汇</v>
      </c>
      <c r="V288" s="276" t="str">
        <f>VLOOKUP(L288,服务合同!$L$6:$CC$300,11,0)</f>
        <v>测量完成支付100%</v>
      </c>
      <c r="W288" s="102">
        <f>VLOOKUP(L288,服务合同!$L$6:$CC$300,12,0)</f>
        <v>2000</v>
      </c>
      <c r="X288" s="102">
        <f>VLOOKUP(L288,服务合同!$L$6:$CC$300,13,0)</f>
        <v>2000</v>
      </c>
      <c r="Y288" s="102">
        <f>VLOOKUP(L288,服务合同!$L$6:$CC$300,14,0)</f>
        <v>2000</v>
      </c>
      <c r="Z288" s="102">
        <f>VLOOKUP(L288,服务合同!$L$6:$CC$300,15,0)</f>
        <v>0</v>
      </c>
      <c r="AA288" s="102">
        <f>VLOOKUP(L288,服务合同!$L$6:$CC$300,16,0)</f>
        <v>0</v>
      </c>
      <c r="AB288" s="102">
        <f>VLOOKUP(L288,服务合同!$L$6:$CC$300,17,0)</f>
        <v>0</v>
      </c>
      <c r="AC288" s="102">
        <f>VLOOKUP(L288,服务合同!$L$6:$CC$300,18,0)</f>
        <v>0</v>
      </c>
      <c r="AD288" s="102">
        <f>VLOOKUP(L288,服务合同!$L$6:$CC$300,19,0)</f>
        <v>0</v>
      </c>
      <c r="AE288" s="102">
        <f>VLOOKUP(L288,服务合同!$L$6:$CC$300,20,0)</f>
        <v>0</v>
      </c>
      <c r="AF288" s="102">
        <f>VLOOKUP(L288,服务合同!$L$6:$CC$300,21,0)</f>
        <v>0</v>
      </c>
      <c r="AG288" s="102">
        <f>VLOOKUP(L288,服务合同!$L$6:$CC$300,22,0)</f>
        <v>0</v>
      </c>
      <c r="AH288" s="102">
        <f>VLOOKUP(L288,服务合同!$L$6:$CC$300,23,0)</f>
        <v>0</v>
      </c>
      <c r="AI288" s="102">
        <f>VLOOKUP(L288,服务合同!$L$6:$CC$300,24,0)</f>
        <v>0</v>
      </c>
      <c r="AJ288" s="102">
        <f>VLOOKUP(L288,服务合同!$L$6:$CC$300,25,0)</f>
        <v>0</v>
      </c>
      <c r="AK288" s="102">
        <f>VLOOKUP(L288,服务合同!$L$6:$CC$300,26,0)</f>
        <v>0</v>
      </c>
      <c r="AL288" s="102">
        <f>VLOOKUP(L288,服务合同!$L$6:$CC$300,27,0)</f>
        <v>0</v>
      </c>
      <c r="AM288" s="102">
        <f>VLOOKUP(L288,服务合同!$L$6:$CC$300,28,0)</f>
        <v>0</v>
      </c>
      <c r="AN288" s="102">
        <f>VLOOKUP(L288,服务合同!$L$6:$CC$300,29,0)</f>
        <v>0</v>
      </c>
      <c r="AO288" s="102">
        <f>VLOOKUP(L288,服务合同!$L$6:$CC$300,30,0)</f>
        <v>0</v>
      </c>
      <c r="AP288" s="102">
        <f>VLOOKUP(L288,服务合同!$L$6:$CC$300,31,0)</f>
        <v>0</v>
      </c>
      <c r="AQ288" s="102">
        <f>VLOOKUP(L288,服务合同!$L$6:$CC$300,32,0)</f>
        <v>0</v>
      </c>
      <c r="AR288" s="102">
        <f>VLOOKUP(L288,服务合同!$L$6:$CC$300,33,0)</f>
        <v>0</v>
      </c>
      <c r="AS288" s="102">
        <f>VLOOKUP(L288,服务合同!$L$6:$CC$300,34,0)</f>
        <v>0</v>
      </c>
      <c r="AT288" s="102">
        <f>VLOOKUP(L288,服务合同!$L$6:$CC$300,35,0)</f>
        <v>0</v>
      </c>
      <c r="AU288" s="102">
        <f>VLOOKUP(L288,服务合同!$L$6:$CC$300,36,0)</f>
        <v>0</v>
      </c>
      <c r="AV288" s="102">
        <f>VLOOKUP(L288,服务合同!$L$6:$CC$300,37,0)</f>
        <v>0</v>
      </c>
      <c r="AW288" s="102">
        <f>VLOOKUP(L288,服务合同!$L$6:$CC$300,38,0)</f>
        <v>0</v>
      </c>
      <c r="AX288" s="102">
        <f>VLOOKUP(L288,服务合同!$L$6:$CC$300,39,0)</f>
        <v>0</v>
      </c>
      <c r="AY288" s="102">
        <f>VLOOKUP(L288,服务合同!$L$6:$CC$300,40,0)</f>
        <v>0</v>
      </c>
      <c r="AZ288" s="102">
        <f>VLOOKUP(L288,服务合同!$L$6:$CC$300,41,0)</f>
        <v>0</v>
      </c>
      <c r="BA288" s="102">
        <f>VLOOKUP(L288,服务合同!$L$6:$CC$300,42,0)</f>
        <v>0</v>
      </c>
      <c r="BB288" s="102">
        <f>VLOOKUP(L288,服务合同!$L$6:$CC$300,43,0)</f>
        <v>0</v>
      </c>
      <c r="BC288" s="102">
        <f>VLOOKUP(L288,服务合同!$L$6:$CC$300,44,0)</f>
        <v>0</v>
      </c>
      <c r="BD288" s="102">
        <f>VLOOKUP(L288,服务合同!$L$6:$CC$300,45,0)</f>
        <v>0</v>
      </c>
      <c r="BE288" s="102">
        <f>VLOOKUP(L288,服务合同!$L$6:$CC$300,46,0)</f>
        <v>0</v>
      </c>
      <c r="BF288" s="102">
        <f>VLOOKUP(L288,服务合同!$L$6:$CC$300,47,0)</f>
        <v>0</v>
      </c>
      <c r="BG288" s="102">
        <f>VLOOKUP(L288,服务合同!$L$6:$CC$300,48,0)</f>
        <v>0</v>
      </c>
      <c r="BH288" s="102">
        <f>VLOOKUP(L288,服务合同!$L$6:$CC$300,49,0)</f>
        <v>0</v>
      </c>
      <c r="BI288" s="102">
        <f>VLOOKUP(L288,服务合同!$L$6:$CC$300,50,0)</f>
        <v>0</v>
      </c>
      <c r="BJ288" s="102">
        <f>VLOOKUP(L288,服务合同!$L$6:$CC$300,51,0)</f>
        <v>0</v>
      </c>
      <c r="BK288" s="102">
        <f>VLOOKUP(L288,服务合同!$L$6:$CC$300,52,0)</f>
        <v>0</v>
      </c>
      <c r="BL288" s="102">
        <f>VLOOKUP(L288,服务合同!$L$6:$CC$300,53,0)</f>
        <v>0</v>
      </c>
      <c r="BM288" s="102">
        <f>VLOOKUP(L288,服务合同!$L$6:$CC$300,54,0)</f>
        <v>0</v>
      </c>
      <c r="BN288" s="102">
        <f>VLOOKUP(L288,服务合同!$L$6:$CC$300,55,0)</f>
        <v>0</v>
      </c>
      <c r="BO288" s="102">
        <f>VLOOKUP(L288,服务合同!$L$6:$CC$300,56,0)</f>
        <v>0</v>
      </c>
      <c r="BP288" s="102">
        <f>VLOOKUP(L288,服务合同!$L$6:$CC$300,57,0)</f>
        <v>0</v>
      </c>
      <c r="BQ288" s="102">
        <f>VLOOKUP(L288,服务合同!$L$6:$CC$300,58,0)</f>
        <v>0</v>
      </c>
      <c r="BR288" s="102">
        <f>VLOOKUP(L288,服务合同!$L$6:$CC$300,59,0)</f>
        <v>0</v>
      </c>
      <c r="BS288" s="102">
        <f>VLOOKUP(L288,服务合同!$L$6:$CC$300,60,0)</f>
        <v>0</v>
      </c>
      <c r="BT288" s="102">
        <f>VLOOKUP(L288,服务合同!$L$6:$CC$300,61,0)</f>
        <v>0</v>
      </c>
      <c r="BU288" s="102">
        <f>VLOOKUP(L288,服务合同!$L$6:$CC$300,62,0)</f>
        <v>0</v>
      </c>
      <c r="BV288" s="102">
        <f>VLOOKUP(L288,服务合同!$L$6:$CC$300,63,0)</f>
        <v>0</v>
      </c>
      <c r="BW288" s="102">
        <f>VLOOKUP(L288,服务合同!$L$6:$CC$300,64,0)</f>
        <v>0</v>
      </c>
      <c r="BX288" s="102">
        <f>VLOOKUP(L288,服务合同!$L$6:$CC$300,65,0)</f>
        <v>0</v>
      </c>
      <c r="BY288" s="102">
        <f>VLOOKUP(L288,服务合同!$L$6:$CC$300,66,0)</f>
        <v>0</v>
      </c>
      <c r="BZ288" s="102">
        <f>VLOOKUP(L288,服务合同!$L$6:$CC$300,67,0)</f>
        <v>0</v>
      </c>
      <c r="CA288" s="102">
        <f>VLOOKUP(L288,服务合同!$L$6:$CC$300,68,0)</f>
        <v>0</v>
      </c>
      <c r="CB288" s="102">
        <f>VLOOKUP(L288,服务合同!$L$6:$CC$300,69,0)</f>
        <v>0</v>
      </c>
      <c r="CC288" s="102">
        <f>VLOOKUP(L288,服务合同!$L$6:$CC$300,70,0)</f>
        <v>0</v>
      </c>
      <c r="CD288" s="123">
        <f t="shared" si="66"/>
        <v>2000</v>
      </c>
      <c r="CE288" s="102">
        <f t="shared" si="67"/>
        <v>2000</v>
      </c>
      <c r="CF288" s="102">
        <f t="shared" si="68"/>
        <v>2000</v>
      </c>
      <c r="CG288" s="102">
        <f t="shared" si="69"/>
        <v>0</v>
      </c>
      <c r="CH288" s="124">
        <f t="shared" si="70"/>
        <v>0</v>
      </c>
      <c r="CI288" s="125">
        <f t="shared" si="71"/>
        <v>1</v>
      </c>
      <c r="CJ288" s="126" t="str">
        <f t="shared" si="72"/>
        <v>数据正确</v>
      </c>
    </row>
    <row r="289" s="60" customFormat="1" customHeight="1" spans="2:88">
      <c r="B289" s="70" t="str">
        <f t="shared" si="62"/>
        <v>-</v>
      </c>
      <c r="C289" s="71" t="str">
        <f t="shared" si="63"/>
        <v>已付清</v>
      </c>
      <c r="D289" s="181">
        <f t="shared" si="64"/>
        <v>31646</v>
      </c>
      <c r="E289" s="181">
        <f>SUMIF(行政合同!$L$6:$L$300,L289,行政合同!$E$6:$E$300)</f>
        <v>0</v>
      </c>
      <c r="F289" s="181">
        <f>SUMIF(行政合同!$L$6:$L$300,L289,行政合同!$F$6:$F$300)</f>
        <v>0</v>
      </c>
      <c r="G289" s="181">
        <f>SUMIF(行政合同!$L$6:$L$300,L289,行政合同!$G$6:$G$300)</f>
        <v>0</v>
      </c>
      <c r="H289" s="181">
        <f>SUMIF(行政合同!$L$6:$L$300,L289,行政合同!$H$6:$H$300)</f>
        <v>0</v>
      </c>
      <c r="I289" s="181">
        <f t="shared" si="65"/>
        <v>0</v>
      </c>
      <c r="J289" s="86" t="s">
        <v>98</v>
      </c>
      <c r="K289" s="87"/>
      <c r="L289" s="88">
        <v>284</v>
      </c>
      <c r="M289" s="89" t="str">
        <f>VLOOKUP(L289,行政合同!$L$6:$CC$300,2,0)</f>
        <v>-</v>
      </c>
      <c r="N289" s="90" t="str">
        <f>VLOOKUP(L289,行政合同!$L$6:$CC$300,3,0)</f>
        <v>行政合同</v>
      </c>
      <c r="O289" s="265" t="str">
        <f>VLOOKUP(L289,行政合同!$L$6:$CC$300,4,0)</f>
        <v>-</v>
      </c>
      <c r="P289" s="266">
        <f>VLOOKUP(L289,行政合同!$L$6:$CC$300,5,0)</f>
        <v>42979</v>
      </c>
      <c r="Q289" s="275">
        <f>VLOOKUP(L289,行政合同!$L$6:$CC$300,6,0)</f>
        <v>31646</v>
      </c>
      <c r="R289" s="89" t="str">
        <f>VLOOKUP(L289,行政合同!$L$6:$CC$300,7,0)</f>
        <v>必胜酒店会务费</v>
      </c>
      <c r="S289" s="89" t="str">
        <f>VLOOKUP(L289,行政合同!$L$6:$CC$300,8,0)</f>
        <v>莆田市必胜酒店管理有限公司秀屿分公司</v>
      </c>
      <c r="T289" s="107">
        <f>VLOOKUP(L289,行政合同!$L$6:$CC$300,9,0)</f>
        <v>0</v>
      </c>
      <c r="U289" s="103" t="str">
        <f>VLOOKUP(L289,行政合同!$L$6:$CC$300,10,0)</f>
        <v>电汇</v>
      </c>
      <c r="V289" s="276" t="str">
        <f>VLOOKUP(L289,行政合同!$L$6:$CC$300,11,0)</f>
        <v>-</v>
      </c>
      <c r="W289" s="102">
        <f>VLOOKUP(L289,行政合同!$L$6:$CC$300,12,0)</f>
        <v>31646</v>
      </c>
      <c r="X289" s="102">
        <f>VLOOKUP(L289,行政合同!$L$6:$CC$300,13,0)</f>
        <v>31646</v>
      </c>
      <c r="Y289" s="102">
        <f>VLOOKUP(L289,行政合同!$L$6:$CC$300,14,0)</f>
        <v>31646</v>
      </c>
      <c r="Z289" s="102">
        <f>VLOOKUP(L289,行政合同!$L$6:$CC$300,15,0)</f>
        <v>0</v>
      </c>
      <c r="AA289" s="102">
        <f>VLOOKUP(L289,行政合同!$L$6:$CC$300,16,0)</f>
        <v>0</v>
      </c>
      <c r="AB289" s="102">
        <f>VLOOKUP(L289,行政合同!$L$6:$CC$300,17,0)</f>
        <v>0</v>
      </c>
      <c r="AC289" s="102">
        <f>VLOOKUP(L289,行政合同!$L$6:$CC$300,18,0)</f>
        <v>0</v>
      </c>
      <c r="AD289" s="102">
        <f>VLOOKUP(L289,行政合同!$L$6:$CC$300,19,0)</f>
        <v>0</v>
      </c>
      <c r="AE289" s="102">
        <f>VLOOKUP(L289,行政合同!$L$6:$CC$300,20,0)</f>
        <v>0</v>
      </c>
      <c r="AF289" s="102">
        <f>VLOOKUP(L289,行政合同!$L$6:$CC$300,21,0)</f>
        <v>0</v>
      </c>
      <c r="AG289" s="102">
        <f>VLOOKUP(L289,行政合同!$L$6:$CC$300,22,0)</f>
        <v>0</v>
      </c>
      <c r="AH289" s="102">
        <f>VLOOKUP(L289,行政合同!$L$6:$CC$300,23,0)</f>
        <v>0</v>
      </c>
      <c r="AI289" s="102">
        <f>VLOOKUP(L289,行政合同!$L$6:$CC$300,24,0)</f>
        <v>0</v>
      </c>
      <c r="AJ289" s="102">
        <f>VLOOKUP(L289,行政合同!$L$6:$CC$300,25,0)</f>
        <v>0</v>
      </c>
      <c r="AK289" s="102">
        <f>VLOOKUP(L289,行政合同!$L$6:$CC$300,26,0)</f>
        <v>0</v>
      </c>
      <c r="AL289" s="102">
        <f>VLOOKUP(L289,行政合同!$L$6:$CC$300,27,0)</f>
        <v>0</v>
      </c>
      <c r="AM289" s="102">
        <f>VLOOKUP(L289,行政合同!$L$6:$CC$300,28,0)</f>
        <v>0</v>
      </c>
      <c r="AN289" s="102">
        <f>VLOOKUP(L289,行政合同!$L$6:$CC$300,29,0)</f>
        <v>0</v>
      </c>
      <c r="AO289" s="102">
        <f>VLOOKUP(L289,行政合同!$L$6:$CC$300,30,0)</f>
        <v>0</v>
      </c>
      <c r="AP289" s="102">
        <f>VLOOKUP(L289,行政合同!$L$6:$CC$300,31,0)</f>
        <v>0</v>
      </c>
      <c r="AQ289" s="102">
        <f>VLOOKUP(L289,行政合同!$L$6:$CC$300,32,0)</f>
        <v>0</v>
      </c>
      <c r="AR289" s="102">
        <f>VLOOKUP(L289,行政合同!$L$6:$CC$300,33,0)</f>
        <v>0</v>
      </c>
      <c r="AS289" s="102">
        <f>VLOOKUP(L289,行政合同!$L$6:$CC$300,34,0)</f>
        <v>0</v>
      </c>
      <c r="AT289" s="102">
        <f>VLOOKUP(L289,行政合同!$L$6:$CC$300,35,0)</f>
        <v>0</v>
      </c>
      <c r="AU289" s="102">
        <f>VLOOKUP(L289,行政合同!$L$6:$CC$300,36,0)</f>
        <v>0</v>
      </c>
      <c r="AV289" s="102">
        <f>VLOOKUP(L289,行政合同!$L$6:$CC$300,37,0)</f>
        <v>0</v>
      </c>
      <c r="AW289" s="102">
        <f>VLOOKUP(L289,行政合同!$L$6:$CC$300,38,0)</f>
        <v>0</v>
      </c>
      <c r="AX289" s="102">
        <f>VLOOKUP(L289,行政合同!$L$6:$CC$300,39,0)</f>
        <v>0</v>
      </c>
      <c r="AY289" s="102">
        <f>VLOOKUP(L289,行政合同!$L$6:$CC$300,40,0)</f>
        <v>0</v>
      </c>
      <c r="AZ289" s="102">
        <f>VLOOKUP(L289,行政合同!$L$6:$CC$300,41,0)</f>
        <v>0</v>
      </c>
      <c r="BA289" s="102">
        <f>VLOOKUP(L289,行政合同!$L$6:$CC$300,42,0)</f>
        <v>0</v>
      </c>
      <c r="BB289" s="102">
        <f>VLOOKUP(L289,行政合同!$L$6:$CC$300,43,0)</f>
        <v>0</v>
      </c>
      <c r="BC289" s="102">
        <f>VLOOKUP(L289,行政合同!$L$6:$CC$300,44,0)</f>
        <v>0</v>
      </c>
      <c r="BD289" s="102">
        <f>VLOOKUP(L289,行政合同!$L$6:$CC$300,45,0)</f>
        <v>0</v>
      </c>
      <c r="BE289" s="102">
        <f>VLOOKUP(L289,行政合同!$L$6:$CC$300,46,0)</f>
        <v>0</v>
      </c>
      <c r="BF289" s="102">
        <f>VLOOKUP(L289,行政合同!$L$6:$CC$300,47,0)</f>
        <v>0</v>
      </c>
      <c r="BG289" s="102">
        <f>VLOOKUP(L289,行政合同!$L$6:$CC$300,48,0)</f>
        <v>0</v>
      </c>
      <c r="BH289" s="102">
        <f>VLOOKUP(L289,行政合同!$L$6:$CC$300,49,0)</f>
        <v>0</v>
      </c>
      <c r="BI289" s="102">
        <f>VLOOKUP(L289,行政合同!$L$6:$CC$300,50,0)</f>
        <v>0</v>
      </c>
      <c r="BJ289" s="102">
        <f>VLOOKUP(L289,行政合同!$L$6:$CC$300,51,0)</f>
        <v>0</v>
      </c>
      <c r="BK289" s="102">
        <f>VLOOKUP(L289,行政合同!$L$6:$CC$300,52,0)</f>
        <v>0</v>
      </c>
      <c r="BL289" s="102">
        <f>VLOOKUP(L289,行政合同!$L$6:$CC$300,53,0)</f>
        <v>0</v>
      </c>
      <c r="BM289" s="102">
        <f>VLOOKUP(L289,行政合同!$L$6:$CC$300,54,0)</f>
        <v>0</v>
      </c>
      <c r="BN289" s="102">
        <f>VLOOKUP(L289,行政合同!$L$6:$CC$300,55,0)</f>
        <v>0</v>
      </c>
      <c r="BO289" s="102">
        <f>VLOOKUP(L289,行政合同!$L$6:$CC$300,56,0)</f>
        <v>0</v>
      </c>
      <c r="BP289" s="102">
        <f>VLOOKUP(L289,行政合同!$L$6:$CC$300,57,0)</f>
        <v>0</v>
      </c>
      <c r="BQ289" s="102">
        <f>VLOOKUP(L289,行政合同!$L$6:$CC$300,58,0)</f>
        <v>0</v>
      </c>
      <c r="BR289" s="102">
        <f>VLOOKUP(L289,行政合同!$L$6:$CC$300,59,0)</f>
        <v>0</v>
      </c>
      <c r="BS289" s="102">
        <f>VLOOKUP(L289,行政合同!$L$6:$CC$300,60,0)</f>
        <v>0</v>
      </c>
      <c r="BT289" s="102">
        <f>VLOOKUP(L289,行政合同!$L$6:$CC$300,61,0)</f>
        <v>0</v>
      </c>
      <c r="BU289" s="102">
        <f>VLOOKUP(L289,行政合同!$L$6:$CC$300,62,0)</f>
        <v>0</v>
      </c>
      <c r="BV289" s="102">
        <f>VLOOKUP(L289,行政合同!$L$6:$CC$300,63,0)</f>
        <v>0</v>
      </c>
      <c r="BW289" s="102">
        <f>VLOOKUP(L289,行政合同!$L$6:$CC$300,64,0)</f>
        <v>0</v>
      </c>
      <c r="BX289" s="102">
        <f>VLOOKUP(L289,行政合同!$L$6:$CC$300,65,0)</f>
        <v>0</v>
      </c>
      <c r="BY289" s="102">
        <f>VLOOKUP(L289,行政合同!$L$6:$CC$300,66,0)</f>
        <v>0</v>
      </c>
      <c r="BZ289" s="102">
        <f>VLOOKUP(L289,行政合同!$L$6:$CC$300,67,0)</f>
        <v>0</v>
      </c>
      <c r="CA289" s="102">
        <f>VLOOKUP(L289,行政合同!$L$6:$CC$300,68,0)</f>
        <v>0</v>
      </c>
      <c r="CB289" s="102">
        <f>VLOOKUP(L289,行政合同!$L$6:$CC$300,69,0)</f>
        <v>0</v>
      </c>
      <c r="CC289" s="102">
        <f>VLOOKUP(L289,行政合同!$L$6:$CC$300,70,0)</f>
        <v>0</v>
      </c>
      <c r="CD289" s="123">
        <f t="shared" si="66"/>
        <v>31646</v>
      </c>
      <c r="CE289" s="102">
        <f t="shared" si="67"/>
        <v>31646</v>
      </c>
      <c r="CF289" s="102">
        <f t="shared" si="68"/>
        <v>31646</v>
      </c>
      <c r="CG289" s="102">
        <f t="shared" si="69"/>
        <v>0</v>
      </c>
      <c r="CH289" s="124">
        <f t="shared" si="70"/>
        <v>0</v>
      </c>
      <c r="CI289" s="125">
        <f t="shared" si="71"/>
        <v>1</v>
      </c>
      <c r="CJ289" s="126" t="str">
        <f t="shared" si="72"/>
        <v>数据正确</v>
      </c>
    </row>
    <row r="290" s="60" customFormat="1" customHeight="1" spans="2:88">
      <c r="B290" s="70" t="str">
        <f t="shared" si="62"/>
        <v>-</v>
      </c>
      <c r="C290" s="71" t="str">
        <f t="shared" si="63"/>
        <v>已付清</v>
      </c>
      <c r="D290" s="181">
        <f t="shared" si="64"/>
        <v>98000</v>
      </c>
      <c r="E290" s="181">
        <f>SUMIF(服务合同!$L$6:$L$300,L290,服务合同!$E$6:$E$300)</f>
        <v>0</v>
      </c>
      <c r="F290" s="181">
        <f>SUMIF(服务合同!$L$6:$L$300,L290,服务合同!$F$6:$F$300)</f>
        <v>0</v>
      </c>
      <c r="G290" s="181">
        <f>SUMIF(服务合同!$L$6:$L$300,L290,服务合同!$G$6:$G$300)</f>
        <v>0</v>
      </c>
      <c r="H290" s="181">
        <f>SUMIF(服务合同!$L$6:$L$300,L290,服务合同!$H$6:$H$300)</f>
        <v>0</v>
      </c>
      <c r="I290" s="181">
        <f t="shared" si="65"/>
        <v>0</v>
      </c>
      <c r="J290" s="86" t="s">
        <v>98</v>
      </c>
      <c r="K290" s="87"/>
      <c r="L290" s="88">
        <v>285</v>
      </c>
      <c r="M290" s="89" t="str">
        <f>VLOOKUP(L290,服务合同!$L$6:$CC$300,2,0)</f>
        <v>-</v>
      </c>
      <c r="N290" s="90" t="str">
        <f>VLOOKUP(L290,服务合同!$L$6:$CC$300,3,0)</f>
        <v>服务合同</v>
      </c>
      <c r="O290" s="265" t="str">
        <f>VLOOKUP(L290,服务合同!$L$6:$CC$300,4,0)</f>
        <v>-</v>
      </c>
      <c r="P290" s="266">
        <f>VLOOKUP(L290,服务合同!$L$6:$CC$300,5,0)</f>
        <v>42826</v>
      </c>
      <c r="Q290" s="275">
        <f>VLOOKUP(L290,服务合同!$L$6:$CC$300,6,0)</f>
        <v>98000</v>
      </c>
      <c r="R290" s="89" t="str">
        <f>VLOOKUP(L290,服务合同!$L$6:$CC$300,7,0)</f>
        <v>水土保持编制费</v>
      </c>
      <c r="S290" s="89" t="str">
        <f>VLOOKUP(L290,服务合同!$L$6:$CC$300,8,0)</f>
        <v>福州德龙顺地农林技术开发有限公司</v>
      </c>
      <c r="T290" s="107">
        <f>VLOOKUP(L290,服务合同!$L$6:$CC$300,9,0)</f>
        <v>0</v>
      </c>
      <c r="U290" s="103" t="str">
        <f>VLOOKUP(L290,服务合同!$L$6:$CC$300,10,0)</f>
        <v>电汇</v>
      </c>
      <c r="V290" s="276" t="str">
        <f>VLOOKUP(L290,服务合同!$L$6:$CC$300,11,0)</f>
        <v>-</v>
      </c>
      <c r="W290" s="102">
        <f>VLOOKUP(L290,服务合同!$L$6:$CC$300,12,0)</f>
        <v>98000</v>
      </c>
      <c r="X290" s="102">
        <f>VLOOKUP(L290,服务合同!$L$6:$CC$300,13,0)</f>
        <v>98000</v>
      </c>
      <c r="Y290" s="102">
        <f>VLOOKUP(L290,服务合同!$L$6:$CC$300,14,0)</f>
        <v>98000</v>
      </c>
      <c r="Z290" s="102">
        <f>VLOOKUP(L290,服务合同!$L$6:$CC$300,15,0)</f>
        <v>0</v>
      </c>
      <c r="AA290" s="102">
        <f>VLOOKUP(L290,服务合同!$L$6:$CC$300,16,0)</f>
        <v>0</v>
      </c>
      <c r="AB290" s="102">
        <f>VLOOKUP(L290,服务合同!$L$6:$CC$300,17,0)</f>
        <v>0</v>
      </c>
      <c r="AC290" s="102">
        <f>VLOOKUP(L290,服务合同!$L$6:$CC$300,18,0)</f>
        <v>0</v>
      </c>
      <c r="AD290" s="102">
        <f>VLOOKUP(L290,服务合同!$L$6:$CC$300,19,0)</f>
        <v>0</v>
      </c>
      <c r="AE290" s="102">
        <f>VLOOKUP(L290,服务合同!$L$6:$CC$300,20,0)</f>
        <v>0</v>
      </c>
      <c r="AF290" s="102">
        <f>VLOOKUP(L290,服务合同!$L$6:$CC$300,21,0)</f>
        <v>0</v>
      </c>
      <c r="AG290" s="102">
        <f>VLOOKUP(L290,服务合同!$L$6:$CC$300,22,0)</f>
        <v>0</v>
      </c>
      <c r="AH290" s="102">
        <f>VLOOKUP(L290,服务合同!$L$6:$CC$300,23,0)</f>
        <v>0</v>
      </c>
      <c r="AI290" s="102">
        <f>VLOOKUP(L290,服务合同!$L$6:$CC$300,24,0)</f>
        <v>0</v>
      </c>
      <c r="AJ290" s="102">
        <f>VLOOKUP(L290,服务合同!$L$6:$CC$300,25,0)</f>
        <v>0</v>
      </c>
      <c r="AK290" s="102">
        <f>VLOOKUP(L290,服务合同!$L$6:$CC$300,26,0)</f>
        <v>0</v>
      </c>
      <c r="AL290" s="102">
        <f>VLOOKUP(L290,服务合同!$L$6:$CC$300,27,0)</f>
        <v>0</v>
      </c>
      <c r="AM290" s="102">
        <f>VLOOKUP(L290,服务合同!$L$6:$CC$300,28,0)</f>
        <v>0</v>
      </c>
      <c r="AN290" s="102">
        <f>VLOOKUP(L290,服务合同!$L$6:$CC$300,29,0)</f>
        <v>0</v>
      </c>
      <c r="AO290" s="102">
        <f>VLOOKUP(L290,服务合同!$L$6:$CC$300,30,0)</f>
        <v>0</v>
      </c>
      <c r="AP290" s="102">
        <f>VLOOKUP(L290,服务合同!$L$6:$CC$300,31,0)</f>
        <v>0</v>
      </c>
      <c r="AQ290" s="102">
        <f>VLOOKUP(L290,服务合同!$L$6:$CC$300,32,0)</f>
        <v>0</v>
      </c>
      <c r="AR290" s="102">
        <f>VLOOKUP(L290,服务合同!$L$6:$CC$300,33,0)</f>
        <v>0</v>
      </c>
      <c r="AS290" s="102">
        <f>VLOOKUP(L290,服务合同!$L$6:$CC$300,34,0)</f>
        <v>0</v>
      </c>
      <c r="AT290" s="102">
        <f>VLOOKUP(L290,服务合同!$L$6:$CC$300,35,0)</f>
        <v>0</v>
      </c>
      <c r="AU290" s="102">
        <f>VLOOKUP(L290,服务合同!$L$6:$CC$300,36,0)</f>
        <v>0</v>
      </c>
      <c r="AV290" s="102">
        <f>VLOOKUP(L290,服务合同!$L$6:$CC$300,37,0)</f>
        <v>0</v>
      </c>
      <c r="AW290" s="102">
        <f>VLOOKUP(L290,服务合同!$L$6:$CC$300,38,0)</f>
        <v>0</v>
      </c>
      <c r="AX290" s="102">
        <f>VLOOKUP(L290,服务合同!$L$6:$CC$300,39,0)</f>
        <v>0</v>
      </c>
      <c r="AY290" s="102">
        <f>VLOOKUP(L290,服务合同!$L$6:$CC$300,40,0)</f>
        <v>0</v>
      </c>
      <c r="AZ290" s="102">
        <f>VLOOKUP(L290,服务合同!$L$6:$CC$300,41,0)</f>
        <v>0</v>
      </c>
      <c r="BA290" s="102">
        <f>VLOOKUP(L290,服务合同!$L$6:$CC$300,42,0)</f>
        <v>0</v>
      </c>
      <c r="BB290" s="102">
        <f>VLOOKUP(L290,服务合同!$L$6:$CC$300,43,0)</f>
        <v>0</v>
      </c>
      <c r="BC290" s="102">
        <f>VLOOKUP(L290,服务合同!$L$6:$CC$300,44,0)</f>
        <v>0</v>
      </c>
      <c r="BD290" s="102">
        <f>VLOOKUP(L290,服务合同!$L$6:$CC$300,45,0)</f>
        <v>0</v>
      </c>
      <c r="BE290" s="102">
        <f>VLOOKUP(L290,服务合同!$L$6:$CC$300,46,0)</f>
        <v>0</v>
      </c>
      <c r="BF290" s="102">
        <f>VLOOKUP(L290,服务合同!$L$6:$CC$300,47,0)</f>
        <v>0</v>
      </c>
      <c r="BG290" s="102">
        <f>VLOOKUP(L290,服务合同!$L$6:$CC$300,48,0)</f>
        <v>0</v>
      </c>
      <c r="BH290" s="102">
        <f>VLOOKUP(L290,服务合同!$L$6:$CC$300,49,0)</f>
        <v>0</v>
      </c>
      <c r="BI290" s="102">
        <f>VLOOKUP(L290,服务合同!$L$6:$CC$300,50,0)</f>
        <v>0</v>
      </c>
      <c r="BJ290" s="102">
        <f>VLOOKUP(L290,服务合同!$L$6:$CC$300,51,0)</f>
        <v>0</v>
      </c>
      <c r="BK290" s="102">
        <f>VLOOKUP(L290,服务合同!$L$6:$CC$300,52,0)</f>
        <v>0</v>
      </c>
      <c r="BL290" s="102">
        <f>VLOOKUP(L290,服务合同!$L$6:$CC$300,53,0)</f>
        <v>0</v>
      </c>
      <c r="BM290" s="102">
        <f>VLOOKUP(L290,服务合同!$L$6:$CC$300,54,0)</f>
        <v>0</v>
      </c>
      <c r="BN290" s="102">
        <f>VLOOKUP(L290,服务合同!$L$6:$CC$300,55,0)</f>
        <v>0</v>
      </c>
      <c r="BO290" s="102">
        <f>VLOOKUP(L290,服务合同!$L$6:$CC$300,56,0)</f>
        <v>0</v>
      </c>
      <c r="BP290" s="102">
        <f>VLOOKUP(L290,服务合同!$L$6:$CC$300,57,0)</f>
        <v>0</v>
      </c>
      <c r="BQ290" s="102">
        <f>VLOOKUP(L290,服务合同!$L$6:$CC$300,58,0)</f>
        <v>0</v>
      </c>
      <c r="BR290" s="102">
        <f>VLOOKUP(L290,服务合同!$L$6:$CC$300,59,0)</f>
        <v>0</v>
      </c>
      <c r="BS290" s="102">
        <f>VLOOKUP(L290,服务合同!$L$6:$CC$300,60,0)</f>
        <v>0</v>
      </c>
      <c r="BT290" s="102">
        <f>VLOOKUP(L290,服务合同!$L$6:$CC$300,61,0)</f>
        <v>0</v>
      </c>
      <c r="BU290" s="102">
        <f>VLOOKUP(L290,服务合同!$L$6:$CC$300,62,0)</f>
        <v>0</v>
      </c>
      <c r="BV290" s="102">
        <f>VLOOKUP(L290,服务合同!$L$6:$CC$300,63,0)</f>
        <v>0</v>
      </c>
      <c r="BW290" s="102">
        <f>VLOOKUP(L290,服务合同!$L$6:$CC$300,64,0)</f>
        <v>0</v>
      </c>
      <c r="BX290" s="102">
        <f>VLOOKUP(L290,服务合同!$L$6:$CC$300,65,0)</f>
        <v>0</v>
      </c>
      <c r="BY290" s="102">
        <f>VLOOKUP(L290,服务合同!$L$6:$CC$300,66,0)</f>
        <v>0</v>
      </c>
      <c r="BZ290" s="102">
        <f>VLOOKUP(L290,服务合同!$L$6:$CC$300,67,0)</f>
        <v>0</v>
      </c>
      <c r="CA290" s="102">
        <f>VLOOKUP(L290,服务合同!$L$6:$CC$300,68,0)</f>
        <v>0</v>
      </c>
      <c r="CB290" s="102">
        <f>VLOOKUP(L290,服务合同!$L$6:$CC$300,69,0)</f>
        <v>0</v>
      </c>
      <c r="CC290" s="102">
        <f>VLOOKUP(L290,服务合同!$L$6:$CC$300,70,0)</f>
        <v>0</v>
      </c>
      <c r="CD290" s="123">
        <f t="shared" si="66"/>
        <v>98000</v>
      </c>
      <c r="CE290" s="102">
        <f t="shared" si="67"/>
        <v>98000</v>
      </c>
      <c r="CF290" s="102">
        <f t="shared" si="68"/>
        <v>98000</v>
      </c>
      <c r="CG290" s="102">
        <f t="shared" si="69"/>
        <v>0</v>
      </c>
      <c r="CH290" s="124">
        <f t="shared" si="70"/>
        <v>0</v>
      </c>
      <c r="CI290" s="125">
        <f t="shared" si="71"/>
        <v>1</v>
      </c>
      <c r="CJ290" s="126" t="str">
        <f t="shared" si="72"/>
        <v>数据正确</v>
      </c>
    </row>
    <row r="291" s="60" customFormat="1" customHeight="1" spans="2:88">
      <c r="B291" s="70" t="str">
        <f t="shared" si="62"/>
        <v>-</v>
      </c>
      <c r="C291" s="71" t="str">
        <f t="shared" si="63"/>
        <v>-</v>
      </c>
      <c r="D291" s="181">
        <f t="shared" si="64"/>
        <v>97000</v>
      </c>
      <c r="E291" s="181">
        <f>SUMIF(服务合同!$L$6:$L$300,L291,服务合同!$E$6:$E$300)</f>
        <v>0</v>
      </c>
      <c r="F291" s="181">
        <f>SUMIF(服务合同!$L$6:$L$300,L291,服务合同!$F$6:$F$300)</f>
        <v>0</v>
      </c>
      <c r="G291" s="181">
        <f>SUMIF(服务合同!$L$6:$L$300,L291,服务合同!$G$6:$G$300)</f>
        <v>0</v>
      </c>
      <c r="H291" s="181">
        <f>SUMIF(服务合同!$L$6:$L$300,L291,服务合同!$H$6:$H$300)</f>
        <v>0</v>
      </c>
      <c r="I291" s="181">
        <f t="shared" si="65"/>
        <v>0</v>
      </c>
      <c r="J291" s="86" t="s">
        <v>98</v>
      </c>
      <c r="K291" s="87"/>
      <c r="L291" s="88">
        <v>286</v>
      </c>
      <c r="M291" s="89" t="str">
        <f>VLOOKUP(L291,服务合同!$L$6:$CC$300,2,0)</f>
        <v>-</v>
      </c>
      <c r="N291" s="90" t="str">
        <f>VLOOKUP(L291,服务合同!$L$6:$CC$300,3,0)</f>
        <v>服务合同</v>
      </c>
      <c r="O291" s="265" t="str">
        <f>VLOOKUP(L291,服务合同!$L$6:$CC$300,4,0)</f>
        <v>-</v>
      </c>
      <c r="P291" s="266">
        <f>VLOOKUP(L291,服务合同!$L$6:$CC$300,5,0)</f>
        <v>42790</v>
      </c>
      <c r="Q291" s="275">
        <f>VLOOKUP(L291,服务合同!$L$6:$CC$300,6,0)</f>
        <v>122000</v>
      </c>
      <c r="R291" s="89" t="str">
        <f>VLOOKUP(L291,服务合同!$L$6:$CC$300,7,0)</f>
        <v>三修车间门前绿化工程</v>
      </c>
      <c r="S291" s="89" t="str">
        <f>VLOOKUP(L291,服务合同!$L$6:$CC$300,8,0)</f>
        <v>莆田市荔城区清溪林业咨询服务部</v>
      </c>
      <c r="T291" s="107">
        <f>VLOOKUP(L291,服务合同!$L$6:$CC$300,9,0)</f>
        <v>0</v>
      </c>
      <c r="U291" s="103" t="str">
        <f>VLOOKUP(L291,服务合同!$L$6:$CC$300,10,0)</f>
        <v>电汇</v>
      </c>
      <c r="V291" s="276" t="str">
        <f>VLOOKUP(L291,服务合同!$L$6:$CC$300,11,0)</f>
        <v>工程验收合格支付80%</v>
      </c>
      <c r="W291" s="102">
        <f>VLOOKUP(L291,服务合同!$L$6:$CC$300,12,0)</f>
        <v>97000</v>
      </c>
      <c r="X291" s="102">
        <f>VLOOKUP(L291,服务合同!$L$6:$CC$300,13,0)</f>
        <v>97000</v>
      </c>
      <c r="Y291" s="102">
        <f>VLOOKUP(L291,服务合同!$L$6:$CC$300,14,0)</f>
        <v>97000</v>
      </c>
      <c r="Z291" s="102" t="str">
        <f>VLOOKUP(L291,服务合同!$L$6:$CC$300,15,0)</f>
        <v>竣工6个月，经公司审计验收合格，支付10%</v>
      </c>
      <c r="AA291" s="102">
        <f>VLOOKUP(L291,服务合同!$L$6:$CC$300,16,0)</f>
        <v>12500</v>
      </c>
      <c r="AB291" s="102">
        <f>VLOOKUP(L291,服务合同!$L$6:$CC$300,17,0)</f>
        <v>0</v>
      </c>
      <c r="AC291" s="102">
        <f>VLOOKUP(L291,服务合同!$L$6:$CC$300,18,0)</f>
        <v>0</v>
      </c>
      <c r="AD291" s="102" t="str">
        <f>VLOOKUP(L291,服务合同!$L$6:$CC$300,19,0)</f>
        <v>10%质量保证金，一年后验收合格付清</v>
      </c>
      <c r="AE291" s="102">
        <f>VLOOKUP(L291,服务合同!$L$6:$CC$300,20,0)</f>
        <v>12500</v>
      </c>
      <c r="AF291" s="102">
        <f>VLOOKUP(L291,服务合同!$L$6:$CC$300,21,0)</f>
        <v>0</v>
      </c>
      <c r="AG291" s="102">
        <f>VLOOKUP(L291,服务合同!$L$6:$CC$300,22,0)</f>
        <v>0</v>
      </c>
      <c r="AH291" s="102">
        <f>VLOOKUP(L291,服务合同!$L$6:$CC$300,23,0)</f>
        <v>0</v>
      </c>
      <c r="AI291" s="102">
        <f>VLOOKUP(L291,服务合同!$L$6:$CC$300,24,0)</f>
        <v>0</v>
      </c>
      <c r="AJ291" s="102">
        <f>VLOOKUP(L291,服务合同!$L$6:$CC$300,25,0)</f>
        <v>0</v>
      </c>
      <c r="AK291" s="102">
        <f>VLOOKUP(L291,服务合同!$L$6:$CC$300,26,0)</f>
        <v>0</v>
      </c>
      <c r="AL291" s="102">
        <f>VLOOKUP(L291,服务合同!$L$6:$CC$300,27,0)</f>
        <v>0</v>
      </c>
      <c r="AM291" s="102">
        <f>VLOOKUP(L291,服务合同!$L$6:$CC$300,28,0)</f>
        <v>0</v>
      </c>
      <c r="AN291" s="102">
        <f>VLOOKUP(L291,服务合同!$L$6:$CC$300,29,0)</f>
        <v>0</v>
      </c>
      <c r="AO291" s="102">
        <f>VLOOKUP(L291,服务合同!$L$6:$CC$300,30,0)</f>
        <v>0</v>
      </c>
      <c r="AP291" s="102">
        <f>VLOOKUP(L291,服务合同!$L$6:$CC$300,31,0)</f>
        <v>0</v>
      </c>
      <c r="AQ291" s="102">
        <f>VLOOKUP(L291,服务合同!$L$6:$CC$300,32,0)</f>
        <v>0</v>
      </c>
      <c r="AR291" s="102">
        <f>VLOOKUP(L291,服务合同!$L$6:$CC$300,33,0)</f>
        <v>0</v>
      </c>
      <c r="AS291" s="102">
        <f>VLOOKUP(L291,服务合同!$L$6:$CC$300,34,0)</f>
        <v>0</v>
      </c>
      <c r="AT291" s="102">
        <f>VLOOKUP(L291,服务合同!$L$6:$CC$300,35,0)</f>
        <v>0</v>
      </c>
      <c r="AU291" s="102">
        <f>VLOOKUP(L291,服务合同!$L$6:$CC$300,36,0)</f>
        <v>0</v>
      </c>
      <c r="AV291" s="102">
        <f>VLOOKUP(L291,服务合同!$L$6:$CC$300,37,0)</f>
        <v>0</v>
      </c>
      <c r="AW291" s="102">
        <f>VLOOKUP(L291,服务合同!$L$6:$CC$300,38,0)</f>
        <v>0</v>
      </c>
      <c r="AX291" s="102">
        <f>VLOOKUP(L291,服务合同!$L$6:$CC$300,39,0)</f>
        <v>0</v>
      </c>
      <c r="AY291" s="102">
        <f>VLOOKUP(L291,服务合同!$L$6:$CC$300,40,0)</f>
        <v>0</v>
      </c>
      <c r="AZ291" s="102">
        <f>VLOOKUP(L291,服务合同!$L$6:$CC$300,41,0)</f>
        <v>0</v>
      </c>
      <c r="BA291" s="102">
        <f>VLOOKUP(L291,服务合同!$L$6:$CC$300,42,0)</f>
        <v>0</v>
      </c>
      <c r="BB291" s="102">
        <f>VLOOKUP(L291,服务合同!$L$6:$CC$300,43,0)</f>
        <v>0</v>
      </c>
      <c r="BC291" s="102">
        <f>VLOOKUP(L291,服务合同!$L$6:$CC$300,44,0)</f>
        <v>0</v>
      </c>
      <c r="BD291" s="102">
        <f>VLOOKUP(L291,服务合同!$L$6:$CC$300,45,0)</f>
        <v>0</v>
      </c>
      <c r="BE291" s="102">
        <f>VLOOKUP(L291,服务合同!$L$6:$CC$300,46,0)</f>
        <v>0</v>
      </c>
      <c r="BF291" s="102">
        <f>VLOOKUP(L291,服务合同!$L$6:$CC$300,47,0)</f>
        <v>0</v>
      </c>
      <c r="BG291" s="102">
        <f>VLOOKUP(L291,服务合同!$L$6:$CC$300,48,0)</f>
        <v>0</v>
      </c>
      <c r="BH291" s="102">
        <f>VLOOKUP(L291,服务合同!$L$6:$CC$300,49,0)</f>
        <v>0</v>
      </c>
      <c r="BI291" s="102">
        <f>VLOOKUP(L291,服务合同!$L$6:$CC$300,50,0)</f>
        <v>0</v>
      </c>
      <c r="BJ291" s="102">
        <f>VLOOKUP(L291,服务合同!$L$6:$CC$300,51,0)</f>
        <v>0</v>
      </c>
      <c r="BK291" s="102">
        <f>VLOOKUP(L291,服务合同!$L$6:$CC$300,52,0)</f>
        <v>0</v>
      </c>
      <c r="BL291" s="102">
        <f>VLOOKUP(L291,服务合同!$L$6:$CC$300,53,0)</f>
        <v>0</v>
      </c>
      <c r="BM291" s="102">
        <f>VLOOKUP(L291,服务合同!$L$6:$CC$300,54,0)</f>
        <v>0</v>
      </c>
      <c r="BN291" s="102">
        <f>VLOOKUP(L291,服务合同!$L$6:$CC$300,55,0)</f>
        <v>0</v>
      </c>
      <c r="BO291" s="102">
        <f>VLOOKUP(L291,服务合同!$L$6:$CC$300,56,0)</f>
        <v>0</v>
      </c>
      <c r="BP291" s="102">
        <f>VLOOKUP(L291,服务合同!$L$6:$CC$300,57,0)</f>
        <v>0</v>
      </c>
      <c r="BQ291" s="102">
        <f>VLOOKUP(L291,服务合同!$L$6:$CC$300,58,0)</f>
        <v>0</v>
      </c>
      <c r="BR291" s="102">
        <f>VLOOKUP(L291,服务合同!$L$6:$CC$300,59,0)</f>
        <v>0</v>
      </c>
      <c r="BS291" s="102">
        <f>VLOOKUP(L291,服务合同!$L$6:$CC$300,60,0)</f>
        <v>0</v>
      </c>
      <c r="BT291" s="102">
        <f>VLOOKUP(L291,服务合同!$L$6:$CC$300,61,0)</f>
        <v>0</v>
      </c>
      <c r="BU291" s="102">
        <f>VLOOKUP(L291,服务合同!$L$6:$CC$300,62,0)</f>
        <v>0</v>
      </c>
      <c r="BV291" s="102">
        <f>VLOOKUP(L291,服务合同!$L$6:$CC$300,63,0)</f>
        <v>0</v>
      </c>
      <c r="BW291" s="102">
        <f>VLOOKUP(L291,服务合同!$L$6:$CC$300,64,0)</f>
        <v>0</v>
      </c>
      <c r="BX291" s="102">
        <f>VLOOKUP(L291,服务合同!$L$6:$CC$300,65,0)</f>
        <v>0</v>
      </c>
      <c r="BY291" s="102">
        <f>VLOOKUP(L291,服务合同!$L$6:$CC$300,66,0)</f>
        <v>0</v>
      </c>
      <c r="BZ291" s="102">
        <f>VLOOKUP(L291,服务合同!$L$6:$CC$300,67,0)</f>
        <v>0</v>
      </c>
      <c r="CA291" s="102">
        <f>VLOOKUP(L291,服务合同!$L$6:$CC$300,68,0)</f>
        <v>0</v>
      </c>
      <c r="CB291" s="102">
        <f>VLOOKUP(L291,服务合同!$L$6:$CC$300,69,0)</f>
        <v>0</v>
      </c>
      <c r="CC291" s="102">
        <f>VLOOKUP(L291,服务合同!$L$6:$CC$300,70,0)</f>
        <v>0</v>
      </c>
      <c r="CD291" s="123">
        <f t="shared" si="66"/>
        <v>122000</v>
      </c>
      <c r="CE291" s="102">
        <f t="shared" si="67"/>
        <v>97000</v>
      </c>
      <c r="CF291" s="102">
        <f t="shared" si="68"/>
        <v>97000</v>
      </c>
      <c r="CG291" s="102">
        <f t="shared" si="69"/>
        <v>0</v>
      </c>
      <c r="CH291" s="124">
        <f t="shared" si="70"/>
        <v>25000</v>
      </c>
      <c r="CI291" s="125">
        <f t="shared" si="71"/>
        <v>0.795081967213115</v>
      </c>
      <c r="CJ291" s="126" t="str">
        <f t="shared" si="72"/>
        <v>数据正确</v>
      </c>
    </row>
    <row r="292" s="60" customFormat="1" customHeight="1" spans="2:88">
      <c r="B292" s="70" t="str">
        <f t="shared" si="62"/>
        <v>-</v>
      </c>
      <c r="C292" s="71" t="str">
        <f t="shared" si="63"/>
        <v>-</v>
      </c>
      <c r="D292" s="181">
        <f t="shared" si="64"/>
        <v>350000</v>
      </c>
      <c r="E292" s="181">
        <f>SUMIF(设备合同!$L$6:$L$302,L292,设备合同!$E$6:$E$302)</f>
        <v>0</v>
      </c>
      <c r="F292" s="181">
        <f>SUMIF(设备合同!$L$6:$L$302,L292,设备合同!$F$6:$F$302)</f>
        <v>0</v>
      </c>
      <c r="G292" s="181">
        <f>SUMIF(设备合同!$L$6:$L$302,L292,设备合同!$G$6:$G$302)</f>
        <v>0</v>
      </c>
      <c r="H292" s="181">
        <f>SUMIF(设备合同!$L$6:$L$302,L292,设备合同!$H$6:$H$302)</f>
        <v>0</v>
      </c>
      <c r="I292" s="181">
        <f t="shared" si="65"/>
        <v>0</v>
      </c>
      <c r="J292" s="86" t="s">
        <v>98</v>
      </c>
      <c r="K292" s="87"/>
      <c r="L292" s="88">
        <v>287</v>
      </c>
      <c r="M292" s="89" t="str">
        <f>VLOOKUP(L292,设备合同!$L$6:$CC$302,2,0)</f>
        <v>YRKJEQ-170084</v>
      </c>
      <c r="N292" s="90" t="str">
        <f>VLOOKUP(L292,设备合同!$L$6:$CC$302,3,0)</f>
        <v>设备合同</v>
      </c>
      <c r="O292" s="265">
        <f>VLOOKUP(L292,设备合同!$L$6:$CC$302,4,0)</f>
        <v>2017040007</v>
      </c>
      <c r="P292" s="266">
        <f>VLOOKUP(L292,设备合同!$L$6:$CC$302,5,0)</f>
        <v>42980</v>
      </c>
      <c r="Q292" s="275">
        <f>VLOOKUP(L292,设备合同!$L$6:$CC$302,6,0)</f>
        <v>1750000</v>
      </c>
      <c r="R292" s="89" t="str">
        <f>VLOOKUP(L292,设备合同!$L$6:$CC$302,7,0)</f>
        <v>结晶反应器搅拌器2套</v>
      </c>
      <c r="S292" s="89" t="str">
        <f>VLOOKUP(L292,设备合同!$L$6:$CC$302,8,0)</f>
        <v>合肥华升泵阀有限责任公司</v>
      </c>
      <c r="T292" s="107" t="str">
        <f>VLOOKUP(L292,设备合同!$L$6:$CC$302,9,0)</f>
        <v>硫铵装置</v>
      </c>
      <c r="U292" s="103" t="str">
        <f>VLOOKUP(L292,设备合同!$L$6:$CC$302,10,0)</f>
        <v>电汇</v>
      </c>
      <c r="V292" s="276" t="str">
        <f>VLOOKUP(L292,设备合同!$L$6:$CC$302,11,0)</f>
        <v>甲方收到乙方20%的预付款保函和收据后15个工作日支付20%预付款 10%履约保函</v>
      </c>
      <c r="W292" s="102">
        <f>VLOOKUP(L292,设备合同!$L$6:$CC$302,12,0)</f>
        <v>350000</v>
      </c>
      <c r="X292" s="102">
        <f>VLOOKUP(L292,设备合同!$L$6:$CC$302,13,0)</f>
        <v>350000</v>
      </c>
      <c r="Y292" s="102">
        <f>VLOOKUP(L292,设备合同!$L$6:$CC$302,14,0)</f>
        <v>350000</v>
      </c>
      <c r="Z292" s="102" t="str">
        <f>VLOOKUP(L292,设备合同!$L$6:$CC$302,15,0)</f>
        <v>甲方到乙方现场确认无误后，收到17%全额专票，15个工作日内支付40%发货款</v>
      </c>
      <c r="AA292" s="102">
        <f>VLOOKUP(L292,设备合同!$L$6:$CC$302,16,0)</f>
        <v>700000</v>
      </c>
      <c r="AB292" s="102">
        <f>VLOOKUP(L292,设备合同!$L$6:$CC$302,17,0)</f>
        <v>0</v>
      </c>
      <c r="AC292" s="102">
        <f>VLOOKUP(L292,设备合同!$L$6:$CC$302,18,0)</f>
        <v>0</v>
      </c>
      <c r="AD292" s="102" t="str">
        <f>VLOOKUP(L292,设备合同!$L$6:$CC$302,19,0)</f>
        <v>甲方核定的调试合格报告及足额的发票后付30%的验收款</v>
      </c>
      <c r="AE292" s="102">
        <f>VLOOKUP(L292,设备合同!$L$6:$CC$302,20,0)</f>
        <v>525000</v>
      </c>
      <c r="AF292" s="102">
        <f>VLOOKUP(L292,设备合同!$L$6:$CC$302,21,0)</f>
        <v>0</v>
      </c>
      <c r="AG292" s="102">
        <f>VLOOKUP(L292,设备合同!$L$6:$CC$302,22,0)</f>
        <v>0</v>
      </c>
      <c r="AH292" s="102" t="str">
        <f>VLOOKUP(L292,设备合同!$L$6:$CC$302,23,0)</f>
        <v>10%质保金，验收合格12个月或到货现场18个月 承兑</v>
      </c>
      <c r="AI292" s="102">
        <f>VLOOKUP(L292,设备合同!$L$6:$CC$302,24,0)</f>
        <v>175000</v>
      </c>
      <c r="AJ292" s="102">
        <f>VLOOKUP(L292,设备合同!$L$6:$CC$302,25,0)</f>
        <v>0</v>
      </c>
      <c r="AK292" s="102">
        <f>VLOOKUP(L292,设备合同!$L$6:$CC$302,26,0)</f>
        <v>0</v>
      </c>
      <c r="AL292" s="102">
        <f>VLOOKUP(L292,设备合同!$L$6:$CC$302,27,0)</f>
        <v>0</v>
      </c>
      <c r="AM292" s="102">
        <f>VLOOKUP(L292,设备合同!$L$6:$CC$302,28,0)</f>
        <v>0</v>
      </c>
      <c r="AN292" s="102">
        <f>VLOOKUP(L292,设备合同!$L$6:$CC$302,29,0)</f>
        <v>0</v>
      </c>
      <c r="AO292" s="102">
        <f>VLOOKUP(L292,设备合同!$L$6:$CC$302,30,0)</f>
        <v>0</v>
      </c>
      <c r="AP292" s="102">
        <f>VLOOKUP(L292,设备合同!$L$6:$CC$302,31,0)</f>
        <v>0</v>
      </c>
      <c r="AQ292" s="102">
        <f>VLOOKUP(L292,设备合同!$L$6:$CC$302,32,0)</f>
        <v>0</v>
      </c>
      <c r="AR292" s="102">
        <f>VLOOKUP(L292,设备合同!$L$6:$CC$302,33,0)</f>
        <v>0</v>
      </c>
      <c r="AS292" s="102">
        <f>VLOOKUP(L292,设备合同!$L$6:$CC$302,34,0)</f>
        <v>0</v>
      </c>
      <c r="AT292" s="102">
        <f>VLOOKUP(L292,设备合同!$L$6:$CC$302,35,0)</f>
        <v>0</v>
      </c>
      <c r="AU292" s="102">
        <f>VLOOKUP(L292,设备合同!$L$6:$CC$302,36,0)</f>
        <v>0</v>
      </c>
      <c r="AV292" s="102">
        <f>VLOOKUP(L292,设备合同!$L$6:$CC$302,37,0)</f>
        <v>0</v>
      </c>
      <c r="AW292" s="102">
        <f>VLOOKUP(L292,设备合同!$L$6:$CC$302,38,0)</f>
        <v>0</v>
      </c>
      <c r="AX292" s="102">
        <f>VLOOKUP(L292,设备合同!$L$6:$CC$302,39,0)</f>
        <v>0</v>
      </c>
      <c r="AY292" s="102">
        <f>VLOOKUP(L292,设备合同!$L$6:$CC$302,40,0)</f>
        <v>0</v>
      </c>
      <c r="AZ292" s="102">
        <f>VLOOKUP(L292,设备合同!$L$6:$CC$302,41,0)</f>
        <v>0</v>
      </c>
      <c r="BA292" s="102">
        <f>VLOOKUP(L292,设备合同!$L$6:$CC$302,42,0)</f>
        <v>0</v>
      </c>
      <c r="BB292" s="102">
        <f>VLOOKUP(L292,设备合同!$L$6:$CC$302,43,0)</f>
        <v>0</v>
      </c>
      <c r="BC292" s="102">
        <f>VLOOKUP(L292,设备合同!$L$6:$CC$302,44,0)</f>
        <v>0</v>
      </c>
      <c r="BD292" s="102">
        <f>VLOOKUP(L292,设备合同!$L$6:$CC$302,45,0)</f>
        <v>0</v>
      </c>
      <c r="BE292" s="102">
        <f>VLOOKUP(L292,设备合同!$L$6:$CC$302,46,0)</f>
        <v>0</v>
      </c>
      <c r="BF292" s="102">
        <f>VLOOKUP(L292,设备合同!$L$6:$CC$302,47,0)</f>
        <v>0</v>
      </c>
      <c r="BG292" s="102">
        <f>VLOOKUP(L292,设备合同!$L$6:$CC$302,48,0)</f>
        <v>0</v>
      </c>
      <c r="BH292" s="102">
        <f>VLOOKUP(L292,设备合同!$L$6:$CC$302,49,0)</f>
        <v>0</v>
      </c>
      <c r="BI292" s="102">
        <f>VLOOKUP(L292,设备合同!$L$6:$CC$302,50,0)</f>
        <v>0</v>
      </c>
      <c r="BJ292" s="102">
        <f>VLOOKUP(L292,设备合同!$L$6:$CC$302,51,0)</f>
        <v>0</v>
      </c>
      <c r="BK292" s="102">
        <f>VLOOKUP(L292,设备合同!$L$6:$CC$302,52,0)</f>
        <v>0</v>
      </c>
      <c r="BL292" s="102">
        <f>VLOOKUP(L292,设备合同!$L$6:$CC$302,53,0)</f>
        <v>0</v>
      </c>
      <c r="BM292" s="102">
        <f>VLOOKUP(L292,设备合同!$L$6:$CC$302,54,0)</f>
        <v>0</v>
      </c>
      <c r="BN292" s="102">
        <f>VLOOKUP(L292,设备合同!$L$6:$CC$302,55,0)</f>
        <v>0</v>
      </c>
      <c r="BO292" s="102">
        <f>VLOOKUP(L292,设备合同!$L$6:$CC$302,56,0)</f>
        <v>0</v>
      </c>
      <c r="BP292" s="102">
        <f>VLOOKUP(L292,设备合同!$L$6:$CC$302,57,0)</f>
        <v>0</v>
      </c>
      <c r="BQ292" s="102">
        <f>VLOOKUP(L292,设备合同!$L$6:$CC$302,58,0)</f>
        <v>0</v>
      </c>
      <c r="BR292" s="102">
        <f>VLOOKUP(L292,设备合同!$L$6:$CC$302,59,0)</f>
        <v>0</v>
      </c>
      <c r="BS292" s="102">
        <f>VLOOKUP(L292,设备合同!$L$6:$CC$302,60,0)</f>
        <v>0</v>
      </c>
      <c r="BT292" s="102">
        <f>VLOOKUP(L292,设备合同!$L$6:$CC$302,61,0)</f>
        <v>0</v>
      </c>
      <c r="BU292" s="102">
        <f>VLOOKUP(L292,设备合同!$L$6:$CC$302,62,0)</f>
        <v>0</v>
      </c>
      <c r="BV292" s="102">
        <f>VLOOKUP(L292,设备合同!$L$6:$CC$302,63,0)</f>
        <v>0</v>
      </c>
      <c r="BW292" s="102">
        <f>VLOOKUP(L292,设备合同!$L$6:$CC$302,64,0)</f>
        <v>0</v>
      </c>
      <c r="BX292" s="102">
        <f>VLOOKUP(L292,设备合同!$L$6:$CC$302,65,0)</f>
        <v>0</v>
      </c>
      <c r="BY292" s="102">
        <f>VLOOKUP(L292,设备合同!$L$6:$CC$302,66,0)</f>
        <v>0</v>
      </c>
      <c r="BZ292" s="102">
        <f>VLOOKUP(L292,设备合同!$L$6:$CC$302,67,0)</f>
        <v>0</v>
      </c>
      <c r="CA292" s="102">
        <f>VLOOKUP(L292,设备合同!$L$6:$CC$302,68,0)</f>
        <v>0</v>
      </c>
      <c r="CB292" s="102">
        <f>VLOOKUP(L292,设备合同!$L$6:$CC$302,69,0)</f>
        <v>0</v>
      </c>
      <c r="CC292" s="102">
        <f>VLOOKUP(L292,设备合同!$L$6:$CC$302,70,0)</f>
        <v>0</v>
      </c>
      <c r="CD292" s="123">
        <f t="shared" si="66"/>
        <v>1750000</v>
      </c>
      <c r="CE292" s="102">
        <f t="shared" si="67"/>
        <v>350000</v>
      </c>
      <c r="CF292" s="102">
        <f t="shared" si="68"/>
        <v>350000</v>
      </c>
      <c r="CG292" s="102">
        <f t="shared" si="69"/>
        <v>0</v>
      </c>
      <c r="CH292" s="124">
        <f t="shared" si="70"/>
        <v>1400000</v>
      </c>
      <c r="CI292" s="125">
        <f t="shared" si="71"/>
        <v>0.2</v>
      </c>
      <c r="CJ292" s="126" t="str">
        <f t="shared" si="72"/>
        <v>数据正确</v>
      </c>
    </row>
    <row r="293" s="60" customFormat="1" customHeight="1" spans="2:88">
      <c r="B293" s="70" t="str">
        <f t="shared" si="62"/>
        <v>-</v>
      </c>
      <c r="C293" s="71" t="str">
        <f t="shared" si="63"/>
        <v>-</v>
      </c>
      <c r="D293" s="181">
        <f t="shared" si="64"/>
        <v>0</v>
      </c>
      <c r="E293" s="181">
        <f>SUMIF(设备合同!$L$6:$L$302,L293,设备合同!$E$6:$E$302)</f>
        <v>0</v>
      </c>
      <c r="F293" s="181">
        <f>SUMIF(设备合同!$L$6:$L$302,L293,设备合同!$F$6:$F$302)</f>
        <v>0</v>
      </c>
      <c r="G293" s="181">
        <f>SUMIF(设备合同!$L$6:$L$302,L293,设备合同!$G$6:$G$302)</f>
        <v>0</v>
      </c>
      <c r="H293" s="181">
        <f>SUMIF(设备合同!$L$6:$L$302,L293,设备合同!$H$6:$H$302)</f>
        <v>0</v>
      </c>
      <c r="I293" s="181">
        <f t="shared" si="65"/>
        <v>0</v>
      </c>
      <c r="J293" s="86" t="s">
        <v>98</v>
      </c>
      <c r="K293" s="87"/>
      <c r="L293" s="88">
        <v>288</v>
      </c>
      <c r="M293" s="89" t="str">
        <f>VLOOKUP(L293,设备合同!$L$6:$CC$302,2,0)</f>
        <v>YRKJEQ-170099</v>
      </c>
      <c r="N293" s="90" t="str">
        <f>VLOOKUP(L293,设备合同!$L$6:$CC$302,3,0)</f>
        <v>设备合同</v>
      </c>
      <c r="O293" s="265">
        <f>VLOOKUP(L293,设备合同!$L$6:$CC$302,4,0)</f>
        <v>0</v>
      </c>
      <c r="P293" s="266">
        <f>VLOOKUP(L293,设备合同!$L$6:$CC$302,5,0)</f>
        <v>42994</v>
      </c>
      <c r="Q293" s="275">
        <f>VLOOKUP(L293,设备合同!$L$6:$CC$302,6,0)</f>
        <v>100000</v>
      </c>
      <c r="R293" s="89" t="str">
        <f>VLOOKUP(L293,设备合同!$L$6:$CC$302,7,0)</f>
        <v>污水提升泵2台</v>
      </c>
      <c r="S293" s="89" t="str">
        <f>VLOOKUP(L293,设备合同!$L$6:$CC$302,8,0)</f>
        <v>江苏长凯机械设备有限公司</v>
      </c>
      <c r="T293" s="107">
        <f>VLOOKUP(L293,设备合同!$L$6:$CC$302,9,0)</f>
        <v>0</v>
      </c>
      <c r="U293" s="103" t="str">
        <f>VLOOKUP(L293,设备合同!$L$6:$CC$302,10,0)</f>
        <v>电汇</v>
      </c>
      <c r="V293" s="276" t="str">
        <f>VLOOKUP(L293,设备合同!$L$6:$CC$302,11,0)</f>
        <v>甲方到乙方现场确认无误后，收到17%等额专票，15个工作日内支付80%发货款</v>
      </c>
      <c r="W293" s="102">
        <f>VLOOKUP(L293,设备合同!$L$6:$CC$302,12,0)</f>
        <v>80000</v>
      </c>
      <c r="X293" s="102">
        <f>VLOOKUP(L293,设备合同!$L$6:$CC$302,13,0)</f>
        <v>0</v>
      </c>
      <c r="Y293" s="102">
        <f>VLOOKUP(L293,设备合同!$L$6:$CC$302,14,0)</f>
        <v>0</v>
      </c>
      <c r="Z293" s="102" t="str">
        <f>VLOOKUP(L293,设备合同!$L$6:$CC$302,15,0)</f>
        <v>甲方核定的调试合格报告及足额的发票后付10%的验收款</v>
      </c>
      <c r="AA293" s="102">
        <f>VLOOKUP(L293,设备合同!$L$6:$CC$302,16,0)</f>
        <v>10000</v>
      </c>
      <c r="AB293" s="102">
        <f>VLOOKUP(L293,设备合同!$L$6:$CC$302,17,0)</f>
        <v>0</v>
      </c>
      <c r="AC293" s="102">
        <f>VLOOKUP(L293,设备合同!$L$6:$CC$302,18,0)</f>
        <v>0</v>
      </c>
      <c r="AD293" s="102" t="str">
        <f>VLOOKUP(L293,设备合同!$L$6:$CC$302,19,0)</f>
        <v>10%质保金，验收合格12个月或到货现场18个月</v>
      </c>
      <c r="AE293" s="102">
        <f>VLOOKUP(L293,设备合同!$L$6:$CC$302,20,0)</f>
        <v>10000</v>
      </c>
      <c r="AF293" s="102">
        <f>VLOOKUP(L293,设备合同!$L$6:$CC$302,21,0)</f>
        <v>0</v>
      </c>
      <c r="AG293" s="102">
        <f>VLOOKUP(L293,设备合同!$L$6:$CC$302,22,0)</f>
        <v>0</v>
      </c>
      <c r="AH293" s="102">
        <f>VLOOKUP(L293,设备合同!$L$6:$CC$302,23,0)</f>
        <v>0</v>
      </c>
      <c r="AI293" s="102">
        <f>VLOOKUP(L293,设备合同!$L$6:$CC$302,24,0)</f>
        <v>0</v>
      </c>
      <c r="AJ293" s="102">
        <f>VLOOKUP(L293,设备合同!$L$6:$CC$302,25,0)</f>
        <v>0</v>
      </c>
      <c r="AK293" s="102">
        <f>VLOOKUP(L293,设备合同!$L$6:$CC$302,26,0)</f>
        <v>0</v>
      </c>
      <c r="AL293" s="102">
        <f>VLOOKUP(L293,设备合同!$L$6:$CC$302,27,0)</f>
        <v>0</v>
      </c>
      <c r="AM293" s="102">
        <f>VLOOKUP(L293,设备合同!$L$6:$CC$302,28,0)</f>
        <v>0</v>
      </c>
      <c r="AN293" s="102">
        <f>VLOOKUP(L293,设备合同!$L$6:$CC$302,29,0)</f>
        <v>0</v>
      </c>
      <c r="AO293" s="102">
        <f>VLOOKUP(L293,设备合同!$L$6:$CC$302,30,0)</f>
        <v>0</v>
      </c>
      <c r="AP293" s="102">
        <f>VLOOKUP(L293,设备合同!$L$6:$CC$302,31,0)</f>
        <v>0</v>
      </c>
      <c r="AQ293" s="102">
        <f>VLOOKUP(L293,设备合同!$L$6:$CC$302,32,0)</f>
        <v>0</v>
      </c>
      <c r="AR293" s="102">
        <f>VLOOKUP(L293,设备合同!$L$6:$CC$302,33,0)</f>
        <v>0</v>
      </c>
      <c r="AS293" s="102">
        <f>VLOOKUP(L293,设备合同!$L$6:$CC$302,34,0)</f>
        <v>0</v>
      </c>
      <c r="AT293" s="102">
        <f>VLOOKUP(L293,设备合同!$L$6:$CC$302,35,0)</f>
        <v>0</v>
      </c>
      <c r="AU293" s="102">
        <f>VLOOKUP(L293,设备合同!$L$6:$CC$302,36,0)</f>
        <v>0</v>
      </c>
      <c r="AV293" s="102">
        <f>VLOOKUP(L293,设备合同!$L$6:$CC$302,37,0)</f>
        <v>0</v>
      </c>
      <c r="AW293" s="102">
        <f>VLOOKUP(L293,设备合同!$L$6:$CC$302,38,0)</f>
        <v>0</v>
      </c>
      <c r="AX293" s="102">
        <f>VLOOKUP(L293,设备合同!$L$6:$CC$302,39,0)</f>
        <v>0</v>
      </c>
      <c r="AY293" s="102">
        <f>VLOOKUP(L293,设备合同!$L$6:$CC$302,40,0)</f>
        <v>0</v>
      </c>
      <c r="AZ293" s="102">
        <f>VLOOKUP(L293,设备合同!$L$6:$CC$302,41,0)</f>
        <v>0</v>
      </c>
      <c r="BA293" s="102">
        <f>VLOOKUP(L293,设备合同!$L$6:$CC$302,42,0)</f>
        <v>0</v>
      </c>
      <c r="BB293" s="102">
        <f>VLOOKUP(L293,设备合同!$L$6:$CC$302,43,0)</f>
        <v>0</v>
      </c>
      <c r="BC293" s="102">
        <f>VLOOKUP(L293,设备合同!$L$6:$CC$302,44,0)</f>
        <v>0</v>
      </c>
      <c r="BD293" s="102">
        <f>VLOOKUP(L293,设备合同!$L$6:$CC$302,45,0)</f>
        <v>0</v>
      </c>
      <c r="BE293" s="102">
        <f>VLOOKUP(L293,设备合同!$L$6:$CC$302,46,0)</f>
        <v>0</v>
      </c>
      <c r="BF293" s="102">
        <f>VLOOKUP(L293,设备合同!$L$6:$CC$302,47,0)</f>
        <v>0</v>
      </c>
      <c r="BG293" s="102">
        <f>VLOOKUP(L293,设备合同!$L$6:$CC$302,48,0)</f>
        <v>0</v>
      </c>
      <c r="BH293" s="102">
        <f>VLOOKUP(L293,设备合同!$L$6:$CC$302,49,0)</f>
        <v>0</v>
      </c>
      <c r="BI293" s="102">
        <f>VLOOKUP(L293,设备合同!$L$6:$CC$302,50,0)</f>
        <v>0</v>
      </c>
      <c r="BJ293" s="102">
        <f>VLOOKUP(L293,设备合同!$L$6:$CC$302,51,0)</f>
        <v>0</v>
      </c>
      <c r="BK293" s="102">
        <f>VLOOKUP(L293,设备合同!$L$6:$CC$302,52,0)</f>
        <v>0</v>
      </c>
      <c r="BL293" s="102">
        <f>VLOOKUP(L293,设备合同!$L$6:$CC$302,53,0)</f>
        <v>0</v>
      </c>
      <c r="BM293" s="102">
        <f>VLOOKUP(L293,设备合同!$L$6:$CC$302,54,0)</f>
        <v>0</v>
      </c>
      <c r="BN293" s="102">
        <f>VLOOKUP(L293,设备合同!$L$6:$CC$302,55,0)</f>
        <v>0</v>
      </c>
      <c r="BO293" s="102">
        <f>VLOOKUP(L293,设备合同!$L$6:$CC$302,56,0)</f>
        <v>0</v>
      </c>
      <c r="BP293" s="102">
        <f>VLOOKUP(L293,设备合同!$L$6:$CC$302,57,0)</f>
        <v>0</v>
      </c>
      <c r="BQ293" s="102">
        <f>VLOOKUP(L293,设备合同!$L$6:$CC$302,58,0)</f>
        <v>0</v>
      </c>
      <c r="BR293" s="102">
        <f>VLOOKUP(L293,设备合同!$L$6:$CC$302,59,0)</f>
        <v>0</v>
      </c>
      <c r="BS293" s="102">
        <f>VLOOKUP(L293,设备合同!$L$6:$CC$302,60,0)</f>
        <v>0</v>
      </c>
      <c r="BT293" s="102">
        <f>VLOOKUP(L293,设备合同!$L$6:$CC$302,61,0)</f>
        <v>0</v>
      </c>
      <c r="BU293" s="102">
        <f>VLOOKUP(L293,设备合同!$L$6:$CC$302,62,0)</f>
        <v>0</v>
      </c>
      <c r="BV293" s="102">
        <f>VLOOKUP(L293,设备合同!$L$6:$CC$302,63,0)</f>
        <v>0</v>
      </c>
      <c r="BW293" s="102">
        <f>VLOOKUP(L293,设备合同!$L$6:$CC$302,64,0)</f>
        <v>0</v>
      </c>
      <c r="BX293" s="102">
        <f>VLOOKUP(L293,设备合同!$L$6:$CC$302,65,0)</f>
        <v>0</v>
      </c>
      <c r="BY293" s="102">
        <f>VLOOKUP(L293,设备合同!$L$6:$CC$302,66,0)</f>
        <v>0</v>
      </c>
      <c r="BZ293" s="102">
        <f>VLOOKUP(L293,设备合同!$L$6:$CC$302,67,0)</f>
        <v>0</v>
      </c>
      <c r="CA293" s="102">
        <f>VLOOKUP(L293,设备合同!$L$6:$CC$302,68,0)</f>
        <v>0</v>
      </c>
      <c r="CB293" s="102">
        <f>VLOOKUP(L293,设备合同!$L$6:$CC$302,69,0)</f>
        <v>0</v>
      </c>
      <c r="CC293" s="102">
        <f>VLOOKUP(L293,设备合同!$L$6:$CC$302,70,0)</f>
        <v>0</v>
      </c>
      <c r="CD293" s="123">
        <f t="shared" si="66"/>
        <v>100000</v>
      </c>
      <c r="CE293" s="102">
        <f t="shared" si="67"/>
        <v>0</v>
      </c>
      <c r="CF293" s="102">
        <f t="shared" si="68"/>
        <v>0</v>
      </c>
      <c r="CG293" s="102">
        <f t="shared" si="69"/>
        <v>0</v>
      </c>
      <c r="CH293" s="124">
        <f t="shared" si="70"/>
        <v>100000</v>
      </c>
      <c r="CI293" s="125">
        <f t="shared" si="71"/>
        <v>0</v>
      </c>
      <c r="CJ293" s="126" t="str">
        <f t="shared" si="72"/>
        <v>数据正确</v>
      </c>
    </row>
    <row r="294" s="60" customFormat="1" customHeight="1" spans="2:88">
      <c r="B294" s="70" t="str">
        <f t="shared" si="62"/>
        <v>-</v>
      </c>
      <c r="C294" s="71" t="str">
        <f t="shared" si="63"/>
        <v>-</v>
      </c>
      <c r="D294" s="181">
        <f t="shared" si="64"/>
        <v>0</v>
      </c>
      <c r="E294" s="181">
        <f>SUMIF(设备合同!$L$6:$L$302,L294,设备合同!$E$6:$E$302)</f>
        <v>0</v>
      </c>
      <c r="F294" s="181">
        <f>SUMIF(设备合同!$L$6:$L$302,L294,设备合同!$F$6:$F$302)</f>
        <v>0</v>
      </c>
      <c r="G294" s="181">
        <f>SUMIF(设备合同!$L$6:$L$302,L294,设备合同!$G$6:$G$302)</f>
        <v>0</v>
      </c>
      <c r="H294" s="181">
        <f>SUMIF(设备合同!$L$6:$L$302,L294,设备合同!$H$6:$H$302)</f>
        <v>0</v>
      </c>
      <c r="I294" s="181">
        <f t="shared" si="65"/>
        <v>0</v>
      </c>
      <c r="J294" s="86" t="s">
        <v>98</v>
      </c>
      <c r="K294" s="87"/>
      <c r="L294" s="88">
        <v>289</v>
      </c>
      <c r="M294" s="89" t="str">
        <f>VLOOKUP(L294,设备合同!$L$6:$CC$302,2,0)</f>
        <v>YRKJEQ-1700100</v>
      </c>
      <c r="N294" s="90" t="str">
        <f>VLOOKUP(L294,设备合同!$L$6:$CC$302,3,0)</f>
        <v>设备合同</v>
      </c>
      <c r="O294" s="265">
        <f>VLOOKUP(L294,设备合同!$L$6:$CC$302,4,0)</f>
        <v>0</v>
      </c>
      <c r="P294" s="266">
        <f>VLOOKUP(L294,设备合同!$L$6:$CC$302,5,0)</f>
        <v>43000</v>
      </c>
      <c r="Q294" s="275">
        <f>VLOOKUP(L294,设备合同!$L$6:$CC$302,6,0)</f>
        <v>240000</v>
      </c>
      <c r="R294" s="89" t="str">
        <f>VLOOKUP(L294,设备合同!$L$6:$CC$302,7,0)</f>
        <v>减温水泵、分液罐输送泵共4台</v>
      </c>
      <c r="S294" s="89" t="str">
        <f>VLOOKUP(L294,设备合同!$L$6:$CC$302,8,0)</f>
        <v>大耐泵业有限公司</v>
      </c>
      <c r="T294" s="107">
        <f>VLOOKUP(L294,设备合同!$L$6:$CC$302,9,0)</f>
        <v>0</v>
      </c>
      <c r="U294" s="103" t="str">
        <f>VLOOKUP(L294,设备合同!$L$6:$CC$302,10,0)</f>
        <v>6个月承兑汇票/电汇不下浮</v>
      </c>
      <c r="V294" s="276" t="str">
        <f>VLOOKUP(L294,设备合同!$L$6:$CC$302,11,0)</f>
        <v>甲方收到乙方20%的预付款保函以等额专票后15个工作日支付20%预付款 10%履约保函</v>
      </c>
      <c r="W294" s="102">
        <f>VLOOKUP(L294,设备合同!$L$6:$CC$302,12,0)</f>
        <v>48000</v>
      </c>
      <c r="X294" s="102">
        <f>VLOOKUP(L294,设备合同!$L$6:$CC$302,13,0)</f>
        <v>0</v>
      </c>
      <c r="Y294" s="102">
        <f>VLOOKUP(L294,设备合同!$L$6:$CC$302,14,0)</f>
        <v>0</v>
      </c>
      <c r="Z294" s="102" t="str">
        <f>VLOOKUP(L294,设备合同!$L$6:$CC$302,15,0)</f>
        <v>甲方到乙方现场确认无误后，收到17%全额专票，15个工作日内支付40%发货款</v>
      </c>
      <c r="AA294" s="102">
        <f>VLOOKUP(L294,设备合同!$L$6:$CC$302,16,0)</f>
        <v>96000</v>
      </c>
      <c r="AB294" s="102">
        <f>VLOOKUP(L294,设备合同!$L$6:$CC$302,17,0)</f>
        <v>0</v>
      </c>
      <c r="AC294" s="102">
        <f>VLOOKUP(L294,设备合同!$L$6:$CC$302,18,0)</f>
        <v>0</v>
      </c>
      <c r="AD294" s="102" t="str">
        <f>VLOOKUP(L294,设备合同!$L$6:$CC$302,19,0)</f>
        <v>甲方核定的调试合格报告及足额的发票后付30%的验收款</v>
      </c>
      <c r="AE294" s="102">
        <f>VLOOKUP(L294,设备合同!$L$6:$CC$302,20,0)</f>
        <v>72000</v>
      </c>
      <c r="AF294" s="102">
        <f>VLOOKUP(L294,设备合同!$L$6:$CC$302,21,0)</f>
        <v>0</v>
      </c>
      <c r="AG294" s="102">
        <f>VLOOKUP(L294,设备合同!$L$6:$CC$302,22,0)</f>
        <v>0</v>
      </c>
      <c r="AH294" s="102" t="str">
        <f>VLOOKUP(L294,设备合同!$L$6:$CC$302,23,0)</f>
        <v>10%质保金，验收合格12个月或到货现场18个月 承兑</v>
      </c>
      <c r="AI294" s="102">
        <f>VLOOKUP(L294,设备合同!$L$6:$CC$302,24,0)</f>
        <v>24000</v>
      </c>
      <c r="AJ294" s="102">
        <f>VLOOKUP(L294,设备合同!$L$6:$CC$302,25,0)</f>
        <v>0</v>
      </c>
      <c r="AK294" s="102">
        <f>VLOOKUP(L294,设备合同!$L$6:$CC$302,26,0)</f>
        <v>0</v>
      </c>
      <c r="AL294" s="102">
        <f>VLOOKUP(L294,设备合同!$L$6:$CC$302,27,0)</f>
        <v>0</v>
      </c>
      <c r="AM294" s="102">
        <f>VLOOKUP(L294,设备合同!$L$6:$CC$302,28,0)</f>
        <v>0</v>
      </c>
      <c r="AN294" s="102">
        <f>VLOOKUP(L294,设备合同!$L$6:$CC$302,29,0)</f>
        <v>0</v>
      </c>
      <c r="AO294" s="102">
        <f>VLOOKUP(L294,设备合同!$L$6:$CC$302,30,0)</f>
        <v>0</v>
      </c>
      <c r="AP294" s="102">
        <f>VLOOKUP(L294,设备合同!$L$6:$CC$302,31,0)</f>
        <v>0</v>
      </c>
      <c r="AQ294" s="102">
        <f>VLOOKUP(L294,设备合同!$L$6:$CC$302,32,0)</f>
        <v>0</v>
      </c>
      <c r="AR294" s="102">
        <f>VLOOKUP(L294,设备合同!$L$6:$CC$302,33,0)</f>
        <v>0</v>
      </c>
      <c r="AS294" s="102">
        <f>VLOOKUP(L294,设备合同!$L$6:$CC$302,34,0)</f>
        <v>0</v>
      </c>
      <c r="AT294" s="102">
        <f>VLOOKUP(L294,设备合同!$L$6:$CC$302,35,0)</f>
        <v>0</v>
      </c>
      <c r="AU294" s="102">
        <f>VLOOKUP(L294,设备合同!$L$6:$CC$302,36,0)</f>
        <v>0</v>
      </c>
      <c r="AV294" s="102">
        <f>VLOOKUP(L294,设备合同!$L$6:$CC$302,37,0)</f>
        <v>0</v>
      </c>
      <c r="AW294" s="102">
        <f>VLOOKUP(L294,设备合同!$L$6:$CC$302,38,0)</f>
        <v>0</v>
      </c>
      <c r="AX294" s="102">
        <f>VLOOKUP(L294,设备合同!$L$6:$CC$302,39,0)</f>
        <v>0</v>
      </c>
      <c r="AY294" s="102">
        <f>VLOOKUP(L294,设备合同!$L$6:$CC$302,40,0)</f>
        <v>0</v>
      </c>
      <c r="AZ294" s="102">
        <f>VLOOKUP(L294,设备合同!$L$6:$CC$302,41,0)</f>
        <v>0</v>
      </c>
      <c r="BA294" s="102">
        <f>VLOOKUP(L294,设备合同!$L$6:$CC$302,42,0)</f>
        <v>0</v>
      </c>
      <c r="BB294" s="102">
        <f>VLOOKUP(L294,设备合同!$L$6:$CC$302,43,0)</f>
        <v>0</v>
      </c>
      <c r="BC294" s="102">
        <f>VLOOKUP(L294,设备合同!$L$6:$CC$302,44,0)</f>
        <v>0</v>
      </c>
      <c r="BD294" s="102">
        <f>VLOOKUP(L294,设备合同!$L$6:$CC$302,45,0)</f>
        <v>0</v>
      </c>
      <c r="BE294" s="102">
        <f>VLOOKUP(L294,设备合同!$L$6:$CC$302,46,0)</f>
        <v>0</v>
      </c>
      <c r="BF294" s="102">
        <f>VLOOKUP(L294,设备合同!$L$6:$CC$302,47,0)</f>
        <v>0</v>
      </c>
      <c r="BG294" s="102">
        <f>VLOOKUP(L294,设备合同!$L$6:$CC$302,48,0)</f>
        <v>0</v>
      </c>
      <c r="BH294" s="102">
        <f>VLOOKUP(L294,设备合同!$L$6:$CC$302,49,0)</f>
        <v>0</v>
      </c>
      <c r="BI294" s="102">
        <f>VLOOKUP(L294,设备合同!$L$6:$CC$302,50,0)</f>
        <v>0</v>
      </c>
      <c r="BJ294" s="102">
        <f>VLOOKUP(L294,设备合同!$L$6:$CC$302,51,0)</f>
        <v>0</v>
      </c>
      <c r="BK294" s="102">
        <f>VLOOKUP(L294,设备合同!$L$6:$CC$302,52,0)</f>
        <v>0</v>
      </c>
      <c r="BL294" s="102">
        <f>VLOOKUP(L294,设备合同!$L$6:$CC$302,53,0)</f>
        <v>0</v>
      </c>
      <c r="BM294" s="102">
        <f>VLOOKUP(L294,设备合同!$L$6:$CC$302,54,0)</f>
        <v>0</v>
      </c>
      <c r="BN294" s="102">
        <f>VLOOKUP(L294,设备合同!$L$6:$CC$302,55,0)</f>
        <v>0</v>
      </c>
      <c r="BO294" s="102">
        <f>VLOOKUP(L294,设备合同!$L$6:$CC$302,56,0)</f>
        <v>0</v>
      </c>
      <c r="BP294" s="102">
        <f>VLOOKUP(L294,设备合同!$L$6:$CC$302,57,0)</f>
        <v>0</v>
      </c>
      <c r="BQ294" s="102">
        <f>VLOOKUP(L294,设备合同!$L$6:$CC$302,58,0)</f>
        <v>0</v>
      </c>
      <c r="BR294" s="102">
        <f>VLOOKUP(L294,设备合同!$L$6:$CC$302,59,0)</f>
        <v>0</v>
      </c>
      <c r="BS294" s="102">
        <f>VLOOKUP(L294,设备合同!$L$6:$CC$302,60,0)</f>
        <v>0</v>
      </c>
      <c r="BT294" s="102">
        <f>VLOOKUP(L294,设备合同!$L$6:$CC$302,61,0)</f>
        <v>0</v>
      </c>
      <c r="BU294" s="102">
        <f>VLOOKUP(L294,设备合同!$L$6:$CC$302,62,0)</f>
        <v>0</v>
      </c>
      <c r="BV294" s="102">
        <f>VLOOKUP(L294,设备合同!$L$6:$CC$302,63,0)</f>
        <v>0</v>
      </c>
      <c r="BW294" s="102">
        <f>VLOOKUP(L294,设备合同!$L$6:$CC$302,64,0)</f>
        <v>0</v>
      </c>
      <c r="BX294" s="102">
        <f>VLOOKUP(L294,设备合同!$L$6:$CC$302,65,0)</f>
        <v>0</v>
      </c>
      <c r="BY294" s="102">
        <f>VLOOKUP(L294,设备合同!$L$6:$CC$302,66,0)</f>
        <v>0</v>
      </c>
      <c r="BZ294" s="102">
        <f>VLOOKUP(L294,设备合同!$L$6:$CC$302,67,0)</f>
        <v>0</v>
      </c>
      <c r="CA294" s="102">
        <f>VLOOKUP(L294,设备合同!$L$6:$CC$302,68,0)</f>
        <v>0</v>
      </c>
      <c r="CB294" s="102">
        <f>VLOOKUP(L294,设备合同!$L$6:$CC$302,69,0)</f>
        <v>0</v>
      </c>
      <c r="CC294" s="102">
        <f>VLOOKUP(L294,设备合同!$L$6:$CC$302,70,0)</f>
        <v>0</v>
      </c>
      <c r="CD294" s="123">
        <f t="shared" si="66"/>
        <v>240000</v>
      </c>
      <c r="CE294" s="102">
        <f t="shared" si="67"/>
        <v>0</v>
      </c>
      <c r="CF294" s="102">
        <f t="shared" si="68"/>
        <v>0</v>
      </c>
      <c r="CG294" s="102">
        <f t="shared" si="69"/>
        <v>0</v>
      </c>
      <c r="CH294" s="124">
        <f t="shared" si="70"/>
        <v>240000</v>
      </c>
      <c r="CI294" s="125">
        <f t="shared" si="71"/>
        <v>0</v>
      </c>
      <c r="CJ294" s="126" t="str">
        <f t="shared" si="72"/>
        <v>数据正确</v>
      </c>
    </row>
    <row r="295" s="60" customFormat="1" customHeight="1" spans="2:88">
      <c r="B295" s="70" t="str">
        <f t="shared" si="62"/>
        <v>-</v>
      </c>
      <c r="C295" s="71" t="str">
        <f t="shared" si="63"/>
        <v>-</v>
      </c>
      <c r="D295" s="181">
        <f t="shared" si="64"/>
        <v>0</v>
      </c>
      <c r="E295" s="181">
        <f>SUMIF(设备合同!$L$6:$L$302,L295,设备合同!$E$6:$E$302)</f>
        <v>0</v>
      </c>
      <c r="F295" s="181">
        <f>SUMIF(设备合同!$L$6:$L$302,L295,设备合同!$F$6:$F$302)</f>
        <v>0</v>
      </c>
      <c r="G295" s="181">
        <f>SUMIF(设备合同!$L$6:$L$302,L295,设备合同!$G$6:$G$302)</f>
        <v>0</v>
      </c>
      <c r="H295" s="181">
        <f>SUMIF(设备合同!$L$6:$L$302,L295,设备合同!$H$6:$H$302)</f>
        <v>0</v>
      </c>
      <c r="I295" s="181">
        <f t="shared" si="65"/>
        <v>0</v>
      </c>
      <c r="J295" s="86" t="s">
        <v>98</v>
      </c>
      <c r="K295" s="87"/>
      <c r="L295" s="88">
        <v>290</v>
      </c>
      <c r="M295" s="89" t="str">
        <f>VLOOKUP(L295,设备合同!$L$6:$CC$302,2,0)</f>
        <v>YRKJEQ-1700120</v>
      </c>
      <c r="N295" s="90" t="str">
        <f>VLOOKUP(L295,设备合同!$L$6:$CC$302,3,0)</f>
        <v>设备合同</v>
      </c>
      <c r="O295" s="265">
        <f>VLOOKUP(L295,设备合同!$L$6:$CC$302,4,0)</f>
        <v>2017090012</v>
      </c>
      <c r="P295" s="266">
        <f>VLOOKUP(L295,设备合同!$L$6:$CC$302,5,0)</f>
        <v>43005</v>
      </c>
      <c r="Q295" s="275">
        <f>VLOOKUP(L295,设备合同!$L$6:$CC$302,6,0)</f>
        <v>1984000</v>
      </c>
      <c r="R295" s="89" t="str">
        <f>VLOOKUP(L295,设备合同!$L$6:$CC$302,7,0)</f>
        <v>环己酮肟化装置非标设备27台+追加3台</v>
      </c>
      <c r="S295" s="89" t="str">
        <f>VLOOKUP(L295,设备合同!$L$6:$CC$302,8,0)</f>
        <v>岳阳鸿升电磁科技有限公司</v>
      </c>
      <c r="T295" s="107">
        <f>VLOOKUP(L295,设备合同!$L$6:$CC$302,9,0)</f>
        <v>0</v>
      </c>
      <c r="U295" s="103" t="str">
        <f>VLOOKUP(L295,设备合同!$L$6:$CC$302,10,0)</f>
        <v>电汇</v>
      </c>
      <c r="V295" s="276" t="str">
        <f>VLOOKUP(L295,设备合同!$L$6:$CC$302,11,0)</f>
        <v>甲方收到乙方20%的预付款保函以等额专票后15个工作日支付20%预付款 10%履约保函</v>
      </c>
      <c r="W295" s="102">
        <f>VLOOKUP(L295,设备合同!$L$6:$CC$302,12,0)</f>
        <v>396800</v>
      </c>
      <c r="X295" s="102">
        <f>VLOOKUP(L295,设备合同!$L$6:$CC$302,13,0)</f>
        <v>0</v>
      </c>
      <c r="Y295" s="102">
        <f>VLOOKUP(L295,设备合同!$L$6:$CC$302,14,0)</f>
        <v>0</v>
      </c>
      <c r="Z295" s="102" t="str">
        <f>VLOOKUP(L295,设备合同!$L$6:$CC$302,15,0)</f>
        <v>甲方到乙方现场确认无误后，收到17%等额、专票，15个工作日内支付60%发货款</v>
      </c>
      <c r="AA295" s="102">
        <f>VLOOKUP(L295,设备合同!$L$6:$CC$302,16,0)</f>
        <v>1190400</v>
      </c>
      <c r="AB295" s="102">
        <f>VLOOKUP(L295,设备合同!$L$6:$CC$302,17,0)</f>
        <v>0</v>
      </c>
      <c r="AC295" s="102">
        <f>VLOOKUP(L295,设备合同!$L$6:$CC$302,18,0)</f>
        <v>0</v>
      </c>
      <c r="AD295" s="102" t="str">
        <f>VLOOKUP(L295,设备合同!$L$6:$CC$302,19,0)</f>
        <v>甲方核定的调试合格报告及足额的发票后付10%的验收款</v>
      </c>
      <c r="AE295" s="102">
        <f>VLOOKUP(L295,设备合同!$L$6:$CC$302,20,0)</f>
        <v>198400</v>
      </c>
      <c r="AF295" s="102">
        <f>VLOOKUP(L295,设备合同!$L$6:$CC$302,21,0)</f>
        <v>0</v>
      </c>
      <c r="AG295" s="102">
        <f>VLOOKUP(L295,设备合同!$L$6:$CC$302,22,0)</f>
        <v>0</v>
      </c>
      <c r="AH295" s="102" t="str">
        <f>VLOOKUP(L295,设备合同!$L$6:$CC$302,23,0)</f>
        <v>10%质保金，验收合格12个月或到货现场18个月 承兑</v>
      </c>
      <c r="AI295" s="102">
        <f>VLOOKUP(L295,设备合同!$L$6:$CC$302,24,0)</f>
        <v>198400</v>
      </c>
      <c r="AJ295" s="102">
        <f>VLOOKUP(L295,设备合同!$L$6:$CC$302,25,0)</f>
        <v>0</v>
      </c>
      <c r="AK295" s="102">
        <f>VLOOKUP(L295,设备合同!$L$6:$CC$302,26,0)</f>
        <v>0</v>
      </c>
      <c r="AL295" s="102">
        <f>VLOOKUP(L295,设备合同!$L$6:$CC$302,27,0)</f>
        <v>0</v>
      </c>
      <c r="AM295" s="102">
        <f>VLOOKUP(L295,设备合同!$L$6:$CC$302,28,0)</f>
        <v>0</v>
      </c>
      <c r="AN295" s="102">
        <f>VLOOKUP(L295,设备合同!$L$6:$CC$302,29,0)</f>
        <v>0</v>
      </c>
      <c r="AO295" s="102">
        <f>VLOOKUP(L295,设备合同!$L$6:$CC$302,30,0)</f>
        <v>0</v>
      </c>
      <c r="AP295" s="102">
        <f>VLOOKUP(L295,设备合同!$L$6:$CC$302,31,0)</f>
        <v>0</v>
      </c>
      <c r="AQ295" s="102">
        <f>VLOOKUP(L295,设备合同!$L$6:$CC$302,32,0)</f>
        <v>0</v>
      </c>
      <c r="AR295" s="102">
        <f>VLOOKUP(L295,设备合同!$L$6:$CC$302,33,0)</f>
        <v>0</v>
      </c>
      <c r="AS295" s="102">
        <f>VLOOKUP(L295,设备合同!$L$6:$CC$302,34,0)</f>
        <v>0</v>
      </c>
      <c r="AT295" s="102">
        <f>VLOOKUP(L295,设备合同!$L$6:$CC$302,35,0)</f>
        <v>0</v>
      </c>
      <c r="AU295" s="102">
        <f>VLOOKUP(L295,设备合同!$L$6:$CC$302,36,0)</f>
        <v>0</v>
      </c>
      <c r="AV295" s="102">
        <f>VLOOKUP(L295,设备合同!$L$6:$CC$302,37,0)</f>
        <v>0</v>
      </c>
      <c r="AW295" s="102">
        <f>VLOOKUP(L295,设备合同!$L$6:$CC$302,38,0)</f>
        <v>0</v>
      </c>
      <c r="AX295" s="102">
        <f>VLOOKUP(L295,设备合同!$L$6:$CC$302,39,0)</f>
        <v>0</v>
      </c>
      <c r="AY295" s="102">
        <f>VLOOKUP(L295,设备合同!$L$6:$CC$302,40,0)</f>
        <v>0</v>
      </c>
      <c r="AZ295" s="102">
        <f>VLOOKUP(L295,设备合同!$L$6:$CC$302,41,0)</f>
        <v>0</v>
      </c>
      <c r="BA295" s="102">
        <f>VLOOKUP(L295,设备合同!$L$6:$CC$302,42,0)</f>
        <v>0</v>
      </c>
      <c r="BB295" s="102">
        <f>VLOOKUP(L295,设备合同!$L$6:$CC$302,43,0)</f>
        <v>0</v>
      </c>
      <c r="BC295" s="102">
        <f>VLOOKUP(L295,设备合同!$L$6:$CC$302,44,0)</f>
        <v>0</v>
      </c>
      <c r="BD295" s="102">
        <f>VLOOKUP(L295,设备合同!$L$6:$CC$302,45,0)</f>
        <v>0</v>
      </c>
      <c r="BE295" s="102">
        <f>VLOOKUP(L295,设备合同!$L$6:$CC$302,46,0)</f>
        <v>0</v>
      </c>
      <c r="BF295" s="102">
        <f>VLOOKUP(L295,设备合同!$L$6:$CC$302,47,0)</f>
        <v>0</v>
      </c>
      <c r="BG295" s="102">
        <f>VLOOKUP(L295,设备合同!$L$6:$CC$302,48,0)</f>
        <v>0</v>
      </c>
      <c r="BH295" s="102">
        <f>VLOOKUP(L295,设备合同!$L$6:$CC$302,49,0)</f>
        <v>0</v>
      </c>
      <c r="BI295" s="102">
        <f>VLOOKUP(L295,设备合同!$L$6:$CC$302,50,0)</f>
        <v>0</v>
      </c>
      <c r="BJ295" s="102">
        <f>VLOOKUP(L295,设备合同!$L$6:$CC$302,51,0)</f>
        <v>0</v>
      </c>
      <c r="BK295" s="102">
        <f>VLOOKUP(L295,设备合同!$L$6:$CC$302,52,0)</f>
        <v>0</v>
      </c>
      <c r="BL295" s="102">
        <f>VLOOKUP(L295,设备合同!$L$6:$CC$302,53,0)</f>
        <v>0</v>
      </c>
      <c r="BM295" s="102">
        <f>VLOOKUP(L295,设备合同!$L$6:$CC$302,54,0)</f>
        <v>0</v>
      </c>
      <c r="BN295" s="102">
        <f>VLOOKUP(L295,设备合同!$L$6:$CC$302,55,0)</f>
        <v>0</v>
      </c>
      <c r="BO295" s="102">
        <f>VLOOKUP(L295,设备合同!$L$6:$CC$302,56,0)</f>
        <v>0</v>
      </c>
      <c r="BP295" s="102">
        <f>VLOOKUP(L295,设备合同!$L$6:$CC$302,57,0)</f>
        <v>0</v>
      </c>
      <c r="BQ295" s="102">
        <f>VLOOKUP(L295,设备合同!$L$6:$CC$302,58,0)</f>
        <v>0</v>
      </c>
      <c r="BR295" s="102">
        <f>VLOOKUP(L295,设备合同!$L$6:$CC$302,59,0)</f>
        <v>0</v>
      </c>
      <c r="BS295" s="102">
        <f>VLOOKUP(L295,设备合同!$L$6:$CC$302,60,0)</f>
        <v>0</v>
      </c>
      <c r="BT295" s="102">
        <f>VLOOKUP(L295,设备合同!$L$6:$CC$302,61,0)</f>
        <v>0</v>
      </c>
      <c r="BU295" s="102">
        <f>VLOOKUP(L295,设备合同!$L$6:$CC$302,62,0)</f>
        <v>0</v>
      </c>
      <c r="BV295" s="102">
        <f>VLOOKUP(L295,设备合同!$L$6:$CC$302,63,0)</f>
        <v>0</v>
      </c>
      <c r="BW295" s="102">
        <f>VLOOKUP(L295,设备合同!$L$6:$CC$302,64,0)</f>
        <v>0</v>
      </c>
      <c r="BX295" s="102">
        <f>VLOOKUP(L295,设备合同!$L$6:$CC$302,65,0)</f>
        <v>0</v>
      </c>
      <c r="BY295" s="102">
        <f>VLOOKUP(L295,设备合同!$L$6:$CC$302,66,0)</f>
        <v>0</v>
      </c>
      <c r="BZ295" s="102">
        <f>VLOOKUP(L295,设备合同!$L$6:$CC$302,67,0)</f>
        <v>0</v>
      </c>
      <c r="CA295" s="102">
        <f>VLOOKUP(L295,设备合同!$L$6:$CC$302,68,0)</f>
        <v>0</v>
      </c>
      <c r="CB295" s="102">
        <f>VLOOKUP(L295,设备合同!$L$6:$CC$302,69,0)</f>
        <v>0</v>
      </c>
      <c r="CC295" s="102">
        <f>VLOOKUP(L295,设备合同!$L$6:$CC$302,70,0)</f>
        <v>0</v>
      </c>
      <c r="CD295" s="123">
        <f t="shared" si="66"/>
        <v>1984000</v>
      </c>
      <c r="CE295" s="102">
        <f t="shared" si="67"/>
        <v>0</v>
      </c>
      <c r="CF295" s="102">
        <f t="shared" si="68"/>
        <v>0</v>
      </c>
      <c r="CG295" s="102">
        <f t="shared" si="69"/>
        <v>0</v>
      </c>
      <c r="CH295" s="124">
        <f t="shared" si="70"/>
        <v>1984000</v>
      </c>
      <c r="CI295" s="125">
        <f t="shared" si="71"/>
        <v>0</v>
      </c>
      <c r="CJ295" s="126" t="str">
        <f t="shared" si="72"/>
        <v>数据正确</v>
      </c>
    </row>
    <row r="296" s="60" customFormat="1" customHeight="1" spans="2:88">
      <c r="B296" s="70" t="str">
        <f t="shared" si="62"/>
        <v>-</v>
      </c>
      <c r="C296" s="71" t="str">
        <f t="shared" si="63"/>
        <v>-</v>
      </c>
      <c r="D296" s="181">
        <f t="shared" si="64"/>
        <v>0</v>
      </c>
      <c r="E296" s="181">
        <f>SUMIF(设备合同!$L$6:$L$302,L296,设备合同!$E$6:$E$302)</f>
        <v>0</v>
      </c>
      <c r="F296" s="181">
        <f>SUMIF(设备合同!$L$6:$L$302,L296,设备合同!$F$6:$F$302)</f>
        <v>0</v>
      </c>
      <c r="G296" s="181">
        <f>SUMIF(设备合同!$L$6:$L$302,L296,设备合同!$G$6:$G$302)</f>
        <v>0</v>
      </c>
      <c r="H296" s="181">
        <f>SUMIF(设备合同!$L$6:$L$302,L296,设备合同!$H$6:$H$302)</f>
        <v>0</v>
      </c>
      <c r="I296" s="181">
        <f t="shared" si="65"/>
        <v>0</v>
      </c>
      <c r="J296" s="86" t="s">
        <v>98</v>
      </c>
      <c r="K296" s="87"/>
      <c r="L296" s="88">
        <v>291</v>
      </c>
      <c r="M296" s="89" t="str">
        <f>VLOOKUP(L296,设备合同!$L$6:$CC$302,2,0)</f>
        <v>YRKJEQ-1700123</v>
      </c>
      <c r="N296" s="90" t="str">
        <f>VLOOKUP(L296,设备合同!$L$6:$CC$302,3,0)</f>
        <v>设备合同</v>
      </c>
      <c r="O296" s="265">
        <f>VLOOKUP(L296,设备合同!$L$6:$CC$302,4,0)</f>
        <v>0</v>
      </c>
      <c r="P296" s="266">
        <f>VLOOKUP(L296,设备合同!$L$6:$CC$302,5,0)</f>
        <v>43022</v>
      </c>
      <c r="Q296" s="275">
        <f>VLOOKUP(L296,设备合同!$L$6:$CC$302,6,0)</f>
        <v>2750000</v>
      </c>
      <c r="R296" s="89" t="str">
        <f>VLOOKUP(L296,设备合同!$L$6:$CC$302,7,0)</f>
        <v>中央空调、恒温恒湿空调</v>
      </c>
      <c r="S296" s="89" t="str">
        <f>VLOOKUP(L296,设备合同!$L$6:$CC$302,8,0)</f>
        <v>山东格瑞德集团有限公司</v>
      </c>
      <c r="T296" s="107">
        <f>VLOOKUP(L296,设备合同!$L$6:$CC$302,9,0)</f>
        <v>0</v>
      </c>
      <c r="U296" s="103" t="str">
        <f>VLOOKUP(L296,设备合同!$L$6:$CC$302,10,0)</f>
        <v>6个月承兑汇票/电汇270万元</v>
      </c>
      <c r="V296" s="276" t="str">
        <f>VLOOKUP(L296,设备合同!$L$6:$CC$302,11,0)</f>
        <v>甲方收到乙方20%的预付款保函以等额收据后15个工作日支付20%预付款 10%履约保函</v>
      </c>
      <c r="W296" s="102">
        <f>VLOOKUP(L296,设备合同!$L$6:$CC$302,12,0)</f>
        <v>550000</v>
      </c>
      <c r="X296" s="102">
        <f>VLOOKUP(L296,设备合同!$L$6:$CC$302,13,0)</f>
        <v>0</v>
      </c>
      <c r="Y296" s="102">
        <f>VLOOKUP(L296,设备合同!$L$6:$CC$302,14,0)</f>
        <v>0</v>
      </c>
      <c r="Z296" s="102" t="str">
        <f>VLOOKUP(L296,设备合同!$L$6:$CC$302,15,0)</f>
        <v>甲方到乙方现场确认无误后，收到11%的2164841元专票，15个工作日内支付315936元</v>
      </c>
      <c r="AA296" s="102">
        <f>VLOOKUP(L296,设备合同!$L$6:$CC$302,16,0)</f>
        <v>315936</v>
      </c>
      <c r="AB296" s="102">
        <f>VLOOKUP(L296,设备合同!$L$6:$CC$302,17,0)</f>
        <v>0</v>
      </c>
      <c r="AC296" s="102">
        <f>VLOOKUP(L296,设备合同!$L$6:$CC$302,18,0)</f>
        <v>0</v>
      </c>
      <c r="AD296" s="102" t="str">
        <f>VLOOKUP(L296,设备合同!$L$6:$CC$302,19,0)</f>
        <v>甲方核定的调试合格报告及585159元的11%的发票后付1609064元</v>
      </c>
      <c r="AE296" s="102">
        <f>VLOOKUP(L296,设备合同!$L$6:$CC$302,20,0)</f>
        <v>1609064</v>
      </c>
      <c r="AF296" s="102">
        <f>VLOOKUP(L296,设备合同!$L$6:$CC$302,21,0)</f>
        <v>0</v>
      </c>
      <c r="AG296" s="102">
        <f>VLOOKUP(L296,设备合同!$L$6:$CC$302,22,0)</f>
        <v>0</v>
      </c>
      <c r="AH296" s="102" t="str">
        <f>VLOOKUP(L296,设备合同!$L$6:$CC$302,23,0)</f>
        <v>10%质保金，验收合格12个月或到货现场18个月 承兑</v>
      </c>
      <c r="AI296" s="102">
        <f>VLOOKUP(L296,设备合同!$L$6:$CC$302,24,0)</f>
        <v>58516</v>
      </c>
      <c r="AJ296" s="102">
        <f>VLOOKUP(L296,设备合同!$L$6:$CC$302,25,0)</f>
        <v>0</v>
      </c>
      <c r="AK296" s="102">
        <f>VLOOKUP(L296,设备合同!$L$6:$CC$302,26,0)</f>
        <v>0</v>
      </c>
      <c r="AL296" s="102" t="str">
        <f>VLOOKUP(L296,设备合同!$L$6:$CC$302,27,0)</f>
        <v>质保两年和空调室外机质保三年后15个工作日支付</v>
      </c>
      <c r="AM296" s="102">
        <f>VLOOKUP(L296,设备合同!$L$6:$CC$302,28,0)</f>
        <v>216484</v>
      </c>
      <c r="AN296" s="102">
        <f>VLOOKUP(L296,设备合同!$L$6:$CC$302,29,0)</f>
        <v>0</v>
      </c>
      <c r="AO296" s="102">
        <f>VLOOKUP(L296,设备合同!$L$6:$CC$302,30,0)</f>
        <v>0</v>
      </c>
      <c r="AP296" s="102">
        <f>VLOOKUP(L296,设备合同!$L$6:$CC$302,31,0)</f>
        <v>0</v>
      </c>
      <c r="AQ296" s="102">
        <f>VLOOKUP(L296,设备合同!$L$6:$CC$302,32,0)</f>
        <v>0</v>
      </c>
      <c r="AR296" s="102">
        <f>VLOOKUP(L296,设备合同!$L$6:$CC$302,33,0)</f>
        <v>0</v>
      </c>
      <c r="AS296" s="102">
        <f>VLOOKUP(L296,设备合同!$L$6:$CC$302,34,0)</f>
        <v>0</v>
      </c>
      <c r="AT296" s="102">
        <f>VLOOKUP(L296,设备合同!$L$6:$CC$302,35,0)</f>
        <v>0</v>
      </c>
      <c r="AU296" s="102">
        <f>VLOOKUP(L296,设备合同!$L$6:$CC$302,36,0)</f>
        <v>0</v>
      </c>
      <c r="AV296" s="102">
        <f>VLOOKUP(L296,设备合同!$L$6:$CC$302,37,0)</f>
        <v>0</v>
      </c>
      <c r="AW296" s="102">
        <f>VLOOKUP(L296,设备合同!$L$6:$CC$302,38,0)</f>
        <v>0</v>
      </c>
      <c r="AX296" s="102">
        <f>VLOOKUP(L296,设备合同!$L$6:$CC$302,39,0)</f>
        <v>0</v>
      </c>
      <c r="AY296" s="102">
        <f>VLOOKUP(L296,设备合同!$L$6:$CC$302,40,0)</f>
        <v>0</v>
      </c>
      <c r="AZ296" s="102">
        <f>VLOOKUP(L296,设备合同!$L$6:$CC$302,41,0)</f>
        <v>0</v>
      </c>
      <c r="BA296" s="102">
        <f>VLOOKUP(L296,设备合同!$L$6:$CC$302,42,0)</f>
        <v>0</v>
      </c>
      <c r="BB296" s="102">
        <f>VLOOKUP(L296,设备合同!$L$6:$CC$302,43,0)</f>
        <v>0</v>
      </c>
      <c r="BC296" s="102">
        <f>VLOOKUP(L296,设备合同!$L$6:$CC$302,44,0)</f>
        <v>0</v>
      </c>
      <c r="BD296" s="102">
        <f>VLOOKUP(L296,设备合同!$L$6:$CC$302,45,0)</f>
        <v>0</v>
      </c>
      <c r="BE296" s="102">
        <f>VLOOKUP(L296,设备合同!$L$6:$CC$302,46,0)</f>
        <v>0</v>
      </c>
      <c r="BF296" s="102">
        <f>VLOOKUP(L296,设备合同!$L$6:$CC$302,47,0)</f>
        <v>0</v>
      </c>
      <c r="BG296" s="102">
        <f>VLOOKUP(L296,设备合同!$L$6:$CC$302,48,0)</f>
        <v>0</v>
      </c>
      <c r="BH296" s="102">
        <f>VLOOKUP(L296,设备合同!$L$6:$CC$302,49,0)</f>
        <v>0</v>
      </c>
      <c r="BI296" s="102">
        <f>VLOOKUP(L296,设备合同!$L$6:$CC$302,50,0)</f>
        <v>0</v>
      </c>
      <c r="BJ296" s="102">
        <f>VLOOKUP(L296,设备合同!$L$6:$CC$302,51,0)</f>
        <v>0</v>
      </c>
      <c r="BK296" s="102">
        <f>VLOOKUP(L296,设备合同!$L$6:$CC$302,52,0)</f>
        <v>0</v>
      </c>
      <c r="BL296" s="102">
        <f>VLOOKUP(L296,设备合同!$L$6:$CC$302,53,0)</f>
        <v>0</v>
      </c>
      <c r="BM296" s="102">
        <f>VLOOKUP(L296,设备合同!$L$6:$CC$302,54,0)</f>
        <v>0</v>
      </c>
      <c r="BN296" s="102">
        <f>VLOOKUP(L296,设备合同!$L$6:$CC$302,55,0)</f>
        <v>0</v>
      </c>
      <c r="BO296" s="102">
        <f>VLOOKUP(L296,设备合同!$L$6:$CC$302,56,0)</f>
        <v>0</v>
      </c>
      <c r="BP296" s="102">
        <f>VLOOKUP(L296,设备合同!$L$6:$CC$302,57,0)</f>
        <v>0</v>
      </c>
      <c r="BQ296" s="102">
        <f>VLOOKUP(L296,设备合同!$L$6:$CC$302,58,0)</f>
        <v>0</v>
      </c>
      <c r="BR296" s="102">
        <f>VLOOKUP(L296,设备合同!$L$6:$CC$302,59,0)</f>
        <v>0</v>
      </c>
      <c r="BS296" s="102">
        <f>VLOOKUP(L296,设备合同!$L$6:$CC$302,60,0)</f>
        <v>0</v>
      </c>
      <c r="BT296" s="102">
        <f>VLOOKUP(L296,设备合同!$L$6:$CC$302,61,0)</f>
        <v>0</v>
      </c>
      <c r="BU296" s="102">
        <f>VLOOKUP(L296,设备合同!$L$6:$CC$302,62,0)</f>
        <v>0</v>
      </c>
      <c r="BV296" s="102">
        <f>VLOOKUP(L296,设备合同!$L$6:$CC$302,63,0)</f>
        <v>0</v>
      </c>
      <c r="BW296" s="102">
        <f>VLOOKUP(L296,设备合同!$L$6:$CC$302,64,0)</f>
        <v>0</v>
      </c>
      <c r="BX296" s="102">
        <f>VLOOKUP(L296,设备合同!$L$6:$CC$302,65,0)</f>
        <v>0</v>
      </c>
      <c r="BY296" s="102">
        <f>VLOOKUP(L296,设备合同!$L$6:$CC$302,66,0)</f>
        <v>0</v>
      </c>
      <c r="BZ296" s="102">
        <f>VLOOKUP(L296,设备合同!$L$6:$CC$302,67,0)</f>
        <v>0</v>
      </c>
      <c r="CA296" s="102">
        <f>VLOOKUP(L296,设备合同!$L$6:$CC$302,68,0)</f>
        <v>0</v>
      </c>
      <c r="CB296" s="102">
        <f>VLOOKUP(L296,设备合同!$L$6:$CC$302,69,0)</f>
        <v>0</v>
      </c>
      <c r="CC296" s="102">
        <f>VLOOKUP(L296,设备合同!$L$6:$CC$302,70,0)</f>
        <v>0</v>
      </c>
      <c r="CD296" s="123">
        <f t="shared" si="66"/>
        <v>2750000</v>
      </c>
      <c r="CE296" s="102">
        <f t="shared" si="67"/>
        <v>0</v>
      </c>
      <c r="CF296" s="102">
        <f t="shared" si="68"/>
        <v>0</v>
      </c>
      <c r="CG296" s="102">
        <f t="shared" si="69"/>
        <v>0</v>
      </c>
      <c r="CH296" s="124">
        <f t="shared" si="70"/>
        <v>2750000</v>
      </c>
      <c r="CI296" s="125">
        <f t="shared" si="71"/>
        <v>0</v>
      </c>
      <c r="CJ296" s="126" t="str">
        <f t="shared" si="72"/>
        <v>数据正确</v>
      </c>
    </row>
    <row r="297" s="60" customFormat="1" customHeight="1" spans="2:88">
      <c r="B297" s="70" t="str">
        <f t="shared" si="62"/>
        <v>-</v>
      </c>
      <c r="C297" s="71" t="str">
        <f t="shared" si="63"/>
        <v>-</v>
      </c>
      <c r="D297" s="181">
        <f t="shared" si="64"/>
        <v>0</v>
      </c>
      <c r="E297" s="181">
        <f>SUMIF(材料合同!$L$6:$L$305,L297,材料合同!$E$6:$E$305)</f>
        <v>0</v>
      </c>
      <c r="F297" s="181">
        <f>SUMIF(材料合同!$L$6:$L$305,L297,材料合同!$F$6:$F$305)</f>
        <v>0</v>
      </c>
      <c r="G297" s="181">
        <f>SUMIF(材料合同!$L$6:$L$305,L297,材料合同!$G$6:$G$305)</f>
        <v>0</v>
      </c>
      <c r="H297" s="181">
        <f>SUMIF(材料合同!$L$6:$L$305,L297,材料合同!$H$6:$H$305)</f>
        <v>0</v>
      </c>
      <c r="I297" s="181">
        <f t="shared" si="65"/>
        <v>0</v>
      </c>
      <c r="J297" s="86" t="s">
        <v>98</v>
      </c>
      <c r="K297" s="87"/>
      <c r="L297" s="88">
        <v>292</v>
      </c>
      <c r="M297" s="89" t="str">
        <f>VLOOKUP(L297,材料合同!$L$6:$CC$305,2,0)</f>
        <v>YRKJGC-170062</v>
      </c>
      <c r="N297" s="90" t="str">
        <f>VLOOKUP(L297,材料合同!$L$6:$CC$305,3,0)</f>
        <v>材料合同</v>
      </c>
      <c r="O297" s="265">
        <f>VLOOKUP(L297,材料合同!$L$6:$CC$305,4,0)</f>
        <v>2017090006</v>
      </c>
      <c r="P297" s="266">
        <f>VLOOKUP(L297,材料合同!$L$6:$CC$305,5,0)</f>
        <v>43005</v>
      </c>
      <c r="Q297" s="275">
        <f>VLOOKUP(L297,材料合同!$L$6:$CC$305,6,0)</f>
        <v>523000</v>
      </c>
      <c r="R297" s="89" t="str">
        <f>VLOOKUP(L297,材料合同!$L$6:$CC$305,7,0)</f>
        <v>角钢、钢板一批</v>
      </c>
      <c r="S297" s="89" t="str">
        <f>VLOOKUP(L297,材料合同!$L$6:$CC$305,8,0)</f>
        <v>厦门青科金属材料有限公司</v>
      </c>
      <c r="T297" s="107">
        <f>VLOOKUP(L297,材料合同!$L$6:$CC$305,9,0)</f>
        <v>0</v>
      </c>
      <c r="U297" s="103" t="str">
        <f>VLOOKUP(L297,材料合同!$L$6:$CC$305,10,0)</f>
        <v>无说明</v>
      </c>
      <c r="V297" s="276" t="str">
        <f>VLOOKUP(L297,材料合同!$L$6:$CC$305,11,0)</f>
        <v>货到验收合格后，收到100%发票后付清，接受反向贴息</v>
      </c>
      <c r="W297" s="102">
        <f>VLOOKUP(L297,材料合同!$L$6:$CC$305,12,0)</f>
        <v>520350</v>
      </c>
      <c r="X297" s="102">
        <f>VLOOKUP(L297,材料合同!$L$6:$CC$305,13,0)</f>
        <v>0</v>
      </c>
      <c r="Y297" s="102">
        <f>VLOOKUP(L297,材料合同!$L$6:$CC$305,14,0)</f>
        <v>0</v>
      </c>
      <c r="Z297" s="102">
        <f>VLOOKUP(L297,材料合同!$L$6:$CC$305,15,0)</f>
        <v>0</v>
      </c>
      <c r="AA297" s="102">
        <f>VLOOKUP(L297,材料合同!$L$6:$CC$305,16,0)</f>
        <v>2650</v>
      </c>
      <c r="AB297" s="102">
        <f>VLOOKUP(L297,材料合同!$L$6:$CC$305,17,0)</f>
        <v>0</v>
      </c>
      <c r="AC297" s="102">
        <f>VLOOKUP(L297,材料合同!$L$6:$CC$305,18,0)</f>
        <v>0</v>
      </c>
      <c r="AD297" s="102">
        <f>VLOOKUP(L297,材料合同!$L$6:$CC$305,19,0)</f>
        <v>0</v>
      </c>
      <c r="AE297" s="102">
        <f>VLOOKUP(L297,材料合同!$L$6:$CC$305,20,0)</f>
        <v>0</v>
      </c>
      <c r="AF297" s="102">
        <f>VLOOKUP(L297,材料合同!$L$6:$CC$305,21,0)</f>
        <v>0</v>
      </c>
      <c r="AG297" s="102">
        <f>VLOOKUP(L297,材料合同!$L$6:$CC$305,22,0)</f>
        <v>0</v>
      </c>
      <c r="AH297" s="102">
        <f>VLOOKUP(L297,材料合同!$L$6:$CC$305,23,0)</f>
        <v>0</v>
      </c>
      <c r="AI297" s="102">
        <f>VLOOKUP(L297,材料合同!$L$6:$CC$305,24,0)</f>
        <v>0</v>
      </c>
      <c r="AJ297" s="102">
        <f>VLOOKUP(L297,材料合同!$L$6:$CC$305,25,0)</f>
        <v>0</v>
      </c>
      <c r="AK297" s="102">
        <f>VLOOKUP(L297,材料合同!$L$6:$CC$305,26,0)</f>
        <v>0</v>
      </c>
      <c r="AL297" s="102">
        <f>VLOOKUP(L297,材料合同!$L$6:$CC$305,27,0)</f>
        <v>0</v>
      </c>
      <c r="AM297" s="102">
        <f>VLOOKUP(L297,材料合同!$L$6:$CC$305,28,0)</f>
        <v>0</v>
      </c>
      <c r="AN297" s="102">
        <f>VLOOKUP(L297,材料合同!$L$6:$CC$305,29,0)</f>
        <v>0</v>
      </c>
      <c r="AO297" s="102">
        <f>VLOOKUP(L297,材料合同!$L$6:$CC$305,30,0)</f>
        <v>0</v>
      </c>
      <c r="AP297" s="102">
        <f>VLOOKUP(L297,材料合同!$L$6:$CC$305,31,0)</f>
        <v>0</v>
      </c>
      <c r="AQ297" s="102">
        <f>VLOOKUP(L297,材料合同!$L$6:$CC$305,32,0)</f>
        <v>0</v>
      </c>
      <c r="AR297" s="102">
        <f>VLOOKUP(L297,材料合同!$L$6:$CC$305,33,0)</f>
        <v>0</v>
      </c>
      <c r="AS297" s="102">
        <f>VLOOKUP(L297,材料合同!$L$6:$CC$305,34,0)</f>
        <v>0</v>
      </c>
      <c r="AT297" s="102">
        <f>VLOOKUP(L297,材料合同!$L$6:$CC$305,35,0)</f>
        <v>0</v>
      </c>
      <c r="AU297" s="102">
        <f>VLOOKUP(L297,材料合同!$L$6:$CC$305,36,0)</f>
        <v>0</v>
      </c>
      <c r="AV297" s="102">
        <f>VLOOKUP(L297,材料合同!$L$6:$CC$305,37,0)</f>
        <v>0</v>
      </c>
      <c r="AW297" s="102">
        <f>VLOOKUP(L297,材料合同!$L$6:$CC$305,38,0)</f>
        <v>0</v>
      </c>
      <c r="AX297" s="102">
        <f>VLOOKUP(L297,材料合同!$L$6:$CC$305,39,0)</f>
        <v>0</v>
      </c>
      <c r="AY297" s="102">
        <f>VLOOKUP(L297,材料合同!$L$6:$CC$305,40,0)</f>
        <v>0</v>
      </c>
      <c r="AZ297" s="102">
        <f>VLOOKUP(L297,材料合同!$L$6:$CC$305,41,0)</f>
        <v>0</v>
      </c>
      <c r="BA297" s="102">
        <f>VLOOKUP(L297,材料合同!$L$6:$CC$305,42,0)</f>
        <v>0</v>
      </c>
      <c r="BB297" s="102">
        <f>VLOOKUP(L297,材料合同!$L$6:$CC$305,43,0)</f>
        <v>0</v>
      </c>
      <c r="BC297" s="102">
        <f>VLOOKUP(L297,材料合同!$L$6:$CC$305,44,0)</f>
        <v>0</v>
      </c>
      <c r="BD297" s="102">
        <f>VLOOKUP(L297,材料合同!$L$6:$CC$305,45,0)</f>
        <v>0</v>
      </c>
      <c r="BE297" s="102">
        <f>VLOOKUP(L297,材料合同!$L$6:$CC$305,46,0)</f>
        <v>0</v>
      </c>
      <c r="BF297" s="102">
        <f>VLOOKUP(L297,材料合同!$L$6:$CC$305,47,0)</f>
        <v>0</v>
      </c>
      <c r="BG297" s="102">
        <f>VLOOKUP(L297,材料合同!$L$6:$CC$305,48,0)</f>
        <v>0</v>
      </c>
      <c r="BH297" s="102">
        <f>VLOOKUP(L297,材料合同!$L$6:$CC$305,49,0)</f>
        <v>0</v>
      </c>
      <c r="BI297" s="102">
        <f>VLOOKUP(L297,材料合同!$L$6:$CC$305,50,0)</f>
        <v>0</v>
      </c>
      <c r="BJ297" s="102">
        <f>VLOOKUP(L297,材料合同!$L$6:$CC$305,51,0)</f>
        <v>0</v>
      </c>
      <c r="BK297" s="102">
        <f>VLOOKUP(L297,材料合同!$L$6:$CC$305,52,0)</f>
        <v>0</v>
      </c>
      <c r="BL297" s="102">
        <f>VLOOKUP(L297,材料合同!$L$6:$CC$305,53,0)</f>
        <v>0</v>
      </c>
      <c r="BM297" s="102">
        <f>VLOOKUP(L297,材料合同!$L$6:$CC$305,54,0)</f>
        <v>0</v>
      </c>
      <c r="BN297" s="102">
        <f>VLOOKUP(L297,材料合同!$L$6:$CC$305,55,0)</f>
        <v>0</v>
      </c>
      <c r="BO297" s="102">
        <f>VLOOKUP(L297,材料合同!$L$6:$CC$305,56,0)</f>
        <v>0</v>
      </c>
      <c r="BP297" s="102">
        <f>VLOOKUP(L297,材料合同!$L$6:$CC$305,57,0)</f>
        <v>0</v>
      </c>
      <c r="BQ297" s="102">
        <f>VLOOKUP(L297,材料合同!$L$6:$CC$305,58,0)</f>
        <v>0</v>
      </c>
      <c r="BR297" s="102">
        <f>VLOOKUP(L297,材料合同!$L$6:$CC$305,59,0)</f>
        <v>0</v>
      </c>
      <c r="BS297" s="102">
        <f>VLOOKUP(L297,材料合同!$L$6:$CC$305,60,0)</f>
        <v>0</v>
      </c>
      <c r="BT297" s="102">
        <f>VLOOKUP(L297,材料合同!$L$6:$CC$305,61,0)</f>
        <v>0</v>
      </c>
      <c r="BU297" s="102">
        <f>VLOOKUP(L297,材料合同!$L$6:$CC$305,62,0)</f>
        <v>0</v>
      </c>
      <c r="BV297" s="102">
        <f>VLOOKUP(L297,材料合同!$L$6:$CC$305,63,0)</f>
        <v>0</v>
      </c>
      <c r="BW297" s="102">
        <f>VLOOKUP(L297,材料合同!$L$6:$CC$305,64,0)</f>
        <v>0</v>
      </c>
      <c r="BX297" s="102">
        <f>VLOOKUP(L297,材料合同!$L$6:$CC$305,65,0)</f>
        <v>0</v>
      </c>
      <c r="BY297" s="102">
        <f>VLOOKUP(L297,材料合同!$L$6:$CC$305,66,0)</f>
        <v>0</v>
      </c>
      <c r="BZ297" s="102">
        <f>VLOOKUP(L297,材料合同!$L$6:$CC$305,67,0)</f>
        <v>0</v>
      </c>
      <c r="CA297" s="102">
        <f>VLOOKUP(L297,材料合同!$L$6:$CC$305,68,0)</f>
        <v>0</v>
      </c>
      <c r="CB297" s="102">
        <f>VLOOKUP(L297,材料合同!$L$6:$CC$305,69,0)</f>
        <v>0</v>
      </c>
      <c r="CC297" s="102">
        <f>VLOOKUP(L297,材料合同!$L$6:$CC$305,70,0)</f>
        <v>0</v>
      </c>
      <c r="CD297" s="123">
        <f t="shared" si="66"/>
        <v>523000</v>
      </c>
      <c r="CE297" s="102">
        <f t="shared" si="67"/>
        <v>0</v>
      </c>
      <c r="CF297" s="102">
        <f t="shared" si="68"/>
        <v>0</v>
      </c>
      <c r="CG297" s="102">
        <f t="shared" si="69"/>
        <v>0</v>
      </c>
      <c r="CH297" s="124">
        <f t="shared" si="70"/>
        <v>523000</v>
      </c>
      <c r="CI297" s="125">
        <f t="shared" si="71"/>
        <v>0</v>
      </c>
      <c r="CJ297" s="126" t="str">
        <f t="shared" si="72"/>
        <v>数据正确</v>
      </c>
    </row>
    <row r="298" s="60" customFormat="1" customHeight="1" spans="2:88">
      <c r="B298" s="70" t="str">
        <f t="shared" si="62"/>
        <v>-</v>
      </c>
      <c r="C298" s="71" t="str">
        <f t="shared" si="63"/>
        <v>-</v>
      </c>
      <c r="D298" s="181">
        <f t="shared" si="64"/>
        <v>834600</v>
      </c>
      <c r="E298" s="181">
        <f>SUMIF(材料合同!$L$6:$L$305,L298,材料合同!$E$6:$E$305)</f>
        <v>0</v>
      </c>
      <c r="F298" s="181">
        <f>SUMIF(材料合同!$L$6:$L$305,L298,材料合同!$F$6:$F$305)</f>
        <v>0</v>
      </c>
      <c r="G298" s="181">
        <f>SUMIF(材料合同!$L$6:$L$305,L298,材料合同!$G$6:$G$305)</f>
        <v>0</v>
      </c>
      <c r="H298" s="181">
        <f>SUMIF(材料合同!$L$6:$L$305,L298,材料合同!$H$6:$H$305)</f>
        <v>0</v>
      </c>
      <c r="I298" s="181">
        <f t="shared" si="65"/>
        <v>0</v>
      </c>
      <c r="J298" s="86" t="s">
        <v>98</v>
      </c>
      <c r="K298" s="87"/>
      <c r="L298" s="88">
        <v>293</v>
      </c>
      <c r="M298" s="89" t="str">
        <f>VLOOKUP(L298,材料合同!$L$6:$CC$305,2,0)</f>
        <v>YRKJBT-170119</v>
      </c>
      <c r="N298" s="90" t="str">
        <f>VLOOKUP(L298,材料合同!$L$6:$CC$305,3,0)</f>
        <v>材料合同</v>
      </c>
      <c r="O298" s="265">
        <f>VLOOKUP(L298,材料合同!$L$6:$CC$305,4,0)</f>
        <v>2017080067</v>
      </c>
      <c r="P298" s="266">
        <f>VLOOKUP(L298,材料合同!$L$6:$CC$305,5,0)</f>
        <v>42992</v>
      </c>
      <c r="Q298" s="275">
        <f>VLOOKUP(L298,材料合同!$L$6:$CC$305,6,0)</f>
        <v>4173000</v>
      </c>
      <c r="R298" s="89" t="str">
        <f>VLOOKUP(L298,材料合同!$L$6:$CC$305,7,0)</f>
        <v>I类调节阀</v>
      </c>
      <c r="S298" s="89" t="str">
        <f>VLOOKUP(L298,材料合同!$L$6:$CC$305,8,0)</f>
        <v>无锡智能自控工程股份有限公司</v>
      </c>
      <c r="T298" s="107">
        <f>VLOOKUP(L298,材料合同!$L$6:$CC$305,9,0)</f>
        <v>0</v>
      </c>
      <c r="U298" s="103" t="str">
        <f>VLOOKUP(L298,材料合同!$L$6:$CC$305,10,0)</f>
        <v>电汇</v>
      </c>
      <c r="V298" s="276" t="str">
        <f>VLOOKUP(L298,材料合同!$L$6:$CC$305,11,0)</f>
        <v>甲方收到10%履约保函和等额发票，15个工作日支付20%预付款</v>
      </c>
      <c r="W298" s="102">
        <f>VLOOKUP(L298,材料合同!$L$6:$CC$305,12,0)</f>
        <v>834600</v>
      </c>
      <c r="X298" s="102">
        <f>VLOOKUP(L298,材料合同!$L$6:$CC$305,13,0)</f>
        <v>834600</v>
      </c>
      <c r="Y298" s="102">
        <f>VLOOKUP(L298,材料合同!$L$6:$CC$305,14,0)</f>
        <v>834600</v>
      </c>
      <c r="Z298" s="102" t="str">
        <f>VLOOKUP(L298,材料合同!$L$6:$CC$305,15,0)</f>
        <v>甲方去乙方工厂验收，完成后，5个工作日支付40%发货款，开具等额发票</v>
      </c>
      <c r="AA298" s="102">
        <f>VLOOKUP(L298,材料合同!$L$6:$CC$305,16,0)</f>
        <v>1669200</v>
      </c>
      <c r="AB298" s="102">
        <f>VLOOKUP(L298,材料合同!$L$6:$CC$305,17,0)</f>
        <v>0</v>
      </c>
      <c r="AC298" s="102">
        <f>VLOOKUP(L298,材料合同!$L$6:$CC$305,18,0)</f>
        <v>0</v>
      </c>
      <c r="AD298" s="102" t="str">
        <f>VLOOKUP(L298,材料合同!$L$6:$CC$305,19,0)</f>
        <v>甲方收到经甲方核定调试合格报告及全额的发票后15个工作日支付30%调试款</v>
      </c>
      <c r="AE298" s="102">
        <f>VLOOKUP(L298,材料合同!$L$6:$CC$305,20,0)</f>
        <v>1251900</v>
      </c>
      <c r="AF298" s="102">
        <f>VLOOKUP(L298,材料合同!$L$6:$CC$305,21,0)</f>
        <v>0</v>
      </c>
      <c r="AG298" s="102">
        <f>VLOOKUP(L298,材料合同!$L$6:$CC$305,22,0)</f>
        <v>0</v>
      </c>
      <c r="AH298" s="102" t="str">
        <f>VLOOKUP(L298,材料合同!$L$6:$CC$305,23,0)</f>
        <v>10%质保金，自验收合格，满12月或货到现场19个月支付</v>
      </c>
      <c r="AI298" s="102">
        <f>VLOOKUP(L298,材料合同!$L$6:$CC$305,24,0)</f>
        <v>417300</v>
      </c>
      <c r="AJ298" s="102">
        <f>VLOOKUP(L298,材料合同!$L$6:$CC$305,25,0)</f>
        <v>0</v>
      </c>
      <c r="AK298" s="102">
        <f>VLOOKUP(L298,材料合同!$L$6:$CC$305,26,0)</f>
        <v>0</v>
      </c>
      <c r="AL298" s="102">
        <f>VLOOKUP(L298,材料合同!$L$6:$CC$305,27,0)</f>
        <v>0</v>
      </c>
      <c r="AM298" s="102">
        <f>VLOOKUP(L298,材料合同!$L$6:$CC$305,28,0)</f>
        <v>0</v>
      </c>
      <c r="AN298" s="102">
        <f>VLOOKUP(L298,材料合同!$L$6:$CC$305,29,0)</f>
        <v>0</v>
      </c>
      <c r="AO298" s="102">
        <f>VLOOKUP(L298,材料合同!$L$6:$CC$305,30,0)</f>
        <v>0</v>
      </c>
      <c r="AP298" s="102">
        <f>VLOOKUP(L298,材料合同!$L$6:$CC$305,31,0)</f>
        <v>0</v>
      </c>
      <c r="AQ298" s="102">
        <f>VLOOKUP(L298,材料合同!$L$6:$CC$305,32,0)</f>
        <v>0</v>
      </c>
      <c r="AR298" s="102">
        <f>VLOOKUP(L298,材料合同!$L$6:$CC$305,33,0)</f>
        <v>0</v>
      </c>
      <c r="AS298" s="102">
        <f>VLOOKUP(L298,材料合同!$L$6:$CC$305,34,0)</f>
        <v>0</v>
      </c>
      <c r="AT298" s="102">
        <f>VLOOKUP(L298,材料合同!$L$6:$CC$305,35,0)</f>
        <v>0</v>
      </c>
      <c r="AU298" s="102">
        <f>VLOOKUP(L298,材料合同!$L$6:$CC$305,36,0)</f>
        <v>0</v>
      </c>
      <c r="AV298" s="102">
        <f>VLOOKUP(L298,材料合同!$L$6:$CC$305,37,0)</f>
        <v>0</v>
      </c>
      <c r="AW298" s="102">
        <f>VLOOKUP(L298,材料合同!$L$6:$CC$305,38,0)</f>
        <v>0</v>
      </c>
      <c r="AX298" s="102">
        <f>VLOOKUP(L298,材料合同!$L$6:$CC$305,39,0)</f>
        <v>0</v>
      </c>
      <c r="AY298" s="102">
        <f>VLOOKUP(L298,材料合同!$L$6:$CC$305,40,0)</f>
        <v>0</v>
      </c>
      <c r="AZ298" s="102">
        <f>VLOOKUP(L298,材料合同!$L$6:$CC$305,41,0)</f>
        <v>0</v>
      </c>
      <c r="BA298" s="102">
        <f>VLOOKUP(L298,材料合同!$L$6:$CC$305,42,0)</f>
        <v>0</v>
      </c>
      <c r="BB298" s="102">
        <f>VLOOKUP(L298,材料合同!$L$6:$CC$305,43,0)</f>
        <v>0</v>
      </c>
      <c r="BC298" s="102">
        <f>VLOOKUP(L298,材料合同!$L$6:$CC$305,44,0)</f>
        <v>0</v>
      </c>
      <c r="BD298" s="102">
        <f>VLOOKUP(L298,材料合同!$L$6:$CC$305,45,0)</f>
        <v>0</v>
      </c>
      <c r="BE298" s="102">
        <f>VLOOKUP(L298,材料合同!$L$6:$CC$305,46,0)</f>
        <v>0</v>
      </c>
      <c r="BF298" s="102">
        <f>VLOOKUP(L298,材料合同!$L$6:$CC$305,47,0)</f>
        <v>0</v>
      </c>
      <c r="BG298" s="102">
        <f>VLOOKUP(L298,材料合同!$L$6:$CC$305,48,0)</f>
        <v>0</v>
      </c>
      <c r="BH298" s="102">
        <f>VLOOKUP(L298,材料合同!$L$6:$CC$305,49,0)</f>
        <v>0</v>
      </c>
      <c r="BI298" s="102">
        <f>VLOOKUP(L298,材料合同!$L$6:$CC$305,50,0)</f>
        <v>0</v>
      </c>
      <c r="BJ298" s="102">
        <f>VLOOKUP(L298,材料合同!$L$6:$CC$305,51,0)</f>
        <v>0</v>
      </c>
      <c r="BK298" s="102">
        <f>VLOOKUP(L298,材料合同!$L$6:$CC$305,52,0)</f>
        <v>0</v>
      </c>
      <c r="BL298" s="102">
        <f>VLOOKUP(L298,材料合同!$L$6:$CC$305,53,0)</f>
        <v>0</v>
      </c>
      <c r="BM298" s="102">
        <f>VLOOKUP(L298,材料合同!$L$6:$CC$305,54,0)</f>
        <v>0</v>
      </c>
      <c r="BN298" s="102">
        <f>VLOOKUP(L298,材料合同!$L$6:$CC$305,55,0)</f>
        <v>0</v>
      </c>
      <c r="BO298" s="102">
        <f>VLOOKUP(L298,材料合同!$L$6:$CC$305,56,0)</f>
        <v>0</v>
      </c>
      <c r="BP298" s="102">
        <f>VLOOKUP(L298,材料合同!$L$6:$CC$305,57,0)</f>
        <v>0</v>
      </c>
      <c r="BQ298" s="102">
        <f>VLOOKUP(L298,材料合同!$L$6:$CC$305,58,0)</f>
        <v>0</v>
      </c>
      <c r="BR298" s="102">
        <f>VLOOKUP(L298,材料合同!$L$6:$CC$305,59,0)</f>
        <v>0</v>
      </c>
      <c r="BS298" s="102">
        <f>VLOOKUP(L298,材料合同!$L$6:$CC$305,60,0)</f>
        <v>0</v>
      </c>
      <c r="BT298" s="102">
        <f>VLOOKUP(L298,材料合同!$L$6:$CC$305,61,0)</f>
        <v>0</v>
      </c>
      <c r="BU298" s="102">
        <f>VLOOKUP(L298,材料合同!$L$6:$CC$305,62,0)</f>
        <v>0</v>
      </c>
      <c r="BV298" s="102">
        <f>VLOOKUP(L298,材料合同!$L$6:$CC$305,63,0)</f>
        <v>0</v>
      </c>
      <c r="BW298" s="102">
        <f>VLOOKUP(L298,材料合同!$L$6:$CC$305,64,0)</f>
        <v>0</v>
      </c>
      <c r="BX298" s="102">
        <f>VLOOKUP(L298,材料合同!$L$6:$CC$305,65,0)</f>
        <v>0</v>
      </c>
      <c r="BY298" s="102">
        <f>VLOOKUP(L298,材料合同!$L$6:$CC$305,66,0)</f>
        <v>0</v>
      </c>
      <c r="BZ298" s="102">
        <f>VLOOKUP(L298,材料合同!$L$6:$CC$305,67,0)</f>
        <v>0</v>
      </c>
      <c r="CA298" s="102">
        <f>VLOOKUP(L298,材料合同!$L$6:$CC$305,68,0)</f>
        <v>0</v>
      </c>
      <c r="CB298" s="102">
        <f>VLOOKUP(L298,材料合同!$L$6:$CC$305,69,0)</f>
        <v>0</v>
      </c>
      <c r="CC298" s="102">
        <f>VLOOKUP(L298,材料合同!$L$6:$CC$305,70,0)</f>
        <v>0</v>
      </c>
      <c r="CD298" s="123">
        <f t="shared" si="66"/>
        <v>4173000</v>
      </c>
      <c r="CE298" s="102">
        <f t="shared" si="67"/>
        <v>834600</v>
      </c>
      <c r="CF298" s="102">
        <f t="shared" si="68"/>
        <v>834600</v>
      </c>
      <c r="CG298" s="102">
        <f t="shared" si="69"/>
        <v>0</v>
      </c>
      <c r="CH298" s="124">
        <f t="shared" si="70"/>
        <v>3338400</v>
      </c>
      <c r="CI298" s="125">
        <f t="shared" si="71"/>
        <v>0.2</v>
      </c>
      <c r="CJ298" s="126" t="str">
        <f t="shared" si="72"/>
        <v>数据正确</v>
      </c>
    </row>
    <row r="299" s="60" customFormat="1" customHeight="1" spans="2:88">
      <c r="B299" s="70" t="str">
        <f t="shared" si="62"/>
        <v>-</v>
      </c>
      <c r="C299" s="71" t="str">
        <f t="shared" si="63"/>
        <v>-</v>
      </c>
      <c r="D299" s="181">
        <f t="shared" si="64"/>
        <v>0</v>
      </c>
      <c r="E299" s="181">
        <f>SUMIF(材料合同!$L$6:$L$305,L299,材料合同!$E$6:$E$305)</f>
        <v>0</v>
      </c>
      <c r="F299" s="181">
        <f>SUMIF(材料合同!$L$6:$L$305,L299,材料合同!$F$6:$F$305)</f>
        <v>0</v>
      </c>
      <c r="G299" s="181">
        <f>SUMIF(材料合同!$L$6:$L$305,L299,材料合同!$G$6:$G$305)</f>
        <v>0</v>
      </c>
      <c r="H299" s="181">
        <f>SUMIF(材料合同!$L$6:$L$305,L299,材料合同!$H$6:$H$305)</f>
        <v>0</v>
      </c>
      <c r="I299" s="181">
        <f t="shared" si="65"/>
        <v>0</v>
      </c>
      <c r="J299" s="86" t="s">
        <v>98</v>
      </c>
      <c r="K299" s="87"/>
      <c r="L299" s="88">
        <v>294</v>
      </c>
      <c r="M299" s="89" t="str">
        <f>VLOOKUP(L299,材料合同!$L$6:$CC$305,2,0)</f>
        <v>YRKJBT-170117</v>
      </c>
      <c r="N299" s="90" t="str">
        <f>VLOOKUP(L299,材料合同!$L$6:$CC$305,3,0)</f>
        <v>材料合同</v>
      </c>
      <c r="O299" s="265">
        <f>VLOOKUP(L299,材料合同!$L$6:$CC$305,4,0)</f>
        <v>0</v>
      </c>
      <c r="P299" s="266">
        <f>VLOOKUP(L299,材料合同!$L$6:$CC$305,5,0)</f>
        <v>43004</v>
      </c>
      <c r="Q299" s="275">
        <f>VLOOKUP(L299,材料合同!$L$6:$CC$305,6,0)</f>
        <v>32000</v>
      </c>
      <c r="R299" s="89" t="str">
        <f>VLOOKUP(L299,材料合同!$L$6:$CC$305,7,0)</f>
        <v>硝酸尾气水封罐</v>
      </c>
      <c r="S299" s="89" t="str">
        <f>VLOOKUP(L299,材料合同!$L$6:$CC$305,8,0)</f>
        <v>广州市双时复合材料有限公司</v>
      </c>
      <c r="T299" s="107">
        <f>VLOOKUP(L299,材料合同!$L$6:$CC$305,9,0)</f>
        <v>0</v>
      </c>
      <c r="U299" s="103" t="str">
        <f>VLOOKUP(L299,材料合同!$L$6:$CC$305,10,0)</f>
        <v>6个月承兑汇票/电汇不下浮</v>
      </c>
      <c r="V299" s="276" t="str">
        <f>VLOOKUP(L299,材料合同!$L$6:$CC$305,11,0)</f>
        <v>甲方收到货物验收合格15个工作日付清</v>
      </c>
      <c r="W299" s="102">
        <f>VLOOKUP(L299,材料合同!$L$6:$CC$305,12,0)</f>
        <v>32000</v>
      </c>
      <c r="X299" s="102">
        <f>VLOOKUP(L299,材料合同!$L$6:$CC$305,13,0)</f>
        <v>0</v>
      </c>
      <c r="Y299" s="102">
        <f>VLOOKUP(L299,材料合同!$L$6:$CC$305,14,0)</f>
        <v>0</v>
      </c>
      <c r="Z299" s="102">
        <f>VLOOKUP(L299,材料合同!$L$6:$CC$305,15,0)</f>
        <v>0</v>
      </c>
      <c r="AA299" s="102">
        <f>VLOOKUP(L299,材料合同!$L$6:$CC$305,16,0)</f>
        <v>0</v>
      </c>
      <c r="AB299" s="102">
        <f>VLOOKUP(L299,材料合同!$L$6:$CC$305,17,0)</f>
        <v>0</v>
      </c>
      <c r="AC299" s="102">
        <f>VLOOKUP(L299,材料合同!$L$6:$CC$305,18,0)</f>
        <v>0</v>
      </c>
      <c r="AD299" s="102">
        <f>VLOOKUP(L299,材料合同!$L$6:$CC$305,19,0)</f>
        <v>0</v>
      </c>
      <c r="AE299" s="102">
        <f>VLOOKUP(L299,材料合同!$L$6:$CC$305,20,0)</f>
        <v>0</v>
      </c>
      <c r="AF299" s="102">
        <f>VLOOKUP(L299,材料合同!$L$6:$CC$305,21,0)</f>
        <v>0</v>
      </c>
      <c r="AG299" s="102">
        <f>VLOOKUP(L299,材料合同!$L$6:$CC$305,22,0)</f>
        <v>0</v>
      </c>
      <c r="AH299" s="102">
        <f>VLOOKUP(L299,材料合同!$L$6:$CC$305,23,0)</f>
        <v>0</v>
      </c>
      <c r="AI299" s="102">
        <f>VLOOKUP(L299,材料合同!$L$6:$CC$305,24,0)</f>
        <v>0</v>
      </c>
      <c r="AJ299" s="102">
        <f>VLOOKUP(L299,材料合同!$L$6:$CC$305,25,0)</f>
        <v>0</v>
      </c>
      <c r="AK299" s="102">
        <f>VLOOKUP(L299,材料合同!$L$6:$CC$305,26,0)</f>
        <v>0</v>
      </c>
      <c r="AL299" s="102">
        <f>VLOOKUP(L299,材料合同!$L$6:$CC$305,27,0)</f>
        <v>0</v>
      </c>
      <c r="AM299" s="102">
        <f>VLOOKUP(L299,材料合同!$L$6:$CC$305,28,0)</f>
        <v>0</v>
      </c>
      <c r="AN299" s="102">
        <f>VLOOKUP(L299,材料合同!$L$6:$CC$305,29,0)</f>
        <v>0</v>
      </c>
      <c r="AO299" s="102">
        <f>VLOOKUP(L299,材料合同!$L$6:$CC$305,30,0)</f>
        <v>0</v>
      </c>
      <c r="AP299" s="102">
        <f>VLOOKUP(L299,材料合同!$L$6:$CC$305,31,0)</f>
        <v>0</v>
      </c>
      <c r="AQ299" s="102">
        <f>VLOOKUP(L299,材料合同!$L$6:$CC$305,32,0)</f>
        <v>0</v>
      </c>
      <c r="AR299" s="102">
        <f>VLOOKUP(L299,材料合同!$L$6:$CC$305,33,0)</f>
        <v>0</v>
      </c>
      <c r="AS299" s="102">
        <f>VLOOKUP(L299,材料合同!$L$6:$CC$305,34,0)</f>
        <v>0</v>
      </c>
      <c r="AT299" s="102">
        <f>VLOOKUP(L299,材料合同!$L$6:$CC$305,35,0)</f>
        <v>0</v>
      </c>
      <c r="AU299" s="102">
        <f>VLOOKUP(L299,材料合同!$L$6:$CC$305,36,0)</f>
        <v>0</v>
      </c>
      <c r="AV299" s="102">
        <f>VLOOKUP(L299,材料合同!$L$6:$CC$305,37,0)</f>
        <v>0</v>
      </c>
      <c r="AW299" s="102">
        <f>VLOOKUP(L299,材料合同!$L$6:$CC$305,38,0)</f>
        <v>0</v>
      </c>
      <c r="AX299" s="102">
        <f>VLOOKUP(L299,材料合同!$L$6:$CC$305,39,0)</f>
        <v>0</v>
      </c>
      <c r="AY299" s="102">
        <f>VLOOKUP(L299,材料合同!$L$6:$CC$305,40,0)</f>
        <v>0</v>
      </c>
      <c r="AZ299" s="102">
        <f>VLOOKUP(L299,材料合同!$L$6:$CC$305,41,0)</f>
        <v>0</v>
      </c>
      <c r="BA299" s="102">
        <f>VLOOKUP(L299,材料合同!$L$6:$CC$305,42,0)</f>
        <v>0</v>
      </c>
      <c r="BB299" s="102">
        <f>VLOOKUP(L299,材料合同!$L$6:$CC$305,43,0)</f>
        <v>0</v>
      </c>
      <c r="BC299" s="102">
        <f>VLOOKUP(L299,材料合同!$L$6:$CC$305,44,0)</f>
        <v>0</v>
      </c>
      <c r="BD299" s="102">
        <f>VLOOKUP(L299,材料合同!$L$6:$CC$305,45,0)</f>
        <v>0</v>
      </c>
      <c r="BE299" s="102">
        <f>VLOOKUP(L299,材料合同!$L$6:$CC$305,46,0)</f>
        <v>0</v>
      </c>
      <c r="BF299" s="102">
        <f>VLOOKUP(L299,材料合同!$L$6:$CC$305,47,0)</f>
        <v>0</v>
      </c>
      <c r="BG299" s="102">
        <f>VLOOKUP(L299,材料合同!$L$6:$CC$305,48,0)</f>
        <v>0</v>
      </c>
      <c r="BH299" s="102">
        <f>VLOOKUP(L299,材料合同!$L$6:$CC$305,49,0)</f>
        <v>0</v>
      </c>
      <c r="BI299" s="102">
        <f>VLOOKUP(L299,材料合同!$L$6:$CC$305,50,0)</f>
        <v>0</v>
      </c>
      <c r="BJ299" s="102">
        <f>VLOOKUP(L299,材料合同!$L$6:$CC$305,51,0)</f>
        <v>0</v>
      </c>
      <c r="BK299" s="102">
        <f>VLOOKUP(L299,材料合同!$L$6:$CC$305,52,0)</f>
        <v>0</v>
      </c>
      <c r="BL299" s="102">
        <f>VLOOKUP(L299,材料合同!$L$6:$CC$305,53,0)</f>
        <v>0</v>
      </c>
      <c r="BM299" s="102">
        <f>VLOOKUP(L299,材料合同!$L$6:$CC$305,54,0)</f>
        <v>0</v>
      </c>
      <c r="BN299" s="102">
        <f>VLOOKUP(L299,材料合同!$L$6:$CC$305,55,0)</f>
        <v>0</v>
      </c>
      <c r="BO299" s="102">
        <f>VLOOKUP(L299,材料合同!$L$6:$CC$305,56,0)</f>
        <v>0</v>
      </c>
      <c r="BP299" s="102">
        <f>VLOOKUP(L299,材料合同!$L$6:$CC$305,57,0)</f>
        <v>0</v>
      </c>
      <c r="BQ299" s="102">
        <f>VLOOKUP(L299,材料合同!$L$6:$CC$305,58,0)</f>
        <v>0</v>
      </c>
      <c r="BR299" s="102">
        <f>VLOOKUP(L299,材料合同!$L$6:$CC$305,59,0)</f>
        <v>0</v>
      </c>
      <c r="BS299" s="102">
        <f>VLOOKUP(L299,材料合同!$L$6:$CC$305,60,0)</f>
        <v>0</v>
      </c>
      <c r="BT299" s="102">
        <f>VLOOKUP(L299,材料合同!$L$6:$CC$305,61,0)</f>
        <v>0</v>
      </c>
      <c r="BU299" s="102">
        <f>VLOOKUP(L299,材料合同!$L$6:$CC$305,62,0)</f>
        <v>0</v>
      </c>
      <c r="BV299" s="102">
        <f>VLOOKUP(L299,材料合同!$L$6:$CC$305,63,0)</f>
        <v>0</v>
      </c>
      <c r="BW299" s="102">
        <f>VLOOKUP(L299,材料合同!$L$6:$CC$305,64,0)</f>
        <v>0</v>
      </c>
      <c r="BX299" s="102">
        <f>VLOOKUP(L299,材料合同!$L$6:$CC$305,65,0)</f>
        <v>0</v>
      </c>
      <c r="BY299" s="102">
        <f>VLOOKUP(L299,材料合同!$L$6:$CC$305,66,0)</f>
        <v>0</v>
      </c>
      <c r="BZ299" s="102">
        <f>VLOOKUP(L299,材料合同!$L$6:$CC$305,67,0)</f>
        <v>0</v>
      </c>
      <c r="CA299" s="102">
        <f>VLOOKUP(L299,材料合同!$L$6:$CC$305,68,0)</f>
        <v>0</v>
      </c>
      <c r="CB299" s="102">
        <f>VLOOKUP(L299,材料合同!$L$6:$CC$305,69,0)</f>
        <v>0</v>
      </c>
      <c r="CC299" s="102">
        <f>VLOOKUP(L299,材料合同!$L$6:$CC$305,70,0)</f>
        <v>0</v>
      </c>
      <c r="CD299" s="123">
        <f t="shared" si="66"/>
        <v>32000</v>
      </c>
      <c r="CE299" s="102">
        <f t="shared" si="67"/>
        <v>0</v>
      </c>
      <c r="CF299" s="102">
        <f t="shared" si="68"/>
        <v>0</v>
      </c>
      <c r="CG299" s="102">
        <f t="shared" si="69"/>
        <v>0</v>
      </c>
      <c r="CH299" s="124">
        <f t="shared" si="70"/>
        <v>32000</v>
      </c>
      <c r="CI299" s="125">
        <f t="shared" si="71"/>
        <v>0</v>
      </c>
      <c r="CJ299" s="126" t="str">
        <f t="shared" si="72"/>
        <v>数据正确</v>
      </c>
    </row>
    <row r="300" s="60" customFormat="1" customHeight="1" spans="2:88">
      <c r="B300" s="70" t="str">
        <f t="shared" si="62"/>
        <v>-</v>
      </c>
      <c r="C300" s="71" t="str">
        <f t="shared" si="63"/>
        <v>-</v>
      </c>
      <c r="D300" s="181">
        <f t="shared" si="64"/>
        <v>0</v>
      </c>
      <c r="E300" s="181">
        <f>SUMIF(设备合同!$L$6:$L$302,L300,设备合同!$E$6:$E$302)</f>
        <v>0</v>
      </c>
      <c r="F300" s="181">
        <f>SUMIF(设备合同!$L$6:$L$302,L300,设备合同!$F$6:$F$302)</f>
        <v>0</v>
      </c>
      <c r="G300" s="181">
        <f>SUMIF(设备合同!$L$6:$L$302,L300,设备合同!$G$6:$G$302)</f>
        <v>0</v>
      </c>
      <c r="H300" s="181">
        <f>SUMIF(设备合同!$L$6:$L$302,L300,设备合同!$H$6:$H$302)</f>
        <v>0</v>
      </c>
      <c r="I300" s="181">
        <f t="shared" si="65"/>
        <v>0</v>
      </c>
      <c r="J300" s="86" t="s">
        <v>98</v>
      </c>
      <c r="K300" s="87"/>
      <c r="L300" s="88">
        <v>295</v>
      </c>
      <c r="M300" s="89" t="str">
        <f>VLOOKUP(L300,设备合同!$L$6:$CC$302,2,0)</f>
        <v>YRKJBT-170121</v>
      </c>
      <c r="N300" s="90" t="str">
        <f>VLOOKUP(L300,设备合同!$L$6:$CC$302,3,0)</f>
        <v>设备合同</v>
      </c>
      <c r="O300" s="265">
        <f>VLOOKUP(L300,设备合同!$L$6:$CC$302,4,0)</f>
        <v>0</v>
      </c>
      <c r="P300" s="266">
        <f>VLOOKUP(L300,设备合同!$L$6:$CC$302,5,0)</f>
        <v>43021</v>
      </c>
      <c r="Q300" s="275">
        <f>VLOOKUP(L300,设备合同!$L$6:$CC$302,6,0)</f>
        <v>108000</v>
      </c>
      <c r="R300" s="89" t="str">
        <f>VLOOKUP(L300,设备合同!$L$6:$CC$302,7,0)</f>
        <v>液碱泵、初期雨水泵4台</v>
      </c>
      <c r="S300" s="89" t="str">
        <f>VLOOKUP(L300,设备合同!$L$6:$CC$302,8,0)</f>
        <v>江苏新泰泵阀制造有限公司</v>
      </c>
      <c r="T300" s="107">
        <f>VLOOKUP(L300,设备合同!$L$6:$CC$302,9,0)</f>
        <v>0</v>
      </c>
      <c r="U300" s="103" t="str">
        <f>VLOOKUP(L300,设备合同!$L$6:$CC$302,10,0)</f>
        <v>6个月承兑汇票/电汇不下浮</v>
      </c>
      <c r="V300" s="276" t="str">
        <f>VLOOKUP(L300,设备合同!$L$6:$CC$302,11,0)</f>
        <v>甲方到乙方现场确认无误后，收到17%全额专票，15个工作日内支付60%发货款</v>
      </c>
      <c r="W300" s="102">
        <f>VLOOKUP(L300,设备合同!$L$6:$CC$302,12,0)</f>
        <v>64800</v>
      </c>
      <c r="X300" s="102">
        <f>VLOOKUP(L300,设备合同!$L$6:$CC$302,13,0)</f>
        <v>0</v>
      </c>
      <c r="Y300" s="102">
        <f>VLOOKUP(L300,设备合同!$L$6:$CC$302,14,0)</f>
        <v>0</v>
      </c>
      <c r="Z300" s="102" t="str">
        <f>VLOOKUP(L300,设备合同!$L$6:$CC$302,15,0)</f>
        <v>甲方核定的调试合格报告及足额的发票后付30%的验收款</v>
      </c>
      <c r="AA300" s="102">
        <f>VLOOKUP(L300,设备合同!$L$6:$CC$302,16,0)</f>
        <v>32400</v>
      </c>
      <c r="AB300" s="102">
        <f>VLOOKUP(L300,设备合同!$L$6:$CC$302,17,0)</f>
        <v>0</v>
      </c>
      <c r="AC300" s="102">
        <f>VLOOKUP(L300,设备合同!$L$6:$CC$302,18,0)</f>
        <v>0</v>
      </c>
      <c r="AD300" s="102" t="str">
        <f>VLOOKUP(L300,设备合同!$L$6:$CC$302,19,0)</f>
        <v>10%质保金，验收合格12个月或到货现场18个月</v>
      </c>
      <c r="AE300" s="102">
        <f>VLOOKUP(L300,设备合同!$L$6:$CC$302,20,0)</f>
        <v>10800</v>
      </c>
      <c r="AF300" s="102">
        <f>VLOOKUP(L300,设备合同!$L$6:$CC$302,21,0)</f>
        <v>0</v>
      </c>
      <c r="AG300" s="102">
        <f>VLOOKUP(L300,设备合同!$L$6:$CC$302,22,0)</f>
        <v>0</v>
      </c>
      <c r="AH300" s="102">
        <f>VLOOKUP(L300,设备合同!$L$6:$CC$302,23,0)</f>
        <v>0</v>
      </c>
      <c r="AI300" s="102">
        <f>VLOOKUP(L300,设备合同!$L$6:$CC$302,24,0)</f>
        <v>0</v>
      </c>
      <c r="AJ300" s="102">
        <f>VLOOKUP(L300,设备合同!$L$6:$CC$302,25,0)</f>
        <v>0</v>
      </c>
      <c r="AK300" s="102">
        <f>VLOOKUP(L300,设备合同!$L$6:$CC$302,26,0)</f>
        <v>0</v>
      </c>
      <c r="AL300" s="102">
        <f>VLOOKUP(L300,设备合同!$L$6:$CC$302,27,0)</f>
        <v>0</v>
      </c>
      <c r="AM300" s="102">
        <f>VLOOKUP(L300,设备合同!$L$6:$CC$302,28,0)</f>
        <v>0</v>
      </c>
      <c r="AN300" s="102">
        <f>VLOOKUP(L300,设备合同!$L$6:$CC$302,29,0)</f>
        <v>0</v>
      </c>
      <c r="AO300" s="102">
        <f>VLOOKUP(L300,设备合同!$L$6:$CC$302,30,0)</f>
        <v>0</v>
      </c>
      <c r="AP300" s="102">
        <f>VLOOKUP(L300,设备合同!$L$6:$CC$302,31,0)</f>
        <v>0</v>
      </c>
      <c r="AQ300" s="102">
        <f>VLOOKUP(L300,设备合同!$L$6:$CC$302,32,0)</f>
        <v>0</v>
      </c>
      <c r="AR300" s="102">
        <f>VLOOKUP(L300,设备合同!$L$6:$CC$302,33,0)</f>
        <v>0</v>
      </c>
      <c r="AS300" s="102">
        <f>VLOOKUP(L300,设备合同!$L$6:$CC$302,34,0)</f>
        <v>0</v>
      </c>
      <c r="AT300" s="102">
        <f>VLOOKUP(L300,设备合同!$L$6:$CC$302,35,0)</f>
        <v>0</v>
      </c>
      <c r="AU300" s="102">
        <f>VLOOKUP(L300,设备合同!$L$6:$CC$302,36,0)</f>
        <v>0</v>
      </c>
      <c r="AV300" s="102">
        <f>VLOOKUP(L300,设备合同!$L$6:$CC$302,37,0)</f>
        <v>0</v>
      </c>
      <c r="AW300" s="102">
        <f>VLOOKUP(L300,设备合同!$L$6:$CC$302,38,0)</f>
        <v>0</v>
      </c>
      <c r="AX300" s="102">
        <f>VLOOKUP(L300,设备合同!$L$6:$CC$302,39,0)</f>
        <v>0</v>
      </c>
      <c r="AY300" s="102">
        <f>VLOOKUP(L300,设备合同!$L$6:$CC$302,40,0)</f>
        <v>0</v>
      </c>
      <c r="AZ300" s="102">
        <f>VLOOKUP(L300,设备合同!$L$6:$CC$302,41,0)</f>
        <v>0</v>
      </c>
      <c r="BA300" s="102">
        <f>VLOOKUP(L300,设备合同!$L$6:$CC$302,42,0)</f>
        <v>0</v>
      </c>
      <c r="BB300" s="102">
        <f>VLOOKUP(L300,设备合同!$L$6:$CC$302,43,0)</f>
        <v>0</v>
      </c>
      <c r="BC300" s="102">
        <f>VLOOKUP(L300,设备合同!$L$6:$CC$302,44,0)</f>
        <v>0</v>
      </c>
      <c r="BD300" s="102">
        <f>VLOOKUP(L300,设备合同!$L$6:$CC$302,45,0)</f>
        <v>0</v>
      </c>
      <c r="BE300" s="102">
        <f>VLOOKUP(L300,设备合同!$L$6:$CC$302,46,0)</f>
        <v>0</v>
      </c>
      <c r="BF300" s="102">
        <f>VLOOKUP(L300,设备合同!$L$6:$CC$302,47,0)</f>
        <v>0</v>
      </c>
      <c r="BG300" s="102">
        <f>VLOOKUP(L300,设备合同!$L$6:$CC$302,48,0)</f>
        <v>0</v>
      </c>
      <c r="BH300" s="102">
        <f>VLOOKUP(L300,设备合同!$L$6:$CC$302,49,0)</f>
        <v>0</v>
      </c>
      <c r="BI300" s="102">
        <f>VLOOKUP(L300,设备合同!$L$6:$CC$302,50,0)</f>
        <v>0</v>
      </c>
      <c r="BJ300" s="102">
        <f>VLOOKUP(L300,设备合同!$L$6:$CC$302,51,0)</f>
        <v>0</v>
      </c>
      <c r="BK300" s="102">
        <f>VLOOKUP(L300,设备合同!$L$6:$CC$302,52,0)</f>
        <v>0</v>
      </c>
      <c r="BL300" s="102">
        <f>VLOOKUP(L300,设备合同!$L$6:$CC$302,53,0)</f>
        <v>0</v>
      </c>
      <c r="BM300" s="102">
        <f>VLOOKUP(L300,设备合同!$L$6:$CC$302,54,0)</f>
        <v>0</v>
      </c>
      <c r="BN300" s="102">
        <f>VLOOKUP(L300,设备合同!$L$6:$CC$302,55,0)</f>
        <v>0</v>
      </c>
      <c r="BO300" s="102">
        <f>VLOOKUP(L300,设备合同!$L$6:$CC$302,56,0)</f>
        <v>0</v>
      </c>
      <c r="BP300" s="102">
        <f>VLOOKUP(L300,设备合同!$L$6:$CC$302,57,0)</f>
        <v>0</v>
      </c>
      <c r="BQ300" s="102">
        <f>VLOOKUP(L300,设备合同!$L$6:$CC$302,58,0)</f>
        <v>0</v>
      </c>
      <c r="BR300" s="102">
        <f>VLOOKUP(L300,设备合同!$L$6:$CC$302,59,0)</f>
        <v>0</v>
      </c>
      <c r="BS300" s="102">
        <f>VLOOKUP(L300,设备合同!$L$6:$CC$302,60,0)</f>
        <v>0</v>
      </c>
      <c r="BT300" s="102">
        <f>VLOOKUP(L300,设备合同!$L$6:$CC$302,61,0)</f>
        <v>0</v>
      </c>
      <c r="BU300" s="102">
        <f>VLOOKUP(L300,设备合同!$L$6:$CC$302,62,0)</f>
        <v>0</v>
      </c>
      <c r="BV300" s="102">
        <f>VLOOKUP(L300,设备合同!$L$6:$CC$302,63,0)</f>
        <v>0</v>
      </c>
      <c r="BW300" s="102">
        <f>VLOOKUP(L300,设备合同!$L$6:$CC$302,64,0)</f>
        <v>0</v>
      </c>
      <c r="BX300" s="102">
        <f>VLOOKUP(L300,设备合同!$L$6:$CC$302,65,0)</f>
        <v>0</v>
      </c>
      <c r="BY300" s="102">
        <f>VLOOKUP(L300,设备合同!$L$6:$CC$302,66,0)</f>
        <v>0</v>
      </c>
      <c r="BZ300" s="102">
        <f>VLOOKUP(L300,设备合同!$L$6:$CC$302,67,0)</f>
        <v>0</v>
      </c>
      <c r="CA300" s="102">
        <f>VLOOKUP(L300,设备合同!$L$6:$CC$302,68,0)</f>
        <v>0</v>
      </c>
      <c r="CB300" s="102">
        <f>VLOOKUP(L300,设备合同!$L$6:$CC$302,69,0)</f>
        <v>0</v>
      </c>
      <c r="CC300" s="102">
        <f>VLOOKUP(L300,设备合同!$L$6:$CC$302,70,0)</f>
        <v>0</v>
      </c>
      <c r="CD300" s="123">
        <f t="shared" si="66"/>
        <v>108000</v>
      </c>
      <c r="CE300" s="102">
        <f t="shared" si="67"/>
        <v>0</v>
      </c>
      <c r="CF300" s="102">
        <f t="shared" si="68"/>
        <v>0</v>
      </c>
      <c r="CG300" s="102">
        <f t="shared" si="69"/>
        <v>0</v>
      </c>
      <c r="CH300" s="124">
        <f t="shared" si="70"/>
        <v>108000</v>
      </c>
      <c r="CI300" s="125">
        <f t="shared" si="71"/>
        <v>0</v>
      </c>
      <c r="CJ300" s="126" t="str">
        <f t="shared" si="72"/>
        <v>数据正确</v>
      </c>
    </row>
    <row r="301" s="60" customFormat="1" customHeight="1" spans="2:88">
      <c r="B301" s="70" t="str">
        <f t="shared" si="62"/>
        <v>-</v>
      </c>
      <c r="C301" s="71" t="str">
        <f t="shared" si="63"/>
        <v>已付清</v>
      </c>
      <c r="D301" s="181">
        <f t="shared" si="64"/>
        <v>15280368.58</v>
      </c>
      <c r="E301" s="181">
        <f>SUMIF(其他合同!$L$6:$L$300,L301,其他合同!$E$6:$E$300)</f>
        <v>0</v>
      </c>
      <c r="F301" s="181">
        <f>SUMIF(其他合同!$L$6:$L$300,L301,其他合同!$F$6:$F$300)</f>
        <v>0</v>
      </c>
      <c r="G301" s="181">
        <f>SUMIF(其他合同!$L$6:$L$300,L301,其他合同!$G$6:$G$300)</f>
        <v>0</v>
      </c>
      <c r="H301" s="181">
        <f>SUMIF(其他合同!$L$6:$L$300,L301,其他合同!$H$6:$H$300)</f>
        <v>0</v>
      </c>
      <c r="I301" s="181">
        <f t="shared" si="65"/>
        <v>0</v>
      </c>
      <c r="J301" s="86" t="s">
        <v>98</v>
      </c>
      <c r="K301" s="87"/>
      <c r="L301" s="88">
        <v>296</v>
      </c>
      <c r="M301" s="89" t="str">
        <f>VLOOKUP(L301,其他合同!$L$6:$CC$300,2,0)</f>
        <v>-</v>
      </c>
      <c r="N301" s="90" t="str">
        <f>VLOOKUP(L301,其他合同!$L$6:$CC$300,3,0)</f>
        <v>其他合同</v>
      </c>
      <c r="O301" s="265" t="str">
        <f>VLOOKUP(L301,其他合同!$L$6:$CC$300,4,0)</f>
        <v>-</v>
      </c>
      <c r="P301" s="266">
        <f>VLOOKUP(L301,其他合同!$L$6:$CC$300,5,0)</f>
        <v>42735</v>
      </c>
      <c r="Q301" s="275">
        <f>VLOOKUP(L301,其他合同!$L$6:$CC$300,6,0)</f>
        <v>15280368.58</v>
      </c>
      <c r="R301" s="89" t="str">
        <f>VLOOKUP(L301,其他合同!$L$6:$CC$300,7,0)</f>
        <v>锦江石化转永荣-技术转让（专利权）合同，CPL相关20项专利打包转让</v>
      </c>
      <c r="S301" s="89" t="str">
        <f>VLOOKUP(L301,其他合同!$L$6:$CC$300,8,0)</f>
        <v>福建锦江石化有限公司</v>
      </c>
      <c r="T301" s="107" t="str">
        <f>VLOOKUP(L301,其他合同!$L$6:$CC$300,9,0)</f>
        <v>-</v>
      </c>
      <c r="U301" s="103" t="str">
        <f>VLOOKUP(L301,其他合同!$L$6:$CC$300,10,0)</f>
        <v>电汇</v>
      </c>
      <c r="V301" s="276" t="str">
        <f>VLOOKUP(L301,其他合同!$L$6:$CC$300,11,0)</f>
        <v>锦江石化转永荣科技</v>
      </c>
      <c r="W301" s="102">
        <f>VLOOKUP(L301,其他合同!$L$6:$CC$300,12,0)</f>
        <v>15280368.58</v>
      </c>
      <c r="X301" s="102">
        <f>VLOOKUP(L301,其他合同!$L$6:$CC$300,13,0)</f>
        <v>15280368.58</v>
      </c>
      <c r="Y301" s="102">
        <f>VLOOKUP(L301,其他合同!$L$6:$CC$300,14,0)</f>
        <v>15280368.58</v>
      </c>
      <c r="Z301" s="102">
        <f>VLOOKUP(L301,其他合同!$L$6:$CC$300,15,0)</f>
        <v>0</v>
      </c>
      <c r="AA301" s="102">
        <f>VLOOKUP(L301,其他合同!$L$6:$CC$300,16,0)</f>
        <v>0</v>
      </c>
      <c r="AB301" s="102">
        <f>VLOOKUP(L301,其他合同!$L$6:$CC$300,17,0)</f>
        <v>0</v>
      </c>
      <c r="AC301" s="102">
        <f>VLOOKUP(L301,其他合同!$L$6:$CC$300,18,0)</f>
        <v>0</v>
      </c>
      <c r="AD301" s="102">
        <f>VLOOKUP(L301,其他合同!$L$6:$CC$300,19,0)</f>
        <v>0</v>
      </c>
      <c r="AE301" s="102">
        <f>VLOOKUP(L301,其他合同!$L$6:$CC$300,20,0)</f>
        <v>0</v>
      </c>
      <c r="AF301" s="102">
        <f>VLOOKUP(L301,其他合同!$L$6:$CC$300,21,0)</f>
        <v>0</v>
      </c>
      <c r="AG301" s="102">
        <f>VLOOKUP(L301,其他合同!$L$6:$CC$300,22,0)</f>
        <v>0</v>
      </c>
      <c r="AH301" s="102">
        <f>VLOOKUP(L301,其他合同!$L$6:$CC$300,23,0)</f>
        <v>0</v>
      </c>
      <c r="AI301" s="102">
        <f>VLOOKUP(L301,其他合同!$L$6:$CC$300,24,0)</f>
        <v>0</v>
      </c>
      <c r="AJ301" s="102">
        <f>VLOOKUP(L301,其他合同!$L$6:$CC$300,25,0)</f>
        <v>0</v>
      </c>
      <c r="AK301" s="102">
        <f>VLOOKUP(L301,其他合同!$L$6:$CC$300,26,0)</f>
        <v>0</v>
      </c>
      <c r="AL301" s="102">
        <f>VLOOKUP(L301,其他合同!$L$6:$CC$300,27,0)</f>
        <v>0</v>
      </c>
      <c r="AM301" s="102">
        <f>VLOOKUP(L301,其他合同!$L$6:$CC$300,28,0)</f>
        <v>0</v>
      </c>
      <c r="AN301" s="102">
        <f>VLOOKUP(L301,其他合同!$L$6:$CC$300,29,0)</f>
        <v>0</v>
      </c>
      <c r="AO301" s="102">
        <f>VLOOKUP(L301,其他合同!$L$6:$CC$300,30,0)</f>
        <v>0</v>
      </c>
      <c r="AP301" s="102">
        <f>VLOOKUP(L301,其他合同!$L$6:$CC$300,31,0)</f>
        <v>0</v>
      </c>
      <c r="AQ301" s="102">
        <f>VLOOKUP(L301,其他合同!$L$6:$CC$300,32,0)</f>
        <v>0</v>
      </c>
      <c r="AR301" s="102">
        <f>VLOOKUP(L301,其他合同!$L$6:$CC$300,33,0)</f>
        <v>0</v>
      </c>
      <c r="AS301" s="102">
        <f>VLOOKUP(L301,其他合同!$L$6:$CC$300,34,0)</f>
        <v>0</v>
      </c>
      <c r="AT301" s="102">
        <f>VLOOKUP(L301,其他合同!$L$6:$CC$300,35,0)</f>
        <v>0</v>
      </c>
      <c r="AU301" s="102">
        <f>VLOOKUP(L301,其他合同!$L$6:$CC$300,36,0)</f>
        <v>0</v>
      </c>
      <c r="AV301" s="102">
        <f>VLOOKUP(L301,其他合同!$L$6:$CC$300,37,0)</f>
        <v>0</v>
      </c>
      <c r="AW301" s="102">
        <f>VLOOKUP(L301,其他合同!$L$6:$CC$300,38,0)</f>
        <v>0</v>
      </c>
      <c r="AX301" s="102">
        <f>VLOOKUP(L301,其他合同!$L$6:$CC$300,39,0)</f>
        <v>0</v>
      </c>
      <c r="AY301" s="102">
        <f>VLOOKUP(L301,其他合同!$L$6:$CC$300,40,0)</f>
        <v>0</v>
      </c>
      <c r="AZ301" s="102">
        <f>VLOOKUP(L301,其他合同!$L$6:$CC$300,41,0)</f>
        <v>0</v>
      </c>
      <c r="BA301" s="102">
        <f>VLOOKUP(L301,其他合同!$L$6:$CC$300,42,0)</f>
        <v>0</v>
      </c>
      <c r="BB301" s="102">
        <f>VLOOKUP(L301,其他合同!$L$6:$CC$300,43,0)</f>
        <v>0</v>
      </c>
      <c r="BC301" s="102">
        <f>VLOOKUP(L301,其他合同!$L$6:$CC$300,44,0)</f>
        <v>0</v>
      </c>
      <c r="BD301" s="102">
        <f>VLOOKUP(L301,其他合同!$L$6:$CC$300,45,0)</f>
        <v>0</v>
      </c>
      <c r="BE301" s="102">
        <f>VLOOKUP(L301,其他合同!$L$6:$CC$300,46,0)</f>
        <v>0</v>
      </c>
      <c r="BF301" s="102">
        <f>VLOOKUP(L301,其他合同!$L$6:$CC$300,47,0)</f>
        <v>0</v>
      </c>
      <c r="BG301" s="102">
        <f>VLOOKUP(L301,其他合同!$L$6:$CC$300,48,0)</f>
        <v>0</v>
      </c>
      <c r="BH301" s="102">
        <f>VLOOKUP(L301,其他合同!$L$6:$CC$300,49,0)</f>
        <v>0</v>
      </c>
      <c r="BI301" s="102">
        <f>VLOOKUP(L301,其他合同!$L$6:$CC$300,50,0)</f>
        <v>0</v>
      </c>
      <c r="BJ301" s="102">
        <f>VLOOKUP(L301,其他合同!$L$6:$CC$300,51,0)</f>
        <v>0</v>
      </c>
      <c r="BK301" s="102">
        <f>VLOOKUP(L301,其他合同!$L$6:$CC$300,52,0)</f>
        <v>0</v>
      </c>
      <c r="BL301" s="102">
        <f>VLOOKUP(L301,其他合同!$L$6:$CC$300,53,0)</f>
        <v>0</v>
      </c>
      <c r="BM301" s="102">
        <f>VLOOKUP(L301,其他合同!$L$6:$CC$300,54,0)</f>
        <v>0</v>
      </c>
      <c r="BN301" s="102">
        <f>VLOOKUP(L301,其他合同!$L$6:$CC$300,55,0)</f>
        <v>0</v>
      </c>
      <c r="BO301" s="102">
        <f>VLOOKUP(L301,其他合同!$L$6:$CC$300,56,0)</f>
        <v>0</v>
      </c>
      <c r="BP301" s="102">
        <f>VLOOKUP(L301,其他合同!$L$6:$CC$300,57,0)</f>
        <v>0</v>
      </c>
      <c r="BQ301" s="102">
        <f>VLOOKUP(L301,其他合同!$L$6:$CC$300,58,0)</f>
        <v>0</v>
      </c>
      <c r="BR301" s="102">
        <f>VLOOKUP(L301,其他合同!$L$6:$CC$300,59,0)</f>
        <v>0</v>
      </c>
      <c r="BS301" s="102">
        <f>VLOOKUP(L301,其他合同!$L$6:$CC$300,60,0)</f>
        <v>0</v>
      </c>
      <c r="BT301" s="102">
        <f>VLOOKUP(L301,其他合同!$L$6:$CC$300,61,0)</f>
        <v>0</v>
      </c>
      <c r="BU301" s="102">
        <f>VLOOKUP(L301,其他合同!$L$6:$CC$300,62,0)</f>
        <v>0</v>
      </c>
      <c r="BV301" s="102">
        <f>VLOOKUP(L301,其他合同!$L$6:$CC$300,63,0)</f>
        <v>0</v>
      </c>
      <c r="BW301" s="102">
        <f>VLOOKUP(L301,其他合同!$L$6:$CC$300,64,0)</f>
        <v>0</v>
      </c>
      <c r="BX301" s="102">
        <f>VLOOKUP(L301,其他合同!$L$6:$CC$300,65,0)</f>
        <v>0</v>
      </c>
      <c r="BY301" s="102">
        <f>VLOOKUP(L301,其他合同!$L$6:$CC$300,66,0)</f>
        <v>0</v>
      </c>
      <c r="BZ301" s="102">
        <f>VLOOKUP(L301,其他合同!$L$6:$CC$300,67,0)</f>
        <v>0</v>
      </c>
      <c r="CA301" s="102">
        <f>VLOOKUP(L301,其他合同!$L$6:$CC$300,68,0)</f>
        <v>0</v>
      </c>
      <c r="CB301" s="102">
        <f>VLOOKUP(L301,其他合同!$L$6:$CC$300,69,0)</f>
        <v>0</v>
      </c>
      <c r="CC301" s="102">
        <f>VLOOKUP(L301,其他合同!$L$6:$CC$300,70,0)</f>
        <v>0</v>
      </c>
      <c r="CD301" s="123">
        <f t="shared" si="66"/>
        <v>15280368.58</v>
      </c>
      <c r="CE301" s="102">
        <f t="shared" si="67"/>
        <v>15280368.58</v>
      </c>
      <c r="CF301" s="102">
        <f t="shared" si="68"/>
        <v>15280368.58</v>
      </c>
      <c r="CG301" s="102">
        <f t="shared" si="69"/>
        <v>0</v>
      </c>
      <c r="CH301" s="124">
        <f t="shared" si="70"/>
        <v>0</v>
      </c>
      <c r="CI301" s="125">
        <f t="shared" si="71"/>
        <v>1</v>
      </c>
      <c r="CJ301" s="126" t="str">
        <f t="shared" si="72"/>
        <v>数据正确</v>
      </c>
    </row>
    <row r="302" s="60" customFormat="1" customHeight="1" spans="2:88">
      <c r="B302" s="70" t="str">
        <f t="shared" si="62"/>
        <v>申请中</v>
      </c>
      <c r="C302" s="71" t="str">
        <f t="shared" si="63"/>
        <v>-</v>
      </c>
      <c r="D302" s="181">
        <f t="shared" si="64"/>
        <v>0</v>
      </c>
      <c r="E302" s="181">
        <f>SUMIF(材料合同!$L$6:$L$305,L302,材料合同!$E$6:$E$305)</f>
        <v>0</v>
      </c>
      <c r="F302" s="181">
        <f>SUMIF(材料合同!$L$6:$L$305,L302,材料合同!$F$6:$F$305)</f>
        <v>0</v>
      </c>
      <c r="G302" s="181">
        <f>SUMIF(材料合同!$L$6:$L$305,L302,材料合同!$G$6:$G$305)</f>
        <v>0</v>
      </c>
      <c r="H302" s="181">
        <f>SUMIF(材料合同!$L$6:$L$305,L302,材料合同!$H$6:$H$305)</f>
        <v>0</v>
      </c>
      <c r="I302" s="181">
        <f t="shared" si="65"/>
        <v>80000</v>
      </c>
      <c r="J302" s="86" t="s">
        <v>98</v>
      </c>
      <c r="K302" s="87"/>
      <c r="L302" s="88">
        <v>297</v>
      </c>
      <c r="M302" s="89" t="str">
        <f>VLOOKUP(L302,材料合同!$L$6:$CC$305,2,0)</f>
        <v>YRKJEQ-170102</v>
      </c>
      <c r="N302" s="90" t="str">
        <f>VLOOKUP(L302,材料合同!$L$6:$CC$305,3,0)</f>
        <v>材料合同</v>
      </c>
      <c r="O302" s="265">
        <f>VLOOKUP(L302,材料合同!$L$6:$CC$305,4,0)</f>
        <v>2017080057</v>
      </c>
      <c r="P302" s="266">
        <f>VLOOKUP(L302,材料合同!$L$6:$CC$305,5,0)</f>
        <v>43024</v>
      </c>
      <c r="Q302" s="275">
        <f>VLOOKUP(L302,材料合同!$L$6:$CC$305,6,0)</f>
        <v>400000</v>
      </c>
      <c r="R302" s="89" t="str">
        <f>VLOOKUP(L302,材料合同!$L$6:$CC$305,7,0)</f>
        <v>OTS系统一套</v>
      </c>
      <c r="S302" s="89" t="str">
        <f>VLOOKUP(L302,材料合同!$L$6:$CC$305,8,0)</f>
        <v>浙江中控技术股份有限公司</v>
      </c>
      <c r="T302" s="107" t="str">
        <f>VLOOKUP(L302,材料合同!$L$6:$CC$305,9,0)</f>
        <v>硫铵装置、环己酮装置、氨肟化装置、己内酰胺装置</v>
      </c>
      <c r="U302" s="103" t="str">
        <f>VLOOKUP(L302,材料合同!$L$6:$CC$305,10,0)</f>
        <v>6个月承兑汇票</v>
      </c>
      <c r="V302" s="276" t="str">
        <f>VLOOKUP(L302,材料合同!$L$6:$CC$305,11,0)</f>
        <v>甲方收到10%履约保函和等额发票，15个工作日支付20%预付款   </v>
      </c>
      <c r="W302" s="102">
        <f>VLOOKUP(L302,材料合同!$L$6:$CC$305,12,0)</f>
        <v>80000</v>
      </c>
      <c r="X302" s="102">
        <f>VLOOKUP(L302,材料合同!$L$6:$CC$305,13,0)</f>
        <v>80000</v>
      </c>
      <c r="Y302" s="102">
        <f>VLOOKUP(L302,材料合同!$L$6:$CC$305,14,0)</f>
        <v>0</v>
      </c>
      <c r="Z302" s="102" t="str">
        <f>VLOOKUP(L302,材料合同!$L$6:$CC$305,15,0)</f>
        <v>甲方去乙方工厂验收，完成后，5个工作日支付40%发货款，开具等额发票</v>
      </c>
      <c r="AA302" s="102">
        <f>VLOOKUP(L302,材料合同!$L$6:$CC$305,16,0)</f>
        <v>160000</v>
      </c>
      <c r="AB302" s="102">
        <f>VLOOKUP(L302,材料合同!$L$6:$CC$305,17,0)</f>
        <v>0</v>
      </c>
      <c r="AC302" s="102">
        <f>VLOOKUP(L302,材料合同!$L$6:$CC$305,18,0)</f>
        <v>0</v>
      </c>
      <c r="AD302" s="102" t="str">
        <f>VLOOKUP(L302,材料合同!$L$6:$CC$305,19,0)</f>
        <v>甲方收到经甲方核定调试合格报告及全额的发票后15个工作日支付30%调试款</v>
      </c>
      <c r="AE302" s="102">
        <f>VLOOKUP(L302,材料合同!$L$6:$CC$305,20,0)</f>
        <v>120000</v>
      </c>
      <c r="AF302" s="102">
        <f>VLOOKUP(L302,材料合同!$L$6:$CC$305,21,0)</f>
        <v>0</v>
      </c>
      <c r="AG302" s="102">
        <f>VLOOKUP(L302,材料合同!$L$6:$CC$305,22,0)</f>
        <v>0</v>
      </c>
      <c r="AH302" s="102" t="str">
        <f>VLOOKUP(L302,材料合同!$L$6:$CC$305,23,0)</f>
        <v>10%质保金，自验收合格，满12月或货到现场19个月支付</v>
      </c>
      <c r="AI302" s="102">
        <f>VLOOKUP(L302,材料合同!$L$6:$CC$305,24,0)</f>
        <v>40000</v>
      </c>
      <c r="AJ302" s="102">
        <f>VLOOKUP(L302,材料合同!$L$6:$CC$305,25,0)</f>
        <v>0</v>
      </c>
      <c r="AK302" s="102">
        <f>VLOOKUP(L302,材料合同!$L$6:$CC$305,26,0)</f>
        <v>0</v>
      </c>
      <c r="AL302" s="102">
        <f>VLOOKUP(L302,材料合同!$L$6:$CC$305,27,0)</f>
        <v>0</v>
      </c>
      <c r="AM302" s="102">
        <f>VLOOKUP(L302,材料合同!$L$6:$CC$305,28,0)</f>
        <v>0</v>
      </c>
      <c r="AN302" s="102">
        <f>VLOOKUP(L302,材料合同!$L$6:$CC$305,29,0)</f>
        <v>0</v>
      </c>
      <c r="AO302" s="102">
        <f>VLOOKUP(L302,材料合同!$L$6:$CC$305,30,0)</f>
        <v>0</v>
      </c>
      <c r="AP302" s="102">
        <f>VLOOKUP(L302,材料合同!$L$6:$CC$305,31,0)</f>
        <v>0</v>
      </c>
      <c r="AQ302" s="102">
        <f>VLOOKUP(L302,材料合同!$L$6:$CC$305,32,0)</f>
        <v>0</v>
      </c>
      <c r="AR302" s="102">
        <f>VLOOKUP(L302,材料合同!$L$6:$CC$305,33,0)</f>
        <v>0</v>
      </c>
      <c r="AS302" s="102">
        <f>VLOOKUP(L302,材料合同!$L$6:$CC$305,34,0)</f>
        <v>0</v>
      </c>
      <c r="AT302" s="102">
        <f>VLOOKUP(L302,材料合同!$L$6:$CC$305,35,0)</f>
        <v>0</v>
      </c>
      <c r="AU302" s="102">
        <f>VLOOKUP(L302,材料合同!$L$6:$CC$305,36,0)</f>
        <v>0</v>
      </c>
      <c r="AV302" s="102">
        <f>VLOOKUP(L302,材料合同!$L$6:$CC$305,37,0)</f>
        <v>0</v>
      </c>
      <c r="AW302" s="102">
        <f>VLOOKUP(L302,材料合同!$L$6:$CC$305,38,0)</f>
        <v>0</v>
      </c>
      <c r="AX302" s="102">
        <f>VLOOKUP(L302,材料合同!$L$6:$CC$305,39,0)</f>
        <v>0</v>
      </c>
      <c r="AY302" s="102">
        <f>VLOOKUP(L302,材料合同!$L$6:$CC$305,40,0)</f>
        <v>0</v>
      </c>
      <c r="AZ302" s="102">
        <f>VLOOKUP(L302,材料合同!$L$6:$CC$305,41,0)</f>
        <v>0</v>
      </c>
      <c r="BA302" s="102">
        <f>VLOOKUP(L302,材料合同!$L$6:$CC$305,42,0)</f>
        <v>0</v>
      </c>
      <c r="BB302" s="102">
        <f>VLOOKUP(L302,材料合同!$L$6:$CC$305,43,0)</f>
        <v>0</v>
      </c>
      <c r="BC302" s="102">
        <f>VLOOKUP(L302,材料合同!$L$6:$CC$305,44,0)</f>
        <v>0</v>
      </c>
      <c r="BD302" s="102">
        <f>VLOOKUP(L302,材料合同!$L$6:$CC$305,45,0)</f>
        <v>0</v>
      </c>
      <c r="BE302" s="102">
        <f>VLOOKUP(L302,材料合同!$L$6:$CC$305,46,0)</f>
        <v>0</v>
      </c>
      <c r="BF302" s="102">
        <f>VLOOKUP(L302,材料合同!$L$6:$CC$305,47,0)</f>
        <v>0</v>
      </c>
      <c r="BG302" s="102">
        <f>VLOOKUP(L302,材料合同!$L$6:$CC$305,48,0)</f>
        <v>0</v>
      </c>
      <c r="BH302" s="102">
        <f>VLOOKUP(L302,材料合同!$L$6:$CC$305,49,0)</f>
        <v>0</v>
      </c>
      <c r="BI302" s="102">
        <f>VLOOKUP(L302,材料合同!$L$6:$CC$305,50,0)</f>
        <v>0</v>
      </c>
      <c r="BJ302" s="102">
        <f>VLOOKUP(L302,材料合同!$L$6:$CC$305,51,0)</f>
        <v>0</v>
      </c>
      <c r="BK302" s="102">
        <f>VLOOKUP(L302,材料合同!$L$6:$CC$305,52,0)</f>
        <v>0</v>
      </c>
      <c r="BL302" s="102">
        <f>VLOOKUP(L302,材料合同!$L$6:$CC$305,53,0)</f>
        <v>0</v>
      </c>
      <c r="BM302" s="102">
        <f>VLOOKUP(L302,材料合同!$L$6:$CC$305,54,0)</f>
        <v>0</v>
      </c>
      <c r="BN302" s="102">
        <f>VLOOKUP(L302,材料合同!$L$6:$CC$305,55,0)</f>
        <v>0</v>
      </c>
      <c r="BO302" s="102">
        <f>VLOOKUP(L302,材料合同!$L$6:$CC$305,56,0)</f>
        <v>0</v>
      </c>
      <c r="BP302" s="102">
        <f>VLOOKUP(L302,材料合同!$L$6:$CC$305,57,0)</f>
        <v>0</v>
      </c>
      <c r="BQ302" s="102">
        <f>VLOOKUP(L302,材料合同!$L$6:$CC$305,58,0)</f>
        <v>0</v>
      </c>
      <c r="BR302" s="102">
        <f>VLOOKUP(L302,材料合同!$L$6:$CC$305,59,0)</f>
        <v>0</v>
      </c>
      <c r="BS302" s="102">
        <f>VLOOKUP(L302,材料合同!$L$6:$CC$305,60,0)</f>
        <v>0</v>
      </c>
      <c r="BT302" s="102">
        <f>VLOOKUP(L302,材料合同!$L$6:$CC$305,61,0)</f>
        <v>0</v>
      </c>
      <c r="BU302" s="102">
        <f>VLOOKUP(L302,材料合同!$L$6:$CC$305,62,0)</f>
        <v>0</v>
      </c>
      <c r="BV302" s="102">
        <f>VLOOKUP(L302,材料合同!$L$6:$CC$305,63,0)</f>
        <v>0</v>
      </c>
      <c r="BW302" s="102">
        <f>VLOOKUP(L302,材料合同!$L$6:$CC$305,64,0)</f>
        <v>0</v>
      </c>
      <c r="BX302" s="102">
        <f>VLOOKUP(L302,材料合同!$L$6:$CC$305,65,0)</f>
        <v>0</v>
      </c>
      <c r="BY302" s="102">
        <f>VLOOKUP(L302,材料合同!$L$6:$CC$305,66,0)</f>
        <v>0</v>
      </c>
      <c r="BZ302" s="102">
        <f>VLOOKUP(L302,材料合同!$L$6:$CC$305,67,0)</f>
        <v>0</v>
      </c>
      <c r="CA302" s="102">
        <f>VLOOKUP(L302,材料合同!$L$6:$CC$305,68,0)</f>
        <v>0</v>
      </c>
      <c r="CB302" s="102">
        <f>VLOOKUP(L302,材料合同!$L$6:$CC$305,69,0)</f>
        <v>0</v>
      </c>
      <c r="CC302" s="102">
        <f>VLOOKUP(L302,材料合同!$L$6:$CC$305,70,0)</f>
        <v>0</v>
      </c>
      <c r="CD302" s="123">
        <f t="shared" si="66"/>
        <v>400000</v>
      </c>
      <c r="CE302" s="102">
        <f t="shared" si="67"/>
        <v>80000</v>
      </c>
      <c r="CF302" s="102">
        <f t="shared" si="68"/>
        <v>0</v>
      </c>
      <c r="CG302" s="102">
        <f t="shared" si="69"/>
        <v>0</v>
      </c>
      <c r="CH302" s="124">
        <f t="shared" si="70"/>
        <v>400000</v>
      </c>
      <c r="CI302" s="125">
        <f t="shared" si="71"/>
        <v>0</v>
      </c>
      <c r="CJ302" s="126" t="str">
        <f t="shared" si="72"/>
        <v>数据正确</v>
      </c>
    </row>
    <row r="303" s="60" customFormat="1" customHeight="1" spans="2:88">
      <c r="B303" s="70" t="str">
        <f t="shared" si="62"/>
        <v>-</v>
      </c>
      <c r="C303" s="71" t="str">
        <f t="shared" si="63"/>
        <v>-</v>
      </c>
      <c r="D303" s="181">
        <f t="shared" si="64"/>
        <v>0</v>
      </c>
      <c r="E303" s="181">
        <f>SUMIF(EPC合同!$L$6:$L$300,L303,EPC合同!$E$6:$E$300)</f>
        <v>0</v>
      </c>
      <c r="F303" s="181">
        <f>SUMIF(EPC合同!$L$6:$L$300,L303,EPC合同!$F$6:$F$300)</f>
        <v>0</v>
      </c>
      <c r="G303" s="181">
        <f>SUMIF(EPC合同!$L$6:$L$300,L303,EPC合同!$G$6:$G$300)</f>
        <v>0</v>
      </c>
      <c r="H303" s="181">
        <f>SUMIF(EPC合同!$L$6:$L$300,L303,EPC合同!$H$6:$H$300)</f>
        <v>0</v>
      </c>
      <c r="I303" s="181">
        <f t="shared" si="65"/>
        <v>0</v>
      </c>
      <c r="J303" s="86" t="s">
        <v>98</v>
      </c>
      <c r="K303" s="87"/>
      <c r="L303" s="88">
        <v>298</v>
      </c>
      <c r="M303" s="89" t="str">
        <f>VLOOKUP(L303,EPC合同!$L$6:$CC$300,2,0)</f>
        <v>AG-KJ-20170005</v>
      </c>
      <c r="N303" s="90" t="str">
        <f>VLOOKUP(L303,EPC合同!$L$6:$CC$300,3,0)</f>
        <v>EPC合同</v>
      </c>
      <c r="O303" s="265" t="str">
        <f>VLOOKUP(L303,EPC合同!$L$6:$CC$300,4,0)</f>
        <v>-</v>
      </c>
      <c r="P303" s="266">
        <f>VLOOKUP(L303,EPC合同!$L$6:$CC$300,5,0)</f>
        <v>43008</v>
      </c>
      <c r="Q303" s="275">
        <f>VLOOKUP(L303,EPC合同!$L$6:$CC$300,6,0)</f>
        <v>3980000</v>
      </c>
      <c r="R303" s="89" t="str">
        <f>VLOOKUP(L303,EPC合同!$L$6:$CC$300,7,0)</f>
        <v>分析中心实验室台柜、通风、暖通、气路等PC  合计</v>
      </c>
      <c r="S303" s="89" t="str">
        <f>VLOOKUP(L303,EPC合同!$L$6:$CC$300,8,0)</f>
        <v>安徽华盛科技控股股份有限公司</v>
      </c>
      <c r="T303" s="107">
        <f>VLOOKUP(L303,EPC合同!$L$6:$CC$300,9,0)</f>
        <v>0</v>
      </c>
      <c r="U303" s="103">
        <f>VLOOKUP(L303,EPC合同!$L$6:$CC$300,10,0)</f>
        <v>0</v>
      </c>
      <c r="V303" s="276" t="str">
        <f>VLOOKUP(L303,EPC合同!$L$6:$CC$300,11,0)</f>
        <v>无预付款，按进度付至合同总额的80%</v>
      </c>
      <c r="W303" s="102">
        <f>VLOOKUP(L303,EPC合同!$L$6:$CC$300,12,0)</f>
        <v>3184000</v>
      </c>
      <c r="X303" s="102">
        <f>VLOOKUP(L303,EPC合同!$L$6:$CC$300,13,0)</f>
        <v>0</v>
      </c>
      <c r="Y303" s="102">
        <f>VLOOKUP(L303,EPC合同!$L$6:$CC$300,14,0)</f>
        <v>0</v>
      </c>
      <c r="Z303" s="102">
        <f>VLOOKUP(L303,EPC合同!$L$6:$CC$300,15,0)</f>
        <v>0</v>
      </c>
      <c r="AA303" s="102">
        <f>VLOOKUP(L303,EPC合同!$L$6:$CC$300,16,0)</f>
        <v>398000</v>
      </c>
      <c r="AB303" s="102">
        <f>VLOOKUP(L303,EPC合同!$L$6:$CC$300,17,0)</f>
        <v>0</v>
      </c>
      <c r="AC303" s="102">
        <f>VLOOKUP(L303,EPC合同!$L$6:$CC$300,18,0)</f>
        <v>0</v>
      </c>
      <c r="AD303" s="102">
        <f>VLOOKUP(L303,EPC合同!$L$6:$CC$300,19,0)</f>
        <v>0</v>
      </c>
      <c r="AE303" s="102">
        <f>VLOOKUP(L303,EPC合同!$L$6:$CC$300,20,0)</f>
        <v>398000</v>
      </c>
      <c r="AF303" s="102">
        <f>VLOOKUP(L303,EPC合同!$L$6:$CC$300,21,0)</f>
        <v>0</v>
      </c>
      <c r="AG303" s="102">
        <f>VLOOKUP(L303,EPC合同!$L$6:$CC$300,22,0)</f>
        <v>0</v>
      </c>
      <c r="AH303" s="102">
        <f>VLOOKUP(L303,EPC合同!$L$6:$CC$300,23,0)</f>
        <v>0</v>
      </c>
      <c r="AI303" s="102">
        <f>VLOOKUP(L303,EPC合同!$L$6:$CC$300,24,0)</f>
        <v>0</v>
      </c>
      <c r="AJ303" s="102">
        <f>VLOOKUP(L303,EPC合同!$L$6:$CC$300,25,0)</f>
        <v>0</v>
      </c>
      <c r="AK303" s="102">
        <f>VLOOKUP(L303,EPC合同!$L$6:$CC$300,26,0)</f>
        <v>0</v>
      </c>
      <c r="AL303" s="102">
        <f>VLOOKUP(L303,EPC合同!$L$6:$CC$300,27,0)</f>
        <v>0</v>
      </c>
      <c r="AM303" s="102">
        <f>VLOOKUP(L303,EPC合同!$L$6:$CC$300,28,0)</f>
        <v>0</v>
      </c>
      <c r="AN303" s="102">
        <f>VLOOKUP(L303,EPC合同!$L$6:$CC$300,29,0)</f>
        <v>0</v>
      </c>
      <c r="AO303" s="102">
        <f>VLOOKUP(L303,EPC合同!$L$6:$CC$300,30,0)</f>
        <v>0</v>
      </c>
      <c r="AP303" s="102">
        <f>VLOOKUP(L303,EPC合同!$L$6:$CC$300,31,0)</f>
        <v>0</v>
      </c>
      <c r="AQ303" s="102">
        <f>VLOOKUP(L303,EPC合同!$L$6:$CC$300,32,0)</f>
        <v>0</v>
      </c>
      <c r="AR303" s="102">
        <f>VLOOKUP(L303,EPC合同!$L$6:$CC$300,33,0)</f>
        <v>0</v>
      </c>
      <c r="AS303" s="102">
        <f>VLOOKUP(L303,EPC合同!$L$6:$CC$300,34,0)</f>
        <v>0</v>
      </c>
      <c r="AT303" s="102">
        <f>VLOOKUP(L303,EPC合同!$L$6:$CC$300,35,0)</f>
        <v>0</v>
      </c>
      <c r="AU303" s="102">
        <f>VLOOKUP(L303,EPC合同!$L$6:$CC$300,36,0)</f>
        <v>0</v>
      </c>
      <c r="AV303" s="102">
        <f>VLOOKUP(L303,EPC合同!$L$6:$CC$300,37,0)</f>
        <v>0</v>
      </c>
      <c r="AW303" s="102">
        <f>VLOOKUP(L303,EPC合同!$L$6:$CC$300,38,0)</f>
        <v>0</v>
      </c>
      <c r="AX303" s="102">
        <f>VLOOKUP(L303,EPC合同!$L$6:$CC$300,39,0)</f>
        <v>0</v>
      </c>
      <c r="AY303" s="102">
        <f>VLOOKUP(L303,EPC合同!$L$6:$CC$300,40,0)</f>
        <v>0</v>
      </c>
      <c r="AZ303" s="102">
        <f>VLOOKUP(L303,EPC合同!$L$6:$CC$300,41,0)</f>
        <v>0</v>
      </c>
      <c r="BA303" s="102">
        <f>VLOOKUP(L303,EPC合同!$L$6:$CC$300,42,0)</f>
        <v>0</v>
      </c>
      <c r="BB303" s="102">
        <f>VLOOKUP(L303,EPC合同!$L$6:$CC$300,43,0)</f>
        <v>0</v>
      </c>
      <c r="BC303" s="102">
        <f>VLOOKUP(L303,EPC合同!$L$6:$CC$300,44,0)</f>
        <v>0</v>
      </c>
      <c r="BD303" s="102">
        <f>VLOOKUP(L303,EPC合同!$L$6:$CC$300,45,0)</f>
        <v>0</v>
      </c>
      <c r="BE303" s="102">
        <f>VLOOKUP(L303,EPC合同!$L$6:$CC$300,46,0)</f>
        <v>0</v>
      </c>
      <c r="BF303" s="102">
        <f>VLOOKUP(L303,EPC合同!$L$6:$CC$300,47,0)</f>
        <v>0</v>
      </c>
      <c r="BG303" s="102">
        <f>VLOOKUP(L303,EPC合同!$L$6:$CC$300,48,0)</f>
        <v>0</v>
      </c>
      <c r="BH303" s="102">
        <f>VLOOKUP(L303,EPC合同!$L$6:$CC$300,49,0)</f>
        <v>0</v>
      </c>
      <c r="BI303" s="102">
        <f>VLOOKUP(L303,EPC合同!$L$6:$CC$300,50,0)</f>
        <v>0</v>
      </c>
      <c r="BJ303" s="102">
        <f>VLOOKUP(L303,EPC合同!$L$6:$CC$300,51,0)</f>
        <v>0</v>
      </c>
      <c r="BK303" s="102">
        <f>VLOOKUP(L303,EPC合同!$L$6:$CC$300,52,0)</f>
        <v>0</v>
      </c>
      <c r="BL303" s="102">
        <f>VLOOKUP(L303,EPC合同!$L$6:$CC$300,53,0)</f>
        <v>0</v>
      </c>
      <c r="BM303" s="102">
        <f>VLOOKUP(L303,EPC合同!$L$6:$CC$300,54,0)</f>
        <v>0</v>
      </c>
      <c r="BN303" s="102">
        <f>VLOOKUP(L303,EPC合同!$L$6:$CC$300,55,0)</f>
        <v>0</v>
      </c>
      <c r="BO303" s="102">
        <f>VLOOKUP(L303,EPC合同!$L$6:$CC$300,56,0)</f>
        <v>0</v>
      </c>
      <c r="BP303" s="102">
        <f>VLOOKUP(L303,EPC合同!$L$6:$CC$300,57,0)</f>
        <v>0</v>
      </c>
      <c r="BQ303" s="102">
        <f>VLOOKUP(L303,EPC合同!$L$6:$CC$300,58,0)</f>
        <v>0</v>
      </c>
      <c r="BR303" s="102">
        <f>VLOOKUP(L303,EPC合同!$L$6:$CC$300,59,0)</f>
        <v>0</v>
      </c>
      <c r="BS303" s="102">
        <f>VLOOKUP(L303,EPC合同!$L$6:$CC$300,60,0)</f>
        <v>0</v>
      </c>
      <c r="BT303" s="102">
        <f>VLOOKUP(L303,EPC合同!$L$6:$CC$300,61,0)</f>
        <v>0</v>
      </c>
      <c r="BU303" s="102">
        <f>VLOOKUP(L303,EPC合同!$L$6:$CC$300,62,0)</f>
        <v>0</v>
      </c>
      <c r="BV303" s="102">
        <f>VLOOKUP(L303,EPC合同!$L$6:$CC$300,63,0)</f>
        <v>0</v>
      </c>
      <c r="BW303" s="102">
        <f>VLOOKUP(L303,EPC合同!$L$6:$CC$300,64,0)</f>
        <v>0</v>
      </c>
      <c r="BX303" s="102">
        <f>VLOOKUP(L303,EPC合同!$L$6:$CC$300,65,0)</f>
        <v>0</v>
      </c>
      <c r="BY303" s="102">
        <f>VLOOKUP(L303,EPC合同!$L$6:$CC$300,66,0)</f>
        <v>0</v>
      </c>
      <c r="BZ303" s="102">
        <f>VLOOKUP(L303,EPC合同!$L$6:$CC$300,67,0)</f>
        <v>0</v>
      </c>
      <c r="CA303" s="102">
        <f>VLOOKUP(L303,EPC合同!$L$6:$CC$300,68,0)</f>
        <v>0</v>
      </c>
      <c r="CB303" s="102">
        <f>VLOOKUP(L303,EPC合同!$L$6:$CC$300,69,0)</f>
        <v>0</v>
      </c>
      <c r="CC303" s="102">
        <f>VLOOKUP(L303,EPC合同!$L$6:$CC$300,70,0)</f>
        <v>0</v>
      </c>
      <c r="CD303" s="123">
        <f t="shared" si="66"/>
        <v>3980000</v>
      </c>
      <c r="CE303" s="102">
        <f t="shared" si="67"/>
        <v>0</v>
      </c>
      <c r="CF303" s="102">
        <f t="shared" si="68"/>
        <v>0</v>
      </c>
      <c r="CG303" s="102">
        <f t="shared" si="69"/>
        <v>0</v>
      </c>
      <c r="CH303" s="124">
        <f t="shared" si="70"/>
        <v>3980000</v>
      </c>
      <c r="CI303" s="125">
        <f t="shared" si="71"/>
        <v>0</v>
      </c>
      <c r="CJ303" s="126" t="str">
        <f t="shared" si="72"/>
        <v>数据正确</v>
      </c>
    </row>
    <row r="304" s="60" customFormat="1" customHeight="1" spans="2:88">
      <c r="B304" s="70" t="str">
        <f t="shared" si="62"/>
        <v>-</v>
      </c>
      <c r="C304" s="71" t="str">
        <f t="shared" si="63"/>
        <v>-</v>
      </c>
      <c r="D304" s="181">
        <f t="shared" si="64"/>
        <v>0</v>
      </c>
      <c r="E304" s="181">
        <f>SUMIF(服务合同!$L$6:$L$300,L304,服务合同!$E$6:$E$300)</f>
        <v>0</v>
      </c>
      <c r="F304" s="181">
        <f>SUMIF(服务合同!$L$6:$L$300,L304,服务合同!$F$6:$F$300)</f>
        <v>0</v>
      </c>
      <c r="G304" s="181">
        <f>SUMIF(服务合同!$L$6:$L$300,L304,服务合同!$G$6:$G$300)</f>
        <v>0</v>
      </c>
      <c r="H304" s="181">
        <f>SUMIF(服务合同!$L$6:$L$300,L304,服务合同!$H$6:$H$300)</f>
        <v>0</v>
      </c>
      <c r="I304" s="181">
        <f t="shared" si="65"/>
        <v>0</v>
      </c>
      <c r="J304" s="86" t="s">
        <v>98</v>
      </c>
      <c r="K304" s="87"/>
      <c r="L304" s="88">
        <v>299</v>
      </c>
      <c r="M304" s="89" t="str">
        <f>VLOOKUP(L304,服务合同!$L$6:$CC$300,2,0)</f>
        <v>AG-KJ-20170007</v>
      </c>
      <c r="N304" s="90" t="str">
        <f>VLOOKUP(L304,服务合同!$L$6:$CC$300,3,0)</f>
        <v>服务合同</v>
      </c>
      <c r="O304" s="265" t="str">
        <f>VLOOKUP(L304,服务合同!$L$6:$CC$300,4,0)</f>
        <v>-</v>
      </c>
      <c r="P304" s="266">
        <f>VLOOKUP(L304,服务合同!$L$6:$CC$300,5,0)</f>
        <v>43024</v>
      </c>
      <c r="Q304" s="275">
        <f>VLOOKUP(L304,服务合同!$L$6:$CC$300,6,0)</f>
        <v>0</v>
      </c>
      <c r="R304" s="89" t="str">
        <f>VLOOKUP(L304,服务合同!$L$6:$CC$300,7,0)</f>
        <v>项目临时土方工程和另行机械使用</v>
      </c>
      <c r="S304" s="89" t="str">
        <f>VLOOKUP(L304,服务合同!$L$6:$CC$300,8,0)</f>
        <v>中鑫建设集团有限公司</v>
      </c>
      <c r="T304" s="107">
        <f>VLOOKUP(L304,服务合同!$L$6:$CC$300,9,0)</f>
        <v>0</v>
      </c>
      <c r="U304" s="103" t="str">
        <f>VLOOKUP(L304,服务合同!$L$6:$CC$300,10,0)</f>
        <v>6个月承兑汇票/电汇下浮3%</v>
      </c>
      <c r="V304" s="276" t="str">
        <f>VLOOKUP(L304,服务合同!$L$6:$CC$300,11,0)</f>
        <v>每两个月付一次进度款</v>
      </c>
      <c r="W304" s="102">
        <f>VLOOKUP(L304,服务合同!$L$6:$CC$300,12,0)</f>
        <v>0</v>
      </c>
      <c r="X304" s="102">
        <f>VLOOKUP(L304,服务合同!$L$6:$CC$300,13,0)</f>
        <v>0</v>
      </c>
      <c r="Y304" s="102">
        <f>VLOOKUP(L304,服务合同!$L$6:$CC$300,14,0)</f>
        <v>0</v>
      </c>
      <c r="Z304" s="102">
        <f>VLOOKUP(L304,服务合同!$L$6:$CC$300,15,0)</f>
        <v>0</v>
      </c>
      <c r="AA304" s="102">
        <f>VLOOKUP(L304,服务合同!$L$6:$CC$300,16,0)</f>
        <v>0</v>
      </c>
      <c r="AB304" s="102">
        <f>VLOOKUP(L304,服务合同!$L$6:$CC$300,17,0)</f>
        <v>0</v>
      </c>
      <c r="AC304" s="102">
        <f>VLOOKUP(L304,服务合同!$L$6:$CC$300,18,0)</f>
        <v>0</v>
      </c>
      <c r="AD304" s="102">
        <f>VLOOKUP(L304,服务合同!$L$6:$CC$300,19,0)</f>
        <v>0</v>
      </c>
      <c r="AE304" s="102">
        <f>VLOOKUP(L304,服务合同!$L$6:$CC$300,20,0)</f>
        <v>0</v>
      </c>
      <c r="AF304" s="102">
        <f>VLOOKUP(L304,服务合同!$L$6:$CC$300,21,0)</f>
        <v>0</v>
      </c>
      <c r="AG304" s="102">
        <f>VLOOKUP(L304,服务合同!$L$6:$CC$300,22,0)</f>
        <v>0</v>
      </c>
      <c r="AH304" s="102">
        <f>VLOOKUP(L304,服务合同!$L$6:$CC$300,23,0)</f>
        <v>0</v>
      </c>
      <c r="AI304" s="102">
        <f>VLOOKUP(L304,服务合同!$L$6:$CC$300,24,0)</f>
        <v>0</v>
      </c>
      <c r="AJ304" s="102">
        <f>VLOOKUP(L304,服务合同!$L$6:$CC$300,25,0)</f>
        <v>0</v>
      </c>
      <c r="AK304" s="102">
        <f>VLOOKUP(L304,服务合同!$L$6:$CC$300,26,0)</f>
        <v>0</v>
      </c>
      <c r="AL304" s="102">
        <f>VLOOKUP(L304,服务合同!$L$6:$CC$300,27,0)</f>
        <v>0</v>
      </c>
      <c r="AM304" s="102">
        <f>VLOOKUP(L304,服务合同!$L$6:$CC$300,28,0)</f>
        <v>0</v>
      </c>
      <c r="AN304" s="102">
        <f>VLOOKUP(L304,服务合同!$L$6:$CC$300,29,0)</f>
        <v>0</v>
      </c>
      <c r="AO304" s="102">
        <f>VLOOKUP(L304,服务合同!$L$6:$CC$300,30,0)</f>
        <v>0</v>
      </c>
      <c r="AP304" s="102">
        <f>VLOOKUP(L304,服务合同!$L$6:$CC$300,31,0)</f>
        <v>0</v>
      </c>
      <c r="AQ304" s="102">
        <f>VLOOKUP(L304,服务合同!$L$6:$CC$300,32,0)</f>
        <v>0</v>
      </c>
      <c r="AR304" s="102">
        <f>VLOOKUP(L304,服务合同!$L$6:$CC$300,33,0)</f>
        <v>0</v>
      </c>
      <c r="AS304" s="102">
        <f>VLOOKUP(L304,服务合同!$L$6:$CC$300,34,0)</f>
        <v>0</v>
      </c>
      <c r="AT304" s="102">
        <f>VLOOKUP(L304,服务合同!$L$6:$CC$300,35,0)</f>
        <v>0</v>
      </c>
      <c r="AU304" s="102">
        <f>VLOOKUP(L304,服务合同!$L$6:$CC$300,36,0)</f>
        <v>0</v>
      </c>
      <c r="AV304" s="102">
        <f>VLOOKUP(L304,服务合同!$L$6:$CC$300,37,0)</f>
        <v>0</v>
      </c>
      <c r="AW304" s="102">
        <f>VLOOKUP(L304,服务合同!$L$6:$CC$300,38,0)</f>
        <v>0</v>
      </c>
      <c r="AX304" s="102">
        <f>VLOOKUP(L304,服务合同!$L$6:$CC$300,39,0)</f>
        <v>0</v>
      </c>
      <c r="AY304" s="102">
        <f>VLOOKUP(L304,服务合同!$L$6:$CC$300,40,0)</f>
        <v>0</v>
      </c>
      <c r="AZ304" s="102">
        <f>VLOOKUP(L304,服务合同!$L$6:$CC$300,41,0)</f>
        <v>0</v>
      </c>
      <c r="BA304" s="102">
        <f>VLOOKUP(L304,服务合同!$L$6:$CC$300,42,0)</f>
        <v>0</v>
      </c>
      <c r="BB304" s="102">
        <f>VLOOKUP(L304,服务合同!$L$6:$CC$300,43,0)</f>
        <v>0</v>
      </c>
      <c r="BC304" s="102">
        <f>VLOOKUP(L304,服务合同!$L$6:$CC$300,44,0)</f>
        <v>0</v>
      </c>
      <c r="BD304" s="102">
        <f>VLOOKUP(L304,服务合同!$L$6:$CC$300,45,0)</f>
        <v>0</v>
      </c>
      <c r="BE304" s="102">
        <f>VLOOKUP(L304,服务合同!$L$6:$CC$300,46,0)</f>
        <v>0</v>
      </c>
      <c r="BF304" s="102">
        <f>VLOOKUP(L304,服务合同!$L$6:$CC$300,47,0)</f>
        <v>0</v>
      </c>
      <c r="BG304" s="102">
        <f>VLOOKUP(L304,服务合同!$L$6:$CC$300,48,0)</f>
        <v>0</v>
      </c>
      <c r="BH304" s="102">
        <f>VLOOKUP(L304,服务合同!$L$6:$CC$300,49,0)</f>
        <v>0</v>
      </c>
      <c r="BI304" s="102">
        <f>VLOOKUP(L304,服务合同!$L$6:$CC$300,50,0)</f>
        <v>0</v>
      </c>
      <c r="BJ304" s="102">
        <f>VLOOKUP(L304,服务合同!$L$6:$CC$300,51,0)</f>
        <v>0</v>
      </c>
      <c r="BK304" s="102">
        <f>VLOOKUP(L304,服务合同!$L$6:$CC$300,52,0)</f>
        <v>0</v>
      </c>
      <c r="BL304" s="102">
        <f>VLOOKUP(L304,服务合同!$L$6:$CC$300,53,0)</f>
        <v>0</v>
      </c>
      <c r="BM304" s="102">
        <f>VLOOKUP(L304,服务合同!$L$6:$CC$300,54,0)</f>
        <v>0</v>
      </c>
      <c r="BN304" s="102">
        <f>VLOOKUP(L304,服务合同!$L$6:$CC$300,55,0)</f>
        <v>0</v>
      </c>
      <c r="BO304" s="102">
        <f>VLOOKUP(L304,服务合同!$L$6:$CC$300,56,0)</f>
        <v>0</v>
      </c>
      <c r="BP304" s="102">
        <f>VLOOKUP(L304,服务合同!$L$6:$CC$300,57,0)</f>
        <v>0</v>
      </c>
      <c r="BQ304" s="102">
        <f>VLOOKUP(L304,服务合同!$L$6:$CC$300,58,0)</f>
        <v>0</v>
      </c>
      <c r="BR304" s="102">
        <f>VLOOKUP(L304,服务合同!$L$6:$CC$300,59,0)</f>
        <v>0</v>
      </c>
      <c r="BS304" s="102">
        <f>VLOOKUP(L304,服务合同!$L$6:$CC$300,60,0)</f>
        <v>0</v>
      </c>
      <c r="BT304" s="102">
        <f>VLOOKUP(L304,服务合同!$L$6:$CC$300,61,0)</f>
        <v>0</v>
      </c>
      <c r="BU304" s="102">
        <f>VLOOKUP(L304,服务合同!$L$6:$CC$300,62,0)</f>
        <v>0</v>
      </c>
      <c r="BV304" s="102">
        <f>VLOOKUP(L304,服务合同!$L$6:$CC$300,63,0)</f>
        <v>0</v>
      </c>
      <c r="BW304" s="102">
        <f>VLOOKUP(L304,服务合同!$L$6:$CC$300,64,0)</f>
        <v>0</v>
      </c>
      <c r="BX304" s="102">
        <f>VLOOKUP(L304,服务合同!$L$6:$CC$300,65,0)</f>
        <v>0</v>
      </c>
      <c r="BY304" s="102">
        <f>VLOOKUP(L304,服务合同!$L$6:$CC$300,66,0)</f>
        <v>0</v>
      </c>
      <c r="BZ304" s="102">
        <f>VLOOKUP(L304,服务合同!$L$6:$CC$300,67,0)</f>
        <v>0</v>
      </c>
      <c r="CA304" s="102">
        <f>VLOOKUP(L304,服务合同!$L$6:$CC$300,68,0)</f>
        <v>0</v>
      </c>
      <c r="CB304" s="102">
        <f>VLOOKUP(L304,服务合同!$L$6:$CC$300,69,0)</f>
        <v>0</v>
      </c>
      <c r="CC304" s="102">
        <f>VLOOKUP(L304,服务合同!$L$6:$CC$300,70,0)</f>
        <v>0</v>
      </c>
      <c r="CD304" s="123">
        <f t="shared" si="66"/>
        <v>0</v>
      </c>
      <c r="CE304" s="102">
        <f t="shared" si="67"/>
        <v>0</v>
      </c>
      <c r="CF304" s="102">
        <f t="shared" si="68"/>
        <v>0</v>
      </c>
      <c r="CG304" s="102">
        <f t="shared" si="69"/>
        <v>0</v>
      </c>
      <c r="CH304" s="124">
        <f t="shared" si="70"/>
        <v>0</v>
      </c>
      <c r="CI304" s="125" t="str">
        <f t="shared" si="71"/>
        <v>-</v>
      </c>
      <c r="CJ304" s="126" t="str">
        <f t="shared" si="72"/>
        <v>数据正确</v>
      </c>
    </row>
    <row r="305" s="60" customFormat="1" customHeight="1" spans="2:88">
      <c r="B305" s="70" t="str">
        <f t="shared" si="62"/>
        <v>申请中</v>
      </c>
      <c r="C305" s="71" t="str">
        <f t="shared" si="63"/>
        <v>-</v>
      </c>
      <c r="D305" s="181">
        <f t="shared" si="64"/>
        <v>0</v>
      </c>
      <c r="E305" s="181">
        <f>SUMIF(设备合同!$L$6:$L$302,L305,设备合同!$E$6:$E$302)</f>
        <v>0</v>
      </c>
      <c r="F305" s="181">
        <f>SUMIF(设备合同!$L$6:$L$302,L305,设备合同!$F$6:$F$302)</f>
        <v>0</v>
      </c>
      <c r="G305" s="181">
        <f>SUMIF(设备合同!$L$6:$L$302,L305,设备合同!$G$6:$G$302)</f>
        <v>0</v>
      </c>
      <c r="H305" s="181">
        <f>SUMIF(设备合同!$L$6:$L$302,L305,设备合同!$H$6:$H$302)</f>
        <v>0</v>
      </c>
      <c r="I305" s="181">
        <f t="shared" si="65"/>
        <v>1071800</v>
      </c>
      <c r="J305" s="86" t="s">
        <v>98</v>
      </c>
      <c r="K305" s="87"/>
      <c r="L305" s="88">
        <v>300</v>
      </c>
      <c r="M305" s="89" t="str">
        <f>VLOOKUP(L305,设备合同!$L$6:$CC$302,2,0)</f>
        <v>YRKJEQ-1700105</v>
      </c>
      <c r="N305" s="90" t="str">
        <f>VLOOKUP(L305,设备合同!$L$6:$CC$302,3,0)</f>
        <v>设备合同</v>
      </c>
      <c r="O305" s="265">
        <f>VLOOKUP(L305,设备合同!$L$6:$CC$302,4,0)</f>
        <v>2017080015</v>
      </c>
      <c r="P305" s="266">
        <f>VLOOKUP(L305,设备合同!$L$6:$CC$302,5,0)</f>
        <v>43022</v>
      </c>
      <c r="Q305" s="275">
        <f>VLOOKUP(L305,设备合同!$L$6:$CC$302,6,0)</f>
        <v>5359000</v>
      </c>
      <c r="R305" s="89" t="str">
        <f>VLOOKUP(L305,设备合同!$L$6:$CC$302,7,0)</f>
        <v>气相色谱仪一批</v>
      </c>
      <c r="S305" s="89" t="str">
        <f>VLOOKUP(L305,设备合同!$L$6:$CC$302,8,0)</f>
        <v>常州磐诺仪器有限公司</v>
      </c>
      <c r="T305" s="107" t="str">
        <f>VLOOKUP(L305,设备合同!$L$6:$CC$302,9,0)</f>
        <v>分析中心</v>
      </c>
      <c r="U305" s="103" t="str">
        <f>VLOOKUP(L305,设备合同!$L$6:$CC$302,10,0)</f>
        <v>电汇</v>
      </c>
      <c r="V305" s="276" t="str">
        <f>VLOOKUP(L305,设备合同!$L$6:$CC$302,11,0)</f>
        <v>甲方15个工作日支付20%预付款  10%履约保函</v>
      </c>
      <c r="W305" s="102">
        <f>VLOOKUP(L305,设备合同!$L$6:$CC$302,12,0)</f>
        <v>1071800</v>
      </c>
      <c r="X305" s="102">
        <f>VLOOKUP(L305,设备合同!$L$6:$CC$302,13,0)</f>
        <v>1071800</v>
      </c>
      <c r="Y305" s="102">
        <f>VLOOKUP(L305,设备合同!$L$6:$CC$302,14,0)</f>
        <v>0</v>
      </c>
      <c r="Z305" s="102" t="str">
        <f>VLOOKUP(L305,设备合同!$L$6:$CC$302,15,0)</f>
        <v>甲方在乙方现场确认无误，且受到乙方70%的专票后，15个工作日内支付40%的货款</v>
      </c>
      <c r="AA305" s="102">
        <f>VLOOKUP(L305,设备合同!$L$6:$CC$302,16,0)</f>
        <v>2143600</v>
      </c>
      <c r="AB305" s="102">
        <f>VLOOKUP(L305,设备合同!$L$6:$CC$302,17,0)</f>
        <v>0</v>
      </c>
      <c r="AC305" s="102">
        <f>VLOOKUP(L305,设备合同!$L$6:$CC$302,18,0)</f>
        <v>0</v>
      </c>
      <c r="AD305" s="102" t="str">
        <f>VLOOKUP(L305,设备合同!$L$6:$CC$302,19,0)</f>
        <v>甲方核定的调试合格报告及足额的发票后付30%的验收款</v>
      </c>
      <c r="AE305" s="102">
        <f>VLOOKUP(L305,设备合同!$L$6:$CC$302,20,0)</f>
        <v>1607700</v>
      </c>
      <c r="AF305" s="102">
        <f>VLOOKUP(L305,设备合同!$L$6:$CC$302,21,0)</f>
        <v>0</v>
      </c>
      <c r="AG305" s="102">
        <f>VLOOKUP(L305,设备合同!$L$6:$CC$302,22,0)</f>
        <v>0</v>
      </c>
      <c r="AH305" s="102" t="str">
        <f>VLOOKUP(L305,设备合同!$L$6:$CC$302,23,0)</f>
        <v>10%质保金，验收合格12个月或到货现场18个月 承兑</v>
      </c>
      <c r="AI305" s="102">
        <f>VLOOKUP(L305,设备合同!$L$6:$CC$302,24,0)</f>
        <v>535900</v>
      </c>
      <c r="AJ305" s="102">
        <f>VLOOKUP(L305,设备合同!$L$6:$CC$302,25,0)</f>
        <v>0</v>
      </c>
      <c r="AK305" s="102">
        <f>VLOOKUP(L305,设备合同!$L$6:$CC$302,26,0)</f>
        <v>0</v>
      </c>
      <c r="AL305" s="102">
        <f>VLOOKUP(L305,设备合同!$L$6:$CC$302,27,0)</f>
        <v>0</v>
      </c>
      <c r="AM305" s="102">
        <f>VLOOKUP(L305,设备合同!$L$6:$CC$302,28,0)</f>
        <v>0</v>
      </c>
      <c r="AN305" s="102">
        <f>VLOOKUP(L305,设备合同!$L$6:$CC$302,29,0)</f>
        <v>0</v>
      </c>
      <c r="AO305" s="102">
        <f>VLOOKUP(L305,设备合同!$L$6:$CC$302,30,0)</f>
        <v>0</v>
      </c>
      <c r="AP305" s="102">
        <f>VLOOKUP(L305,设备合同!$L$6:$CC$302,31,0)</f>
        <v>0</v>
      </c>
      <c r="AQ305" s="102">
        <f>VLOOKUP(L305,设备合同!$L$6:$CC$302,32,0)</f>
        <v>0</v>
      </c>
      <c r="AR305" s="102">
        <f>VLOOKUP(L305,设备合同!$L$6:$CC$302,33,0)</f>
        <v>0</v>
      </c>
      <c r="AS305" s="102">
        <f>VLOOKUP(L305,设备合同!$L$6:$CC$302,34,0)</f>
        <v>0</v>
      </c>
      <c r="AT305" s="102">
        <f>VLOOKUP(L305,设备合同!$L$6:$CC$302,35,0)</f>
        <v>0</v>
      </c>
      <c r="AU305" s="102">
        <f>VLOOKUP(L305,设备合同!$L$6:$CC$302,36,0)</f>
        <v>0</v>
      </c>
      <c r="AV305" s="102">
        <f>VLOOKUP(L305,设备合同!$L$6:$CC$302,37,0)</f>
        <v>0</v>
      </c>
      <c r="AW305" s="102">
        <f>VLOOKUP(L305,设备合同!$L$6:$CC$302,38,0)</f>
        <v>0</v>
      </c>
      <c r="AX305" s="102">
        <f>VLOOKUP(L305,设备合同!$L$6:$CC$302,39,0)</f>
        <v>0</v>
      </c>
      <c r="AY305" s="102">
        <f>VLOOKUP(L305,设备合同!$L$6:$CC$302,40,0)</f>
        <v>0</v>
      </c>
      <c r="AZ305" s="102">
        <f>VLOOKUP(L305,设备合同!$L$6:$CC$302,41,0)</f>
        <v>0</v>
      </c>
      <c r="BA305" s="102">
        <f>VLOOKUP(L305,设备合同!$L$6:$CC$302,42,0)</f>
        <v>0</v>
      </c>
      <c r="BB305" s="102">
        <f>VLOOKUP(L305,设备合同!$L$6:$CC$302,43,0)</f>
        <v>0</v>
      </c>
      <c r="BC305" s="102">
        <f>VLOOKUP(L305,设备合同!$L$6:$CC$302,44,0)</f>
        <v>0</v>
      </c>
      <c r="BD305" s="102">
        <f>VLOOKUP(L305,设备合同!$L$6:$CC$302,45,0)</f>
        <v>0</v>
      </c>
      <c r="BE305" s="102">
        <f>VLOOKUP(L305,设备合同!$L$6:$CC$302,46,0)</f>
        <v>0</v>
      </c>
      <c r="BF305" s="102">
        <f>VLOOKUP(L305,设备合同!$L$6:$CC$302,47,0)</f>
        <v>0</v>
      </c>
      <c r="BG305" s="102">
        <f>VLOOKUP(L305,设备合同!$L$6:$CC$302,48,0)</f>
        <v>0</v>
      </c>
      <c r="BH305" s="102">
        <f>VLOOKUP(L305,设备合同!$L$6:$CC$302,49,0)</f>
        <v>0</v>
      </c>
      <c r="BI305" s="102">
        <f>VLOOKUP(L305,设备合同!$L$6:$CC$302,50,0)</f>
        <v>0</v>
      </c>
      <c r="BJ305" s="102">
        <f>VLOOKUP(L305,设备合同!$L$6:$CC$302,51,0)</f>
        <v>0</v>
      </c>
      <c r="BK305" s="102">
        <f>VLOOKUP(L305,设备合同!$L$6:$CC$302,52,0)</f>
        <v>0</v>
      </c>
      <c r="BL305" s="102">
        <f>VLOOKUP(L305,设备合同!$L$6:$CC$302,53,0)</f>
        <v>0</v>
      </c>
      <c r="BM305" s="102">
        <f>VLOOKUP(L305,设备合同!$L$6:$CC$302,54,0)</f>
        <v>0</v>
      </c>
      <c r="BN305" s="102">
        <f>VLOOKUP(L305,设备合同!$L$6:$CC$302,55,0)</f>
        <v>0</v>
      </c>
      <c r="BO305" s="102">
        <f>VLOOKUP(L305,设备合同!$L$6:$CC$302,56,0)</f>
        <v>0</v>
      </c>
      <c r="BP305" s="102">
        <f>VLOOKUP(L305,设备合同!$L$6:$CC$302,57,0)</f>
        <v>0</v>
      </c>
      <c r="BQ305" s="102">
        <f>VLOOKUP(L305,设备合同!$L$6:$CC$302,58,0)</f>
        <v>0</v>
      </c>
      <c r="BR305" s="102">
        <f>VLOOKUP(L305,设备合同!$L$6:$CC$302,59,0)</f>
        <v>0</v>
      </c>
      <c r="BS305" s="102">
        <f>VLOOKUP(L305,设备合同!$L$6:$CC$302,60,0)</f>
        <v>0</v>
      </c>
      <c r="BT305" s="102">
        <f>VLOOKUP(L305,设备合同!$L$6:$CC$302,61,0)</f>
        <v>0</v>
      </c>
      <c r="BU305" s="102">
        <f>VLOOKUP(L305,设备合同!$L$6:$CC$302,62,0)</f>
        <v>0</v>
      </c>
      <c r="BV305" s="102">
        <f>VLOOKUP(L305,设备合同!$L$6:$CC$302,63,0)</f>
        <v>0</v>
      </c>
      <c r="BW305" s="102">
        <f>VLOOKUP(L305,设备合同!$L$6:$CC$302,64,0)</f>
        <v>0</v>
      </c>
      <c r="BX305" s="102">
        <f>VLOOKUP(L305,设备合同!$L$6:$CC$302,65,0)</f>
        <v>0</v>
      </c>
      <c r="BY305" s="102">
        <f>VLOOKUP(L305,设备合同!$L$6:$CC$302,66,0)</f>
        <v>0</v>
      </c>
      <c r="BZ305" s="102">
        <f>VLOOKUP(L305,设备合同!$L$6:$CC$302,67,0)</f>
        <v>0</v>
      </c>
      <c r="CA305" s="102">
        <f>VLOOKUP(L305,设备合同!$L$6:$CC$302,68,0)</f>
        <v>0</v>
      </c>
      <c r="CB305" s="102">
        <f>VLOOKUP(L305,设备合同!$L$6:$CC$302,69,0)</f>
        <v>0</v>
      </c>
      <c r="CC305" s="102">
        <f>VLOOKUP(L305,设备合同!$L$6:$CC$302,70,0)</f>
        <v>0</v>
      </c>
      <c r="CD305" s="123">
        <f t="shared" si="66"/>
        <v>5359000</v>
      </c>
      <c r="CE305" s="102">
        <f t="shared" si="67"/>
        <v>1071800</v>
      </c>
      <c r="CF305" s="102">
        <f t="shared" si="68"/>
        <v>0</v>
      </c>
      <c r="CG305" s="102">
        <f t="shared" si="69"/>
        <v>0</v>
      </c>
      <c r="CH305" s="124">
        <f t="shared" si="70"/>
        <v>5359000</v>
      </c>
      <c r="CI305" s="125">
        <f t="shared" si="71"/>
        <v>0</v>
      </c>
      <c r="CJ305" s="126" t="str">
        <f t="shared" si="72"/>
        <v>数据正确</v>
      </c>
    </row>
    <row r="306" s="60" customFormat="1" customHeight="1" spans="2:88">
      <c r="B306" s="70" t="str">
        <f t="shared" si="62"/>
        <v>申请中</v>
      </c>
      <c r="C306" s="71" t="str">
        <f t="shared" si="63"/>
        <v>-</v>
      </c>
      <c r="D306" s="181">
        <f t="shared" si="64"/>
        <v>0</v>
      </c>
      <c r="E306" s="181">
        <f>SUMIF(设备合同!$L$6:$L$302,L306,设备合同!$E$6:$E$302)</f>
        <v>0</v>
      </c>
      <c r="F306" s="181">
        <f>SUMIF(设备合同!$L$6:$L$302,L306,设备合同!$F$6:$F$302)</f>
        <v>0</v>
      </c>
      <c r="G306" s="181">
        <f>SUMIF(设备合同!$L$6:$L$302,L306,设备合同!$G$6:$G$302)</f>
        <v>0</v>
      </c>
      <c r="H306" s="181">
        <f>SUMIF(设备合同!$L$6:$L$302,L306,设备合同!$H$6:$H$302)</f>
        <v>0</v>
      </c>
      <c r="I306" s="181">
        <f t="shared" si="65"/>
        <v>223800</v>
      </c>
      <c r="J306" s="86" t="s">
        <v>98</v>
      </c>
      <c r="K306" s="87"/>
      <c r="L306" s="88">
        <v>301</v>
      </c>
      <c r="M306" s="89" t="str">
        <f>VLOOKUP(L306,设备合同!$L$6:$CC$302,2,0)</f>
        <v>YRKJEQ-1700106</v>
      </c>
      <c r="N306" s="90" t="str">
        <f>VLOOKUP(L306,设备合同!$L$6:$CC$302,3,0)</f>
        <v>设备合同</v>
      </c>
      <c r="O306" s="265">
        <f>VLOOKUP(L306,设备合同!$L$6:$CC$302,4,0)</f>
        <v>2017080015</v>
      </c>
      <c r="P306" s="266">
        <f>VLOOKUP(L306,设备合同!$L$6:$CC$302,5,0)</f>
        <v>43026</v>
      </c>
      <c r="Q306" s="275">
        <f>VLOOKUP(L306,设备合同!$L$6:$CC$302,6,0)</f>
        <v>1119000</v>
      </c>
      <c r="R306" s="89" t="str">
        <f>VLOOKUP(L306,设备合同!$L$6:$CC$302,7,0)</f>
        <v>液相色谱仪2台+气相色谱仪1台</v>
      </c>
      <c r="S306" s="89" t="str">
        <f>VLOOKUP(L306,设备合同!$L$6:$CC$302,8,0)</f>
        <v>厦门精艺兴业科技有限公司</v>
      </c>
      <c r="T306" s="107" t="str">
        <f>VLOOKUP(L306,设备合同!$L$6:$CC$302,9,0)</f>
        <v>分析中心</v>
      </c>
      <c r="U306" s="103" t="str">
        <f>VLOOKUP(L306,设备合同!$L$6:$CC$302,10,0)</f>
        <v>电汇</v>
      </c>
      <c r="V306" s="276" t="str">
        <f>VLOOKUP(L306,设备合同!$L$6:$CC$302,11,0)</f>
        <v>甲方15个工作日支付20%预付款  10%履约保函 10%质量保函</v>
      </c>
      <c r="W306" s="102">
        <f>VLOOKUP(L306,设备合同!$L$6:$CC$302,12,0)</f>
        <v>223800</v>
      </c>
      <c r="X306" s="102">
        <f>VLOOKUP(L306,设备合同!$L$6:$CC$302,13,0)</f>
        <v>223800</v>
      </c>
      <c r="Y306" s="102">
        <f>VLOOKUP(L306,设备合同!$L$6:$CC$302,14,0)</f>
        <v>0</v>
      </c>
      <c r="Z306" s="102" t="str">
        <f>VLOOKUP(L306,设备合同!$L$6:$CC$302,15,0)</f>
        <v>甲方在乙方现场确认无误，且受到乙方70%的专票后，15个工作日内支付40%的货款</v>
      </c>
      <c r="AA306" s="102">
        <f>VLOOKUP(L306,设备合同!$L$6:$CC$302,16,0)</f>
        <v>447600</v>
      </c>
      <c r="AB306" s="102">
        <f>VLOOKUP(L306,设备合同!$L$6:$CC$302,17,0)</f>
        <v>0</v>
      </c>
      <c r="AC306" s="102">
        <f>VLOOKUP(L306,设备合同!$L$6:$CC$302,18,0)</f>
        <v>0</v>
      </c>
      <c r="AD306" s="102" t="str">
        <f>VLOOKUP(L306,设备合同!$L$6:$CC$302,19,0)</f>
        <v>甲方核定的调试合格报告及足额的发票后付40%的验收款</v>
      </c>
      <c r="AE306" s="102">
        <f>VLOOKUP(L306,设备合同!$L$6:$CC$302,20,0)</f>
        <v>447600</v>
      </c>
      <c r="AF306" s="102">
        <f>VLOOKUP(L306,设备合同!$L$6:$CC$302,21,0)</f>
        <v>0</v>
      </c>
      <c r="AG306" s="102">
        <f>VLOOKUP(L306,设备合同!$L$6:$CC$302,22,0)</f>
        <v>0</v>
      </c>
      <c r="AH306" s="102">
        <f>VLOOKUP(L306,设备合同!$L$6:$CC$302,23,0)</f>
        <v>0</v>
      </c>
      <c r="AI306" s="102">
        <f>VLOOKUP(L306,设备合同!$L$6:$CC$302,24,0)</f>
        <v>0</v>
      </c>
      <c r="AJ306" s="102">
        <f>VLOOKUP(L306,设备合同!$L$6:$CC$302,25,0)</f>
        <v>0</v>
      </c>
      <c r="AK306" s="102">
        <f>VLOOKUP(L306,设备合同!$L$6:$CC$302,26,0)</f>
        <v>0</v>
      </c>
      <c r="AL306" s="102">
        <f>VLOOKUP(L306,设备合同!$L$6:$CC$302,27,0)</f>
        <v>0</v>
      </c>
      <c r="AM306" s="102">
        <f>VLOOKUP(L306,设备合同!$L$6:$CC$302,28,0)</f>
        <v>0</v>
      </c>
      <c r="AN306" s="102">
        <f>VLOOKUP(L306,设备合同!$L$6:$CC$302,29,0)</f>
        <v>0</v>
      </c>
      <c r="AO306" s="102">
        <f>VLOOKUP(L306,设备合同!$L$6:$CC$302,30,0)</f>
        <v>0</v>
      </c>
      <c r="AP306" s="102">
        <f>VLOOKUP(L306,设备合同!$L$6:$CC$302,31,0)</f>
        <v>0</v>
      </c>
      <c r="AQ306" s="102">
        <f>VLOOKUP(L306,设备合同!$L$6:$CC$302,32,0)</f>
        <v>0</v>
      </c>
      <c r="AR306" s="102">
        <f>VLOOKUP(L306,设备合同!$L$6:$CC$302,33,0)</f>
        <v>0</v>
      </c>
      <c r="AS306" s="102">
        <f>VLOOKUP(L306,设备合同!$L$6:$CC$302,34,0)</f>
        <v>0</v>
      </c>
      <c r="AT306" s="102">
        <f>VLOOKUP(L306,设备合同!$L$6:$CC$302,35,0)</f>
        <v>0</v>
      </c>
      <c r="AU306" s="102">
        <f>VLOOKUP(L306,设备合同!$L$6:$CC$302,36,0)</f>
        <v>0</v>
      </c>
      <c r="AV306" s="102">
        <f>VLOOKUP(L306,设备合同!$L$6:$CC$302,37,0)</f>
        <v>0</v>
      </c>
      <c r="AW306" s="102">
        <f>VLOOKUP(L306,设备合同!$L$6:$CC$302,38,0)</f>
        <v>0</v>
      </c>
      <c r="AX306" s="102">
        <f>VLOOKUP(L306,设备合同!$L$6:$CC$302,39,0)</f>
        <v>0</v>
      </c>
      <c r="AY306" s="102">
        <f>VLOOKUP(L306,设备合同!$L$6:$CC$302,40,0)</f>
        <v>0</v>
      </c>
      <c r="AZ306" s="102">
        <f>VLOOKUP(L306,设备合同!$L$6:$CC$302,41,0)</f>
        <v>0</v>
      </c>
      <c r="BA306" s="102">
        <f>VLOOKUP(L306,设备合同!$L$6:$CC$302,42,0)</f>
        <v>0</v>
      </c>
      <c r="BB306" s="102">
        <f>VLOOKUP(L306,设备合同!$L$6:$CC$302,43,0)</f>
        <v>0</v>
      </c>
      <c r="BC306" s="102">
        <f>VLOOKUP(L306,设备合同!$L$6:$CC$302,44,0)</f>
        <v>0</v>
      </c>
      <c r="BD306" s="102">
        <f>VLOOKUP(L306,设备合同!$L$6:$CC$302,45,0)</f>
        <v>0</v>
      </c>
      <c r="BE306" s="102">
        <f>VLOOKUP(L306,设备合同!$L$6:$CC$302,46,0)</f>
        <v>0</v>
      </c>
      <c r="BF306" s="102">
        <f>VLOOKUP(L306,设备合同!$L$6:$CC$302,47,0)</f>
        <v>0</v>
      </c>
      <c r="BG306" s="102">
        <f>VLOOKUP(L306,设备合同!$L$6:$CC$302,48,0)</f>
        <v>0</v>
      </c>
      <c r="BH306" s="102">
        <f>VLOOKUP(L306,设备合同!$L$6:$CC$302,49,0)</f>
        <v>0</v>
      </c>
      <c r="BI306" s="102">
        <f>VLOOKUP(L306,设备合同!$L$6:$CC$302,50,0)</f>
        <v>0</v>
      </c>
      <c r="BJ306" s="102">
        <f>VLOOKUP(L306,设备合同!$L$6:$CC$302,51,0)</f>
        <v>0</v>
      </c>
      <c r="BK306" s="102">
        <f>VLOOKUP(L306,设备合同!$L$6:$CC$302,52,0)</f>
        <v>0</v>
      </c>
      <c r="BL306" s="102">
        <f>VLOOKUP(L306,设备合同!$L$6:$CC$302,53,0)</f>
        <v>0</v>
      </c>
      <c r="BM306" s="102">
        <f>VLOOKUP(L306,设备合同!$L$6:$CC$302,54,0)</f>
        <v>0</v>
      </c>
      <c r="BN306" s="102">
        <f>VLOOKUP(L306,设备合同!$L$6:$CC$302,55,0)</f>
        <v>0</v>
      </c>
      <c r="BO306" s="102">
        <f>VLOOKUP(L306,设备合同!$L$6:$CC$302,56,0)</f>
        <v>0</v>
      </c>
      <c r="BP306" s="102">
        <f>VLOOKUP(L306,设备合同!$L$6:$CC$302,57,0)</f>
        <v>0</v>
      </c>
      <c r="BQ306" s="102">
        <f>VLOOKUP(L306,设备合同!$L$6:$CC$302,58,0)</f>
        <v>0</v>
      </c>
      <c r="BR306" s="102">
        <f>VLOOKUP(L306,设备合同!$L$6:$CC$302,59,0)</f>
        <v>0</v>
      </c>
      <c r="BS306" s="102">
        <f>VLOOKUP(L306,设备合同!$L$6:$CC$302,60,0)</f>
        <v>0</v>
      </c>
      <c r="BT306" s="102">
        <f>VLOOKUP(L306,设备合同!$L$6:$CC$302,61,0)</f>
        <v>0</v>
      </c>
      <c r="BU306" s="102">
        <f>VLOOKUP(L306,设备合同!$L$6:$CC$302,62,0)</f>
        <v>0</v>
      </c>
      <c r="BV306" s="102">
        <f>VLOOKUP(L306,设备合同!$L$6:$CC$302,63,0)</f>
        <v>0</v>
      </c>
      <c r="BW306" s="102">
        <f>VLOOKUP(L306,设备合同!$L$6:$CC$302,64,0)</f>
        <v>0</v>
      </c>
      <c r="BX306" s="102">
        <f>VLOOKUP(L306,设备合同!$L$6:$CC$302,65,0)</f>
        <v>0</v>
      </c>
      <c r="BY306" s="102">
        <f>VLOOKUP(L306,设备合同!$L$6:$CC$302,66,0)</f>
        <v>0</v>
      </c>
      <c r="BZ306" s="102">
        <f>VLOOKUP(L306,设备合同!$L$6:$CC$302,67,0)</f>
        <v>0</v>
      </c>
      <c r="CA306" s="102">
        <f>VLOOKUP(L306,设备合同!$L$6:$CC$302,68,0)</f>
        <v>0</v>
      </c>
      <c r="CB306" s="102">
        <f>VLOOKUP(L306,设备合同!$L$6:$CC$302,69,0)</f>
        <v>0</v>
      </c>
      <c r="CC306" s="102">
        <f>VLOOKUP(L306,设备合同!$L$6:$CC$302,70,0)</f>
        <v>0</v>
      </c>
      <c r="CD306" s="123">
        <f t="shared" si="66"/>
        <v>1119000</v>
      </c>
      <c r="CE306" s="102">
        <f t="shared" si="67"/>
        <v>223800</v>
      </c>
      <c r="CF306" s="102">
        <f t="shared" si="68"/>
        <v>0</v>
      </c>
      <c r="CG306" s="102">
        <f t="shared" si="69"/>
        <v>0</v>
      </c>
      <c r="CH306" s="124">
        <f t="shared" si="70"/>
        <v>1119000</v>
      </c>
      <c r="CI306" s="125">
        <f t="shared" si="71"/>
        <v>0</v>
      </c>
      <c r="CJ306" s="126" t="str">
        <f t="shared" si="72"/>
        <v>数据正确</v>
      </c>
    </row>
    <row r="307" s="60" customFormat="1" customHeight="1" spans="2:88">
      <c r="B307" s="70" t="str">
        <f t="shared" si="62"/>
        <v>申请中</v>
      </c>
      <c r="C307" s="71" t="str">
        <f t="shared" si="63"/>
        <v>-</v>
      </c>
      <c r="D307" s="181">
        <f t="shared" si="64"/>
        <v>0</v>
      </c>
      <c r="E307" s="181">
        <f>SUMIF(设备合同!$L$6:$L$302,L307,设备合同!$E$6:$E$302)</f>
        <v>0</v>
      </c>
      <c r="F307" s="181">
        <f>SUMIF(设备合同!$L$6:$L$302,L307,设备合同!$F$6:$F$302)</f>
        <v>0</v>
      </c>
      <c r="G307" s="181">
        <f>SUMIF(设备合同!$L$6:$L$302,L307,设备合同!$G$6:$G$302)</f>
        <v>0</v>
      </c>
      <c r="H307" s="181">
        <f>SUMIF(设备合同!$L$6:$L$302,L307,设备合同!$H$6:$H$302)</f>
        <v>0</v>
      </c>
      <c r="I307" s="181">
        <f t="shared" si="65"/>
        <v>1300000</v>
      </c>
      <c r="J307" s="86" t="s">
        <v>98</v>
      </c>
      <c r="K307" s="87"/>
      <c r="L307" s="88">
        <v>302</v>
      </c>
      <c r="M307" s="89" t="str">
        <f>VLOOKUP(L307,设备合同!$L$6:$CC$302,2,0)</f>
        <v>YRKJEQ-170103</v>
      </c>
      <c r="N307" s="90" t="str">
        <f>VLOOKUP(L307,设备合同!$L$6:$CC$302,3,0)</f>
        <v>设备合同</v>
      </c>
      <c r="O307" s="265">
        <f>VLOOKUP(L307,设备合同!$L$6:$CC$302,4,0)</f>
        <v>0</v>
      </c>
      <c r="P307" s="266">
        <f>VLOOKUP(L307,设备合同!$L$6:$CC$302,5,0)</f>
        <v>43021</v>
      </c>
      <c r="Q307" s="275">
        <f>VLOOKUP(L307,设备合同!$L$6:$CC$302,6,0)</f>
        <v>6500000</v>
      </c>
      <c r="R307" s="89" t="str">
        <f>VLOOKUP(L307,设备合同!$L$6:$CC$302,7,0)</f>
        <v>DOS系统一套</v>
      </c>
      <c r="S307" s="89" t="str">
        <f>VLOOKUP(L307,设备合同!$L$6:$CC$302,8,0)</f>
        <v>艾默生过程控制有限公司</v>
      </c>
      <c r="T307" s="107" t="str">
        <f>VLOOKUP(L307,设备合同!$L$6:$CC$302,9,0)</f>
        <v>全厂用</v>
      </c>
      <c r="U307" s="103" t="str">
        <f>VLOOKUP(L307,设备合同!$L$6:$CC$302,10,0)</f>
        <v>电汇/承兑金额不超过合同总价的50%，银行为四大行</v>
      </c>
      <c r="V307" s="276" t="str">
        <f>VLOOKUP(L307,设备合同!$L$6:$CC$302,11,0)</f>
        <v>甲方15个工作日支付20%预付款  10%履约保函</v>
      </c>
      <c r="W307" s="102">
        <f>VLOOKUP(L307,设备合同!$L$6:$CC$302,12,0)</f>
        <v>1300000</v>
      </c>
      <c r="X307" s="102">
        <f>VLOOKUP(L307,设备合同!$L$6:$CC$302,13,0)</f>
        <v>1300000</v>
      </c>
      <c r="Y307" s="102">
        <f>VLOOKUP(L307,设备合同!$L$6:$CC$302,14,0)</f>
        <v>0</v>
      </c>
      <c r="Z307" s="102" t="str">
        <f>VLOOKUP(L307,设备合同!$L$6:$CC$302,15,0)</f>
        <v>甲方到乙方现场确认无误后，收到17%等额、专票，15个工作日内支付60%发货款</v>
      </c>
      <c r="AA307" s="102">
        <f>VLOOKUP(L307,设备合同!$L$6:$CC$302,16,0)</f>
        <v>3900000</v>
      </c>
      <c r="AB307" s="102">
        <f>VLOOKUP(L307,设备合同!$L$6:$CC$302,17,0)</f>
        <v>0</v>
      </c>
      <c r="AC307" s="102">
        <f>VLOOKUP(L307,设备合同!$L$6:$CC$302,18,0)</f>
        <v>0</v>
      </c>
      <c r="AD307" s="102" t="str">
        <f>VLOOKUP(L307,设备合同!$L$6:$CC$302,19,0)</f>
        <v>甲方核定的调试合格报告及足额的发票后付20%的验收款</v>
      </c>
      <c r="AE307" s="102">
        <f>VLOOKUP(L307,设备合同!$L$6:$CC$302,20,0)</f>
        <v>1300000</v>
      </c>
      <c r="AF307" s="102">
        <f>VLOOKUP(L307,设备合同!$L$6:$CC$302,21,0)</f>
        <v>0</v>
      </c>
      <c r="AG307" s="102">
        <f>VLOOKUP(L307,设备合同!$L$6:$CC$302,22,0)</f>
        <v>0</v>
      </c>
      <c r="AH307" s="102">
        <f>VLOOKUP(L307,设备合同!$L$6:$CC$302,23,0)</f>
        <v>0</v>
      </c>
      <c r="AI307" s="102">
        <f>VLOOKUP(L307,设备合同!$L$6:$CC$302,24,0)</f>
        <v>0</v>
      </c>
      <c r="AJ307" s="102">
        <f>VLOOKUP(L307,设备合同!$L$6:$CC$302,25,0)</f>
        <v>0</v>
      </c>
      <c r="AK307" s="102">
        <f>VLOOKUP(L307,设备合同!$L$6:$CC$302,26,0)</f>
        <v>0</v>
      </c>
      <c r="AL307" s="102">
        <f>VLOOKUP(L307,设备合同!$L$6:$CC$302,27,0)</f>
        <v>0</v>
      </c>
      <c r="AM307" s="102">
        <f>VLOOKUP(L307,设备合同!$L$6:$CC$302,28,0)</f>
        <v>0</v>
      </c>
      <c r="AN307" s="102">
        <f>VLOOKUP(L307,设备合同!$L$6:$CC$302,29,0)</f>
        <v>0</v>
      </c>
      <c r="AO307" s="102">
        <f>VLOOKUP(L307,设备合同!$L$6:$CC$302,30,0)</f>
        <v>0</v>
      </c>
      <c r="AP307" s="102">
        <f>VLOOKUP(L307,设备合同!$L$6:$CC$302,31,0)</f>
        <v>0</v>
      </c>
      <c r="AQ307" s="102">
        <f>VLOOKUP(L307,设备合同!$L$6:$CC$302,32,0)</f>
        <v>0</v>
      </c>
      <c r="AR307" s="102">
        <f>VLOOKUP(L307,设备合同!$L$6:$CC$302,33,0)</f>
        <v>0</v>
      </c>
      <c r="AS307" s="102">
        <f>VLOOKUP(L307,设备合同!$L$6:$CC$302,34,0)</f>
        <v>0</v>
      </c>
      <c r="AT307" s="102">
        <f>VLOOKUP(L307,设备合同!$L$6:$CC$302,35,0)</f>
        <v>0</v>
      </c>
      <c r="AU307" s="102">
        <f>VLOOKUP(L307,设备合同!$L$6:$CC$302,36,0)</f>
        <v>0</v>
      </c>
      <c r="AV307" s="102">
        <f>VLOOKUP(L307,设备合同!$L$6:$CC$302,37,0)</f>
        <v>0</v>
      </c>
      <c r="AW307" s="102">
        <f>VLOOKUP(L307,设备合同!$L$6:$CC$302,38,0)</f>
        <v>0</v>
      </c>
      <c r="AX307" s="102">
        <f>VLOOKUP(L307,设备合同!$L$6:$CC$302,39,0)</f>
        <v>0</v>
      </c>
      <c r="AY307" s="102">
        <f>VLOOKUP(L307,设备合同!$L$6:$CC$302,40,0)</f>
        <v>0</v>
      </c>
      <c r="AZ307" s="102">
        <f>VLOOKUP(L307,设备合同!$L$6:$CC$302,41,0)</f>
        <v>0</v>
      </c>
      <c r="BA307" s="102">
        <f>VLOOKUP(L307,设备合同!$L$6:$CC$302,42,0)</f>
        <v>0</v>
      </c>
      <c r="BB307" s="102">
        <f>VLOOKUP(L307,设备合同!$L$6:$CC$302,43,0)</f>
        <v>0</v>
      </c>
      <c r="BC307" s="102">
        <f>VLOOKUP(L307,设备合同!$L$6:$CC$302,44,0)</f>
        <v>0</v>
      </c>
      <c r="BD307" s="102">
        <f>VLOOKUP(L307,设备合同!$L$6:$CC$302,45,0)</f>
        <v>0</v>
      </c>
      <c r="BE307" s="102">
        <f>VLOOKUP(L307,设备合同!$L$6:$CC$302,46,0)</f>
        <v>0</v>
      </c>
      <c r="BF307" s="102">
        <f>VLOOKUP(L307,设备合同!$L$6:$CC$302,47,0)</f>
        <v>0</v>
      </c>
      <c r="BG307" s="102">
        <f>VLOOKUP(L307,设备合同!$L$6:$CC$302,48,0)</f>
        <v>0</v>
      </c>
      <c r="BH307" s="102">
        <f>VLOOKUP(L307,设备合同!$L$6:$CC$302,49,0)</f>
        <v>0</v>
      </c>
      <c r="BI307" s="102">
        <f>VLOOKUP(L307,设备合同!$L$6:$CC$302,50,0)</f>
        <v>0</v>
      </c>
      <c r="BJ307" s="102">
        <f>VLOOKUP(L307,设备合同!$L$6:$CC$302,51,0)</f>
        <v>0</v>
      </c>
      <c r="BK307" s="102">
        <f>VLOOKUP(L307,设备合同!$L$6:$CC$302,52,0)</f>
        <v>0</v>
      </c>
      <c r="BL307" s="102">
        <f>VLOOKUP(L307,设备合同!$L$6:$CC$302,53,0)</f>
        <v>0</v>
      </c>
      <c r="BM307" s="102">
        <f>VLOOKUP(L307,设备合同!$L$6:$CC$302,54,0)</f>
        <v>0</v>
      </c>
      <c r="BN307" s="102">
        <f>VLOOKUP(L307,设备合同!$L$6:$CC$302,55,0)</f>
        <v>0</v>
      </c>
      <c r="BO307" s="102">
        <f>VLOOKUP(L307,设备合同!$L$6:$CC$302,56,0)</f>
        <v>0</v>
      </c>
      <c r="BP307" s="102">
        <f>VLOOKUP(L307,设备合同!$L$6:$CC$302,57,0)</f>
        <v>0</v>
      </c>
      <c r="BQ307" s="102">
        <f>VLOOKUP(L307,设备合同!$L$6:$CC$302,58,0)</f>
        <v>0</v>
      </c>
      <c r="BR307" s="102">
        <f>VLOOKUP(L307,设备合同!$L$6:$CC$302,59,0)</f>
        <v>0</v>
      </c>
      <c r="BS307" s="102">
        <f>VLOOKUP(L307,设备合同!$L$6:$CC$302,60,0)</f>
        <v>0</v>
      </c>
      <c r="BT307" s="102">
        <f>VLOOKUP(L307,设备合同!$L$6:$CC$302,61,0)</f>
        <v>0</v>
      </c>
      <c r="BU307" s="102">
        <f>VLOOKUP(L307,设备合同!$L$6:$CC$302,62,0)</f>
        <v>0</v>
      </c>
      <c r="BV307" s="102">
        <f>VLOOKUP(L307,设备合同!$L$6:$CC$302,63,0)</f>
        <v>0</v>
      </c>
      <c r="BW307" s="102">
        <f>VLOOKUP(L307,设备合同!$L$6:$CC$302,64,0)</f>
        <v>0</v>
      </c>
      <c r="BX307" s="102">
        <f>VLOOKUP(L307,设备合同!$L$6:$CC$302,65,0)</f>
        <v>0</v>
      </c>
      <c r="BY307" s="102">
        <f>VLOOKUP(L307,设备合同!$L$6:$CC$302,66,0)</f>
        <v>0</v>
      </c>
      <c r="BZ307" s="102">
        <f>VLOOKUP(L307,设备合同!$L$6:$CC$302,67,0)</f>
        <v>0</v>
      </c>
      <c r="CA307" s="102">
        <f>VLOOKUP(L307,设备合同!$L$6:$CC$302,68,0)</f>
        <v>0</v>
      </c>
      <c r="CB307" s="102">
        <f>VLOOKUP(L307,设备合同!$L$6:$CC$302,69,0)</f>
        <v>0</v>
      </c>
      <c r="CC307" s="102">
        <f>VLOOKUP(L307,设备合同!$L$6:$CC$302,70,0)</f>
        <v>0</v>
      </c>
      <c r="CD307" s="123">
        <f t="shared" si="66"/>
        <v>6500000</v>
      </c>
      <c r="CE307" s="102">
        <f t="shared" si="67"/>
        <v>1300000</v>
      </c>
      <c r="CF307" s="102">
        <f t="shared" si="68"/>
        <v>0</v>
      </c>
      <c r="CG307" s="102">
        <f t="shared" si="69"/>
        <v>0</v>
      </c>
      <c r="CH307" s="124">
        <f t="shared" si="70"/>
        <v>6500000</v>
      </c>
      <c r="CI307" s="125">
        <f t="shared" si="71"/>
        <v>0</v>
      </c>
      <c r="CJ307" s="126" t="str">
        <f t="shared" si="72"/>
        <v>数据正确</v>
      </c>
    </row>
    <row r="308" s="60" customFormat="1" customHeight="1" spans="2:88">
      <c r="B308" s="70" t="str">
        <f t="shared" si="62"/>
        <v>-</v>
      </c>
      <c r="C308" s="71" t="str">
        <f t="shared" si="63"/>
        <v>-</v>
      </c>
      <c r="D308" s="181">
        <f t="shared" si="64"/>
        <v>3930000</v>
      </c>
      <c r="E308" s="181">
        <f>SUMIF(设备合同!$L$6:$L$302,L308,设备合同!$E$6:$E$302)</f>
        <v>0</v>
      </c>
      <c r="F308" s="181">
        <f>SUMIF(设备合同!$L$6:$L$302,L308,设备合同!$F$6:$F$302)</f>
        <v>0</v>
      </c>
      <c r="G308" s="181">
        <f>SUMIF(设备合同!$L$6:$L$302,L308,设备合同!$G$6:$G$302)</f>
        <v>0</v>
      </c>
      <c r="H308" s="181">
        <f>SUMIF(设备合同!$L$6:$L$302,L308,设备合同!$H$6:$H$302)</f>
        <v>0</v>
      </c>
      <c r="I308" s="181">
        <f t="shared" si="65"/>
        <v>0</v>
      </c>
      <c r="J308" s="86" t="s">
        <v>98</v>
      </c>
      <c r="K308" s="87"/>
      <c r="L308" s="88">
        <v>303</v>
      </c>
      <c r="M308" s="89" t="str">
        <f>VLOOKUP(L308,设备合同!$L$6:$CC$302,2,0)</f>
        <v>YRKJBT-170124</v>
      </c>
      <c r="N308" s="90" t="str">
        <f>VLOOKUP(L308,设备合同!$L$6:$CC$302,3,0)</f>
        <v>设备合同</v>
      </c>
      <c r="O308" s="265">
        <f>VLOOKUP(L308,设备合同!$L$6:$CC$302,4,0)</f>
        <v>0</v>
      </c>
      <c r="P308" s="266">
        <f>VLOOKUP(L308,设备合同!$L$6:$CC$302,5,0)</f>
        <v>43031</v>
      </c>
      <c r="Q308" s="275">
        <f>VLOOKUP(L308,设备合同!$L$6:$CC$302,6,0)</f>
        <v>19650000</v>
      </c>
      <c r="R308" s="89" t="str">
        <f>VLOOKUP(L308,设备合同!$L$6:$CC$302,7,0)</f>
        <v>高、低压开关柜</v>
      </c>
      <c r="S308" s="89" t="str">
        <f>VLOOKUP(L308,设备合同!$L$6:$CC$302,8,0)</f>
        <v>中骏电气（厦门）有限公司</v>
      </c>
      <c r="T308" s="107" t="str">
        <f>VLOOKUP(L308,设备合同!$L$6:$CC$302,9,0)</f>
        <v>西北区配电所</v>
      </c>
      <c r="U308" s="103" t="str">
        <f>VLOOKUP(L308,设备合同!$L$6:$CC$302,10,0)</f>
        <v>电汇</v>
      </c>
      <c r="V308" s="276" t="str">
        <f>VLOOKUP(L308,设备合同!$L$6:$CC$302,11,0)</f>
        <v>甲方15个工作日支付20%预付款  10%履约保函</v>
      </c>
      <c r="W308" s="102">
        <f>VLOOKUP(L308,设备合同!$L$6:$CC$302,12,0)</f>
        <v>3930000</v>
      </c>
      <c r="X308" s="102">
        <f>VLOOKUP(L308,设备合同!$L$6:$CC$302,13,0)</f>
        <v>3930000</v>
      </c>
      <c r="Y308" s="102">
        <f>VLOOKUP(L308,设备合同!$L$6:$CC$302,14,0)</f>
        <v>3930000</v>
      </c>
      <c r="Z308" s="102" t="str">
        <f>VLOOKUP(L308,设备合同!$L$6:$CC$302,15,0)</f>
        <v>甲方到乙方现场确认无误后，收到17%等额、专票，15个工作日内支付40%发货款</v>
      </c>
      <c r="AA308" s="102">
        <f>VLOOKUP(L308,设备合同!$L$6:$CC$302,16,0)</f>
        <v>7860000</v>
      </c>
      <c r="AB308" s="102">
        <f>VLOOKUP(L308,设备合同!$L$6:$CC$302,17,0)</f>
        <v>0</v>
      </c>
      <c r="AC308" s="102">
        <f>VLOOKUP(L308,设备合同!$L$6:$CC$302,18,0)</f>
        <v>0</v>
      </c>
      <c r="AD308" s="102" t="str">
        <f>VLOOKUP(L308,设备合同!$L$6:$CC$302,19,0)</f>
        <v>甲方核定的调试合格报告及足额的发票后付30%的验收款</v>
      </c>
      <c r="AE308" s="102">
        <f>VLOOKUP(L308,设备合同!$L$6:$CC$302,20,0)</f>
        <v>5895000</v>
      </c>
      <c r="AF308" s="102">
        <f>VLOOKUP(L308,设备合同!$L$6:$CC$302,21,0)</f>
        <v>0</v>
      </c>
      <c r="AG308" s="102">
        <f>VLOOKUP(L308,设备合同!$L$6:$CC$302,22,0)</f>
        <v>0</v>
      </c>
      <c r="AH308" s="102" t="str">
        <f>VLOOKUP(L308,设备合同!$L$6:$CC$302,23,0)</f>
        <v>10%质保金，验收合格12个月或到货现场18个月 承兑</v>
      </c>
      <c r="AI308" s="102">
        <f>VLOOKUP(L308,设备合同!$L$6:$CC$302,24,0)</f>
        <v>1965000</v>
      </c>
      <c r="AJ308" s="102">
        <f>VLOOKUP(L308,设备合同!$L$6:$CC$302,25,0)</f>
        <v>0</v>
      </c>
      <c r="AK308" s="102">
        <f>VLOOKUP(L308,设备合同!$L$6:$CC$302,26,0)</f>
        <v>0</v>
      </c>
      <c r="AL308" s="102">
        <f>VLOOKUP(L308,设备合同!$L$6:$CC$302,27,0)</f>
        <v>0</v>
      </c>
      <c r="AM308" s="102">
        <f>VLOOKUP(L308,设备合同!$L$6:$CC$302,28,0)</f>
        <v>0</v>
      </c>
      <c r="AN308" s="102">
        <f>VLOOKUP(L308,设备合同!$L$6:$CC$302,29,0)</f>
        <v>0</v>
      </c>
      <c r="AO308" s="102">
        <f>VLOOKUP(L308,设备合同!$L$6:$CC$302,30,0)</f>
        <v>0</v>
      </c>
      <c r="AP308" s="102">
        <f>VLOOKUP(L308,设备合同!$L$6:$CC$302,31,0)</f>
        <v>0</v>
      </c>
      <c r="AQ308" s="102">
        <f>VLOOKUP(L308,设备合同!$L$6:$CC$302,32,0)</f>
        <v>0</v>
      </c>
      <c r="AR308" s="102">
        <f>VLOOKUP(L308,设备合同!$L$6:$CC$302,33,0)</f>
        <v>0</v>
      </c>
      <c r="AS308" s="102">
        <f>VLOOKUP(L308,设备合同!$L$6:$CC$302,34,0)</f>
        <v>0</v>
      </c>
      <c r="AT308" s="102">
        <f>VLOOKUP(L308,设备合同!$L$6:$CC$302,35,0)</f>
        <v>0</v>
      </c>
      <c r="AU308" s="102">
        <f>VLOOKUP(L308,设备合同!$L$6:$CC$302,36,0)</f>
        <v>0</v>
      </c>
      <c r="AV308" s="102">
        <f>VLOOKUP(L308,设备合同!$L$6:$CC$302,37,0)</f>
        <v>0</v>
      </c>
      <c r="AW308" s="102">
        <f>VLOOKUP(L308,设备合同!$L$6:$CC$302,38,0)</f>
        <v>0</v>
      </c>
      <c r="AX308" s="102">
        <f>VLOOKUP(L308,设备合同!$L$6:$CC$302,39,0)</f>
        <v>0</v>
      </c>
      <c r="AY308" s="102">
        <f>VLOOKUP(L308,设备合同!$L$6:$CC$302,40,0)</f>
        <v>0</v>
      </c>
      <c r="AZ308" s="102">
        <f>VLOOKUP(L308,设备合同!$L$6:$CC$302,41,0)</f>
        <v>0</v>
      </c>
      <c r="BA308" s="102">
        <f>VLOOKUP(L308,设备合同!$L$6:$CC$302,42,0)</f>
        <v>0</v>
      </c>
      <c r="BB308" s="102">
        <f>VLOOKUP(L308,设备合同!$L$6:$CC$302,43,0)</f>
        <v>0</v>
      </c>
      <c r="BC308" s="102">
        <f>VLOOKUP(L308,设备合同!$L$6:$CC$302,44,0)</f>
        <v>0</v>
      </c>
      <c r="BD308" s="102">
        <f>VLOOKUP(L308,设备合同!$L$6:$CC$302,45,0)</f>
        <v>0</v>
      </c>
      <c r="BE308" s="102">
        <f>VLOOKUP(L308,设备合同!$L$6:$CC$302,46,0)</f>
        <v>0</v>
      </c>
      <c r="BF308" s="102">
        <f>VLOOKUP(L308,设备合同!$L$6:$CC$302,47,0)</f>
        <v>0</v>
      </c>
      <c r="BG308" s="102">
        <f>VLOOKUP(L308,设备合同!$L$6:$CC$302,48,0)</f>
        <v>0</v>
      </c>
      <c r="BH308" s="102">
        <f>VLOOKUP(L308,设备合同!$L$6:$CC$302,49,0)</f>
        <v>0</v>
      </c>
      <c r="BI308" s="102">
        <f>VLOOKUP(L308,设备合同!$L$6:$CC$302,50,0)</f>
        <v>0</v>
      </c>
      <c r="BJ308" s="102">
        <f>VLOOKUP(L308,设备合同!$L$6:$CC$302,51,0)</f>
        <v>0</v>
      </c>
      <c r="BK308" s="102">
        <f>VLOOKUP(L308,设备合同!$L$6:$CC$302,52,0)</f>
        <v>0</v>
      </c>
      <c r="BL308" s="102">
        <f>VLOOKUP(L308,设备合同!$L$6:$CC$302,53,0)</f>
        <v>0</v>
      </c>
      <c r="BM308" s="102">
        <f>VLOOKUP(L308,设备合同!$L$6:$CC$302,54,0)</f>
        <v>0</v>
      </c>
      <c r="BN308" s="102">
        <f>VLOOKUP(L308,设备合同!$L$6:$CC$302,55,0)</f>
        <v>0</v>
      </c>
      <c r="BO308" s="102">
        <f>VLOOKUP(L308,设备合同!$L$6:$CC$302,56,0)</f>
        <v>0</v>
      </c>
      <c r="BP308" s="102">
        <f>VLOOKUP(L308,设备合同!$L$6:$CC$302,57,0)</f>
        <v>0</v>
      </c>
      <c r="BQ308" s="102">
        <f>VLOOKUP(L308,设备合同!$L$6:$CC$302,58,0)</f>
        <v>0</v>
      </c>
      <c r="BR308" s="102">
        <f>VLOOKUP(L308,设备合同!$L$6:$CC$302,59,0)</f>
        <v>0</v>
      </c>
      <c r="BS308" s="102">
        <f>VLOOKUP(L308,设备合同!$L$6:$CC$302,60,0)</f>
        <v>0</v>
      </c>
      <c r="BT308" s="102">
        <f>VLOOKUP(L308,设备合同!$L$6:$CC$302,61,0)</f>
        <v>0</v>
      </c>
      <c r="BU308" s="102">
        <f>VLOOKUP(L308,设备合同!$L$6:$CC$302,62,0)</f>
        <v>0</v>
      </c>
      <c r="BV308" s="102">
        <f>VLOOKUP(L308,设备合同!$L$6:$CC$302,63,0)</f>
        <v>0</v>
      </c>
      <c r="BW308" s="102">
        <f>VLOOKUP(L308,设备合同!$L$6:$CC$302,64,0)</f>
        <v>0</v>
      </c>
      <c r="BX308" s="102">
        <f>VLOOKUP(L308,设备合同!$L$6:$CC$302,65,0)</f>
        <v>0</v>
      </c>
      <c r="BY308" s="102">
        <f>VLOOKUP(L308,设备合同!$L$6:$CC$302,66,0)</f>
        <v>0</v>
      </c>
      <c r="BZ308" s="102">
        <f>VLOOKUP(L308,设备合同!$L$6:$CC$302,67,0)</f>
        <v>0</v>
      </c>
      <c r="CA308" s="102">
        <f>VLOOKUP(L308,设备合同!$L$6:$CC$302,68,0)</f>
        <v>0</v>
      </c>
      <c r="CB308" s="102">
        <f>VLOOKUP(L308,设备合同!$L$6:$CC$302,69,0)</f>
        <v>0</v>
      </c>
      <c r="CC308" s="102">
        <f>VLOOKUP(L308,设备合同!$L$6:$CC$302,70,0)</f>
        <v>0</v>
      </c>
      <c r="CD308" s="123">
        <f t="shared" si="66"/>
        <v>19650000</v>
      </c>
      <c r="CE308" s="102">
        <f t="shared" si="67"/>
        <v>3930000</v>
      </c>
      <c r="CF308" s="102">
        <f t="shared" si="68"/>
        <v>3930000</v>
      </c>
      <c r="CG308" s="102">
        <f t="shared" si="69"/>
        <v>0</v>
      </c>
      <c r="CH308" s="124">
        <f t="shared" si="70"/>
        <v>15720000</v>
      </c>
      <c r="CI308" s="125">
        <f t="shared" si="71"/>
        <v>0.2</v>
      </c>
      <c r="CJ308" s="126" t="str">
        <f t="shared" si="72"/>
        <v>数据正确</v>
      </c>
    </row>
    <row r="309" s="60" customFormat="1" customHeight="1" spans="2:88">
      <c r="B309" s="70" t="str">
        <f t="shared" si="62"/>
        <v>-</v>
      </c>
      <c r="C309" s="71" t="str">
        <f t="shared" si="63"/>
        <v>-</v>
      </c>
      <c r="D309" s="181">
        <f t="shared" si="64"/>
        <v>0</v>
      </c>
      <c r="E309" s="181">
        <f>SUMIF(设备合同!$L$6:$L$302,L309,设备合同!$E$6:$E$302)</f>
        <v>0</v>
      </c>
      <c r="F309" s="181">
        <f>SUMIF(设备合同!$L$6:$L$302,L309,设备合同!$F$6:$F$302)</f>
        <v>0</v>
      </c>
      <c r="G309" s="181">
        <f>SUMIF(设备合同!$L$6:$L$302,L309,设备合同!$G$6:$G$302)</f>
        <v>0</v>
      </c>
      <c r="H309" s="181">
        <f>SUMIF(设备合同!$L$6:$L$302,L309,设备合同!$H$6:$H$302)</f>
        <v>0</v>
      </c>
      <c r="I309" s="181">
        <f t="shared" si="65"/>
        <v>0</v>
      </c>
      <c r="J309" s="86" t="s">
        <v>98</v>
      </c>
      <c r="K309" s="87"/>
      <c r="L309" s="88">
        <v>304</v>
      </c>
      <c r="M309" s="89" t="str">
        <f>VLOOKUP(L309,设备合同!$L$6:$CC$302,2,0)</f>
        <v>YRKJEQ-170107</v>
      </c>
      <c r="N309" s="90" t="str">
        <f>VLOOKUP(L309,设备合同!$L$6:$CC$302,3,0)</f>
        <v>设备合同</v>
      </c>
      <c r="O309" s="265">
        <f>VLOOKUP(L309,设备合同!$L$6:$CC$302,4,0)</f>
        <v>0</v>
      </c>
      <c r="P309" s="266">
        <f>VLOOKUP(L309,设备合同!$L$6:$CC$302,5,0)</f>
        <v>43039</v>
      </c>
      <c r="Q309" s="275">
        <f>VLOOKUP(L309,设备合同!$L$6:$CC$302,6,0)</f>
        <v>410000</v>
      </c>
      <c r="R309" s="89" t="str">
        <f>VLOOKUP(L309,设备合同!$L$6:$CC$302,7,0)</f>
        <v>碱性液位计</v>
      </c>
      <c r="S309" s="89" t="str">
        <f>VLOOKUP(L309,设备合同!$L$6:$CC$302,8,0)</f>
        <v>上海星申仪表有限公司</v>
      </c>
      <c r="T309" s="107">
        <f>VLOOKUP(L309,设备合同!$L$6:$CC$302,9,0)</f>
        <v>0</v>
      </c>
      <c r="U309" s="103" t="str">
        <f>VLOOKUP(L309,设备合同!$L$6:$CC$302,10,0)</f>
        <v>电汇</v>
      </c>
      <c r="V309" s="276" t="str">
        <f>VLOOKUP(L309,设备合同!$L$6:$CC$302,11,0)</f>
        <v>甲方15个工作日支付20%预付款  10%履约保函</v>
      </c>
      <c r="W309" s="102">
        <f>VLOOKUP(L309,设备合同!$L$6:$CC$302,12,0)</f>
        <v>82000</v>
      </c>
      <c r="X309" s="102">
        <f>VLOOKUP(L309,设备合同!$L$6:$CC$302,13,0)</f>
        <v>0</v>
      </c>
      <c r="Y309" s="102">
        <f>VLOOKUP(L309,设备合同!$L$6:$CC$302,14,0)</f>
        <v>0</v>
      </c>
      <c r="Z309" s="102" t="str">
        <f>VLOOKUP(L309,设备合同!$L$6:$CC$302,15,0)</f>
        <v>甲方到乙方现场确认无误后，收到17%全额专票，15个工作日内支付40%发货款</v>
      </c>
      <c r="AA309" s="102">
        <f>VLOOKUP(L309,设备合同!$L$6:$CC$302,16,0)</f>
        <v>164000</v>
      </c>
      <c r="AB309" s="102">
        <f>VLOOKUP(L309,设备合同!$L$6:$CC$302,17,0)</f>
        <v>0</v>
      </c>
      <c r="AC309" s="102">
        <f>VLOOKUP(L309,设备合同!$L$6:$CC$302,18,0)</f>
        <v>0</v>
      </c>
      <c r="AD309" s="102" t="str">
        <f>VLOOKUP(L309,设备合同!$L$6:$CC$302,19,0)</f>
        <v>甲方核定的调试合格报告及足额的发票后付30%的验收款</v>
      </c>
      <c r="AE309" s="102">
        <f>VLOOKUP(L309,设备合同!$L$6:$CC$302,20,0)</f>
        <v>123000</v>
      </c>
      <c r="AF309" s="102">
        <f>VLOOKUP(L309,设备合同!$L$6:$CC$302,21,0)</f>
        <v>0</v>
      </c>
      <c r="AG309" s="102">
        <f>VLOOKUP(L309,设备合同!$L$6:$CC$302,22,0)</f>
        <v>0</v>
      </c>
      <c r="AH309" s="102" t="str">
        <f>VLOOKUP(L309,设备合同!$L$6:$CC$302,23,0)</f>
        <v>10%质保金，验收合格12个月或到货现场18个月 承兑</v>
      </c>
      <c r="AI309" s="102">
        <f>VLOOKUP(L309,设备合同!$L$6:$CC$302,24,0)</f>
        <v>41000</v>
      </c>
      <c r="AJ309" s="102">
        <f>VLOOKUP(L309,设备合同!$L$6:$CC$302,25,0)</f>
        <v>0</v>
      </c>
      <c r="AK309" s="102">
        <f>VLOOKUP(L309,设备合同!$L$6:$CC$302,26,0)</f>
        <v>0</v>
      </c>
      <c r="AL309" s="102">
        <f>VLOOKUP(L309,设备合同!$L$6:$CC$302,27,0)</f>
        <v>0</v>
      </c>
      <c r="AM309" s="102">
        <f>VLOOKUP(L309,设备合同!$L$6:$CC$302,28,0)</f>
        <v>0</v>
      </c>
      <c r="AN309" s="102">
        <f>VLOOKUP(L309,设备合同!$L$6:$CC$302,29,0)</f>
        <v>0</v>
      </c>
      <c r="AO309" s="102">
        <f>VLOOKUP(L309,设备合同!$L$6:$CC$302,30,0)</f>
        <v>0</v>
      </c>
      <c r="AP309" s="102">
        <f>VLOOKUP(L309,设备合同!$L$6:$CC$302,31,0)</f>
        <v>0</v>
      </c>
      <c r="AQ309" s="102">
        <f>VLOOKUP(L309,设备合同!$L$6:$CC$302,32,0)</f>
        <v>0</v>
      </c>
      <c r="AR309" s="102">
        <f>VLOOKUP(L309,设备合同!$L$6:$CC$302,33,0)</f>
        <v>0</v>
      </c>
      <c r="AS309" s="102">
        <f>VLOOKUP(L309,设备合同!$L$6:$CC$302,34,0)</f>
        <v>0</v>
      </c>
      <c r="AT309" s="102">
        <f>VLOOKUP(L309,设备合同!$L$6:$CC$302,35,0)</f>
        <v>0</v>
      </c>
      <c r="AU309" s="102">
        <f>VLOOKUP(L309,设备合同!$L$6:$CC$302,36,0)</f>
        <v>0</v>
      </c>
      <c r="AV309" s="102">
        <f>VLOOKUP(L309,设备合同!$L$6:$CC$302,37,0)</f>
        <v>0</v>
      </c>
      <c r="AW309" s="102">
        <f>VLOOKUP(L309,设备合同!$L$6:$CC$302,38,0)</f>
        <v>0</v>
      </c>
      <c r="AX309" s="102">
        <f>VLOOKUP(L309,设备合同!$L$6:$CC$302,39,0)</f>
        <v>0</v>
      </c>
      <c r="AY309" s="102">
        <f>VLOOKUP(L309,设备合同!$L$6:$CC$302,40,0)</f>
        <v>0</v>
      </c>
      <c r="AZ309" s="102">
        <f>VLOOKUP(L309,设备合同!$L$6:$CC$302,41,0)</f>
        <v>0</v>
      </c>
      <c r="BA309" s="102">
        <f>VLOOKUP(L309,设备合同!$L$6:$CC$302,42,0)</f>
        <v>0</v>
      </c>
      <c r="BB309" s="102">
        <f>VLOOKUP(L309,设备合同!$L$6:$CC$302,43,0)</f>
        <v>0</v>
      </c>
      <c r="BC309" s="102">
        <f>VLOOKUP(L309,设备合同!$L$6:$CC$302,44,0)</f>
        <v>0</v>
      </c>
      <c r="BD309" s="102">
        <f>VLOOKUP(L309,设备合同!$L$6:$CC$302,45,0)</f>
        <v>0</v>
      </c>
      <c r="BE309" s="102">
        <f>VLOOKUP(L309,设备合同!$L$6:$CC$302,46,0)</f>
        <v>0</v>
      </c>
      <c r="BF309" s="102">
        <f>VLOOKUP(L309,设备合同!$L$6:$CC$302,47,0)</f>
        <v>0</v>
      </c>
      <c r="BG309" s="102">
        <f>VLOOKUP(L309,设备合同!$L$6:$CC$302,48,0)</f>
        <v>0</v>
      </c>
      <c r="BH309" s="102">
        <f>VLOOKUP(L309,设备合同!$L$6:$CC$302,49,0)</f>
        <v>0</v>
      </c>
      <c r="BI309" s="102">
        <f>VLOOKUP(L309,设备合同!$L$6:$CC$302,50,0)</f>
        <v>0</v>
      </c>
      <c r="BJ309" s="102">
        <f>VLOOKUP(L309,设备合同!$L$6:$CC$302,51,0)</f>
        <v>0</v>
      </c>
      <c r="BK309" s="102">
        <f>VLOOKUP(L309,设备合同!$L$6:$CC$302,52,0)</f>
        <v>0</v>
      </c>
      <c r="BL309" s="102">
        <f>VLOOKUP(L309,设备合同!$L$6:$CC$302,53,0)</f>
        <v>0</v>
      </c>
      <c r="BM309" s="102">
        <f>VLOOKUP(L309,设备合同!$L$6:$CC$302,54,0)</f>
        <v>0</v>
      </c>
      <c r="BN309" s="102">
        <f>VLOOKUP(L309,设备合同!$L$6:$CC$302,55,0)</f>
        <v>0</v>
      </c>
      <c r="BO309" s="102">
        <f>VLOOKUP(L309,设备合同!$L$6:$CC$302,56,0)</f>
        <v>0</v>
      </c>
      <c r="BP309" s="102">
        <f>VLOOKUP(L309,设备合同!$L$6:$CC$302,57,0)</f>
        <v>0</v>
      </c>
      <c r="BQ309" s="102">
        <f>VLOOKUP(L309,设备合同!$L$6:$CC$302,58,0)</f>
        <v>0</v>
      </c>
      <c r="BR309" s="102">
        <f>VLOOKUP(L309,设备合同!$L$6:$CC$302,59,0)</f>
        <v>0</v>
      </c>
      <c r="BS309" s="102">
        <f>VLOOKUP(L309,设备合同!$L$6:$CC$302,60,0)</f>
        <v>0</v>
      </c>
      <c r="BT309" s="102">
        <f>VLOOKUP(L309,设备合同!$L$6:$CC$302,61,0)</f>
        <v>0</v>
      </c>
      <c r="BU309" s="102">
        <f>VLOOKUP(L309,设备合同!$L$6:$CC$302,62,0)</f>
        <v>0</v>
      </c>
      <c r="BV309" s="102">
        <f>VLOOKUP(L309,设备合同!$L$6:$CC$302,63,0)</f>
        <v>0</v>
      </c>
      <c r="BW309" s="102">
        <f>VLOOKUP(L309,设备合同!$L$6:$CC$302,64,0)</f>
        <v>0</v>
      </c>
      <c r="BX309" s="102">
        <f>VLOOKUP(L309,设备合同!$L$6:$CC$302,65,0)</f>
        <v>0</v>
      </c>
      <c r="BY309" s="102">
        <f>VLOOKUP(L309,设备合同!$L$6:$CC$302,66,0)</f>
        <v>0</v>
      </c>
      <c r="BZ309" s="102">
        <f>VLOOKUP(L309,设备合同!$L$6:$CC$302,67,0)</f>
        <v>0</v>
      </c>
      <c r="CA309" s="102">
        <f>VLOOKUP(L309,设备合同!$L$6:$CC$302,68,0)</f>
        <v>0</v>
      </c>
      <c r="CB309" s="102">
        <f>VLOOKUP(L309,设备合同!$L$6:$CC$302,69,0)</f>
        <v>0</v>
      </c>
      <c r="CC309" s="102">
        <f>VLOOKUP(L309,设备合同!$L$6:$CC$302,70,0)</f>
        <v>0</v>
      </c>
      <c r="CD309" s="123">
        <f t="shared" si="66"/>
        <v>410000</v>
      </c>
      <c r="CE309" s="102">
        <f t="shared" si="67"/>
        <v>0</v>
      </c>
      <c r="CF309" s="102">
        <f t="shared" si="68"/>
        <v>0</v>
      </c>
      <c r="CG309" s="102">
        <f t="shared" si="69"/>
        <v>0</v>
      </c>
      <c r="CH309" s="124">
        <f t="shared" si="70"/>
        <v>410000</v>
      </c>
      <c r="CI309" s="125">
        <f t="shared" si="71"/>
        <v>0</v>
      </c>
      <c r="CJ309" s="126" t="str">
        <f t="shared" si="72"/>
        <v>数据正确</v>
      </c>
    </row>
    <row r="310" s="60" customFormat="1" customHeight="1" spans="2:88">
      <c r="B310" s="70" t="str">
        <f t="shared" si="62"/>
        <v>-</v>
      </c>
      <c r="C310" s="71" t="str">
        <f t="shared" si="63"/>
        <v>-</v>
      </c>
      <c r="D310" s="181">
        <f t="shared" si="64"/>
        <v>0</v>
      </c>
      <c r="E310" s="181">
        <f>SUMIF(设备合同!$L$6:$L$302,L310,设备合同!$E$6:$E$302)</f>
        <v>0</v>
      </c>
      <c r="F310" s="181">
        <f>SUMIF(设备合同!$L$6:$L$302,L310,设备合同!$F$6:$F$302)</f>
        <v>0</v>
      </c>
      <c r="G310" s="181">
        <f>SUMIF(设备合同!$L$6:$L$302,L310,设备合同!$G$6:$G$302)</f>
        <v>0</v>
      </c>
      <c r="H310" s="181">
        <f>SUMIF(设备合同!$L$6:$L$302,L310,设备合同!$H$6:$H$302)</f>
        <v>0</v>
      </c>
      <c r="I310" s="181">
        <f t="shared" si="65"/>
        <v>0</v>
      </c>
      <c r="J310" s="86" t="s">
        <v>98</v>
      </c>
      <c r="K310" s="87"/>
      <c r="L310" s="88">
        <v>305</v>
      </c>
      <c r="M310" s="89" t="str">
        <f>VLOOKUP(L310,设备合同!$L$6:$CC$302,2,0)</f>
        <v>YRKJEQ-170107</v>
      </c>
      <c r="N310" s="90" t="str">
        <f>VLOOKUP(L310,设备合同!$L$6:$CC$302,3,0)</f>
        <v>设备合同</v>
      </c>
      <c r="O310" s="265">
        <f>VLOOKUP(L310,设备合同!$L$6:$CC$302,4,0)</f>
        <v>0</v>
      </c>
      <c r="P310" s="266">
        <f>VLOOKUP(L310,设备合同!$L$6:$CC$302,5,0)</f>
        <v>42996</v>
      </c>
      <c r="Q310" s="275">
        <f>VLOOKUP(L310,设备合同!$L$6:$CC$302,6,0)</f>
        <v>218250</v>
      </c>
      <c r="R310" s="89" t="str">
        <f>VLOOKUP(L310,设备合同!$L$6:$CC$302,7,0)</f>
        <v>转子流量计</v>
      </c>
      <c r="S310" s="89" t="str">
        <f>VLOOKUP(L310,设备合同!$L$6:$CC$302,8,0)</f>
        <v>承德菲时博特自动化设备有限公司</v>
      </c>
      <c r="T310" s="107">
        <f>VLOOKUP(L310,设备合同!$L$6:$CC$302,9,0)</f>
        <v>0</v>
      </c>
      <c r="U310" s="103" t="str">
        <f>VLOOKUP(L310,设备合同!$L$6:$CC$302,10,0)</f>
        <v>电汇</v>
      </c>
      <c r="V310" s="276" t="str">
        <f>VLOOKUP(L310,设备合同!$L$6:$CC$302,11,0)</f>
        <v>甲方到乙方现场确认无误后，收到17%等额、专票，15个工作日内支付60%发货款</v>
      </c>
      <c r="W310" s="102">
        <f>VLOOKUP(L310,设备合同!$L$6:$CC$302,12,0)</f>
        <v>130950</v>
      </c>
      <c r="X310" s="102">
        <f>VLOOKUP(L310,设备合同!$L$6:$CC$302,13,0)</f>
        <v>0</v>
      </c>
      <c r="Y310" s="102">
        <f>VLOOKUP(L310,设备合同!$L$6:$CC$302,14,0)</f>
        <v>0</v>
      </c>
      <c r="Z310" s="102" t="str">
        <f>VLOOKUP(L310,设备合同!$L$6:$CC$302,15,0)</f>
        <v>甲方核定的调试合格报告及足额的发票后付30%的验收款</v>
      </c>
      <c r="AA310" s="102">
        <f>VLOOKUP(L310,设备合同!$L$6:$CC$302,16,0)</f>
        <v>65475</v>
      </c>
      <c r="AB310" s="102">
        <f>VLOOKUP(L310,设备合同!$L$6:$CC$302,17,0)</f>
        <v>0</v>
      </c>
      <c r="AC310" s="102">
        <f>VLOOKUP(L310,设备合同!$L$6:$CC$302,18,0)</f>
        <v>0</v>
      </c>
      <c r="AD310" s="102" t="str">
        <f>VLOOKUP(L310,设备合同!$L$6:$CC$302,19,0)</f>
        <v>10%质保金，验收合格12个月或到货现场18个月 承兑</v>
      </c>
      <c r="AE310" s="102">
        <f>VLOOKUP(L310,设备合同!$L$6:$CC$302,20,0)</f>
        <v>21825</v>
      </c>
      <c r="AF310" s="102">
        <f>VLOOKUP(L310,设备合同!$L$6:$CC$302,21,0)</f>
        <v>0</v>
      </c>
      <c r="AG310" s="102">
        <f>VLOOKUP(L310,设备合同!$L$6:$CC$302,22,0)</f>
        <v>0</v>
      </c>
      <c r="AH310" s="102">
        <f>VLOOKUP(L310,设备合同!$L$6:$CC$302,23,0)</f>
        <v>0</v>
      </c>
      <c r="AI310" s="102">
        <f>VLOOKUP(L310,设备合同!$L$6:$CC$302,24,0)</f>
        <v>0</v>
      </c>
      <c r="AJ310" s="102">
        <f>VLOOKUP(L310,设备合同!$L$6:$CC$302,25,0)</f>
        <v>0</v>
      </c>
      <c r="AK310" s="102">
        <f>VLOOKUP(L310,设备合同!$L$6:$CC$302,26,0)</f>
        <v>0</v>
      </c>
      <c r="AL310" s="102">
        <f>VLOOKUP(L310,设备合同!$L$6:$CC$302,27,0)</f>
        <v>0</v>
      </c>
      <c r="AM310" s="102">
        <f>VLOOKUP(L310,设备合同!$L$6:$CC$302,28,0)</f>
        <v>0</v>
      </c>
      <c r="AN310" s="102">
        <f>VLOOKUP(L310,设备合同!$L$6:$CC$302,29,0)</f>
        <v>0</v>
      </c>
      <c r="AO310" s="102">
        <f>VLOOKUP(L310,设备合同!$L$6:$CC$302,30,0)</f>
        <v>0</v>
      </c>
      <c r="AP310" s="102">
        <f>VLOOKUP(L310,设备合同!$L$6:$CC$302,31,0)</f>
        <v>0</v>
      </c>
      <c r="AQ310" s="102">
        <f>VLOOKUP(L310,设备合同!$L$6:$CC$302,32,0)</f>
        <v>0</v>
      </c>
      <c r="AR310" s="102">
        <f>VLOOKUP(L310,设备合同!$L$6:$CC$302,33,0)</f>
        <v>0</v>
      </c>
      <c r="AS310" s="102">
        <f>VLOOKUP(L310,设备合同!$L$6:$CC$302,34,0)</f>
        <v>0</v>
      </c>
      <c r="AT310" s="102">
        <f>VLOOKUP(L310,设备合同!$L$6:$CC$302,35,0)</f>
        <v>0</v>
      </c>
      <c r="AU310" s="102">
        <f>VLOOKUP(L310,设备合同!$L$6:$CC$302,36,0)</f>
        <v>0</v>
      </c>
      <c r="AV310" s="102">
        <f>VLOOKUP(L310,设备合同!$L$6:$CC$302,37,0)</f>
        <v>0</v>
      </c>
      <c r="AW310" s="102">
        <f>VLOOKUP(L310,设备合同!$L$6:$CC$302,38,0)</f>
        <v>0</v>
      </c>
      <c r="AX310" s="102">
        <f>VLOOKUP(L310,设备合同!$L$6:$CC$302,39,0)</f>
        <v>0</v>
      </c>
      <c r="AY310" s="102">
        <f>VLOOKUP(L310,设备合同!$L$6:$CC$302,40,0)</f>
        <v>0</v>
      </c>
      <c r="AZ310" s="102">
        <f>VLOOKUP(L310,设备合同!$L$6:$CC$302,41,0)</f>
        <v>0</v>
      </c>
      <c r="BA310" s="102">
        <f>VLOOKUP(L310,设备合同!$L$6:$CC$302,42,0)</f>
        <v>0</v>
      </c>
      <c r="BB310" s="102">
        <f>VLOOKUP(L310,设备合同!$L$6:$CC$302,43,0)</f>
        <v>0</v>
      </c>
      <c r="BC310" s="102">
        <f>VLOOKUP(L310,设备合同!$L$6:$CC$302,44,0)</f>
        <v>0</v>
      </c>
      <c r="BD310" s="102">
        <f>VLOOKUP(L310,设备合同!$L$6:$CC$302,45,0)</f>
        <v>0</v>
      </c>
      <c r="BE310" s="102">
        <f>VLOOKUP(L310,设备合同!$L$6:$CC$302,46,0)</f>
        <v>0</v>
      </c>
      <c r="BF310" s="102">
        <f>VLOOKUP(L310,设备合同!$L$6:$CC$302,47,0)</f>
        <v>0</v>
      </c>
      <c r="BG310" s="102">
        <f>VLOOKUP(L310,设备合同!$L$6:$CC$302,48,0)</f>
        <v>0</v>
      </c>
      <c r="BH310" s="102">
        <f>VLOOKUP(L310,设备合同!$L$6:$CC$302,49,0)</f>
        <v>0</v>
      </c>
      <c r="BI310" s="102">
        <f>VLOOKUP(L310,设备合同!$L$6:$CC$302,50,0)</f>
        <v>0</v>
      </c>
      <c r="BJ310" s="102">
        <f>VLOOKUP(L310,设备合同!$L$6:$CC$302,51,0)</f>
        <v>0</v>
      </c>
      <c r="BK310" s="102">
        <f>VLOOKUP(L310,设备合同!$L$6:$CC$302,52,0)</f>
        <v>0</v>
      </c>
      <c r="BL310" s="102">
        <f>VLOOKUP(L310,设备合同!$L$6:$CC$302,53,0)</f>
        <v>0</v>
      </c>
      <c r="BM310" s="102">
        <f>VLOOKUP(L310,设备合同!$L$6:$CC$302,54,0)</f>
        <v>0</v>
      </c>
      <c r="BN310" s="102">
        <f>VLOOKUP(L310,设备合同!$L$6:$CC$302,55,0)</f>
        <v>0</v>
      </c>
      <c r="BO310" s="102">
        <f>VLOOKUP(L310,设备合同!$L$6:$CC$302,56,0)</f>
        <v>0</v>
      </c>
      <c r="BP310" s="102">
        <f>VLOOKUP(L310,设备合同!$L$6:$CC$302,57,0)</f>
        <v>0</v>
      </c>
      <c r="BQ310" s="102">
        <f>VLOOKUP(L310,设备合同!$L$6:$CC$302,58,0)</f>
        <v>0</v>
      </c>
      <c r="BR310" s="102">
        <f>VLOOKUP(L310,设备合同!$L$6:$CC$302,59,0)</f>
        <v>0</v>
      </c>
      <c r="BS310" s="102">
        <f>VLOOKUP(L310,设备合同!$L$6:$CC$302,60,0)</f>
        <v>0</v>
      </c>
      <c r="BT310" s="102">
        <f>VLOOKUP(L310,设备合同!$L$6:$CC$302,61,0)</f>
        <v>0</v>
      </c>
      <c r="BU310" s="102">
        <f>VLOOKUP(L310,设备合同!$L$6:$CC$302,62,0)</f>
        <v>0</v>
      </c>
      <c r="BV310" s="102">
        <f>VLOOKUP(L310,设备合同!$L$6:$CC$302,63,0)</f>
        <v>0</v>
      </c>
      <c r="BW310" s="102">
        <f>VLOOKUP(L310,设备合同!$L$6:$CC$302,64,0)</f>
        <v>0</v>
      </c>
      <c r="BX310" s="102">
        <f>VLOOKUP(L310,设备合同!$L$6:$CC$302,65,0)</f>
        <v>0</v>
      </c>
      <c r="BY310" s="102">
        <f>VLOOKUP(L310,设备合同!$L$6:$CC$302,66,0)</f>
        <v>0</v>
      </c>
      <c r="BZ310" s="102">
        <f>VLOOKUP(L310,设备合同!$L$6:$CC$302,67,0)</f>
        <v>0</v>
      </c>
      <c r="CA310" s="102">
        <f>VLOOKUP(L310,设备合同!$L$6:$CC$302,68,0)</f>
        <v>0</v>
      </c>
      <c r="CB310" s="102">
        <f>VLOOKUP(L310,设备合同!$L$6:$CC$302,69,0)</f>
        <v>0</v>
      </c>
      <c r="CC310" s="102">
        <f>VLOOKUP(L310,设备合同!$L$6:$CC$302,70,0)</f>
        <v>0</v>
      </c>
      <c r="CD310" s="123">
        <f t="shared" si="66"/>
        <v>218250</v>
      </c>
      <c r="CE310" s="102">
        <f t="shared" si="67"/>
        <v>0</v>
      </c>
      <c r="CF310" s="102">
        <f t="shared" si="68"/>
        <v>0</v>
      </c>
      <c r="CG310" s="102">
        <f t="shared" si="69"/>
        <v>0</v>
      </c>
      <c r="CH310" s="124">
        <f t="shared" si="70"/>
        <v>218250</v>
      </c>
      <c r="CI310" s="125">
        <f t="shared" si="71"/>
        <v>0</v>
      </c>
      <c r="CJ310" s="126" t="str">
        <f t="shared" si="72"/>
        <v>数据正确</v>
      </c>
    </row>
    <row r="311" s="60" customFormat="1" customHeight="1" spans="2:88">
      <c r="B311" s="70" t="str">
        <f t="shared" si="62"/>
        <v>-</v>
      </c>
      <c r="C311" s="71" t="str">
        <f t="shared" si="63"/>
        <v>-</v>
      </c>
      <c r="D311" s="181">
        <f t="shared" si="64"/>
        <v>0</v>
      </c>
      <c r="E311" s="181">
        <f>SUMIF(设备合同!$L$6:$L$302,L311,设备合同!$E$6:$E$302)</f>
        <v>0</v>
      </c>
      <c r="F311" s="181">
        <f>SUMIF(设备合同!$L$6:$L$302,L311,设备合同!$F$6:$F$302)</f>
        <v>0</v>
      </c>
      <c r="G311" s="181">
        <f>SUMIF(设备合同!$L$6:$L$302,L311,设备合同!$G$6:$G$302)</f>
        <v>0</v>
      </c>
      <c r="H311" s="181">
        <f>SUMIF(设备合同!$L$6:$L$302,L311,设备合同!$H$6:$H$302)</f>
        <v>0</v>
      </c>
      <c r="I311" s="181">
        <f t="shared" si="65"/>
        <v>0</v>
      </c>
      <c r="J311" s="86" t="s">
        <v>98</v>
      </c>
      <c r="K311" s="87"/>
      <c r="L311" s="88">
        <v>306</v>
      </c>
      <c r="M311" s="89" t="str">
        <f>VLOOKUP(L311,设备合同!$L$6:$CC$302,2,0)</f>
        <v>YRKJEQ-170107</v>
      </c>
      <c r="N311" s="90" t="str">
        <f>VLOOKUP(L311,设备合同!$L$6:$CC$302,3,0)</f>
        <v>设备合同</v>
      </c>
      <c r="O311" s="265">
        <f>VLOOKUP(L311,设备合同!$L$6:$CC$302,4,0)</f>
        <v>0</v>
      </c>
      <c r="P311" s="266">
        <f>VLOOKUP(L311,设备合同!$L$6:$CC$302,5,0)</f>
        <v>43042</v>
      </c>
      <c r="Q311" s="275">
        <f>VLOOKUP(L311,设备合同!$L$6:$CC$302,6,0)</f>
        <v>2000000</v>
      </c>
      <c r="R311" s="89" t="str">
        <f>VLOOKUP(L311,设备合同!$L$6:$CC$302,7,0)</f>
        <v>孔板流量计</v>
      </c>
      <c r="S311" s="89" t="str">
        <f>VLOOKUP(L311,设备合同!$L$6:$CC$302,8,0)</f>
        <v>江阴市节流装置厂有限公司</v>
      </c>
      <c r="T311" s="107">
        <f>VLOOKUP(L311,设备合同!$L$6:$CC$302,9,0)</f>
        <v>0</v>
      </c>
      <c r="U311" s="103" t="str">
        <f>VLOOKUP(L311,设备合同!$L$6:$CC$302,10,0)</f>
        <v>电汇</v>
      </c>
      <c r="V311" s="276" t="str">
        <f>VLOOKUP(L311,设备合同!$L$6:$CC$302,11,0)</f>
        <v>甲方15个工作日支付20%预付款  10%履约保函</v>
      </c>
      <c r="W311" s="102">
        <f>VLOOKUP(L311,设备合同!$L$6:$CC$302,12,0)</f>
        <v>400000</v>
      </c>
      <c r="X311" s="102">
        <f>VLOOKUP(L311,设备合同!$L$6:$CC$302,13,0)</f>
        <v>0</v>
      </c>
      <c r="Y311" s="102">
        <f>VLOOKUP(L311,设备合同!$L$6:$CC$302,14,0)</f>
        <v>0</v>
      </c>
      <c r="Z311" s="102" t="str">
        <f>VLOOKUP(L311,设备合同!$L$6:$CC$302,15,0)</f>
        <v>甲方到乙方现场确认无误后，收到17%全额专票，15个工作日内支付40%发货款</v>
      </c>
      <c r="AA311" s="102">
        <f>VLOOKUP(L311,设备合同!$L$6:$CC$302,16,0)</f>
        <v>800000</v>
      </c>
      <c r="AB311" s="102">
        <f>VLOOKUP(L311,设备合同!$L$6:$CC$302,17,0)</f>
        <v>0</v>
      </c>
      <c r="AC311" s="102">
        <f>VLOOKUP(L311,设备合同!$L$6:$CC$302,18,0)</f>
        <v>0</v>
      </c>
      <c r="AD311" s="102" t="str">
        <f>VLOOKUP(L311,设备合同!$L$6:$CC$302,19,0)</f>
        <v>甲方核定的调试合格报告及足额的发票后付30%的验收款</v>
      </c>
      <c r="AE311" s="102">
        <f>VLOOKUP(L311,设备合同!$L$6:$CC$302,20,0)</f>
        <v>600000</v>
      </c>
      <c r="AF311" s="102">
        <f>VLOOKUP(L311,设备合同!$L$6:$CC$302,21,0)</f>
        <v>0</v>
      </c>
      <c r="AG311" s="102">
        <f>VLOOKUP(L311,设备合同!$L$6:$CC$302,22,0)</f>
        <v>0</v>
      </c>
      <c r="AH311" s="102" t="str">
        <f>VLOOKUP(L311,设备合同!$L$6:$CC$302,23,0)</f>
        <v>10%质保金，验收合格12个月或到货现场18个月 承兑</v>
      </c>
      <c r="AI311" s="102">
        <f>VLOOKUP(L311,设备合同!$L$6:$CC$302,24,0)</f>
        <v>200000</v>
      </c>
      <c r="AJ311" s="102">
        <f>VLOOKUP(L311,设备合同!$L$6:$CC$302,25,0)</f>
        <v>0</v>
      </c>
      <c r="AK311" s="102">
        <f>VLOOKUP(L311,设备合同!$L$6:$CC$302,26,0)</f>
        <v>0</v>
      </c>
      <c r="AL311" s="102">
        <f>VLOOKUP(L311,设备合同!$L$6:$CC$302,27,0)</f>
        <v>0</v>
      </c>
      <c r="AM311" s="102">
        <f>VLOOKUP(L311,设备合同!$L$6:$CC$302,28,0)</f>
        <v>0</v>
      </c>
      <c r="AN311" s="102">
        <f>VLOOKUP(L311,设备合同!$L$6:$CC$302,29,0)</f>
        <v>0</v>
      </c>
      <c r="AO311" s="102">
        <f>VLOOKUP(L311,设备合同!$L$6:$CC$302,30,0)</f>
        <v>0</v>
      </c>
      <c r="AP311" s="102">
        <f>VLOOKUP(L311,设备合同!$L$6:$CC$302,31,0)</f>
        <v>0</v>
      </c>
      <c r="AQ311" s="102">
        <f>VLOOKUP(L311,设备合同!$L$6:$CC$302,32,0)</f>
        <v>0</v>
      </c>
      <c r="AR311" s="102">
        <f>VLOOKUP(L311,设备合同!$L$6:$CC$302,33,0)</f>
        <v>0</v>
      </c>
      <c r="AS311" s="102">
        <f>VLOOKUP(L311,设备合同!$L$6:$CC$302,34,0)</f>
        <v>0</v>
      </c>
      <c r="AT311" s="102">
        <f>VLOOKUP(L311,设备合同!$L$6:$CC$302,35,0)</f>
        <v>0</v>
      </c>
      <c r="AU311" s="102">
        <f>VLOOKUP(L311,设备合同!$L$6:$CC$302,36,0)</f>
        <v>0</v>
      </c>
      <c r="AV311" s="102">
        <f>VLOOKUP(L311,设备合同!$L$6:$CC$302,37,0)</f>
        <v>0</v>
      </c>
      <c r="AW311" s="102">
        <f>VLOOKUP(L311,设备合同!$L$6:$CC$302,38,0)</f>
        <v>0</v>
      </c>
      <c r="AX311" s="102">
        <f>VLOOKUP(L311,设备合同!$L$6:$CC$302,39,0)</f>
        <v>0</v>
      </c>
      <c r="AY311" s="102">
        <f>VLOOKUP(L311,设备合同!$L$6:$CC$302,40,0)</f>
        <v>0</v>
      </c>
      <c r="AZ311" s="102">
        <f>VLOOKUP(L311,设备合同!$L$6:$CC$302,41,0)</f>
        <v>0</v>
      </c>
      <c r="BA311" s="102">
        <f>VLOOKUP(L311,设备合同!$L$6:$CC$302,42,0)</f>
        <v>0</v>
      </c>
      <c r="BB311" s="102">
        <f>VLOOKUP(L311,设备合同!$L$6:$CC$302,43,0)</f>
        <v>0</v>
      </c>
      <c r="BC311" s="102">
        <f>VLOOKUP(L311,设备合同!$L$6:$CC$302,44,0)</f>
        <v>0</v>
      </c>
      <c r="BD311" s="102">
        <f>VLOOKUP(L311,设备合同!$L$6:$CC$302,45,0)</f>
        <v>0</v>
      </c>
      <c r="BE311" s="102">
        <f>VLOOKUP(L311,设备合同!$L$6:$CC$302,46,0)</f>
        <v>0</v>
      </c>
      <c r="BF311" s="102">
        <f>VLOOKUP(L311,设备合同!$L$6:$CC$302,47,0)</f>
        <v>0</v>
      </c>
      <c r="BG311" s="102">
        <f>VLOOKUP(L311,设备合同!$L$6:$CC$302,48,0)</f>
        <v>0</v>
      </c>
      <c r="BH311" s="102">
        <f>VLOOKUP(L311,设备合同!$L$6:$CC$302,49,0)</f>
        <v>0</v>
      </c>
      <c r="BI311" s="102">
        <f>VLOOKUP(L311,设备合同!$L$6:$CC$302,50,0)</f>
        <v>0</v>
      </c>
      <c r="BJ311" s="102">
        <f>VLOOKUP(L311,设备合同!$L$6:$CC$302,51,0)</f>
        <v>0</v>
      </c>
      <c r="BK311" s="102">
        <f>VLOOKUP(L311,设备合同!$L$6:$CC$302,52,0)</f>
        <v>0</v>
      </c>
      <c r="BL311" s="102">
        <f>VLOOKUP(L311,设备合同!$L$6:$CC$302,53,0)</f>
        <v>0</v>
      </c>
      <c r="BM311" s="102">
        <f>VLOOKUP(L311,设备合同!$L$6:$CC$302,54,0)</f>
        <v>0</v>
      </c>
      <c r="BN311" s="102">
        <f>VLOOKUP(L311,设备合同!$L$6:$CC$302,55,0)</f>
        <v>0</v>
      </c>
      <c r="BO311" s="102">
        <f>VLOOKUP(L311,设备合同!$L$6:$CC$302,56,0)</f>
        <v>0</v>
      </c>
      <c r="BP311" s="102">
        <f>VLOOKUP(L311,设备合同!$L$6:$CC$302,57,0)</f>
        <v>0</v>
      </c>
      <c r="BQ311" s="102">
        <f>VLOOKUP(L311,设备合同!$L$6:$CC$302,58,0)</f>
        <v>0</v>
      </c>
      <c r="BR311" s="102">
        <f>VLOOKUP(L311,设备合同!$L$6:$CC$302,59,0)</f>
        <v>0</v>
      </c>
      <c r="BS311" s="102">
        <f>VLOOKUP(L311,设备合同!$L$6:$CC$302,60,0)</f>
        <v>0</v>
      </c>
      <c r="BT311" s="102">
        <f>VLOOKUP(L311,设备合同!$L$6:$CC$302,61,0)</f>
        <v>0</v>
      </c>
      <c r="BU311" s="102">
        <f>VLOOKUP(L311,设备合同!$L$6:$CC$302,62,0)</f>
        <v>0</v>
      </c>
      <c r="BV311" s="102">
        <f>VLOOKUP(L311,设备合同!$L$6:$CC$302,63,0)</f>
        <v>0</v>
      </c>
      <c r="BW311" s="102">
        <f>VLOOKUP(L311,设备合同!$L$6:$CC$302,64,0)</f>
        <v>0</v>
      </c>
      <c r="BX311" s="102">
        <f>VLOOKUP(L311,设备合同!$L$6:$CC$302,65,0)</f>
        <v>0</v>
      </c>
      <c r="BY311" s="102">
        <f>VLOOKUP(L311,设备合同!$L$6:$CC$302,66,0)</f>
        <v>0</v>
      </c>
      <c r="BZ311" s="102">
        <f>VLOOKUP(L311,设备合同!$L$6:$CC$302,67,0)</f>
        <v>0</v>
      </c>
      <c r="CA311" s="102">
        <f>VLOOKUP(L311,设备合同!$L$6:$CC$302,68,0)</f>
        <v>0</v>
      </c>
      <c r="CB311" s="102">
        <f>VLOOKUP(L311,设备合同!$L$6:$CC$302,69,0)</f>
        <v>0</v>
      </c>
      <c r="CC311" s="102">
        <f>VLOOKUP(L311,设备合同!$L$6:$CC$302,70,0)</f>
        <v>0</v>
      </c>
      <c r="CD311" s="123">
        <f t="shared" si="66"/>
        <v>2000000</v>
      </c>
      <c r="CE311" s="102">
        <f t="shared" si="67"/>
        <v>0</v>
      </c>
      <c r="CF311" s="102">
        <f t="shared" si="68"/>
        <v>0</v>
      </c>
      <c r="CG311" s="102">
        <f t="shared" si="69"/>
        <v>0</v>
      </c>
      <c r="CH311" s="124">
        <f t="shared" si="70"/>
        <v>2000000</v>
      </c>
      <c r="CI311" s="125">
        <f t="shared" si="71"/>
        <v>0</v>
      </c>
      <c r="CJ311" s="126" t="str">
        <f t="shared" si="72"/>
        <v>数据正确</v>
      </c>
    </row>
    <row r="312" s="60" customFormat="1" customHeight="1" spans="2:88">
      <c r="B312" s="70" t="str">
        <f t="shared" si="62"/>
        <v>-</v>
      </c>
      <c r="C312" s="71" t="str">
        <f t="shared" si="63"/>
        <v>-</v>
      </c>
      <c r="D312" s="181">
        <f t="shared" si="64"/>
        <v>0</v>
      </c>
      <c r="E312" s="181">
        <f>SUMIF(行政合同!$L$6:$L$300,L312,行政合同!$E$6:$E$300)</f>
        <v>0</v>
      </c>
      <c r="F312" s="181">
        <f>SUMIF(行政合同!$L$6:$L$300,L312,行政合同!$F$6:$F$300)</f>
        <v>0</v>
      </c>
      <c r="G312" s="181">
        <f>SUMIF(行政合同!$L$6:$L$300,L312,行政合同!$G$6:$G$300)</f>
        <v>0</v>
      </c>
      <c r="H312" s="181">
        <f>SUMIF(行政合同!$L$6:$L$300,L312,行政合同!$H$6:$H$300)</f>
        <v>0</v>
      </c>
      <c r="I312" s="181">
        <f t="shared" si="65"/>
        <v>0</v>
      </c>
      <c r="J312" s="86" t="s">
        <v>98</v>
      </c>
      <c r="K312" s="87"/>
      <c r="L312" s="88">
        <v>307</v>
      </c>
      <c r="M312" s="89" t="str">
        <f>VLOOKUP(L312,行政合同!$L$6:$CC$300,2,0)</f>
        <v>-</v>
      </c>
      <c r="N312" s="90" t="str">
        <f>VLOOKUP(L312,行政合同!$L$6:$CC$300,3,0)</f>
        <v>行政合同</v>
      </c>
      <c r="O312" s="265" t="str">
        <f>VLOOKUP(L312,行政合同!$L$6:$CC$300,4,0)</f>
        <v>-</v>
      </c>
      <c r="P312" s="266">
        <f>VLOOKUP(L312,行政合同!$L$6:$CC$300,5,0)</f>
        <v>43020</v>
      </c>
      <c r="Q312" s="275">
        <f>VLOOKUP(L312,行政合同!$L$6:$CC$300,6,0)</f>
        <v>21492</v>
      </c>
      <c r="R312" s="89" t="str">
        <f>VLOOKUP(L312,行政合同!$L$6:$CC$300,7,0)</f>
        <v>电脑配件一批</v>
      </c>
      <c r="S312" s="89" t="str">
        <f>VLOOKUP(L312,行政合同!$L$6:$CC$300,8,0)</f>
        <v>福州威迅电子有限公司</v>
      </c>
      <c r="T312" s="107">
        <f>VLOOKUP(L312,行政合同!$L$6:$CC$300,9,0)</f>
        <v>0</v>
      </c>
      <c r="U312" s="103" t="str">
        <f>VLOOKUP(L312,行政合同!$L$6:$CC$300,10,0)</f>
        <v>电汇</v>
      </c>
      <c r="V312" s="276" t="str">
        <f>VLOOKUP(L312,行政合同!$L$6:$CC$300,11,0)</f>
        <v>甲方收到货款验收合格以及全额的发票后15个工作日支付100%的货款</v>
      </c>
      <c r="W312" s="102">
        <f>VLOOKUP(L312,行政合同!$L$6:$CC$300,12,0)</f>
        <v>21492</v>
      </c>
      <c r="X312" s="102">
        <f>VLOOKUP(L312,行政合同!$L$6:$CC$300,13,0)</f>
        <v>0</v>
      </c>
      <c r="Y312" s="102">
        <f>VLOOKUP(L312,行政合同!$L$6:$CC$300,14,0)</f>
        <v>0</v>
      </c>
      <c r="Z312" s="102">
        <f>VLOOKUP(L312,行政合同!$L$6:$CC$300,15,0)</f>
        <v>0</v>
      </c>
      <c r="AA312" s="102">
        <f>VLOOKUP(L312,行政合同!$L$6:$CC$300,16,0)</f>
        <v>0</v>
      </c>
      <c r="AB312" s="102">
        <f>VLOOKUP(L312,行政合同!$L$6:$CC$300,17,0)</f>
        <v>0</v>
      </c>
      <c r="AC312" s="102">
        <f>VLOOKUP(L312,行政合同!$L$6:$CC$300,18,0)</f>
        <v>0</v>
      </c>
      <c r="AD312" s="102">
        <f>VLOOKUP(L312,行政合同!$L$6:$CC$300,19,0)</f>
        <v>0</v>
      </c>
      <c r="AE312" s="102">
        <f>VLOOKUP(L312,行政合同!$L$6:$CC$300,20,0)</f>
        <v>0</v>
      </c>
      <c r="AF312" s="102">
        <f>VLOOKUP(L312,行政合同!$L$6:$CC$300,21,0)</f>
        <v>0</v>
      </c>
      <c r="AG312" s="102">
        <f>VLOOKUP(L312,行政合同!$L$6:$CC$300,22,0)</f>
        <v>0</v>
      </c>
      <c r="AH312" s="102">
        <f>VLOOKUP(L312,行政合同!$L$6:$CC$300,23,0)</f>
        <v>0</v>
      </c>
      <c r="AI312" s="102">
        <f>VLOOKUP(L312,行政合同!$L$6:$CC$300,24,0)</f>
        <v>0</v>
      </c>
      <c r="AJ312" s="102">
        <f>VLOOKUP(L312,行政合同!$L$6:$CC$300,25,0)</f>
        <v>0</v>
      </c>
      <c r="AK312" s="102">
        <f>VLOOKUP(L312,行政合同!$L$6:$CC$300,26,0)</f>
        <v>0</v>
      </c>
      <c r="AL312" s="102">
        <f>VLOOKUP(L312,行政合同!$L$6:$CC$300,27,0)</f>
        <v>0</v>
      </c>
      <c r="AM312" s="102">
        <f>VLOOKUP(L312,行政合同!$L$6:$CC$300,28,0)</f>
        <v>0</v>
      </c>
      <c r="AN312" s="102">
        <f>VLOOKUP(L312,行政合同!$L$6:$CC$300,29,0)</f>
        <v>0</v>
      </c>
      <c r="AO312" s="102">
        <f>VLOOKUP(L312,行政合同!$L$6:$CC$300,30,0)</f>
        <v>0</v>
      </c>
      <c r="AP312" s="102">
        <f>VLOOKUP(L312,行政合同!$L$6:$CC$300,31,0)</f>
        <v>0</v>
      </c>
      <c r="AQ312" s="102">
        <f>VLOOKUP(L312,行政合同!$L$6:$CC$300,32,0)</f>
        <v>0</v>
      </c>
      <c r="AR312" s="102">
        <f>VLOOKUP(L312,行政合同!$L$6:$CC$300,33,0)</f>
        <v>0</v>
      </c>
      <c r="AS312" s="102">
        <f>VLOOKUP(L312,行政合同!$L$6:$CC$300,34,0)</f>
        <v>0</v>
      </c>
      <c r="AT312" s="102">
        <f>VLOOKUP(L312,行政合同!$L$6:$CC$300,35,0)</f>
        <v>0</v>
      </c>
      <c r="AU312" s="102">
        <f>VLOOKUP(L312,行政合同!$L$6:$CC$300,36,0)</f>
        <v>0</v>
      </c>
      <c r="AV312" s="102">
        <f>VLOOKUP(L312,行政合同!$L$6:$CC$300,37,0)</f>
        <v>0</v>
      </c>
      <c r="AW312" s="102">
        <f>VLOOKUP(L312,行政合同!$L$6:$CC$300,38,0)</f>
        <v>0</v>
      </c>
      <c r="AX312" s="102">
        <f>VLOOKUP(L312,行政合同!$L$6:$CC$300,39,0)</f>
        <v>0</v>
      </c>
      <c r="AY312" s="102">
        <f>VLOOKUP(L312,行政合同!$L$6:$CC$300,40,0)</f>
        <v>0</v>
      </c>
      <c r="AZ312" s="102">
        <f>VLOOKUP(L312,行政合同!$L$6:$CC$300,41,0)</f>
        <v>0</v>
      </c>
      <c r="BA312" s="102">
        <f>VLOOKUP(L312,行政合同!$L$6:$CC$300,42,0)</f>
        <v>0</v>
      </c>
      <c r="BB312" s="102">
        <f>VLOOKUP(L312,行政合同!$L$6:$CC$300,43,0)</f>
        <v>0</v>
      </c>
      <c r="BC312" s="102">
        <f>VLOOKUP(L312,行政合同!$L$6:$CC$300,44,0)</f>
        <v>0</v>
      </c>
      <c r="BD312" s="102">
        <f>VLOOKUP(L312,行政合同!$L$6:$CC$300,45,0)</f>
        <v>0</v>
      </c>
      <c r="BE312" s="102">
        <f>VLOOKUP(L312,行政合同!$L$6:$CC$300,46,0)</f>
        <v>0</v>
      </c>
      <c r="BF312" s="102">
        <f>VLOOKUP(L312,行政合同!$L$6:$CC$300,47,0)</f>
        <v>0</v>
      </c>
      <c r="BG312" s="102">
        <f>VLOOKUP(L312,行政合同!$L$6:$CC$300,48,0)</f>
        <v>0</v>
      </c>
      <c r="BH312" s="102">
        <f>VLOOKUP(L312,行政合同!$L$6:$CC$300,49,0)</f>
        <v>0</v>
      </c>
      <c r="BI312" s="102">
        <f>VLOOKUP(L312,行政合同!$L$6:$CC$300,50,0)</f>
        <v>0</v>
      </c>
      <c r="BJ312" s="102">
        <f>VLOOKUP(L312,行政合同!$L$6:$CC$300,51,0)</f>
        <v>0</v>
      </c>
      <c r="BK312" s="102">
        <f>VLOOKUP(L312,行政合同!$L$6:$CC$300,52,0)</f>
        <v>0</v>
      </c>
      <c r="BL312" s="102">
        <f>VLOOKUP(L312,行政合同!$L$6:$CC$300,53,0)</f>
        <v>0</v>
      </c>
      <c r="BM312" s="102">
        <f>VLOOKUP(L312,行政合同!$L$6:$CC$300,54,0)</f>
        <v>0</v>
      </c>
      <c r="BN312" s="102">
        <f>VLOOKUP(L312,行政合同!$L$6:$CC$300,55,0)</f>
        <v>0</v>
      </c>
      <c r="BO312" s="102">
        <f>VLOOKUP(L312,行政合同!$L$6:$CC$300,56,0)</f>
        <v>0</v>
      </c>
      <c r="BP312" s="102">
        <f>VLOOKUP(L312,行政合同!$L$6:$CC$300,57,0)</f>
        <v>0</v>
      </c>
      <c r="BQ312" s="102">
        <f>VLOOKUP(L312,行政合同!$L$6:$CC$300,58,0)</f>
        <v>0</v>
      </c>
      <c r="BR312" s="102">
        <f>VLOOKUP(L312,行政合同!$L$6:$CC$300,59,0)</f>
        <v>0</v>
      </c>
      <c r="BS312" s="102">
        <f>VLOOKUP(L312,行政合同!$L$6:$CC$300,60,0)</f>
        <v>0</v>
      </c>
      <c r="BT312" s="102">
        <f>VLOOKUP(L312,行政合同!$L$6:$CC$300,61,0)</f>
        <v>0</v>
      </c>
      <c r="BU312" s="102">
        <f>VLOOKUP(L312,行政合同!$L$6:$CC$300,62,0)</f>
        <v>0</v>
      </c>
      <c r="BV312" s="102">
        <f>VLOOKUP(L312,行政合同!$L$6:$CC$300,63,0)</f>
        <v>0</v>
      </c>
      <c r="BW312" s="102">
        <f>VLOOKUP(L312,行政合同!$L$6:$CC$300,64,0)</f>
        <v>0</v>
      </c>
      <c r="BX312" s="102">
        <f>VLOOKUP(L312,行政合同!$L$6:$CC$300,65,0)</f>
        <v>0</v>
      </c>
      <c r="BY312" s="102">
        <f>VLOOKUP(L312,行政合同!$L$6:$CC$300,66,0)</f>
        <v>0</v>
      </c>
      <c r="BZ312" s="102">
        <f>VLOOKUP(L312,行政合同!$L$6:$CC$300,67,0)</f>
        <v>0</v>
      </c>
      <c r="CA312" s="102">
        <f>VLOOKUP(L312,行政合同!$L$6:$CC$300,68,0)</f>
        <v>0</v>
      </c>
      <c r="CB312" s="102">
        <f>VLOOKUP(L312,行政合同!$L$6:$CC$300,69,0)</f>
        <v>0</v>
      </c>
      <c r="CC312" s="102">
        <f>VLOOKUP(L312,行政合同!$L$6:$CC$300,70,0)</f>
        <v>0</v>
      </c>
      <c r="CD312" s="123">
        <f t="shared" si="66"/>
        <v>21492</v>
      </c>
      <c r="CE312" s="102">
        <f t="shared" si="67"/>
        <v>0</v>
      </c>
      <c r="CF312" s="102">
        <f t="shared" si="68"/>
        <v>0</v>
      </c>
      <c r="CG312" s="102">
        <f t="shared" si="69"/>
        <v>0</v>
      </c>
      <c r="CH312" s="124">
        <f t="shared" si="70"/>
        <v>21492</v>
      </c>
      <c r="CI312" s="125">
        <f t="shared" si="71"/>
        <v>0</v>
      </c>
      <c r="CJ312" s="126" t="str">
        <f t="shared" si="72"/>
        <v>数据正确</v>
      </c>
    </row>
    <row r="313" s="60" customFormat="1" customHeight="1" spans="2:88">
      <c r="B313" s="70" t="str">
        <f t="shared" si="62"/>
        <v>申请中</v>
      </c>
      <c r="C313" s="71" t="str">
        <f t="shared" si="63"/>
        <v>-</v>
      </c>
      <c r="D313" s="181">
        <f t="shared" si="64"/>
        <v>0</v>
      </c>
      <c r="E313" s="181">
        <f>SUMIF(材料合同!$L$6:$L$305,L313,材料合同!$E$6:$E$305)</f>
        <v>0</v>
      </c>
      <c r="F313" s="181">
        <f>SUMIF(材料合同!$L$6:$L$305,L313,材料合同!$F$6:$F$305)</f>
        <v>0</v>
      </c>
      <c r="G313" s="181">
        <f>SUMIF(材料合同!$L$6:$L$305,L313,材料合同!$G$6:$G$305)</f>
        <v>0</v>
      </c>
      <c r="H313" s="181">
        <f>SUMIF(材料合同!$L$6:$L$305,L313,材料合同!$H$6:$H$305)</f>
        <v>0</v>
      </c>
      <c r="I313" s="181">
        <f t="shared" si="65"/>
        <v>346000</v>
      </c>
      <c r="J313" s="86" t="s">
        <v>98</v>
      </c>
      <c r="K313" s="87"/>
      <c r="L313" s="88">
        <v>308</v>
      </c>
      <c r="M313" s="89" t="str">
        <f>VLOOKUP(L313,材料合同!$L$6:$CC$305,2,0)</f>
        <v>YRKJBT-170114</v>
      </c>
      <c r="N313" s="90" t="str">
        <f>VLOOKUP(L313,材料合同!$L$6:$CC$305,3,0)</f>
        <v>材料合同</v>
      </c>
      <c r="O313" s="265">
        <f>VLOOKUP(L313,材料合同!$L$6:$CC$305,4,0)</f>
        <v>0</v>
      </c>
      <c r="P313" s="266">
        <f>VLOOKUP(L313,材料合同!$L$6:$CC$305,5,0)</f>
        <v>43038</v>
      </c>
      <c r="Q313" s="275">
        <f>VLOOKUP(L313,材料合同!$L$6:$CC$305,6,0)</f>
        <v>1730000</v>
      </c>
      <c r="R313" s="89" t="str">
        <f>VLOOKUP(L313,材料合同!$L$6:$CC$305,7,0)</f>
        <v>偏心旋转阀一批</v>
      </c>
      <c r="S313" s="89" t="str">
        <f>VLOOKUP(L313,材料合同!$L$6:$CC$305,8,0)</f>
        <v>星域控制工程（上海）有限公司</v>
      </c>
      <c r="T313" s="107" t="str">
        <f>VLOOKUP(L313,材料合同!$L$6:$CC$305,9,0)</f>
        <v>硫铵装置、氨肟化装置、环己酮装置</v>
      </c>
      <c r="U313" s="103" t="str">
        <f>VLOOKUP(L313,材料合同!$L$6:$CC$305,10,0)</f>
        <v>电汇</v>
      </c>
      <c r="V313" s="276" t="str">
        <f>VLOOKUP(L313,材料合同!$L$6:$CC$305,11,0)</f>
        <v>甲方收到10%履约保函和等额收据，15个工作日支付20%预付款  </v>
      </c>
      <c r="W313" s="102">
        <f>VLOOKUP(L313,材料合同!$L$6:$CC$305,12,0)</f>
        <v>346000</v>
      </c>
      <c r="X313" s="102">
        <f>VLOOKUP(L313,材料合同!$L$6:$CC$305,13,0)</f>
        <v>346000</v>
      </c>
      <c r="Y313" s="102">
        <f>VLOOKUP(L313,材料合同!$L$6:$CC$305,14,0)</f>
        <v>0</v>
      </c>
      <c r="Z313" s="102" t="str">
        <f>VLOOKUP(L313,材料合同!$L$6:$CC$305,15,0)</f>
        <v>甲方去乙方工厂验收，完成后，5个工作日支付40%发货款，开具等额发票</v>
      </c>
      <c r="AA313" s="102">
        <f>VLOOKUP(L313,材料合同!$L$6:$CC$305,16,0)</f>
        <v>692000</v>
      </c>
      <c r="AB313" s="102">
        <f>VLOOKUP(L313,材料合同!$L$6:$CC$305,17,0)</f>
        <v>0</v>
      </c>
      <c r="AC313" s="102">
        <f>VLOOKUP(L313,材料合同!$L$6:$CC$305,18,0)</f>
        <v>0</v>
      </c>
      <c r="AD313" s="102" t="str">
        <f>VLOOKUP(L313,材料合同!$L$6:$CC$305,19,0)</f>
        <v>甲方收到经甲方核定调试合格报告及全额的发票后15个工作日支付30%调试款</v>
      </c>
      <c r="AE313" s="102">
        <f>VLOOKUP(L313,材料合同!$L$6:$CC$305,20,0)</f>
        <v>519000</v>
      </c>
      <c r="AF313" s="102">
        <f>VLOOKUP(L313,材料合同!$L$6:$CC$305,21,0)</f>
        <v>0</v>
      </c>
      <c r="AG313" s="102">
        <f>VLOOKUP(L313,材料合同!$L$6:$CC$305,22,0)</f>
        <v>0</v>
      </c>
      <c r="AH313" s="102" t="str">
        <f>VLOOKUP(L313,材料合同!$L$6:$CC$305,23,0)</f>
        <v>10%质保金，自验收合格，满12月或货到现场19个月支付</v>
      </c>
      <c r="AI313" s="102">
        <f>VLOOKUP(L313,材料合同!$L$6:$CC$305,24,0)</f>
        <v>173000</v>
      </c>
      <c r="AJ313" s="102">
        <f>VLOOKUP(L313,材料合同!$L$6:$CC$305,25,0)</f>
        <v>0</v>
      </c>
      <c r="AK313" s="102">
        <f>VLOOKUP(L313,材料合同!$L$6:$CC$305,26,0)</f>
        <v>0</v>
      </c>
      <c r="AL313" s="102">
        <f>VLOOKUP(L313,材料合同!$L$6:$CC$305,27,0)</f>
        <v>0</v>
      </c>
      <c r="AM313" s="102">
        <f>VLOOKUP(L313,材料合同!$L$6:$CC$305,28,0)</f>
        <v>0</v>
      </c>
      <c r="AN313" s="102">
        <f>VLOOKUP(L313,材料合同!$L$6:$CC$305,29,0)</f>
        <v>0</v>
      </c>
      <c r="AO313" s="102">
        <f>VLOOKUP(L313,材料合同!$L$6:$CC$305,30,0)</f>
        <v>0</v>
      </c>
      <c r="AP313" s="102">
        <f>VLOOKUP(L313,材料合同!$L$6:$CC$305,31,0)</f>
        <v>0</v>
      </c>
      <c r="AQ313" s="102">
        <f>VLOOKUP(L313,材料合同!$L$6:$CC$305,32,0)</f>
        <v>0</v>
      </c>
      <c r="AR313" s="102">
        <f>VLOOKUP(L313,材料合同!$L$6:$CC$305,33,0)</f>
        <v>0</v>
      </c>
      <c r="AS313" s="102">
        <f>VLOOKUP(L313,材料合同!$L$6:$CC$305,34,0)</f>
        <v>0</v>
      </c>
      <c r="AT313" s="102">
        <f>VLOOKUP(L313,材料合同!$L$6:$CC$305,35,0)</f>
        <v>0</v>
      </c>
      <c r="AU313" s="102">
        <f>VLOOKUP(L313,材料合同!$L$6:$CC$305,36,0)</f>
        <v>0</v>
      </c>
      <c r="AV313" s="102">
        <f>VLOOKUP(L313,材料合同!$L$6:$CC$305,37,0)</f>
        <v>0</v>
      </c>
      <c r="AW313" s="102">
        <f>VLOOKUP(L313,材料合同!$L$6:$CC$305,38,0)</f>
        <v>0</v>
      </c>
      <c r="AX313" s="102">
        <f>VLOOKUP(L313,材料合同!$L$6:$CC$305,39,0)</f>
        <v>0</v>
      </c>
      <c r="AY313" s="102">
        <f>VLOOKUP(L313,材料合同!$L$6:$CC$305,40,0)</f>
        <v>0</v>
      </c>
      <c r="AZ313" s="102">
        <f>VLOOKUP(L313,材料合同!$L$6:$CC$305,41,0)</f>
        <v>0</v>
      </c>
      <c r="BA313" s="102">
        <f>VLOOKUP(L313,材料合同!$L$6:$CC$305,42,0)</f>
        <v>0</v>
      </c>
      <c r="BB313" s="102">
        <f>VLOOKUP(L313,材料合同!$L$6:$CC$305,43,0)</f>
        <v>0</v>
      </c>
      <c r="BC313" s="102">
        <f>VLOOKUP(L313,材料合同!$L$6:$CC$305,44,0)</f>
        <v>0</v>
      </c>
      <c r="BD313" s="102">
        <f>VLOOKUP(L313,材料合同!$L$6:$CC$305,45,0)</f>
        <v>0</v>
      </c>
      <c r="BE313" s="102">
        <f>VLOOKUP(L313,材料合同!$L$6:$CC$305,46,0)</f>
        <v>0</v>
      </c>
      <c r="BF313" s="102">
        <f>VLOOKUP(L313,材料合同!$L$6:$CC$305,47,0)</f>
        <v>0</v>
      </c>
      <c r="BG313" s="102">
        <f>VLOOKUP(L313,材料合同!$L$6:$CC$305,48,0)</f>
        <v>0</v>
      </c>
      <c r="BH313" s="102">
        <f>VLOOKUP(L313,材料合同!$L$6:$CC$305,49,0)</f>
        <v>0</v>
      </c>
      <c r="BI313" s="102">
        <f>VLOOKUP(L313,材料合同!$L$6:$CC$305,50,0)</f>
        <v>0</v>
      </c>
      <c r="BJ313" s="102">
        <f>VLOOKUP(L313,材料合同!$L$6:$CC$305,51,0)</f>
        <v>0</v>
      </c>
      <c r="BK313" s="102">
        <f>VLOOKUP(L313,材料合同!$L$6:$CC$305,52,0)</f>
        <v>0</v>
      </c>
      <c r="BL313" s="102">
        <f>VLOOKUP(L313,材料合同!$L$6:$CC$305,53,0)</f>
        <v>0</v>
      </c>
      <c r="BM313" s="102">
        <f>VLOOKUP(L313,材料合同!$L$6:$CC$305,54,0)</f>
        <v>0</v>
      </c>
      <c r="BN313" s="102">
        <f>VLOOKUP(L313,材料合同!$L$6:$CC$305,55,0)</f>
        <v>0</v>
      </c>
      <c r="BO313" s="102">
        <f>VLOOKUP(L313,材料合同!$L$6:$CC$305,56,0)</f>
        <v>0</v>
      </c>
      <c r="BP313" s="102">
        <f>VLOOKUP(L313,材料合同!$L$6:$CC$305,57,0)</f>
        <v>0</v>
      </c>
      <c r="BQ313" s="102">
        <f>VLOOKUP(L313,材料合同!$L$6:$CC$305,58,0)</f>
        <v>0</v>
      </c>
      <c r="BR313" s="102">
        <f>VLOOKUP(L313,材料合同!$L$6:$CC$305,59,0)</f>
        <v>0</v>
      </c>
      <c r="BS313" s="102">
        <f>VLOOKUP(L313,材料合同!$L$6:$CC$305,60,0)</f>
        <v>0</v>
      </c>
      <c r="BT313" s="102">
        <f>VLOOKUP(L313,材料合同!$L$6:$CC$305,61,0)</f>
        <v>0</v>
      </c>
      <c r="BU313" s="102">
        <f>VLOOKUP(L313,材料合同!$L$6:$CC$305,62,0)</f>
        <v>0</v>
      </c>
      <c r="BV313" s="102">
        <f>VLOOKUP(L313,材料合同!$L$6:$CC$305,63,0)</f>
        <v>0</v>
      </c>
      <c r="BW313" s="102">
        <f>VLOOKUP(L313,材料合同!$L$6:$CC$305,64,0)</f>
        <v>0</v>
      </c>
      <c r="BX313" s="102">
        <f>VLOOKUP(L313,材料合同!$L$6:$CC$305,65,0)</f>
        <v>0</v>
      </c>
      <c r="BY313" s="102">
        <f>VLOOKUP(L313,材料合同!$L$6:$CC$305,66,0)</f>
        <v>0</v>
      </c>
      <c r="BZ313" s="102">
        <f>VLOOKUP(L313,材料合同!$L$6:$CC$305,67,0)</f>
        <v>0</v>
      </c>
      <c r="CA313" s="102">
        <f>VLOOKUP(L313,材料合同!$L$6:$CC$305,68,0)</f>
        <v>0</v>
      </c>
      <c r="CB313" s="102">
        <f>VLOOKUP(L313,材料合同!$L$6:$CC$305,69,0)</f>
        <v>0</v>
      </c>
      <c r="CC313" s="102">
        <f>VLOOKUP(L313,材料合同!$L$6:$CC$305,70,0)</f>
        <v>0</v>
      </c>
      <c r="CD313" s="123">
        <f t="shared" si="66"/>
        <v>1730000</v>
      </c>
      <c r="CE313" s="102">
        <f t="shared" si="67"/>
        <v>346000</v>
      </c>
      <c r="CF313" s="102">
        <f t="shared" si="68"/>
        <v>0</v>
      </c>
      <c r="CG313" s="102">
        <f t="shared" si="69"/>
        <v>0</v>
      </c>
      <c r="CH313" s="124">
        <f t="shared" si="70"/>
        <v>1730000</v>
      </c>
      <c r="CI313" s="125">
        <f t="shared" si="71"/>
        <v>0</v>
      </c>
      <c r="CJ313" s="126" t="str">
        <f t="shared" si="72"/>
        <v>数据正确</v>
      </c>
    </row>
    <row r="314" s="60" customFormat="1" customHeight="1" spans="2:88">
      <c r="B314" s="70" t="str">
        <f t="shared" si="62"/>
        <v>申请中</v>
      </c>
      <c r="C314" s="71" t="str">
        <f t="shared" si="63"/>
        <v>-</v>
      </c>
      <c r="D314" s="181">
        <f t="shared" si="64"/>
        <v>0</v>
      </c>
      <c r="E314" s="181">
        <f>SUMIF(材料合同!$L$6:$L$305,L314,材料合同!$E$6:$E$305)</f>
        <v>0</v>
      </c>
      <c r="F314" s="181">
        <f>SUMIF(材料合同!$L$6:$L$305,L314,材料合同!$F$6:$F$305)</f>
        <v>0</v>
      </c>
      <c r="G314" s="181">
        <f>SUMIF(材料合同!$L$6:$L$305,L314,材料合同!$G$6:$G$305)</f>
        <v>0</v>
      </c>
      <c r="H314" s="181">
        <f>SUMIF(材料合同!$L$6:$L$305,L314,材料合同!$H$6:$H$305)</f>
        <v>0</v>
      </c>
      <c r="I314" s="181">
        <f t="shared" si="65"/>
        <v>1165000</v>
      </c>
      <c r="J314" s="86" t="s">
        <v>98</v>
      </c>
      <c r="K314" s="87"/>
      <c r="L314" s="88">
        <v>309</v>
      </c>
      <c r="M314" s="89" t="str">
        <f>VLOOKUP(L314,材料合同!$L$6:$CC$305,2,0)</f>
        <v>YRKJGC-17071</v>
      </c>
      <c r="N314" s="90" t="str">
        <f>VLOOKUP(L314,材料合同!$L$6:$CC$305,3,0)</f>
        <v>材料合同</v>
      </c>
      <c r="O314" s="265">
        <f>VLOOKUP(L314,材料合同!$L$6:$CC$305,4,0)</f>
        <v>0</v>
      </c>
      <c r="P314" s="266">
        <f>VLOOKUP(L314,材料合同!$L$6:$CC$305,5,0)</f>
        <v>43027</v>
      </c>
      <c r="Q314" s="275">
        <f>VLOOKUP(L314,材料合同!$L$6:$CC$305,6,0)</f>
        <v>1165000</v>
      </c>
      <c r="R314" s="89" t="str">
        <f>VLOOKUP(L314,材料合同!$L$6:$CC$305,7,0)</f>
        <v>防雷接地材料</v>
      </c>
      <c r="S314" s="89" t="str">
        <f>VLOOKUP(L314,材料合同!$L$6:$CC$305,8,0)</f>
        <v>浙江华甸防雷科技有限公司</v>
      </c>
      <c r="T314" s="107">
        <f>VLOOKUP(L314,材料合同!$L$6:$CC$305,9,0)</f>
        <v>0</v>
      </c>
      <c r="U314" s="103" t="str">
        <f>VLOOKUP(L314,材料合同!$L$6:$CC$305,10,0)</f>
        <v>6个月承兑汇票/电汇无说明</v>
      </c>
      <c r="V314" s="276" t="str">
        <f>VLOOKUP(L314,材料合同!$L$6:$CC$305,11,0)</f>
        <v>甲方货物验收合格收到全额发票支付100%货款 10万质量保函 有效期6个月</v>
      </c>
      <c r="W314" s="102">
        <f>VLOOKUP(L314,材料合同!$L$6:$CC$305,12,0)</f>
        <v>1165000</v>
      </c>
      <c r="X314" s="102">
        <f>VLOOKUP(L314,材料合同!$L$6:$CC$305,13,0)</f>
        <v>1165000</v>
      </c>
      <c r="Y314" s="102">
        <f>VLOOKUP(L314,材料合同!$L$6:$CC$305,14,0)</f>
        <v>0</v>
      </c>
      <c r="Z314" s="102">
        <f>VLOOKUP(L314,材料合同!$L$6:$CC$305,15,0)</f>
        <v>0</v>
      </c>
      <c r="AA314" s="102">
        <f>VLOOKUP(L314,材料合同!$L$6:$CC$305,16,0)</f>
        <v>0</v>
      </c>
      <c r="AB314" s="102">
        <f>VLOOKUP(L314,材料合同!$L$6:$CC$305,17,0)</f>
        <v>0</v>
      </c>
      <c r="AC314" s="102">
        <f>VLOOKUP(L314,材料合同!$L$6:$CC$305,18,0)</f>
        <v>0</v>
      </c>
      <c r="AD314" s="102">
        <f>VLOOKUP(L314,材料合同!$L$6:$CC$305,19,0)</f>
        <v>0</v>
      </c>
      <c r="AE314" s="102">
        <f>VLOOKUP(L314,材料合同!$L$6:$CC$305,20,0)</f>
        <v>0</v>
      </c>
      <c r="AF314" s="102">
        <f>VLOOKUP(L314,材料合同!$L$6:$CC$305,21,0)</f>
        <v>0</v>
      </c>
      <c r="AG314" s="102">
        <f>VLOOKUP(L314,材料合同!$L$6:$CC$305,22,0)</f>
        <v>0</v>
      </c>
      <c r="AH314" s="102">
        <f>VLOOKUP(L314,材料合同!$L$6:$CC$305,23,0)</f>
        <v>0</v>
      </c>
      <c r="AI314" s="102">
        <f>VLOOKUP(L314,材料合同!$L$6:$CC$305,24,0)</f>
        <v>0</v>
      </c>
      <c r="AJ314" s="102">
        <f>VLOOKUP(L314,材料合同!$L$6:$CC$305,25,0)</f>
        <v>0</v>
      </c>
      <c r="AK314" s="102">
        <f>VLOOKUP(L314,材料合同!$L$6:$CC$305,26,0)</f>
        <v>0</v>
      </c>
      <c r="AL314" s="102">
        <f>VLOOKUP(L314,材料合同!$L$6:$CC$305,27,0)</f>
        <v>0</v>
      </c>
      <c r="AM314" s="102">
        <f>VLOOKUP(L314,材料合同!$L$6:$CC$305,28,0)</f>
        <v>0</v>
      </c>
      <c r="AN314" s="102">
        <f>VLOOKUP(L314,材料合同!$L$6:$CC$305,29,0)</f>
        <v>0</v>
      </c>
      <c r="AO314" s="102">
        <f>VLOOKUP(L314,材料合同!$L$6:$CC$305,30,0)</f>
        <v>0</v>
      </c>
      <c r="AP314" s="102">
        <f>VLOOKUP(L314,材料合同!$L$6:$CC$305,31,0)</f>
        <v>0</v>
      </c>
      <c r="AQ314" s="102">
        <f>VLOOKUP(L314,材料合同!$L$6:$CC$305,32,0)</f>
        <v>0</v>
      </c>
      <c r="AR314" s="102">
        <f>VLOOKUP(L314,材料合同!$L$6:$CC$305,33,0)</f>
        <v>0</v>
      </c>
      <c r="AS314" s="102">
        <f>VLOOKUP(L314,材料合同!$L$6:$CC$305,34,0)</f>
        <v>0</v>
      </c>
      <c r="AT314" s="102">
        <f>VLOOKUP(L314,材料合同!$L$6:$CC$305,35,0)</f>
        <v>0</v>
      </c>
      <c r="AU314" s="102">
        <f>VLOOKUP(L314,材料合同!$L$6:$CC$305,36,0)</f>
        <v>0</v>
      </c>
      <c r="AV314" s="102">
        <f>VLOOKUP(L314,材料合同!$L$6:$CC$305,37,0)</f>
        <v>0</v>
      </c>
      <c r="AW314" s="102">
        <f>VLOOKUP(L314,材料合同!$L$6:$CC$305,38,0)</f>
        <v>0</v>
      </c>
      <c r="AX314" s="102">
        <f>VLOOKUP(L314,材料合同!$L$6:$CC$305,39,0)</f>
        <v>0</v>
      </c>
      <c r="AY314" s="102">
        <f>VLOOKUP(L314,材料合同!$L$6:$CC$305,40,0)</f>
        <v>0</v>
      </c>
      <c r="AZ314" s="102">
        <f>VLOOKUP(L314,材料合同!$L$6:$CC$305,41,0)</f>
        <v>0</v>
      </c>
      <c r="BA314" s="102">
        <f>VLOOKUP(L314,材料合同!$L$6:$CC$305,42,0)</f>
        <v>0</v>
      </c>
      <c r="BB314" s="102">
        <f>VLOOKUP(L314,材料合同!$L$6:$CC$305,43,0)</f>
        <v>0</v>
      </c>
      <c r="BC314" s="102">
        <f>VLOOKUP(L314,材料合同!$L$6:$CC$305,44,0)</f>
        <v>0</v>
      </c>
      <c r="BD314" s="102">
        <f>VLOOKUP(L314,材料合同!$L$6:$CC$305,45,0)</f>
        <v>0</v>
      </c>
      <c r="BE314" s="102">
        <f>VLOOKUP(L314,材料合同!$L$6:$CC$305,46,0)</f>
        <v>0</v>
      </c>
      <c r="BF314" s="102">
        <f>VLOOKUP(L314,材料合同!$L$6:$CC$305,47,0)</f>
        <v>0</v>
      </c>
      <c r="BG314" s="102">
        <f>VLOOKUP(L314,材料合同!$L$6:$CC$305,48,0)</f>
        <v>0</v>
      </c>
      <c r="BH314" s="102">
        <f>VLOOKUP(L314,材料合同!$L$6:$CC$305,49,0)</f>
        <v>0</v>
      </c>
      <c r="BI314" s="102">
        <f>VLOOKUP(L314,材料合同!$L$6:$CC$305,50,0)</f>
        <v>0</v>
      </c>
      <c r="BJ314" s="102">
        <f>VLOOKUP(L314,材料合同!$L$6:$CC$305,51,0)</f>
        <v>0</v>
      </c>
      <c r="BK314" s="102">
        <f>VLOOKUP(L314,材料合同!$L$6:$CC$305,52,0)</f>
        <v>0</v>
      </c>
      <c r="BL314" s="102">
        <f>VLOOKUP(L314,材料合同!$L$6:$CC$305,53,0)</f>
        <v>0</v>
      </c>
      <c r="BM314" s="102">
        <f>VLOOKUP(L314,材料合同!$L$6:$CC$305,54,0)</f>
        <v>0</v>
      </c>
      <c r="BN314" s="102">
        <f>VLOOKUP(L314,材料合同!$L$6:$CC$305,55,0)</f>
        <v>0</v>
      </c>
      <c r="BO314" s="102">
        <f>VLOOKUP(L314,材料合同!$L$6:$CC$305,56,0)</f>
        <v>0</v>
      </c>
      <c r="BP314" s="102">
        <f>VLOOKUP(L314,材料合同!$L$6:$CC$305,57,0)</f>
        <v>0</v>
      </c>
      <c r="BQ314" s="102">
        <f>VLOOKUP(L314,材料合同!$L$6:$CC$305,58,0)</f>
        <v>0</v>
      </c>
      <c r="BR314" s="102">
        <f>VLOOKUP(L314,材料合同!$L$6:$CC$305,59,0)</f>
        <v>0</v>
      </c>
      <c r="BS314" s="102">
        <f>VLOOKUP(L314,材料合同!$L$6:$CC$305,60,0)</f>
        <v>0</v>
      </c>
      <c r="BT314" s="102">
        <f>VLOOKUP(L314,材料合同!$L$6:$CC$305,61,0)</f>
        <v>0</v>
      </c>
      <c r="BU314" s="102">
        <f>VLOOKUP(L314,材料合同!$L$6:$CC$305,62,0)</f>
        <v>0</v>
      </c>
      <c r="BV314" s="102">
        <f>VLOOKUP(L314,材料合同!$L$6:$CC$305,63,0)</f>
        <v>0</v>
      </c>
      <c r="BW314" s="102">
        <f>VLOOKUP(L314,材料合同!$L$6:$CC$305,64,0)</f>
        <v>0</v>
      </c>
      <c r="BX314" s="102">
        <f>VLOOKUP(L314,材料合同!$L$6:$CC$305,65,0)</f>
        <v>0</v>
      </c>
      <c r="BY314" s="102">
        <f>VLOOKUP(L314,材料合同!$L$6:$CC$305,66,0)</f>
        <v>0</v>
      </c>
      <c r="BZ314" s="102">
        <f>VLOOKUP(L314,材料合同!$L$6:$CC$305,67,0)</f>
        <v>0</v>
      </c>
      <c r="CA314" s="102">
        <f>VLOOKUP(L314,材料合同!$L$6:$CC$305,68,0)</f>
        <v>0</v>
      </c>
      <c r="CB314" s="102">
        <f>VLOOKUP(L314,材料合同!$L$6:$CC$305,69,0)</f>
        <v>0</v>
      </c>
      <c r="CC314" s="102">
        <f>VLOOKUP(L314,材料合同!$L$6:$CC$305,70,0)</f>
        <v>0</v>
      </c>
      <c r="CD314" s="123">
        <f t="shared" si="66"/>
        <v>1165000</v>
      </c>
      <c r="CE314" s="102">
        <f t="shared" si="67"/>
        <v>1165000</v>
      </c>
      <c r="CF314" s="102">
        <f t="shared" si="68"/>
        <v>0</v>
      </c>
      <c r="CG314" s="102">
        <f t="shared" si="69"/>
        <v>0</v>
      </c>
      <c r="CH314" s="124">
        <f t="shared" si="70"/>
        <v>1165000</v>
      </c>
      <c r="CI314" s="125">
        <f t="shared" si="71"/>
        <v>0</v>
      </c>
      <c r="CJ314" s="126" t="str">
        <f t="shared" si="72"/>
        <v>数据正确</v>
      </c>
    </row>
    <row r="315" s="60" customFormat="1" customHeight="1" spans="2:88">
      <c r="B315" s="70" t="str">
        <f t="shared" si="62"/>
        <v>申请中</v>
      </c>
      <c r="C315" s="71" t="str">
        <f t="shared" si="63"/>
        <v>-</v>
      </c>
      <c r="D315" s="181">
        <f t="shared" si="64"/>
        <v>0</v>
      </c>
      <c r="E315" s="181">
        <f>SUMIF(材料合同!$L$6:$L$305,L315,材料合同!$E$6:$E$305)</f>
        <v>0</v>
      </c>
      <c r="F315" s="181">
        <f>SUMIF(材料合同!$L$6:$L$305,L315,材料合同!$F$6:$F$305)</f>
        <v>0</v>
      </c>
      <c r="G315" s="181">
        <f>SUMIF(材料合同!$L$6:$L$305,L315,材料合同!$G$6:$G$305)</f>
        <v>0</v>
      </c>
      <c r="H315" s="181">
        <f>SUMIF(材料合同!$L$6:$L$305,L315,材料合同!$H$6:$H$305)</f>
        <v>0</v>
      </c>
      <c r="I315" s="181">
        <f t="shared" si="65"/>
        <v>48154.5</v>
      </c>
      <c r="J315" s="86" t="s">
        <v>98</v>
      </c>
      <c r="K315" s="87"/>
      <c r="L315" s="88">
        <v>310</v>
      </c>
      <c r="M315" s="89" t="str">
        <f>VLOOKUP(L315,材料合同!$L$6:$CC$305,2,0)</f>
        <v>YRKJGC-17079</v>
      </c>
      <c r="N315" s="90" t="str">
        <f>VLOOKUP(L315,材料合同!$L$6:$CC$305,3,0)</f>
        <v>材料合同</v>
      </c>
      <c r="O315" s="265">
        <f>VLOOKUP(L315,材料合同!$L$6:$CC$305,4,0)</f>
        <v>0</v>
      </c>
      <c r="P315" s="266">
        <f>VLOOKUP(L315,材料合同!$L$6:$CC$305,5,0)</f>
        <v>43036</v>
      </c>
      <c r="Q315" s="275">
        <f>VLOOKUP(L315,材料合同!$L$6:$CC$305,6,0)</f>
        <v>48154.5</v>
      </c>
      <c r="R315" s="89" t="str">
        <f>VLOOKUP(L315,材料合同!$L$6:$CC$305,7,0)</f>
        <v>HFB增强型电力波纹管</v>
      </c>
      <c r="S315" s="89" t="str">
        <f>VLOOKUP(L315,材料合同!$L$6:$CC$305,8,0)</f>
        <v>莆田冠亿自动化科技有限公司</v>
      </c>
      <c r="T315" s="107" t="str">
        <f>VLOOKUP(L315,材料合同!$L$6:$CC$305,9,0)</f>
        <v>全厂道路照明及接地系统</v>
      </c>
      <c r="U315" s="103" t="str">
        <f>VLOOKUP(L315,材料合同!$L$6:$CC$305,10,0)</f>
        <v>电汇</v>
      </c>
      <c r="V315" s="276" t="str">
        <f>VLOOKUP(L315,材料合同!$L$6:$CC$305,11,0)</f>
        <v>甲方货物验收合格收到全额发票支付100%货款 </v>
      </c>
      <c r="W315" s="102">
        <f>VLOOKUP(L315,材料合同!$L$6:$CC$305,12,0)</f>
        <v>48154.5</v>
      </c>
      <c r="X315" s="102">
        <f>VLOOKUP(L315,材料合同!$L$6:$CC$305,13,0)</f>
        <v>48154.5</v>
      </c>
      <c r="Y315" s="102">
        <f>VLOOKUP(L315,材料合同!$L$6:$CC$305,14,0)</f>
        <v>0</v>
      </c>
      <c r="Z315" s="102">
        <f>VLOOKUP(L315,材料合同!$L$6:$CC$305,15,0)</f>
        <v>0</v>
      </c>
      <c r="AA315" s="102">
        <f>VLOOKUP(L315,材料合同!$L$6:$CC$305,16,0)</f>
        <v>0</v>
      </c>
      <c r="AB315" s="102">
        <f>VLOOKUP(L315,材料合同!$L$6:$CC$305,17,0)</f>
        <v>0</v>
      </c>
      <c r="AC315" s="102">
        <f>VLOOKUP(L315,材料合同!$L$6:$CC$305,18,0)</f>
        <v>0</v>
      </c>
      <c r="AD315" s="102">
        <f>VLOOKUP(L315,材料合同!$L$6:$CC$305,19,0)</f>
        <v>0</v>
      </c>
      <c r="AE315" s="102">
        <f>VLOOKUP(L315,材料合同!$L$6:$CC$305,20,0)</f>
        <v>0</v>
      </c>
      <c r="AF315" s="102">
        <f>VLOOKUP(L315,材料合同!$L$6:$CC$305,21,0)</f>
        <v>0</v>
      </c>
      <c r="AG315" s="102">
        <f>VLOOKUP(L315,材料合同!$L$6:$CC$305,22,0)</f>
        <v>0</v>
      </c>
      <c r="AH315" s="102">
        <f>VLOOKUP(L315,材料合同!$L$6:$CC$305,23,0)</f>
        <v>0</v>
      </c>
      <c r="AI315" s="102">
        <f>VLOOKUP(L315,材料合同!$L$6:$CC$305,24,0)</f>
        <v>0</v>
      </c>
      <c r="AJ315" s="102">
        <f>VLOOKUP(L315,材料合同!$L$6:$CC$305,25,0)</f>
        <v>0</v>
      </c>
      <c r="AK315" s="102">
        <f>VLOOKUP(L315,材料合同!$L$6:$CC$305,26,0)</f>
        <v>0</v>
      </c>
      <c r="AL315" s="102">
        <f>VLOOKUP(L315,材料合同!$L$6:$CC$305,27,0)</f>
        <v>0</v>
      </c>
      <c r="AM315" s="102">
        <f>VLOOKUP(L315,材料合同!$L$6:$CC$305,28,0)</f>
        <v>0</v>
      </c>
      <c r="AN315" s="102">
        <f>VLOOKUP(L315,材料合同!$L$6:$CC$305,29,0)</f>
        <v>0</v>
      </c>
      <c r="AO315" s="102">
        <f>VLOOKUP(L315,材料合同!$L$6:$CC$305,30,0)</f>
        <v>0</v>
      </c>
      <c r="AP315" s="102">
        <f>VLOOKUP(L315,材料合同!$L$6:$CC$305,31,0)</f>
        <v>0</v>
      </c>
      <c r="AQ315" s="102">
        <f>VLOOKUP(L315,材料合同!$L$6:$CC$305,32,0)</f>
        <v>0</v>
      </c>
      <c r="AR315" s="102">
        <f>VLOOKUP(L315,材料合同!$L$6:$CC$305,33,0)</f>
        <v>0</v>
      </c>
      <c r="AS315" s="102">
        <f>VLOOKUP(L315,材料合同!$L$6:$CC$305,34,0)</f>
        <v>0</v>
      </c>
      <c r="AT315" s="102">
        <f>VLOOKUP(L315,材料合同!$L$6:$CC$305,35,0)</f>
        <v>0</v>
      </c>
      <c r="AU315" s="102">
        <f>VLOOKUP(L315,材料合同!$L$6:$CC$305,36,0)</f>
        <v>0</v>
      </c>
      <c r="AV315" s="102">
        <f>VLOOKUP(L315,材料合同!$L$6:$CC$305,37,0)</f>
        <v>0</v>
      </c>
      <c r="AW315" s="102">
        <f>VLOOKUP(L315,材料合同!$L$6:$CC$305,38,0)</f>
        <v>0</v>
      </c>
      <c r="AX315" s="102">
        <f>VLOOKUP(L315,材料合同!$L$6:$CC$305,39,0)</f>
        <v>0</v>
      </c>
      <c r="AY315" s="102">
        <f>VLOOKUP(L315,材料合同!$L$6:$CC$305,40,0)</f>
        <v>0</v>
      </c>
      <c r="AZ315" s="102">
        <f>VLOOKUP(L315,材料合同!$L$6:$CC$305,41,0)</f>
        <v>0</v>
      </c>
      <c r="BA315" s="102">
        <f>VLOOKUP(L315,材料合同!$L$6:$CC$305,42,0)</f>
        <v>0</v>
      </c>
      <c r="BB315" s="102">
        <f>VLOOKUP(L315,材料合同!$L$6:$CC$305,43,0)</f>
        <v>0</v>
      </c>
      <c r="BC315" s="102">
        <f>VLOOKUP(L315,材料合同!$L$6:$CC$305,44,0)</f>
        <v>0</v>
      </c>
      <c r="BD315" s="102">
        <f>VLOOKUP(L315,材料合同!$L$6:$CC$305,45,0)</f>
        <v>0</v>
      </c>
      <c r="BE315" s="102">
        <f>VLOOKUP(L315,材料合同!$L$6:$CC$305,46,0)</f>
        <v>0</v>
      </c>
      <c r="BF315" s="102">
        <f>VLOOKUP(L315,材料合同!$L$6:$CC$305,47,0)</f>
        <v>0</v>
      </c>
      <c r="BG315" s="102">
        <f>VLOOKUP(L315,材料合同!$L$6:$CC$305,48,0)</f>
        <v>0</v>
      </c>
      <c r="BH315" s="102">
        <f>VLOOKUP(L315,材料合同!$L$6:$CC$305,49,0)</f>
        <v>0</v>
      </c>
      <c r="BI315" s="102">
        <f>VLOOKUP(L315,材料合同!$L$6:$CC$305,50,0)</f>
        <v>0</v>
      </c>
      <c r="BJ315" s="102">
        <f>VLOOKUP(L315,材料合同!$L$6:$CC$305,51,0)</f>
        <v>0</v>
      </c>
      <c r="BK315" s="102">
        <f>VLOOKUP(L315,材料合同!$L$6:$CC$305,52,0)</f>
        <v>0</v>
      </c>
      <c r="BL315" s="102">
        <f>VLOOKUP(L315,材料合同!$L$6:$CC$305,53,0)</f>
        <v>0</v>
      </c>
      <c r="BM315" s="102">
        <f>VLOOKUP(L315,材料合同!$L$6:$CC$305,54,0)</f>
        <v>0</v>
      </c>
      <c r="BN315" s="102">
        <f>VLOOKUP(L315,材料合同!$L$6:$CC$305,55,0)</f>
        <v>0</v>
      </c>
      <c r="BO315" s="102">
        <f>VLOOKUP(L315,材料合同!$L$6:$CC$305,56,0)</f>
        <v>0</v>
      </c>
      <c r="BP315" s="102">
        <f>VLOOKUP(L315,材料合同!$L$6:$CC$305,57,0)</f>
        <v>0</v>
      </c>
      <c r="BQ315" s="102">
        <f>VLOOKUP(L315,材料合同!$L$6:$CC$305,58,0)</f>
        <v>0</v>
      </c>
      <c r="BR315" s="102">
        <f>VLOOKUP(L315,材料合同!$L$6:$CC$305,59,0)</f>
        <v>0</v>
      </c>
      <c r="BS315" s="102">
        <f>VLOOKUP(L315,材料合同!$L$6:$CC$305,60,0)</f>
        <v>0</v>
      </c>
      <c r="BT315" s="102">
        <f>VLOOKUP(L315,材料合同!$L$6:$CC$305,61,0)</f>
        <v>0</v>
      </c>
      <c r="BU315" s="102">
        <f>VLOOKUP(L315,材料合同!$L$6:$CC$305,62,0)</f>
        <v>0</v>
      </c>
      <c r="BV315" s="102">
        <f>VLOOKUP(L315,材料合同!$L$6:$CC$305,63,0)</f>
        <v>0</v>
      </c>
      <c r="BW315" s="102">
        <f>VLOOKUP(L315,材料合同!$L$6:$CC$305,64,0)</f>
        <v>0</v>
      </c>
      <c r="BX315" s="102">
        <f>VLOOKUP(L315,材料合同!$L$6:$CC$305,65,0)</f>
        <v>0</v>
      </c>
      <c r="BY315" s="102">
        <f>VLOOKUP(L315,材料合同!$L$6:$CC$305,66,0)</f>
        <v>0</v>
      </c>
      <c r="BZ315" s="102">
        <f>VLOOKUP(L315,材料合同!$L$6:$CC$305,67,0)</f>
        <v>0</v>
      </c>
      <c r="CA315" s="102">
        <f>VLOOKUP(L315,材料合同!$L$6:$CC$305,68,0)</f>
        <v>0</v>
      </c>
      <c r="CB315" s="102">
        <f>VLOOKUP(L315,材料合同!$L$6:$CC$305,69,0)</f>
        <v>0</v>
      </c>
      <c r="CC315" s="102">
        <f>VLOOKUP(L315,材料合同!$L$6:$CC$305,70,0)</f>
        <v>0</v>
      </c>
      <c r="CD315" s="123">
        <f t="shared" si="66"/>
        <v>48154.5</v>
      </c>
      <c r="CE315" s="102">
        <f t="shared" si="67"/>
        <v>48154.5</v>
      </c>
      <c r="CF315" s="102">
        <f t="shared" si="68"/>
        <v>0</v>
      </c>
      <c r="CG315" s="102">
        <f t="shared" si="69"/>
        <v>0</v>
      </c>
      <c r="CH315" s="124">
        <f t="shared" si="70"/>
        <v>48154.5</v>
      </c>
      <c r="CI315" s="125">
        <f t="shared" si="71"/>
        <v>0</v>
      </c>
      <c r="CJ315" s="126" t="str">
        <f t="shared" si="72"/>
        <v>数据正确</v>
      </c>
    </row>
    <row r="316" s="60" customFormat="1" customHeight="1" spans="2:88">
      <c r="B316" s="70" t="str">
        <f t="shared" si="62"/>
        <v>-</v>
      </c>
      <c r="C316" s="71" t="str">
        <f t="shared" si="63"/>
        <v>-</v>
      </c>
      <c r="D316" s="181">
        <f t="shared" si="64"/>
        <v>30000</v>
      </c>
      <c r="E316" s="181">
        <f>SUMIF(工程合同!$L$6:$L$299,L316,工程合同!$E$6:$E$299)</f>
        <v>0</v>
      </c>
      <c r="F316" s="181">
        <f>SUMIF(工程合同!$L$6:$L$299,L316,工程合同!$F$6:$F$299)</f>
        <v>0</v>
      </c>
      <c r="G316" s="181">
        <f>SUMIF(工程合同!$L$6:$L$299,L316,工程合同!$G$6:$G$299)</f>
        <v>0</v>
      </c>
      <c r="H316" s="181">
        <f>SUMIF(工程合同!$L$6:$L$299,L316,工程合同!$H$6:$H$299)</f>
        <v>0</v>
      </c>
      <c r="I316" s="181">
        <f t="shared" si="65"/>
        <v>0</v>
      </c>
      <c r="J316" s="86" t="s">
        <v>98</v>
      </c>
      <c r="K316" s="87"/>
      <c r="L316" s="88">
        <v>311</v>
      </c>
      <c r="M316" s="89" t="str">
        <f>VLOOKUP(L316,工程合同!$L$6:$CC$299,2,0)</f>
        <v>YRKJBT-170129</v>
      </c>
      <c r="N316" s="90" t="str">
        <f>VLOOKUP(L316,工程合同!$L$6:$CC$299,3,0)</f>
        <v>工程合同</v>
      </c>
      <c r="O316" s="265">
        <f>VLOOKUP(L316,工程合同!$L$6:$CC$299,4,0)</f>
        <v>0</v>
      </c>
      <c r="P316" s="266">
        <f>VLOOKUP(L316,工程合同!$L$6:$CC$299,5,0)</f>
        <v>43042</v>
      </c>
      <c r="Q316" s="275">
        <f>VLOOKUP(L316,工程合同!$L$6:$CC$299,6,0)</f>
        <v>150000</v>
      </c>
      <c r="R316" s="89" t="str">
        <f>VLOOKUP(L316,工程合同!$L$6:$CC$299,7,0)</f>
        <v>电能评估技术服务</v>
      </c>
      <c r="S316" s="89" t="str">
        <f>VLOOKUP(L316,工程合同!$L$6:$CC$299,8,0)</f>
        <v>厦门奕昕科技有限公司</v>
      </c>
      <c r="T316" s="107">
        <f>VLOOKUP(L316,工程合同!$L$6:$CC$299,9,0)</f>
        <v>0</v>
      </c>
      <c r="U316" s="103" t="str">
        <f>VLOOKUP(L316,工程合同!$L$6:$CC$299,10,0)</f>
        <v>电汇</v>
      </c>
      <c r="V316" s="276" t="str">
        <f>VLOOKUP(L316,工程合同!$L$6:$CC$299,11,0)</f>
        <v>合同签订10个工作日内支付20%</v>
      </c>
      <c r="W316" s="102">
        <f>VLOOKUP(L316,工程合同!$L$6:$CC$299,12,0)</f>
        <v>30000</v>
      </c>
      <c r="X316" s="102">
        <f>VLOOKUP(L316,工程合同!$L$6:$CC$299,13,0)</f>
        <v>30000</v>
      </c>
      <c r="Y316" s="102">
        <f>VLOOKUP(L316,工程合同!$L$6:$CC$299,14,0)</f>
        <v>30000</v>
      </c>
      <c r="Z316" s="102" t="str">
        <f>VLOOKUP(L316,工程合同!$L$6:$CC$299,15,0)</f>
        <v>评估报告制作经甲方审核满足项目建设要求，收到全额发票10个工作日支付80%</v>
      </c>
      <c r="AA316" s="102">
        <f>VLOOKUP(L316,工程合同!$L$6:$CC$299,16,0)</f>
        <v>120000</v>
      </c>
      <c r="AB316" s="102">
        <f>VLOOKUP(L316,工程合同!$L$6:$CC$299,17,0)</f>
        <v>0</v>
      </c>
      <c r="AC316" s="102">
        <f>VLOOKUP(L316,工程合同!$L$6:$CC$299,18,0)</f>
        <v>0</v>
      </c>
      <c r="AD316" s="102">
        <f>VLOOKUP(L316,工程合同!$L$6:$CC$299,19,0)</f>
        <v>0</v>
      </c>
      <c r="AE316" s="102">
        <f>VLOOKUP(L316,工程合同!$L$6:$CC$299,20,0)</f>
        <v>0</v>
      </c>
      <c r="AF316" s="102">
        <f>VLOOKUP(L316,工程合同!$L$6:$CC$299,21,0)</f>
        <v>0</v>
      </c>
      <c r="AG316" s="102">
        <f>VLOOKUP(L316,工程合同!$L$6:$CC$299,22,0)</f>
        <v>0</v>
      </c>
      <c r="AH316" s="102">
        <f>VLOOKUP(L316,工程合同!$L$6:$CC$299,23,0)</f>
        <v>0</v>
      </c>
      <c r="AI316" s="102">
        <f>VLOOKUP(L316,工程合同!$L$6:$CC$299,24,0)</f>
        <v>0</v>
      </c>
      <c r="AJ316" s="102">
        <f>VLOOKUP(L316,工程合同!$L$6:$CC$299,25,0)</f>
        <v>0</v>
      </c>
      <c r="AK316" s="102">
        <f>VLOOKUP(L316,工程合同!$L$6:$CC$299,26,0)</f>
        <v>0</v>
      </c>
      <c r="AL316" s="102">
        <f>VLOOKUP(L316,工程合同!$L$6:$CC$299,27,0)</f>
        <v>0</v>
      </c>
      <c r="AM316" s="102">
        <f>VLOOKUP(L316,工程合同!$L$6:$CC$299,28,0)</f>
        <v>0</v>
      </c>
      <c r="AN316" s="102">
        <f>VLOOKUP(L316,工程合同!$L$6:$CC$299,29,0)</f>
        <v>0</v>
      </c>
      <c r="AO316" s="102">
        <f>VLOOKUP(L316,工程合同!$L$6:$CC$299,30,0)</f>
        <v>0</v>
      </c>
      <c r="AP316" s="102">
        <f>VLOOKUP(L316,工程合同!$L$6:$CC$299,31,0)</f>
        <v>0</v>
      </c>
      <c r="AQ316" s="102">
        <f>VLOOKUP(L316,工程合同!$L$6:$CC$299,32,0)</f>
        <v>0</v>
      </c>
      <c r="AR316" s="102">
        <f>VLOOKUP(L316,工程合同!$L$6:$CC$299,33,0)</f>
        <v>0</v>
      </c>
      <c r="AS316" s="102">
        <f>VLOOKUP(L316,工程合同!$L$6:$CC$299,34,0)</f>
        <v>0</v>
      </c>
      <c r="AT316" s="102">
        <f>VLOOKUP(L316,工程合同!$L$6:$CC$299,35,0)</f>
        <v>0</v>
      </c>
      <c r="AU316" s="102">
        <f>VLOOKUP(L316,工程合同!$L$6:$CC$299,36,0)</f>
        <v>0</v>
      </c>
      <c r="AV316" s="102">
        <f>VLOOKUP(L316,工程合同!$L$6:$CC$299,37,0)</f>
        <v>0</v>
      </c>
      <c r="AW316" s="102">
        <f>VLOOKUP(L316,工程合同!$L$6:$CC$299,38,0)</f>
        <v>0</v>
      </c>
      <c r="AX316" s="102">
        <f>VLOOKUP(L316,工程合同!$L$6:$CC$299,39,0)</f>
        <v>0</v>
      </c>
      <c r="AY316" s="102">
        <f>VLOOKUP(L316,工程合同!$L$6:$CC$299,40,0)</f>
        <v>0</v>
      </c>
      <c r="AZ316" s="102">
        <f>VLOOKUP(L316,工程合同!$L$6:$CC$299,41,0)</f>
        <v>0</v>
      </c>
      <c r="BA316" s="102">
        <f>VLOOKUP(L316,工程合同!$L$6:$CC$299,42,0)</f>
        <v>0</v>
      </c>
      <c r="BB316" s="102">
        <f>VLOOKUP(L316,工程合同!$L$6:$CC$299,43,0)</f>
        <v>0</v>
      </c>
      <c r="BC316" s="102">
        <f>VLOOKUP(L316,工程合同!$L$6:$CC$299,44,0)</f>
        <v>0</v>
      </c>
      <c r="BD316" s="102">
        <f>VLOOKUP(L316,工程合同!$L$6:$CC$299,45,0)</f>
        <v>0</v>
      </c>
      <c r="BE316" s="102">
        <f>VLOOKUP(L316,工程合同!$L$6:$CC$299,46,0)</f>
        <v>0</v>
      </c>
      <c r="BF316" s="102">
        <f>VLOOKUP(L316,工程合同!$L$6:$CC$299,47,0)</f>
        <v>0</v>
      </c>
      <c r="BG316" s="102">
        <f>VLOOKUP(L316,工程合同!$L$6:$CC$299,48,0)</f>
        <v>0</v>
      </c>
      <c r="BH316" s="102">
        <f>VLOOKUP(L316,工程合同!$L$6:$CC$299,49,0)</f>
        <v>0</v>
      </c>
      <c r="BI316" s="102">
        <f>VLOOKUP(L316,工程合同!$L$6:$CC$299,50,0)</f>
        <v>0</v>
      </c>
      <c r="BJ316" s="102">
        <f>VLOOKUP(L316,工程合同!$L$6:$CC$299,51,0)</f>
        <v>0</v>
      </c>
      <c r="BK316" s="102">
        <f>VLOOKUP(L316,工程合同!$L$6:$CC$299,52,0)</f>
        <v>0</v>
      </c>
      <c r="BL316" s="102">
        <f>VLOOKUP(L316,工程合同!$L$6:$CC$299,53,0)</f>
        <v>0</v>
      </c>
      <c r="BM316" s="102">
        <f>VLOOKUP(L316,工程合同!$L$6:$CC$299,54,0)</f>
        <v>0</v>
      </c>
      <c r="BN316" s="102">
        <f>VLOOKUP(L316,工程合同!$L$6:$CC$299,55,0)</f>
        <v>0</v>
      </c>
      <c r="BO316" s="102">
        <f>VLOOKUP(L316,工程合同!$L$6:$CC$299,56,0)</f>
        <v>0</v>
      </c>
      <c r="BP316" s="102">
        <f>VLOOKUP(L316,工程合同!$L$6:$CC$299,57,0)</f>
        <v>0</v>
      </c>
      <c r="BQ316" s="102">
        <f>VLOOKUP(L316,工程合同!$L$6:$CC$299,58,0)</f>
        <v>0</v>
      </c>
      <c r="BR316" s="102">
        <f>VLOOKUP(L316,工程合同!$L$6:$CC$299,59,0)</f>
        <v>0</v>
      </c>
      <c r="BS316" s="102">
        <f>VLOOKUP(L316,工程合同!$L$6:$CC$299,60,0)</f>
        <v>0</v>
      </c>
      <c r="BT316" s="102">
        <f>VLOOKUP(L316,工程合同!$L$6:$CC$299,61,0)</f>
        <v>0</v>
      </c>
      <c r="BU316" s="102">
        <f>VLOOKUP(L316,工程合同!$L$6:$CC$299,62,0)</f>
        <v>0</v>
      </c>
      <c r="BV316" s="102">
        <f>VLOOKUP(L316,工程合同!$L$6:$CC$299,63,0)</f>
        <v>0</v>
      </c>
      <c r="BW316" s="102">
        <f>VLOOKUP(L316,工程合同!$L$6:$CC$299,64,0)</f>
        <v>0</v>
      </c>
      <c r="BX316" s="102">
        <f>VLOOKUP(L316,工程合同!$L$6:$CC$299,65,0)</f>
        <v>0</v>
      </c>
      <c r="BY316" s="102">
        <f>VLOOKUP(L316,工程合同!$L$6:$CC$299,66,0)</f>
        <v>0</v>
      </c>
      <c r="BZ316" s="102">
        <f>VLOOKUP(L316,工程合同!$L$6:$CC$299,67,0)</f>
        <v>0</v>
      </c>
      <c r="CA316" s="102">
        <f>VLOOKUP(L316,工程合同!$L$6:$CC$299,68,0)</f>
        <v>0</v>
      </c>
      <c r="CB316" s="102">
        <f>VLOOKUP(L316,工程合同!$L$6:$CC$299,69,0)</f>
        <v>0</v>
      </c>
      <c r="CC316" s="102">
        <f>VLOOKUP(L316,工程合同!$L$6:$CC$299,70,0)</f>
        <v>0</v>
      </c>
      <c r="CD316" s="123">
        <f t="shared" si="66"/>
        <v>150000</v>
      </c>
      <c r="CE316" s="102">
        <f t="shared" si="67"/>
        <v>30000</v>
      </c>
      <c r="CF316" s="102">
        <f t="shared" si="68"/>
        <v>30000</v>
      </c>
      <c r="CG316" s="102">
        <f t="shared" si="69"/>
        <v>0</v>
      </c>
      <c r="CH316" s="124">
        <f t="shared" si="70"/>
        <v>120000</v>
      </c>
      <c r="CI316" s="125">
        <f t="shared" si="71"/>
        <v>0.2</v>
      </c>
      <c r="CJ316" s="126" t="str">
        <f t="shared" si="72"/>
        <v>数据正确</v>
      </c>
    </row>
    <row r="317" s="60" customFormat="1" customHeight="1" spans="2:88">
      <c r="B317" s="70" t="str">
        <f t="shared" si="62"/>
        <v>-</v>
      </c>
      <c r="C317" s="71" t="str">
        <f t="shared" si="63"/>
        <v>-</v>
      </c>
      <c r="D317" s="181">
        <f t="shared" si="64"/>
        <v>0</v>
      </c>
      <c r="E317" s="181">
        <f>SUMIF(设备合同!$L$6:$L$302,L317,设备合同!$E$6:$E$302)</f>
        <v>0</v>
      </c>
      <c r="F317" s="181">
        <f>SUMIF(设备合同!$L$6:$L$302,L317,设备合同!$F$6:$F$302)</f>
        <v>0</v>
      </c>
      <c r="G317" s="181">
        <f>SUMIF(设备合同!$L$6:$L$302,L317,设备合同!$G$6:$G$302)</f>
        <v>0</v>
      </c>
      <c r="H317" s="181">
        <f>SUMIF(设备合同!$L$6:$L$302,L317,设备合同!$H$6:$H$302)</f>
        <v>0</v>
      </c>
      <c r="I317" s="181">
        <f t="shared" si="65"/>
        <v>0</v>
      </c>
      <c r="J317" s="86" t="s">
        <v>98</v>
      </c>
      <c r="K317" s="87"/>
      <c r="L317" s="88">
        <v>312</v>
      </c>
      <c r="M317" s="89" t="str">
        <f>VLOOKUP(L317,设备合同!$L$6:$CC$302,2,0)</f>
        <v>YRKJEQ-170104</v>
      </c>
      <c r="N317" s="90" t="str">
        <f>VLOOKUP(L317,设备合同!$L$6:$CC$302,3,0)</f>
        <v>设备合同</v>
      </c>
      <c r="O317" s="265">
        <f>VLOOKUP(L317,设备合同!$L$6:$CC$302,4,0)</f>
        <v>0</v>
      </c>
      <c r="P317" s="266">
        <f>VLOOKUP(L317,设备合同!$L$6:$CC$302,5,0)</f>
        <v>43020</v>
      </c>
      <c r="Q317" s="275">
        <f>VLOOKUP(L317,设备合同!$L$6:$CC$302,6,0)</f>
        <v>257000</v>
      </c>
      <c r="R317" s="89" t="str">
        <f>VLOOKUP(L317,设备合同!$L$6:$CC$302,7,0)</f>
        <v>电磁流量计、涡街流量计</v>
      </c>
      <c r="S317" s="89" t="str">
        <f>VLOOKUP(L317,设备合同!$L$6:$CC$302,8,0)</f>
        <v>北京远东仪表有限公司</v>
      </c>
      <c r="T317" s="107">
        <f>VLOOKUP(L317,设备合同!$L$6:$CC$302,9,0)</f>
        <v>0</v>
      </c>
      <c r="U317" s="103" t="str">
        <f>VLOOKUP(L317,设备合同!$L$6:$CC$302,10,0)</f>
        <v>无说明</v>
      </c>
      <c r="V317" s="276" t="str">
        <f>VLOOKUP(L317,设备合同!$L$6:$CC$302,11,0)</f>
        <v>甲方收到全额发票和等额收据，15个工作日支付60%发货款</v>
      </c>
      <c r="W317" s="102">
        <f>VLOOKUP(L317,设备合同!$L$6:$CC$302,12,0)</f>
        <v>154200</v>
      </c>
      <c r="X317" s="102">
        <f>VLOOKUP(L317,设备合同!$L$6:$CC$302,13,0)</f>
        <v>0</v>
      </c>
      <c r="Y317" s="102">
        <f>VLOOKUP(L317,设备合同!$L$6:$CC$302,14,0)</f>
        <v>0</v>
      </c>
      <c r="Z317" s="102" t="str">
        <f>VLOOKUP(L317,设备合同!$L$6:$CC$302,15,0)</f>
        <v>甲方核定的调试合格报告及足额的发票后付30%调试款</v>
      </c>
      <c r="AA317" s="102">
        <f>VLOOKUP(L317,设备合同!$L$6:$CC$302,16,0)</f>
        <v>77100</v>
      </c>
      <c r="AB317" s="102">
        <f>VLOOKUP(L317,设备合同!$L$6:$CC$302,17,0)</f>
        <v>0</v>
      </c>
      <c r="AC317" s="102">
        <f>VLOOKUP(L317,设备合同!$L$6:$CC$302,18,0)</f>
        <v>0</v>
      </c>
      <c r="AD317" s="102" t="str">
        <f>VLOOKUP(L317,设备合同!$L$6:$CC$302,19,0)</f>
        <v>10%质保金，验收合格12个月或到货现场18个月 承兑</v>
      </c>
      <c r="AE317" s="102">
        <f>VLOOKUP(L317,设备合同!$L$6:$CC$302,20,0)</f>
        <v>25700</v>
      </c>
      <c r="AF317" s="102">
        <f>VLOOKUP(L317,设备合同!$L$6:$CC$302,21,0)</f>
        <v>0</v>
      </c>
      <c r="AG317" s="102">
        <f>VLOOKUP(L317,设备合同!$L$6:$CC$302,22,0)</f>
        <v>0</v>
      </c>
      <c r="AH317" s="102">
        <f>VLOOKUP(L317,设备合同!$L$6:$CC$302,23,0)</f>
        <v>0</v>
      </c>
      <c r="AI317" s="102">
        <f>VLOOKUP(L317,设备合同!$L$6:$CC$302,24,0)</f>
        <v>0</v>
      </c>
      <c r="AJ317" s="102">
        <f>VLOOKUP(L317,设备合同!$L$6:$CC$302,25,0)</f>
        <v>0</v>
      </c>
      <c r="AK317" s="102">
        <f>VLOOKUP(L317,设备合同!$L$6:$CC$302,26,0)</f>
        <v>0</v>
      </c>
      <c r="AL317" s="102">
        <f>VLOOKUP(L317,设备合同!$L$6:$CC$302,27,0)</f>
        <v>0</v>
      </c>
      <c r="AM317" s="102">
        <f>VLOOKUP(L317,设备合同!$L$6:$CC$302,28,0)</f>
        <v>0</v>
      </c>
      <c r="AN317" s="102">
        <f>VLOOKUP(L317,设备合同!$L$6:$CC$302,29,0)</f>
        <v>0</v>
      </c>
      <c r="AO317" s="102">
        <f>VLOOKUP(L317,设备合同!$L$6:$CC$302,30,0)</f>
        <v>0</v>
      </c>
      <c r="AP317" s="102">
        <f>VLOOKUP(L317,设备合同!$L$6:$CC$302,31,0)</f>
        <v>0</v>
      </c>
      <c r="AQ317" s="102">
        <f>VLOOKUP(L317,设备合同!$L$6:$CC$302,32,0)</f>
        <v>0</v>
      </c>
      <c r="AR317" s="102">
        <f>VLOOKUP(L317,设备合同!$L$6:$CC$302,33,0)</f>
        <v>0</v>
      </c>
      <c r="AS317" s="102">
        <f>VLOOKUP(L317,设备合同!$L$6:$CC$302,34,0)</f>
        <v>0</v>
      </c>
      <c r="AT317" s="102">
        <f>VLOOKUP(L317,设备合同!$L$6:$CC$302,35,0)</f>
        <v>0</v>
      </c>
      <c r="AU317" s="102">
        <f>VLOOKUP(L317,设备合同!$L$6:$CC$302,36,0)</f>
        <v>0</v>
      </c>
      <c r="AV317" s="102">
        <f>VLOOKUP(L317,设备合同!$L$6:$CC$302,37,0)</f>
        <v>0</v>
      </c>
      <c r="AW317" s="102">
        <f>VLOOKUP(L317,设备合同!$L$6:$CC$302,38,0)</f>
        <v>0</v>
      </c>
      <c r="AX317" s="102">
        <f>VLOOKUP(L317,设备合同!$L$6:$CC$302,39,0)</f>
        <v>0</v>
      </c>
      <c r="AY317" s="102">
        <f>VLOOKUP(L317,设备合同!$L$6:$CC$302,40,0)</f>
        <v>0</v>
      </c>
      <c r="AZ317" s="102">
        <f>VLOOKUP(L317,设备合同!$L$6:$CC$302,41,0)</f>
        <v>0</v>
      </c>
      <c r="BA317" s="102">
        <f>VLOOKUP(L317,设备合同!$L$6:$CC$302,42,0)</f>
        <v>0</v>
      </c>
      <c r="BB317" s="102">
        <f>VLOOKUP(L317,设备合同!$L$6:$CC$302,43,0)</f>
        <v>0</v>
      </c>
      <c r="BC317" s="102">
        <f>VLOOKUP(L317,设备合同!$L$6:$CC$302,44,0)</f>
        <v>0</v>
      </c>
      <c r="BD317" s="102">
        <f>VLOOKUP(L317,设备合同!$L$6:$CC$302,45,0)</f>
        <v>0</v>
      </c>
      <c r="BE317" s="102">
        <f>VLOOKUP(L317,设备合同!$L$6:$CC$302,46,0)</f>
        <v>0</v>
      </c>
      <c r="BF317" s="102">
        <f>VLOOKUP(L317,设备合同!$L$6:$CC$302,47,0)</f>
        <v>0</v>
      </c>
      <c r="BG317" s="102">
        <f>VLOOKUP(L317,设备合同!$L$6:$CC$302,48,0)</f>
        <v>0</v>
      </c>
      <c r="BH317" s="102">
        <f>VLOOKUP(L317,设备合同!$L$6:$CC$302,49,0)</f>
        <v>0</v>
      </c>
      <c r="BI317" s="102">
        <f>VLOOKUP(L317,设备合同!$L$6:$CC$302,50,0)</f>
        <v>0</v>
      </c>
      <c r="BJ317" s="102">
        <f>VLOOKUP(L317,设备合同!$L$6:$CC$302,51,0)</f>
        <v>0</v>
      </c>
      <c r="BK317" s="102">
        <f>VLOOKUP(L317,设备合同!$L$6:$CC$302,52,0)</f>
        <v>0</v>
      </c>
      <c r="BL317" s="102">
        <f>VLOOKUP(L317,设备合同!$L$6:$CC$302,53,0)</f>
        <v>0</v>
      </c>
      <c r="BM317" s="102">
        <f>VLOOKUP(L317,设备合同!$L$6:$CC$302,54,0)</f>
        <v>0</v>
      </c>
      <c r="BN317" s="102">
        <f>VLOOKUP(L317,设备合同!$L$6:$CC$302,55,0)</f>
        <v>0</v>
      </c>
      <c r="BO317" s="102">
        <f>VLOOKUP(L317,设备合同!$L$6:$CC$302,56,0)</f>
        <v>0</v>
      </c>
      <c r="BP317" s="102">
        <f>VLOOKUP(L317,设备合同!$L$6:$CC$302,57,0)</f>
        <v>0</v>
      </c>
      <c r="BQ317" s="102">
        <f>VLOOKUP(L317,设备合同!$L$6:$CC$302,58,0)</f>
        <v>0</v>
      </c>
      <c r="BR317" s="102">
        <f>VLOOKUP(L317,设备合同!$L$6:$CC$302,59,0)</f>
        <v>0</v>
      </c>
      <c r="BS317" s="102">
        <f>VLOOKUP(L317,设备合同!$L$6:$CC$302,60,0)</f>
        <v>0</v>
      </c>
      <c r="BT317" s="102">
        <f>VLOOKUP(L317,设备合同!$L$6:$CC$302,61,0)</f>
        <v>0</v>
      </c>
      <c r="BU317" s="102">
        <f>VLOOKUP(L317,设备合同!$L$6:$CC$302,62,0)</f>
        <v>0</v>
      </c>
      <c r="BV317" s="102">
        <f>VLOOKUP(L317,设备合同!$L$6:$CC$302,63,0)</f>
        <v>0</v>
      </c>
      <c r="BW317" s="102">
        <f>VLOOKUP(L317,设备合同!$L$6:$CC$302,64,0)</f>
        <v>0</v>
      </c>
      <c r="BX317" s="102">
        <f>VLOOKUP(L317,设备合同!$L$6:$CC$302,65,0)</f>
        <v>0</v>
      </c>
      <c r="BY317" s="102">
        <f>VLOOKUP(L317,设备合同!$L$6:$CC$302,66,0)</f>
        <v>0</v>
      </c>
      <c r="BZ317" s="102">
        <f>VLOOKUP(L317,设备合同!$L$6:$CC$302,67,0)</f>
        <v>0</v>
      </c>
      <c r="CA317" s="102">
        <f>VLOOKUP(L317,设备合同!$L$6:$CC$302,68,0)</f>
        <v>0</v>
      </c>
      <c r="CB317" s="102">
        <f>VLOOKUP(L317,设备合同!$L$6:$CC$302,69,0)</f>
        <v>0</v>
      </c>
      <c r="CC317" s="102">
        <f>VLOOKUP(L317,设备合同!$L$6:$CC$302,70,0)</f>
        <v>0</v>
      </c>
      <c r="CD317" s="123">
        <f t="shared" si="66"/>
        <v>257000</v>
      </c>
      <c r="CE317" s="102">
        <f t="shared" si="67"/>
        <v>0</v>
      </c>
      <c r="CF317" s="102">
        <f t="shared" si="68"/>
        <v>0</v>
      </c>
      <c r="CG317" s="102">
        <f t="shared" si="69"/>
        <v>0</v>
      </c>
      <c r="CH317" s="124">
        <f t="shared" si="70"/>
        <v>257000</v>
      </c>
      <c r="CI317" s="125">
        <f t="shared" si="71"/>
        <v>0</v>
      </c>
      <c r="CJ317" s="126" t="str">
        <f t="shared" si="72"/>
        <v>数据正确</v>
      </c>
    </row>
    <row r="318" s="60" customFormat="1" customHeight="1" spans="2:88">
      <c r="B318" s="70" t="str">
        <f t="shared" si="62"/>
        <v>-</v>
      </c>
      <c r="C318" s="71" t="str">
        <f t="shared" si="63"/>
        <v>-</v>
      </c>
      <c r="D318" s="181">
        <f t="shared" si="64"/>
        <v>0</v>
      </c>
      <c r="E318" s="181">
        <f>SUMIF(设备合同!$L$6:$L$302,L318,设备合同!$E$6:$E$302)</f>
        <v>0</v>
      </c>
      <c r="F318" s="181">
        <f>SUMIF(设备合同!$L$6:$L$302,L318,设备合同!$F$6:$F$302)</f>
        <v>0</v>
      </c>
      <c r="G318" s="181">
        <f>SUMIF(设备合同!$L$6:$L$302,L318,设备合同!$G$6:$G$302)</f>
        <v>0</v>
      </c>
      <c r="H318" s="181">
        <f>SUMIF(设备合同!$L$6:$L$302,L318,设备合同!$H$6:$H$302)</f>
        <v>0</v>
      </c>
      <c r="I318" s="181">
        <f t="shared" si="65"/>
        <v>0</v>
      </c>
      <c r="J318" s="86" t="s">
        <v>98</v>
      </c>
      <c r="K318" s="87"/>
      <c r="L318" s="88">
        <v>313</v>
      </c>
      <c r="M318" s="89" t="str">
        <f>VLOOKUP(L318,设备合同!$L$6:$CC$302,2,0)</f>
        <v>YRKJEQ-170114</v>
      </c>
      <c r="N318" s="90" t="str">
        <f>VLOOKUP(L318,设备合同!$L$6:$CC$302,3,0)</f>
        <v>设备合同</v>
      </c>
      <c r="O318" s="265">
        <f>VLOOKUP(L318,设备合同!$L$6:$CC$302,4,0)</f>
        <v>0</v>
      </c>
      <c r="P318" s="266">
        <f>VLOOKUP(L318,设备合同!$L$6:$CC$302,5,0)</f>
        <v>43050</v>
      </c>
      <c r="Q318" s="275">
        <f>VLOOKUP(L318,设备合同!$L$6:$CC$302,6,0)</f>
        <v>1200000</v>
      </c>
      <c r="R318" s="89" t="str">
        <f>VLOOKUP(L318,设备合同!$L$6:$CC$302,7,0)</f>
        <v>浮筒44台</v>
      </c>
      <c r="S318" s="89" t="str">
        <f>VLOOKUP(L318,设备合同!$L$6:$CC$302,8,0)</f>
        <v>上海精泰实业（集团）有限公司</v>
      </c>
      <c r="T318" s="107">
        <f>VLOOKUP(L318,设备合同!$L$6:$CC$302,9,0)</f>
        <v>0</v>
      </c>
      <c r="U318" s="103" t="str">
        <f>VLOOKUP(L318,设备合同!$L$6:$CC$302,10,0)</f>
        <v>电汇</v>
      </c>
      <c r="V318" s="276" t="str">
        <f>VLOOKUP(L318,设备合同!$L$6:$CC$302,11,0)</f>
        <v>甲方收到等额收据及预付款保函，15个工作日支付20%预付款  10%质量保函</v>
      </c>
      <c r="W318" s="102">
        <f>VLOOKUP(L318,设备合同!$L$6:$CC$302,12,0)</f>
        <v>240000</v>
      </c>
      <c r="X318" s="102">
        <f>VLOOKUP(L318,设备合同!$L$6:$CC$302,13,0)</f>
        <v>0</v>
      </c>
      <c r="Y318" s="102">
        <f>VLOOKUP(L318,设备合同!$L$6:$CC$302,14,0)</f>
        <v>0</v>
      </c>
      <c r="Z318" s="102" t="str">
        <f>VLOOKUP(L318,设备合同!$L$6:$CC$302,15,0)</f>
        <v>甲方到乙方现场确认无误后，收到17%等额、专票，15个工作日内支付40%发货款</v>
      </c>
      <c r="AA318" s="102">
        <f>VLOOKUP(L318,设备合同!$L$6:$CC$302,16,0)</f>
        <v>480000</v>
      </c>
      <c r="AB318" s="102">
        <f>VLOOKUP(L318,设备合同!$L$6:$CC$302,17,0)</f>
        <v>0</v>
      </c>
      <c r="AC318" s="102">
        <f>VLOOKUP(L318,设备合同!$L$6:$CC$302,18,0)</f>
        <v>0</v>
      </c>
      <c r="AD318" s="102" t="str">
        <f>VLOOKUP(L318,设备合同!$L$6:$CC$302,19,0)</f>
        <v>甲方核定的调试合格报告及足额的发票后付40%的验收款</v>
      </c>
      <c r="AE318" s="102">
        <f>VLOOKUP(L318,设备合同!$L$6:$CC$302,20,0)</f>
        <v>480000</v>
      </c>
      <c r="AF318" s="102">
        <f>VLOOKUP(L318,设备合同!$L$6:$CC$302,21,0)</f>
        <v>0</v>
      </c>
      <c r="AG318" s="102">
        <f>VLOOKUP(L318,设备合同!$L$6:$CC$302,22,0)</f>
        <v>0</v>
      </c>
      <c r="AH318" s="102">
        <f>VLOOKUP(L318,设备合同!$L$6:$CC$302,23,0)</f>
        <v>0</v>
      </c>
      <c r="AI318" s="102">
        <f>VLOOKUP(L318,设备合同!$L$6:$CC$302,24,0)</f>
        <v>0</v>
      </c>
      <c r="AJ318" s="102">
        <f>VLOOKUP(L318,设备合同!$L$6:$CC$302,25,0)</f>
        <v>0</v>
      </c>
      <c r="AK318" s="102">
        <f>VLOOKUP(L318,设备合同!$L$6:$CC$302,26,0)</f>
        <v>0</v>
      </c>
      <c r="AL318" s="102">
        <f>VLOOKUP(L318,设备合同!$L$6:$CC$302,27,0)</f>
        <v>0</v>
      </c>
      <c r="AM318" s="102">
        <f>VLOOKUP(L318,设备合同!$L$6:$CC$302,28,0)</f>
        <v>0</v>
      </c>
      <c r="AN318" s="102">
        <f>VLOOKUP(L318,设备合同!$L$6:$CC$302,29,0)</f>
        <v>0</v>
      </c>
      <c r="AO318" s="102">
        <f>VLOOKUP(L318,设备合同!$L$6:$CC$302,30,0)</f>
        <v>0</v>
      </c>
      <c r="AP318" s="102">
        <f>VLOOKUP(L318,设备合同!$L$6:$CC$302,31,0)</f>
        <v>0</v>
      </c>
      <c r="AQ318" s="102">
        <f>VLOOKUP(L318,设备合同!$L$6:$CC$302,32,0)</f>
        <v>0</v>
      </c>
      <c r="AR318" s="102">
        <f>VLOOKUP(L318,设备合同!$L$6:$CC$302,33,0)</f>
        <v>0</v>
      </c>
      <c r="AS318" s="102">
        <f>VLOOKUP(L318,设备合同!$L$6:$CC$302,34,0)</f>
        <v>0</v>
      </c>
      <c r="AT318" s="102">
        <f>VLOOKUP(L318,设备合同!$L$6:$CC$302,35,0)</f>
        <v>0</v>
      </c>
      <c r="AU318" s="102">
        <f>VLOOKUP(L318,设备合同!$L$6:$CC$302,36,0)</f>
        <v>0</v>
      </c>
      <c r="AV318" s="102">
        <f>VLOOKUP(L318,设备合同!$L$6:$CC$302,37,0)</f>
        <v>0</v>
      </c>
      <c r="AW318" s="102">
        <f>VLOOKUP(L318,设备合同!$L$6:$CC$302,38,0)</f>
        <v>0</v>
      </c>
      <c r="AX318" s="102">
        <f>VLOOKUP(L318,设备合同!$L$6:$CC$302,39,0)</f>
        <v>0</v>
      </c>
      <c r="AY318" s="102">
        <f>VLOOKUP(L318,设备合同!$L$6:$CC$302,40,0)</f>
        <v>0</v>
      </c>
      <c r="AZ318" s="102">
        <f>VLOOKUP(L318,设备合同!$L$6:$CC$302,41,0)</f>
        <v>0</v>
      </c>
      <c r="BA318" s="102">
        <f>VLOOKUP(L318,设备合同!$L$6:$CC$302,42,0)</f>
        <v>0</v>
      </c>
      <c r="BB318" s="102">
        <f>VLOOKUP(L318,设备合同!$L$6:$CC$302,43,0)</f>
        <v>0</v>
      </c>
      <c r="BC318" s="102">
        <f>VLOOKUP(L318,设备合同!$L$6:$CC$302,44,0)</f>
        <v>0</v>
      </c>
      <c r="BD318" s="102">
        <f>VLOOKUP(L318,设备合同!$L$6:$CC$302,45,0)</f>
        <v>0</v>
      </c>
      <c r="BE318" s="102">
        <f>VLOOKUP(L318,设备合同!$L$6:$CC$302,46,0)</f>
        <v>0</v>
      </c>
      <c r="BF318" s="102">
        <f>VLOOKUP(L318,设备合同!$L$6:$CC$302,47,0)</f>
        <v>0</v>
      </c>
      <c r="BG318" s="102">
        <f>VLOOKUP(L318,设备合同!$L$6:$CC$302,48,0)</f>
        <v>0</v>
      </c>
      <c r="BH318" s="102">
        <f>VLOOKUP(L318,设备合同!$L$6:$CC$302,49,0)</f>
        <v>0</v>
      </c>
      <c r="BI318" s="102">
        <f>VLOOKUP(L318,设备合同!$L$6:$CC$302,50,0)</f>
        <v>0</v>
      </c>
      <c r="BJ318" s="102">
        <f>VLOOKUP(L318,设备合同!$L$6:$CC$302,51,0)</f>
        <v>0</v>
      </c>
      <c r="BK318" s="102">
        <f>VLOOKUP(L318,设备合同!$L$6:$CC$302,52,0)</f>
        <v>0</v>
      </c>
      <c r="BL318" s="102">
        <f>VLOOKUP(L318,设备合同!$L$6:$CC$302,53,0)</f>
        <v>0</v>
      </c>
      <c r="BM318" s="102">
        <f>VLOOKUP(L318,设备合同!$L$6:$CC$302,54,0)</f>
        <v>0</v>
      </c>
      <c r="BN318" s="102">
        <f>VLOOKUP(L318,设备合同!$L$6:$CC$302,55,0)</f>
        <v>0</v>
      </c>
      <c r="BO318" s="102">
        <f>VLOOKUP(L318,设备合同!$L$6:$CC$302,56,0)</f>
        <v>0</v>
      </c>
      <c r="BP318" s="102">
        <f>VLOOKUP(L318,设备合同!$L$6:$CC$302,57,0)</f>
        <v>0</v>
      </c>
      <c r="BQ318" s="102">
        <f>VLOOKUP(L318,设备合同!$L$6:$CC$302,58,0)</f>
        <v>0</v>
      </c>
      <c r="BR318" s="102">
        <f>VLOOKUP(L318,设备合同!$L$6:$CC$302,59,0)</f>
        <v>0</v>
      </c>
      <c r="BS318" s="102">
        <f>VLOOKUP(L318,设备合同!$L$6:$CC$302,60,0)</f>
        <v>0</v>
      </c>
      <c r="BT318" s="102">
        <f>VLOOKUP(L318,设备合同!$L$6:$CC$302,61,0)</f>
        <v>0</v>
      </c>
      <c r="BU318" s="102">
        <f>VLOOKUP(L318,设备合同!$L$6:$CC$302,62,0)</f>
        <v>0</v>
      </c>
      <c r="BV318" s="102">
        <f>VLOOKUP(L318,设备合同!$L$6:$CC$302,63,0)</f>
        <v>0</v>
      </c>
      <c r="BW318" s="102">
        <f>VLOOKUP(L318,设备合同!$L$6:$CC$302,64,0)</f>
        <v>0</v>
      </c>
      <c r="BX318" s="102">
        <f>VLOOKUP(L318,设备合同!$L$6:$CC$302,65,0)</f>
        <v>0</v>
      </c>
      <c r="BY318" s="102">
        <f>VLOOKUP(L318,设备合同!$L$6:$CC$302,66,0)</f>
        <v>0</v>
      </c>
      <c r="BZ318" s="102">
        <f>VLOOKUP(L318,设备合同!$L$6:$CC$302,67,0)</f>
        <v>0</v>
      </c>
      <c r="CA318" s="102">
        <f>VLOOKUP(L318,设备合同!$L$6:$CC$302,68,0)</f>
        <v>0</v>
      </c>
      <c r="CB318" s="102">
        <f>VLOOKUP(L318,设备合同!$L$6:$CC$302,69,0)</f>
        <v>0</v>
      </c>
      <c r="CC318" s="102">
        <f>VLOOKUP(L318,设备合同!$L$6:$CC$302,70,0)</f>
        <v>0</v>
      </c>
      <c r="CD318" s="123">
        <f t="shared" si="66"/>
        <v>1200000</v>
      </c>
      <c r="CE318" s="102">
        <f t="shared" si="67"/>
        <v>0</v>
      </c>
      <c r="CF318" s="102">
        <f t="shared" si="68"/>
        <v>0</v>
      </c>
      <c r="CG318" s="102">
        <f t="shared" si="69"/>
        <v>0</v>
      </c>
      <c r="CH318" s="124">
        <f t="shared" si="70"/>
        <v>1200000</v>
      </c>
      <c r="CI318" s="125">
        <f t="shared" si="71"/>
        <v>0</v>
      </c>
      <c r="CJ318" s="126" t="str">
        <f t="shared" si="72"/>
        <v>数据正确</v>
      </c>
    </row>
    <row r="319" s="60" customFormat="1" customHeight="1" spans="2:88">
      <c r="B319" s="70" t="str">
        <f t="shared" si="62"/>
        <v>-</v>
      </c>
      <c r="C319" s="71" t="str">
        <f t="shared" si="63"/>
        <v>-</v>
      </c>
      <c r="D319" s="181">
        <f t="shared" si="64"/>
        <v>0</v>
      </c>
      <c r="E319" s="181">
        <f>SUMIF(设备合同!$L$6:$L$302,L319,设备合同!$E$6:$E$302)</f>
        <v>0</v>
      </c>
      <c r="F319" s="181">
        <f>SUMIF(设备合同!$L$6:$L$302,L319,设备合同!$F$6:$F$302)</f>
        <v>0</v>
      </c>
      <c r="G319" s="181">
        <f>SUMIF(设备合同!$L$6:$L$302,L319,设备合同!$G$6:$G$302)</f>
        <v>0</v>
      </c>
      <c r="H319" s="181">
        <f>SUMIF(设备合同!$L$6:$L$302,L319,设备合同!$H$6:$H$302)</f>
        <v>0</v>
      </c>
      <c r="I319" s="181">
        <f t="shared" si="65"/>
        <v>0</v>
      </c>
      <c r="J319" s="86" t="s">
        <v>98</v>
      </c>
      <c r="K319" s="87"/>
      <c r="L319" s="88">
        <v>314</v>
      </c>
      <c r="M319" s="89" t="str">
        <f>VLOOKUP(L319,设备合同!$L$6:$CC$302,2,0)</f>
        <v>YRKJEQ-170127</v>
      </c>
      <c r="N319" s="90" t="str">
        <f>VLOOKUP(L319,设备合同!$L$6:$CC$302,3,0)</f>
        <v>设备合同</v>
      </c>
      <c r="O319" s="265">
        <f>VLOOKUP(L319,设备合同!$L$6:$CC$302,4,0)</f>
        <v>0</v>
      </c>
      <c r="P319" s="266">
        <f>VLOOKUP(L319,设备合同!$L$6:$CC$302,5,0)</f>
        <v>43046</v>
      </c>
      <c r="Q319" s="275">
        <f>VLOOKUP(L319,设备合同!$L$6:$CC$302,6,0)</f>
        <v>35000</v>
      </c>
      <c r="R319" s="89" t="str">
        <f>VLOOKUP(L319,设备合同!$L$6:$CC$302,7,0)</f>
        <v>硝酸混合器1台</v>
      </c>
      <c r="S319" s="89" t="str">
        <f>VLOOKUP(L319,设备合同!$L$6:$CC$302,8,0)</f>
        <v>上海卡波机电设备有限公司</v>
      </c>
      <c r="T319" s="107">
        <f>VLOOKUP(L319,设备合同!$L$6:$CC$302,9,0)</f>
        <v>0</v>
      </c>
      <c r="U319" s="103" t="str">
        <f>VLOOKUP(L319,设备合同!$L$6:$CC$302,10,0)</f>
        <v>电汇</v>
      </c>
      <c r="V319" s="276" t="str">
        <f>VLOOKUP(L319,设备合同!$L$6:$CC$302,11,0)</f>
        <v>甲方核定的调试合格报告及足额的发票后付支付90%验收款</v>
      </c>
      <c r="W319" s="102">
        <f>VLOOKUP(L319,设备合同!$L$6:$CC$302,12,0)</f>
        <v>31500</v>
      </c>
      <c r="X319" s="102">
        <f>VLOOKUP(L319,设备合同!$L$6:$CC$302,13,0)</f>
        <v>0</v>
      </c>
      <c r="Y319" s="102">
        <f>VLOOKUP(L319,设备合同!$L$6:$CC$302,14,0)</f>
        <v>0</v>
      </c>
      <c r="Z319" s="102" t="str">
        <f>VLOOKUP(L319,设备合同!$L$6:$CC$302,15,0)</f>
        <v>10%质保金，验收合格12个月或到货现场18个月 承兑</v>
      </c>
      <c r="AA319" s="102">
        <f>VLOOKUP(L319,设备合同!$L$6:$CC$302,16,0)</f>
        <v>3500</v>
      </c>
      <c r="AB319" s="102">
        <f>VLOOKUP(L319,设备合同!$L$6:$CC$302,17,0)</f>
        <v>0</v>
      </c>
      <c r="AC319" s="102">
        <f>VLOOKUP(L319,设备合同!$L$6:$CC$302,18,0)</f>
        <v>0</v>
      </c>
      <c r="AD319" s="102">
        <f>VLOOKUP(L319,设备合同!$L$6:$CC$302,19,0)</f>
        <v>0</v>
      </c>
      <c r="AE319" s="102">
        <f>VLOOKUP(L319,设备合同!$L$6:$CC$302,20,0)</f>
        <v>0</v>
      </c>
      <c r="AF319" s="102">
        <f>VLOOKUP(L319,设备合同!$L$6:$CC$302,21,0)</f>
        <v>0</v>
      </c>
      <c r="AG319" s="102">
        <f>VLOOKUP(L319,设备合同!$L$6:$CC$302,22,0)</f>
        <v>0</v>
      </c>
      <c r="AH319" s="102">
        <f>VLOOKUP(L319,设备合同!$L$6:$CC$302,23,0)</f>
        <v>0</v>
      </c>
      <c r="AI319" s="102">
        <f>VLOOKUP(L319,设备合同!$L$6:$CC$302,24,0)</f>
        <v>0</v>
      </c>
      <c r="AJ319" s="102">
        <f>VLOOKUP(L319,设备合同!$L$6:$CC$302,25,0)</f>
        <v>0</v>
      </c>
      <c r="AK319" s="102">
        <f>VLOOKUP(L319,设备合同!$L$6:$CC$302,26,0)</f>
        <v>0</v>
      </c>
      <c r="AL319" s="102">
        <f>VLOOKUP(L319,设备合同!$L$6:$CC$302,27,0)</f>
        <v>0</v>
      </c>
      <c r="AM319" s="102">
        <f>VLOOKUP(L319,设备合同!$L$6:$CC$302,28,0)</f>
        <v>0</v>
      </c>
      <c r="AN319" s="102">
        <f>VLOOKUP(L319,设备合同!$L$6:$CC$302,29,0)</f>
        <v>0</v>
      </c>
      <c r="AO319" s="102">
        <f>VLOOKUP(L319,设备合同!$L$6:$CC$302,30,0)</f>
        <v>0</v>
      </c>
      <c r="AP319" s="102">
        <f>VLOOKUP(L319,设备合同!$L$6:$CC$302,31,0)</f>
        <v>0</v>
      </c>
      <c r="AQ319" s="102">
        <f>VLOOKUP(L319,设备合同!$L$6:$CC$302,32,0)</f>
        <v>0</v>
      </c>
      <c r="AR319" s="102">
        <f>VLOOKUP(L319,设备合同!$L$6:$CC$302,33,0)</f>
        <v>0</v>
      </c>
      <c r="AS319" s="102">
        <f>VLOOKUP(L319,设备合同!$L$6:$CC$302,34,0)</f>
        <v>0</v>
      </c>
      <c r="AT319" s="102">
        <f>VLOOKUP(L319,设备合同!$L$6:$CC$302,35,0)</f>
        <v>0</v>
      </c>
      <c r="AU319" s="102">
        <f>VLOOKUP(L319,设备合同!$L$6:$CC$302,36,0)</f>
        <v>0</v>
      </c>
      <c r="AV319" s="102">
        <f>VLOOKUP(L319,设备合同!$L$6:$CC$302,37,0)</f>
        <v>0</v>
      </c>
      <c r="AW319" s="102">
        <f>VLOOKUP(L319,设备合同!$L$6:$CC$302,38,0)</f>
        <v>0</v>
      </c>
      <c r="AX319" s="102">
        <f>VLOOKUP(L319,设备合同!$L$6:$CC$302,39,0)</f>
        <v>0</v>
      </c>
      <c r="AY319" s="102">
        <f>VLOOKUP(L319,设备合同!$L$6:$CC$302,40,0)</f>
        <v>0</v>
      </c>
      <c r="AZ319" s="102">
        <f>VLOOKUP(L319,设备合同!$L$6:$CC$302,41,0)</f>
        <v>0</v>
      </c>
      <c r="BA319" s="102">
        <f>VLOOKUP(L319,设备合同!$L$6:$CC$302,42,0)</f>
        <v>0</v>
      </c>
      <c r="BB319" s="102">
        <f>VLOOKUP(L319,设备合同!$L$6:$CC$302,43,0)</f>
        <v>0</v>
      </c>
      <c r="BC319" s="102">
        <f>VLOOKUP(L319,设备合同!$L$6:$CC$302,44,0)</f>
        <v>0</v>
      </c>
      <c r="BD319" s="102">
        <f>VLOOKUP(L319,设备合同!$L$6:$CC$302,45,0)</f>
        <v>0</v>
      </c>
      <c r="BE319" s="102">
        <f>VLOOKUP(L319,设备合同!$L$6:$CC$302,46,0)</f>
        <v>0</v>
      </c>
      <c r="BF319" s="102">
        <f>VLOOKUP(L319,设备合同!$L$6:$CC$302,47,0)</f>
        <v>0</v>
      </c>
      <c r="BG319" s="102">
        <f>VLOOKUP(L319,设备合同!$L$6:$CC$302,48,0)</f>
        <v>0</v>
      </c>
      <c r="BH319" s="102">
        <f>VLOOKUP(L319,设备合同!$L$6:$CC$302,49,0)</f>
        <v>0</v>
      </c>
      <c r="BI319" s="102">
        <f>VLOOKUP(L319,设备合同!$L$6:$CC$302,50,0)</f>
        <v>0</v>
      </c>
      <c r="BJ319" s="102">
        <f>VLOOKUP(L319,设备合同!$L$6:$CC$302,51,0)</f>
        <v>0</v>
      </c>
      <c r="BK319" s="102">
        <f>VLOOKUP(L319,设备合同!$L$6:$CC$302,52,0)</f>
        <v>0</v>
      </c>
      <c r="BL319" s="102">
        <f>VLOOKUP(L319,设备合同!$L$6:$CC$302,53,0)</f>
        <v>0</v>
      </c>
      <c r="BM319" s="102">
        <f>VLOOKUP(L319,设备合同!$L$6:$CC$302,54,0)</f>
        <v>0</v>
      </c>
      <c r="BN319" s="102">
        <f>VLOOKUP(L319,设备合同!$L$6:$CC$302,55,0)</f>
        <v>0</v>
      </c>
      <c r="BO319" s="102">
        <f>VLOOKUP(L319,设备合同!$L$6:$CC$302,56,0)</f>
        <v>0</v>
      </c>
      <c r="BP319" s="102">
        <f>VLOOKUP(L319,设备合同!$L$6:$CC$302,57,0)</f>
        <v>0</v>
      </c>
      <c r="BQ319" s="102">
        <f>VLOOKUP(L319,设备合同!$L$6:$CC$302,58,0)</f>
        <v>0</v>
      </c>
      <c r="BR319" s="102">
        <f>VLOOKUP(L319,设备合同!$L$6:$CC$302,59,0)</f>
        <v>0</v>
      </c>
      <c r="BS319" s="102">
        <f>VLOOKUP(L319,设备合同!$L$6:$CC$302,60,0)</f>
        <v>0</v>
      </c>
      <c r="BT319" s="102">
        <f>VLOOKUP(L319,设备合同!$L$6:$CC$302,61,0)</f>
        <v>0</v>
      </c>
      <c r="BU319" s="102">
        <f>VLOOKUP(L319,设备合同!$L$6:$CC$302,62,0)</f>
        <v>0</v>
      </c>
      <c r="BV319" s="102">
        <f>VLOOKUP(L319,设备合同!$L$6:$CC$302,63,0)</f>
        <v>0</v>
      </c>
      <c r="BW319" s="102">
        <f>VLOOKUP(L319,设备合同!$L$6:$CC$302,64,0)</f>
        <v>0</v>
      </c>
      <c r="BX319" s="102">
        <f>VLOOKUP(L319,设备合同!$L$6:$CC$302,65,0)</f>
        <v>0</v>
      </c>
      <c r="BY319" s="102">
        <f>VLOOKUP(L319,设备合同!$L$6:$CC$302,66,0)</f>
        <v>0</v>
      </c>
      <c r="BZ319" s="102">
        <f>VLOOKUP(L319,设备合同!$L$6:$CC$302,67,0)</f>
        <v>0</v>
      </c>
      <c r="CA319" s="102">
        <f>VLOOKUP(L319,设备合同!$L$6:$CC$302,68,0)</f>
        <v>0</v>
      </c>
      <c r="CB319" s="102">
        <f>VLOOKUP(L319,设备合同!$L$6:$CC$302,69,0)</f>
        <v>0</v>
      </c>
      <c r="CC319" s="102">
        <f>VLOOKUP(L319,设备合同!$L$6:$CC$302,70,0)</f>
        <v>0</v>
      </c>
      <c r="CD319" s="123">
        <f t="shared" si="66"/>
        <v>35000</v>
      </c>
      <c r="CE319" s="102">
        <f t="shared" si="67"/>
        <v>0</v>
      </c>
      <c r="CF319" s="102">
        <f t="shared" si="68"/>
        <v>0</v>
      </c>
      <c r="CG319" s="102">
        <f t="shared" si="69"/>
        <v>0</v>
      </c>
      <c r="CH319" s="124">
        <f t="shared" si="70"/>
        <v>35000</v>
      </c>
      <c r="CI319" s="125">
        <f t="shared" si="71"/>
        <v>0</v>
      </c>
      <c r="CJ319" s="126" t="str">
        <f t="shared" si="72"/>
        <v>数据正确</v>
      </c>
    </row>
    <row r="320" s="60" customFormat="1" customHeight="1" spans="2:88">
      <c r="B320" s="70" t="str">
        <f t="shared" si="62"/>
        <v>-</v>
      </c>
      <c r="C320" s="71" t="str">
        <f t="shared" si="63"/>
        <v>-</v>
      </c>
      <c r="D320" s="181">
        <f t="shared" si="64"/>
        <v>0</v>
      </c>
      <c r="E320" s="181">
        <f>SUMIF(材料合同!$L$6:$L$305,L320,材料合同!$E$6:$E$305)</f>
        <v>0</v>
      </c>
      <c r="F320" s="181">
        <f>SUMIF(材料合同!$L$6:$L$305,L320,材料合同!$F$6:$F$305)</f>
        <v>0</v>
      </c>
      <c r="G320" s="181">
        <f>SUMIF(材料合同!$L$6:$L$305,L320,材料合同!$G$6:$G$305)</f>
        <v>0</v>
      </c>
      <c r="H320" s="181">
        <f>SUMIF(材料合同!$L$6:$L$305,L320,材料合同!$H$6:$H$305)</f>
        <v>0</v>
      </c>
      <c r="I320" s="181">
        <f t="shared" si="65"/>
        <v>0</v>
      </c>
      <c r="J320" s="86" t="s">
        <v>98</v>
      </c>
      <c r="K320" s="87"/>
      <c r="L320" s="88">
        <v>315</v>
      </c>
      <c r="M320" s="89" t="str">
        <f>VLOOKUP(L320,材料合同!$L$6:$CC$305,2,0)</f>
        <v>YRKJGC-17072</v>
      </c>
      <c r="N320" s="90" t="str">
        <f>VLOOKUP(L320,材料合同!$L$6:$CC$305,3,0)</f>
        <v>材料合同</v>
      </c>
      <c r="O320" s="265">
        <f>VLOOKUP(L320,材料合同!$L$6:$CC$305,4,0)</f>
        <v>0</v>
      </c>
      <c r="P320" s="266">
        <f>VLOOKUP(L320,材料合同!$L$6:$CC$305,5,0)</f>
        <v>43028</v>
      </c>
      <c r="Q320" s="275">
        <f>VLOOKUP(L320,材料合同!$L$6:$CC$305,6,0)</f>
        <v>306786.61</v>
      </c>
      <c r="R320" s="89" t="str">
        <f>VLOOKUP(L320,材料合同!$L$6:$CC$305,7,0)</f>
        <v>扁钢、角钢、钢板</v>
      </c>
      <c r="S320" s="89" t="str">
        <f>VLOOKUP(L320,材料合同!$L$6:$CC$305,8,0)</f>
        <v>厦门青科金属材料有限公司</v>
      </c>
      <c r="T320" s="107">
        <f>VLOOKUP(L320,材料合同!$L$6:$CC$305,9,0)</f>
        <v>0</v>
      </c>
      <c r="U320" s="103" t="str">
        <f>VLOOKUP(L320,材料合同!$L$6:$CC$305,10,0)</f>
        <v>电汇</v>
      </c>
      <c r="V320" s="276" t="str">
        <f>VLOOKUP(L320,材料合同!$L$6:$CC$305,11,0)</f>
        <v>甲方验收合格后，收到100%的增值税发票后支付合同100%的价款</v>
      </c>
      <c r="W320" s="102">
        <f>VLOOKUP(L320,材料合同!$L$6:$CC$305,12,0)</f>
        <v>306786.61</v>
      </c>
      <c r="X320" s="102">
        <f>VLOOKUP(L320,材料合同!$L$6:$CC$305,13,0)</f>
        <v>0</v>
      </c>
      <c r="Y320" s="102">
        <f>VLOOKUP(L320,材料合同!$L$6:$CC$305,14,0)</f>
        <v>0</v>
      </c>
      <c r="Z320" s="102">
        <f>VLOOKUP(L320,材料合同!$L$6:$CC$305,15,0)</f>
        <v>0</v>
      </c>
      <c r="AA320" s="102">
        <f>VLOOKUP(L320,材料合同!$L$6:$CC$305,16,0)</f>
        <v>0</v>
      </c>
      <c r="AB320" s="102">
        <f>VLOOKUP(L320,材料合同!$L$6:$CC$305,17,0)</f>
        <v>0</v>
      </c>
      <c r="AC320" s="102">
        <f>VLOOKUP(L320,材料合同!$L$6:$CC$305,18,0)</f>
        <v>0</v>
      </c>
      <c r="AD320" s="102">
        <f>VLOOKUP(L320,材料合同!$L$6:$CC$305,19,0)</f>
        <v>0</v>
      </c>
      <c r="AE320" s="102">
        <f>VLOOKUP(L320,材料合同!$L$6:$CC$305,20,0)</f>
        <v>0</v>
      </c>
      <c r="AF320" s="102">
        <f>VLOOKUP(L320,材料合同!$L$6:$CC$305,21,0)</f>
        <v>0</v>
      </c>
      <c r="AG320" s="102">
        <f>VLOOKUP(L320,材料合同!$L$6:$CC$305,22,0)</f>
        <v>0</v>
      </c>
      <c r="AH320" s="102">
        <f>VLOOKUP(L320,材料合同!$L$6:$CC$305,23,0)</f>
        <v>0</v>
      </c>
      <c r="AI320" s="102">
        <f>VLOOKUP(L320,材料合同!$L$6:$CC$305,24,0)</f>
        <v>0</v>
      </c>
      <c r="AJ320" s="102">
        <f>VLOOKUP(L320,材料合同!$L$6:$CC$305,25,0)</f>
        <v>0</v>
      </c>
      <c r="AK320" s="102">
        <f>VLOOKUP(L320,材料合同!$L$6:$CC$305,26,0)</f>
        <v>0</v>
      </c>
      <c r="AL320" s="102">
        <f>VLOOKUP(L320,材料合同!$L$6:$CC$305,27,0)</f>
        <v>0</v>
      </c>
      <c r="AM320" s="102">
        <f>VLOOKUP(L320,材料合同!$L$6:$CC$305,28,0)</f>
        <v>0</v>
      </c>
      <c r="AN320" s="102">
        <f>VLOOKUP(L320,材料合同!$L$6:$CC$305,29,0)</f>
        <v>0</v>
      </c>
      <c r="AO320" s="102">
        <f>VLOOKUP(L320,材料合同!$L$6:$CC$305,30,0)</f>
        <v>0</v>
      </c>
      <c r="AP320" s="102">
        <f>VLOOKUP(L320,材料合同!$L$6:$CC$305,31,0)</f>
        <v>0</v>
      </c>
      <c r="AQ320" s="102">
        <f>VLOOKUP(L320,材料合同!$L$6:$CC$305,32,0)</f>
        <v>0</v>
      </c>
      <c r="AR320" s="102">
        <f>VLOOKUP(L320,材料合同!$L$6:$CC$305,33,0)</f>
        <v>0</v>
      </c>
      <c r="AS320" s="102">
        <f>VLOOKUP(L320,材料合同!$L$6:$CC$305,34,0)</f>
        <v>0</v>
      </c>
      <c r="AT320" s="102">
        <f>VLOOKUP(L320,材料合同!$L$6:$CC$305,35,0)</f>
        <v>0</v>
      </c>
      <c r="AU320" s="102">
        <f>VLOOKUP(L320,材料合同!$L$6:$CC$305,36,0)</f>
        <v>0</v>
      </c>
      <c r="AV320" s="102">
        <f>VLOOKUP(L320,材料合同!$L$6:$CC$305,37,0)</f>
        <v>0</v>
      </c>
      <c r="AW320" s="102">
        <f>VLOOKUP(L320,材料合同!$L$6:$CC$305,38,0)</f>
        <v>0</v>
      </c>
      <c r="AX320" s="102">
        <f>VLOOKUP(L320,材料合同!$L$6:$CC$305,39,0)</f>
        <v>0</v>
      </c>
      <c r="AY320" s="102">
        <f>VLOOKUP(L320,材料合同!$L$6:$CC$305,40,0)</f>
        <v>0</v>
      </c>
      <c r="AZ320" s="102">
        <f>VLOOKUP(L320,材料合同!$L$6:$CC$305,41,0)</f>
        <v>0</v>
      </c>
      <c r="BA320" s="102">
        <f>VLOOKUP(L320,材料合同!$L$6:$CC$305,42,0)</f>
        <v>0</v>
      </c>
      <c r="BB320" s="102">
        <f>VLOOKUP(L320,材料合同!$L$6:$CC$305,43,0)</f>
        <v>0</v>
      </c>
      <c r="BC320" s="102">
        <f>VLOOKUP(L320,材料合同!$L$6:$CC$305,44,0)</f>
        <v>0</v>
      </c>
      <c r="BD320" s="102">
        <f>VLOOKUP(L320,材料合同!$L$6:$CC$305,45,0)</f>
        <v>0</v>
      </c>
      <c r="BE320" s="102">
        <f>VLOOKUP(L320,材料合同!$L$6:$CC$305,46,0)</f>
        <v>0</v>
      </c>
      <c r="BF320" s="102">
        <f>VLOOKUP(L320,材料合同!$L$6:$CC$305,47,0)</f>
        <v>0</v>
      </c>
      <c r="BG320" s="102">
        <f>VLOOKUP(L320,材料合同!$L$6:$CC$305,48,0)</f>
        <v>0</v>
      </c>
      <c r="BH320" s="102">
        <f>VLOOKUP(L320,材料合同!$L$6:$CC$305,49,0)</f>
        <v>0</v>
      </c>
      <c r="BI320" s="102">
        <f>VLOOKUP(L320,材料合同!$L$6:$CC$305,50,0)</f>
        <v>0</v>
      </c>
      <c r="BJ320" s="102">
        <f>VLOOKUP(L320,材料合同!$L$6:$CC$305,51,0)</f>
        <v>0</v>
      </c>
      <c r="BK320" s="102">
        <f>VLOOKUP(L320,材料合同!$L$6:$CC$305,52,0)</f>
        <v>0</v>
      </c>
      <c r="BL320" s="102">
        <f>VLOOKUP(L320,材料合同!$L$6:$CC$305,53,0)</f>
        <v>0</v>
      </c>
      <c r="BM320" s="102">
        <f>VLOOKUP(L320,材料合同!$L$6:$CC$305,54,0)</f>
        <v>0</v>
      </c>
      <c r="BN320" s="102">
        <f>VLOOKUP(L320,材料合同!$L$6:$CC$305,55,0)</f>
        <v>0</v>
      </c>
      <c r="BO320" s="102">
        <f>VLOOKUP(L320,材料合同!$L$6:$CC$305,56,0)</f>
        <v>0</v>
      </c>
      <c r="BP320" s="102">
        <f>VLOOKUP(L320,材料合同!$L$6:$CC$305,57,0)</f>
        <v>0</v>
      </c>
      <c r="BQ320" s="102">
        <f>VLOOKUP(L320,材料合同!$L$6:$CC$305,58,0)</f>
        <v>0</v>
      </c>
      <c r="BR320" s="102">
        <f>VLOOKUP(L320,材料合同!$L$6:$CC$305,59,0)</f>
        <v>0</v>
      </c>
      <c r="BS320" s="102">
        <f>VLOOKUP(L320,材料合同!$L$6:$CC$305,60,0)</f>
        <v>0</v>
      </c>
      <c r="BT320" s="102">
        <f>VLOOKUP(L320,材料合同!$L$6:$CC$305,61,0)</f>
        <v>0</v>
      </c>
      <c r="BU320" s="102">
        <f>VLOOKUP(L320,材料合同!$L$6:$CC$305,62,0)</f>
        <v>0</v>
      </c>
      <c r="BV320" s="102">
        <f>VLOOKUP(L320,材料合同!$L$6:$CC$305,63,0)</f>
        <v>0</v>
      </c>
      <c r="BW320" s="102">
        <f>VLOOKUP(L320,材料合同!$L$6:$CC$305,64,0)</f>
        <v>0</v>
      </c>
      <c r="BX320" s="102">
        <f>VLOOKUP(L320,材料合同!$L$6:$CC$305,65,0)</f>
        <v>0</v>
      </c>
      <c r="BY320" s="102">
        <f>VLOOKUP(L320,材料合同!$L$6:$CC$305,66,0)</f>
        <v>0</v>
      </c>
      <c r="BZ320" s="102">
        <f>VLOOKUP(L320,材料合同!$L$6:$CC$305,67,0)</f>
        <v>0</v>
      </c>
      <c r="CA320" s="102">
        <f>VLOOKUP(L320,材料合同!$L$6:$CC$305,68,0)</f>
        <v>0</v>
      </c>
      <c r="CB320" s="102">
        <f>VLOOKUP(L320,材料合同!$L$6:$CC$305,69,0)</f>
        <v>0</v>
      </c>
      <c r="CC320" s="102">
        <f>VLOOKUP(L320,材料合同!$L$6:$CC$305,70,0)</f>
        <v>0</v>
      </c>
      <c r="CD320" s="123">
        <f t="shared" si="66"/>
        <v>306786.61</v>
      </c>
      <c r="CE320" s="102">
        <f t="shared" si="67"/>
        <v>0</v>
      </c>
      <c r="CF320" s="102">
        <f t="shared" si="68"/>
        <v>0</v>
      </c>
      <c r="CG320" s="102">
        <f t="shared" si="69"/>
        <v>0</v>
      </c>
      <c r="CH320" s="124">
        <f t="shared" si="70"/>
        <v>306786.61</v>
      </c>
      <c r="CI320" s="125">
        <f t="shared" si="71"/>
        <v>0</v>
      </c>
      <c r="CJ320" s="126" t="str">
        <f t="shared" si="72"/>
        <v>数据正确</v>
      </c>
    </row>
    <row r="321" s="60" customFormat="1" customHeight="1" spans="2:88">
      <c r="B321" s="70" t="str">
        <f t="shared" si="62"/>
        <v>-</v>
      </c>
      <c r="C321" s="71" t="str">
        <f t="shared" si="63"/>
        <v>-</v>
      </c>
      <c r="D321" s="181">
        <f t="shared" si="64"/>
        <v>0</v>
      </c>
      <c r="E321" s="181">
        <f>SUMIF(材料合同!$L$6:$L$305,L321,材料合同!$E$6:$E$305)</f>
        <v>0</v>
      </c>
      <c r="F321" s="181">
        <f>SUMIF(材料合同!$L$6:$L$305,L321,材料合同!$F$6:$F$305)</f>
        <v>0</v>
      </c>
      <c r="G321" s="181">
        <f>SUMIF(材料合同!$L$6:$L$305,L321,材料合同!$G$6:$G$305)</f>
        <v>0</v>
      </c>
      <c r="H321" s="181">
        <f>SUMIF(材料合同!$L$6:$L$305,L321,材料合同!$H$6:$H$305)</f>
        <v>0</v>
      </c>
      <c r="I321" s="181">
        <f t="shared" si="65"/>
        <v>0</v>
      </c>
      <c r="J321" s="86" t="s">
        <v>98</v>
      </c>
      <c r="K321" s="87"/>
      <c r="L321" s="88">
        <v>316</v>
      </c>
      <c r="M321" s="89" t="str">
        <f>VLOOKUP(L321,材料合同!$L$6:$CC$305,2,0)</f>
        <v>YRKJGC-17082</v>
      </c>
      <c r="N321" s="90" t="str">
        <f>VLOOKUP(L321,材料合同!$L$6:$CC$305,3,0)</f>
        <v>材料合同</v>
      </c>
      <c r="O321" s="265">
        <f>VLOOKUP(L321,材料合同!$L$6:$CC$305,4,0)</f>
        <v>0</v>
      </c>
      <c r="P321" s="266">
        <f>VLOOKUP(L321,材料合同!$L$6:$CC$305,5,0)</f>
        <v>43037</v>
      </c>
      <c r="Q321" s="275">
        <f>VLOOKUP(L321,材料合同!$L$6:$CC$305,6,0)</f>
        <v>663000</v>
      </c>
      <c r="R321" s="89" t="str">
        <f>VLOOKUP(L321,材料合同!$L$6:$CC$305,7,0)</f>
        <v>水泥联锁块（39元/M2）</v>
      </c>
      <c r="S321" s="89" t="str">
        <f>VLOOKUP(L321,材料合同!$L$6:$CC$305,8,0)</f>
        <v>莆田市秀屿区东庄荔锦水泥制砖场</v>
      </c>
      <c r="T321" s="107">
        <f>VLOOKUP(L321,材料合同!$L$6:$CC$305,9,0)</f>
        <v>0</v>
      </c>
      <c r="U321" s="103" t="str">
        <f>VLOOKUP(L321,材料合同!$L$6:$CC$305,10,0)</f>
        <v>电汇</v>
      </c>
      <c r="V321" s="276" t="str">
        <f>VLOOKUP(L321,材料合同!$L$6:$CC$305,11,0)</f>
        <v>按月结算，提供发票支付100%</v>
      </c>
      <c r="W321" s="102">
        <f>VLOOKUP(L321,材料合同!$L$6:$CC$305,12,0)</f>
        <v>663000</v>
      </c>
      <c r="X321" s="102">
        <f>VLOOKUP(L321,材料合同!$L$6:$CC$305,13,0)</f>
        <v>0</v>
      </c>
      <c r="Y321" s="102">
        <f>VLOOKUP(L321,材料合同!$L$6:$CC$305,14,0)</f>
        <v>0</v>
      </c>
      <c r="Z321" s="102">
        <f>VLOOKUP(L321,材料合同!$L$6:$CC$305,15,0)</f>
        <v>0</v>
      </c>
      <c r="AA321" s="102">
        <f>VLOOKUP(L321,材料合同!$L$6:$CC$305,16,0)</f>
        <v>0</v>
      </c>
      <c r="AB321" s="102">
        <f>VLOOKUP(L321,材料合同!$L$6:$CC$305,17,0)</f>
        <v>0</v>
      </c>
      <c r="AC321" s="102">
        <f>VLOOKUP(L321,材料合同!$L$6:$CC$305,18,0)</f>
        <v>0</v>
      </c>
      <c r="AD321" s="102">
        <f>VLOOKUP(L321,材料合同!$L$6:$CC$305,19,0)</f>
        <v>0</v>
      </c>
      <c r="AE321" s="102">
        <f>VLOOKUP(L321,材料合同!$L$6:$CC$305,20,0)</f>
        <v>0</v>
      </c>
      <c r="AF321" s="102">
        <f>VLOOKUP(L321,材料合同!$L$6:$CC$305,21,0)</f>
        <v>0</v>
      </c>
      <c r="AG321" s="102">
        <f>VLOOKUP(L321,材料合同!$L$6:$CC$305,22,0)</f>
        <v>0</v>
      </c>
      <c r="AH321" s="102">
        <f>VLOOKUP(L321,材料合同!$L$6:$CC$305,23,0)</f>
        <v>0</v>
      </c>
      <c r="AI321" s="102">
        <f>VLOOKUP(L321,材料合同!$L$6:$CC$305,24,0)</f>
        <v>0</v>
      </c>
      <c r="AJ321" s="102">
        <f>VLOOKUP(L321,材料合同!$L$6:$CC$305,25,0)</f>
        <v>0</v>
      </c>
      <c r="AK321" s="102">
        <f>VLOOKUP(L321,材料合同!$L$6:$CC$305,26,0)</f>
        <v>0</v>
      </c>
      <c r="AL321" s="102">
        <f>VLOOKUP(L321,材料合同!$L$6:$CC$305,27,0)</f>
        <v>0</v>
      </c>
      <c r="AM321" s="102">
        <f>VLOOKUP(L321,材料合同!$L$6:$CC$305,28,0)</f>
        <v>0</v>
      </c>
      <c r="AN321" s="102">
        <f>VLOOKUP(L321,材料合同!$L$6:$CC$305,29,0)</f>
        <v>0</v>
      </c>
      <c r="AO321" s="102">
        <f>VLOOKUP(L321,材料合同!$L$6:$CC$305,30,0)</f>
        <v>0</v>
      </c>
      <c r="AP321" s="102">
        <f>VLOOKUP(L321,材料合同!$L$6:$CC$305,31,0)</f>
        <v>0</v>
      </c>
      <c r="AQ321" s="102">
        <f>VLOOKUP(L321,材料合同!$L$6:$CC$305,32,0)</f>
        <v>0</v>
      </c>
      <c r="AR321" s="102">
        <f>VLOOKUP(L321,材料合同!$L$6:$CC$305,33,0)</f>
        <v>0</v>
      </c>
      <c r="AS321" s="102">
        <f>VLOOKUP(L321,材料合同!$L$6:$CC$305,34,0)</f>
        <v>0</v>
      </c>
      <c r="AT321" s="102">
        <f>VLOOKUP(L321,材料合同!$L$6:$CC$305,35,0)</f>
        <v>0</v>
      </c>
      <c r="AU321" s="102">
        <f>VLOOKUP(L321,材料合同!$L$6:$CC$305,36,0)</f>
        <v>0</v>
      </c>
      <c r="AV321" s="102">
        <f>VLOOKUP(L321,材料合同!$L$6:$CC$305,37,0)</f>
        <v>0</v>
      </c>
      <c r="AW321" s="102">
        <f>VLOOKUP(L321,材料合同!$L$6:$CC$305,38,0)</f>
        <v>0</v>
      </c>
      <c r="AX321" s="102">
        <f>VLOOKUP(L321,材料合同!$L$6:$CC$305,39,0)</f>
        <v>0</v>
      </c>
      <c r="AY321" s="102">
        <f>VLOOKUP(L321,材料合同!$L$6:$CC$305,40,0)</f>
        <v>0</v>
      </c>
      <c r="AZ321" s="102">
        <f>VLOOKUP(L321,材料合同!$L$6:$CC$305,41,0)</f>
        <v>0</v>
      </c>
      <c r="BA321" s="102">
        <f>VLOOKUP(L321,材料合同!$L$6:$CC$305,42,0)</f>
        <v>0</v>
      </c>
      <c r="BB321" s="102">
        <f>VLOOKUP(L321,材料合同!$L$6:$CC$305,43,0)</f>
        <v>0</v>
      </c>
      <c r="BC321" s="102">
        <f>VLOOKUP(L321,材料合同!$L$6:$CC$305,44,0)</f>
        <v>0</v>
      </c>
      <c r="BD321" s="102">
        <f>VLOOKUP(L321,材料合同!$L$6:$CC$305,45,0)</f>
        <v>0</v>
      </c>
      <c r="BE321" s="102">
        <f>VLOOKUP(L321,材料合同!$L$6:$CC$305,46,0)</f>
        <v>0</v>
      </c>
      <c r="BF321" s="102">
        <f>VLOOKUP(L321,材料合同!$L$6:$CC$305,47,0)</f>
        <v>0</v>
      </c>
      <c r="BG321" s="102">
        <f>VLOOKUP(L321,材料合同!$L$6:$CC$305,48,0)</f>
        <v>0</v>
      </c>
      <c r="BH321" s="102">
        <f>VLOOKUP(L321,材料合同!$L$6:$CC$305,49,0)</f>
        <v>0</v>
      </c>
      <c r="BI321" s="102">
        <f>VLOOKUP(L321,材料合同!$L$6:$CC$305,50,0)</f>
        <v>0</v>
      </c>
      <c r="BJ321" s="102">
        <f>VLOOKUP(L321,材料合同!$L$6:$CC$305,51,0)</f>
        <v>0</v>
      </c>
      <c r="BK321" s="102">
        <f>VLOOKUP(L321,材料合同!$L$6:$CC$305,52,0)</f>
        <v>0</v>
      </c>
      <c r="BL321" s="102">
        <f>VLOOKUP(L321,材料合同!$L$6:$CC$305,53,0)</f>
        <v>0</v>
      </c>
      <c r="BM321" s="102">
        <f>VLOOKUP(L321,材料合同!$L$6:$CC$305,54,0)</f>
        <v>0</v>
      </c>
      <c r="BN321" s="102">
        <f>VLOOKUP(L321,材料合同!$L$6:$CC$305,55,0)</f>
        <v>0</v>
      </c>
      <c r="BO321" s="102">
        <f>VLOOKUP(L321,材料合同!$L$6:$CC$305,56,0)</f>
        <v>0</v>
      </c>
      <c r="BP321" s="102">
        <f>VLOOKUP(L321,材料合同!$L$6:$CC$305,57,0)</f>
        <v>0</v>
      </c>
      <c r="BQ321" s="102">
        <f>VLOOKUP(L321,材料合同!$L$6:$CC$305,58,0)</f>
        <v>0</v>
      </c>
      <c r="BR321" s="102">
        <f>VLOOKUP(L321,材料合同!$L$6:$CC$305,59,0)</f>
        <v>0</v>
      </c>
      <c r="BS321" s="102">
        <f>VLOOKUP(L321,材料合同!$L$6:$CC$305,60,0)</f>
        <v>0</v>
      </c>
      <c r="BT321" s="102">
        <f>VLOOKUP(L321,材料合同!$L$6:$CC$305,61,0)</f>
        <v>0</v>
      </c>
      <c r="BU321" s="102">
        <f>VLOOKUP(L321,材料合同!$L$6:$CC$305,62,0)</f>
        <v>0</v>
      </c>
      <c r="BV321" s="102">
        <f>VLOOKUP(L321,材料合同!$L$6:$CC$305,63,0)</f>
        <v>0</v>
      </c>
      <c r="BW321" s="102">
        <f>VLOOKUP(L321,材料合同!$L$6:$CC$305,64,0)</f>
        <v>0</v>
      </c>
      <c r="BX321" s="102">
        <f>VLOOKUP(L321,材料合同!$L$6:$CC$305,65,0)</f>
        <v>0</v>
      </c>
      <c r="BY321" s="102">
        <f>VLOOKUP(L321,材料合同!$L$6:$CC$305,66,0)</f>
        <v>0</v>
      </c>
      <c r="BZ321" s="102">
        <f>VLOOKUP(L321,材料合同!$L$6:$CC$305,67,0)</f>
        <v>0</v>
      </c>
      <c r="CA321" s="102">
        <f>VLOOKUP(L321,材料合同!$L$6:$CC$305,68,0)</f>
        <v>0</v>
      </c>
      <c r="CB321" s="102">
        <f>VLOOKUP(L321,材料合同!$L$6:$CC$305,69,0)</f>
        <v>0</v>
      </c>
      <c r="CC321" s="102">
        <f>VLOOKUP(L321,材料合同!$L$6:$CC$305,70,0)</f>
        <v>0</v>
      </c>
      <c r="CD321" s="123">
        <f t="shared" si="66"/>
        <v>663000</v>
      </c>
      <c r="CE321" s="102">
        <f t="shared" si="67"/>
        <v>0</v>
      </c>
      <c r="CF321" s="102">
        <f t="shared" si="68"/>
        <v>0</v>
      </c>
      <c r="CG321" s="102">
        <f t="shared" si="69"/>
        <v>0</v>
      </c>
      <c r="CH321" s="124">
        <f t="shared" si="70"/>
        <v>663000</v>
      </c>
      <c r="CI321" s="125">
        <f t="shared" si="71"/>
        <v>0</v>
      </c>
      <c r="CJ321" s="126" t="str">
        <f t="shared" si="72"/>
        <v>数据正确</v>
      </c>
    </row>
    <row r="322" s="60" customFormat="1" customHeight="1" spans="2:88">
      <c r="B322" s="70" t="str">
        <f t="shared" ref="B322:B334" si="73">IF(I322=0,"-","申请中")</f>
        <v>-</v>
      </c>
      <c r="C322" s="71" t="str">
        <f t="shared" ref="C322:C334" si="74">IF(CI322=100%,"已付清","-")</f>
        <v>-</v>
      </c>
      <c r="D322" s="181">
        <f t="shared" ref="D322:D334" si="75">CF322</f>
        <v>0</v>
      </c>
      <c r="E322" s="181">
        <f>SUMIF(材料合同!$L$6:$L$305,L322,材料合同!$E$6:$E$305)</f>
        <v>0</v>
      </c>
      <c r="F322" s="181">
        <f>SUMIF(材料合同!$L$6:$L$305,L322,材料合同!$F$6:$F$305)</f>
        <v>0</v>
      </c>
      <c r="G322" s="181">
        <f>SUMIF(材料合同!$L$6:$L$305,L322,材料合同!$G$6:$G$305)</f>
        <v>0</v>
      </c>
      <c r="H322" s="181">
        <f>SUMIF(材料合同!$L$6:$L$305,L322,材料合同!$H$6:$H$305)</f>
        <v>0</v>
      </c>
      <c r="I322" s="181">
        <f t="shared" ref="I322:I334" si="76">CE322-CF322-CG322</f>
        <v>0</v>
      </c>
      <c r="J322" s="86" t="s">
        <v>98</v>
      </c>
      <c r="K322" s="87"/>
      <c r="L322" s="88">
        <v>317</v>
      </c>
      <c r="M322" s="89" t="str">
        <f>VLOOKUP(L322,材料合同!$L$6:$CC$305,2,0)</f>
        <v>YRKJGC-17060</v>
      </c>
      <c r="N322" s="90" t="str">
        <f>VLOOKUP(L322,材料合同!$L$6:$CC$305,3,0)</f>
        <v>材料合同</v>
      </c>
      <c r="O322" s="265">
        <f>VLOOKUP(L322,材料合同!$L$6:$CC$305,4,0)</f>
        <v>2017090030</v>
      </c>
      <c r="P322" s="266">
        <f>VLOOKUP(L322,材料合同!$L$6:$CC$305,5,0)</f>
        <v>43008</v>
      </c>
      <c r="Q322" s="275">
        <f>VLOOKUP(L322,材料合同!$L$6:$CC$305,6,0)</f>
        <v>30000</v>
      </c>
      <c r="R322" s="89" t="str">
        <f>VLOOKUP(L322,材料合同!$L$6:$CC$305,7,0)</f>
        <v>法兰管件一批</v>
      </c>
      <c r="S322" s="89" t="str">
        <f>VLOOKUP(L322,材料合同!$L$6:$CC$305,8,0)</f>
        <v>河北省沧州恒通管件制造有限公司</v>
      </c>
      <c r="T322" s="107">
        <f>VLOOKUP(L322,材料合同!$L$6:$CC$305,9,0)</f>
        <v>0</v>
      </c>
      <c r="U322" s="103" t="str">
        <f>VLOOKUP(L322,材料合同!$L$6:$CC$305,10,0)</f>
        <v>电汇</v>
      </c>
      <c r="V322" s="276" t="str">
        <f>VLOOKUP(L322,材料合同!$L$6:$CC$305,11,0)</f>
        <v>甲方收到货物验收合格15个工作日付清</v>
      </c>
      <c r="W322" s="102">
        <f>VLOOKUP(L322,材料合同!$L$6:$CC$305,12,0)</f>
        <v>30000</v>
      </c>
      <c r="X322" s="102">
        <f>VLOOKUP(L322,材料合同!$L$6:$CC$305,13,0)</f>
        <v>0</v>
      </c>
      <c r="Y322" s="102">
        <f>VLOOKUP(L322,材料合同!$L$6:$CC$305,14,0)</f>
        <v>0</v>
      </c>
      <c r="Z322" s="102">
        <f>VLOOKUP(L322,材料合同!$L$6:$CC$305,15,0)</f>
        <v>0</v>
      </c>
      <c r="AA322" s="102">
        <f>VLOOKUP(L322,材料合同!$L$6:$CC$305,16,0)</f>
        <v>0</v>
      </c>
      <c r="AB322" s="102">
        <f>VLOOKUP(L322,材料合同!$L$6:$CC$305,17,0)</f>
        <v>0</v>
      </c>
      <c r="AC322" s="102">
        <f>VLOOKUP(L322,材料合同!$L$6:$CC$305,18,0)</f>
        <v>0</v>
      </c>
      <c r="AD322" s="102">
        <f>VLOOKUP(L322,材料合同!$L$6:$CC$305,19,0)</f>
        <v>0</v>
      </c>
      <c r="AE322" s="102">
        <f>VLOOKUP(L322,材料合同!$L$6:$CC$305,20,0)</f>
        <v>0</v>
      </c>
      <c r="AF322" s="102">
        <f>VLOOKUP(L322,材料合同!$L$6:$CC$305,21,0)</f>
        <v>0</v>
      </c>
      <c r="AG322" s="102">
        <f>VLOOKUP(L322,材料合同!$L$6:$CC$305,22,0)</f>
        <v>0</v>
      </c>
      <c r="AH322" s="102">
        <f>VLOOKUP(L322,材料合同!$L$6:$CC$305,23,0)</f>
        <v>0</v>
      </c>
      <c r="AI322" s="102">
        <f>VLOOKUP(L322,材料合同!$L$6:$CC$305,24,0)</f>
        <v>0</v>
      </c>
      <c r="AJ322" s="102">
        <f>VLOOKUP(L322,材料合同!$L$6:$CC$305,25,0)</f>
        <v>0</v>
      </c>
      <c r="AK322" s="102">
        <f>VLOOKUP(L322,材料合同!$L$6:$CC$305,26,0)</f>
        <v>0</v>
      </c>
      <c r="AL322" s="102">
        <f>VLOOKUP(L322,材料合同!$L$6:$CC$305,27,0)</f>
        <v>0</v>
      </c>
      <c r="AM322" s="102">
        <f>VLOOKUP(L322,材料合同!$L$6:$CC$305,28,0)</f>
        <v>0</v>
      </c>
      <c r="AN322" s="102">
        <f>VLOOKUP(L322,材料合同!$L$6:$CC$305,29,0)</f>
        <v>0</v>
      </c>
      <c r="AO322" s="102">
        <f>VLOOKUP(L322,材料合同!$L$6:$CC$305,30,0)</f>
        <v>0</v>
      </c>
      <c r="AP322" s="102">
        <f>VLOOKUP(L322,材料合同!$L$6:$CC$305,31,0)</f>
        <v>0</v>
      </c>
      <c r="AQ322" s="102">
        <f>VLOOKUP(L322,材料合同!$L$6:$CC$305,32,0)</f>
        <v>0</v>
      </c>
      <c r="AR322" s="102">
        <f>VLOOKUP(L322,材料合同!$L$6:$CC$305,33,0)</f>
        <v>0</v>
      </c>
      <c r="AS322" s="102">
        <f>VLOOKUP(L322,材料合同!$L$6:$CC$305,34,0)</f>
        <v>0</v>
      </c>
      <c r="AT322" s="102">
        <f>VLOOKUP(L322,材料合同!$L$6:$CC$305,35,0)</f>
        <v>0</v>
      </c>
      <c r="AU322" s="102">
        <f>VLOOKUP(L322,材料合同!$L$6:$CC$305,36,0)</f>
        <v>0</v>
      </c>
      <c r="AV322" s="102">
        <f>VLOOKUP(L322,材料合同!$L$6:$CC$305,37,0)</f>
        <v>0</v>
      </c>
      <c r="AW322" s="102">
        <f>VLOOKUP(L322,材料合同!$L$6:$CC$305,38,0)</f>
        <v>0</v>
      </c>
      <c r="AX322" s="102">
        <f>VLOOKUP(L322,材料合同!$L$6:$CC$305,39,0)</f>
        <v>0</v>
      </c>
      <c r="AY322" s="102">
        <f>VLOOKUP(L322,材料合同!$L$6:$CC$305,40,0)</f>
        <v>0</v>
      </c>
      <c r="AZ322" s="102">
        <f>VLOOKUP(L322,材料合同!$L$6:$CC$305,41,0)</f>
        <v>0</v>
      </c>
      <c r="BA322" s="102">
        <f>VLOOKUP(L322,材料合同!$L$6:$CC$305,42,0)</f>
        <v>0</v>
      </c>
      <c r="BB322" s="102">
        <f>VLOOKUP(L322,材料合同!$L$6:$CC$305,43,0)</f>
        <v>0</v>
      </c>
      <c r="BC322" s="102">
        <f>VLOOKUP(L322,材料合同!$L$6:$CC$305,44,0)</f>
        <v>0</v>
      </c>
      <c r="BD322" s="102">
        <f>VLOOKUP(L322,材料合同!$L$6:$CC$305,45,0)</f>
        <v>0</v>
      </c>
      <c r="BE322" s="102">
        <f>VLOOKUP(L322,材料合同!$L$6:$CC$305,46,0)</f>
        <v>0</v>
      </c>
      <c r="BF322" s="102">
        <f>VLOOKUP(L322,材料合同!$L$6:$CC$305,47,0)</f>
        <v>0</v>
      </c>
      <c r="BG322" s="102">
        <f>VLOOKUP(L322,材料合同!$L$6:$CC$305,48,0)</f>
        <v>0</v>
      </c>
      <c r="BH322" s="102">
        <f>VLOOKUP(L322,材料合同!$L$6:$CC$305,49,0)</f>
        <v>0</v>
      </c>
      <c r="BI322" s="102">
        <f>VLOOKUP(L322,材料合同!$L$6:$CC$305,50,0)</f>
        <v>0</v>
      </c>
      <c r="BJ322" s="102">
        <f>VLOOKUP(L322,材料合同!$L$6:$CC$305,51,0)</f>
        <v>0</v>
      </c>
      <c r="BK322" s="102">
        <f>VLOOKUP(L322,材料合同!$L$6:$CC$305,52,0)</f>
        <v>0</v>
      </c>
      <c r="BL322" s="102">
        <f>VLOOKUP(L322,材料合同!$L$6:$CC$305,53,0)</f>
        <v>0</v>
      </c>
      <c r="BM322" s="102">
        <f>VLOOKUP(L322,材料合同!$L$6:$CC$305,54,0)</f>
        <v>0</v>
      </c>
      <c r="BN322" s="102">
        <f>VLOOKUP(L322,材料合同!$L$6:$CC$305,55,0)</f>
        <v>0</v>
      </c>
      <c r="BO322" s="102">
        <f>VLOOKUP(L322,材料合同!$L$6:$CC$305,56,0)</f>
        <v>0</v>
      </c>
      <c r="BP322" s="102">
        <f>VLOOKUP(L322,材料合同!$L$6:$CC$305,57,0)</f>
        <v>0</v>
      </c>
      <c r="BQ322" s="102">
        <f>VLOOKUP(L322,材料合同!$L$6:$CC$305,58,0)</f>
        <v>0</v>
      </c>
      <c r="BR322" s="102">
        <f>VLOOKUP(L322,材料合同!$L$6:$CC$305,59,0)</f>
        <v>0</v>
      </c>
      <c r="BS322" s="102">
        <f>VLOOKUP(L322,材料合同!$L$6:$CC$305,60,0)</f>
        <v>0</v>
      </c>
      <c r="BT322" s="102">
        <f>VLOOKUP(L322,材料合同!$L$6:$CC$305,61,0)</f>
        <v>0</v>
      </c>
      <c r="BU322" s="102">
        <f>VLOOKUP(L322,材料合同!$L$6:$CC$305,62,0)</f>
        <v>0</v>
      </c>
      <c r="BV322" s="102">
        <f>VLOOKUP(L322,材料合同!$L$6:$CC$305,63,0)</f>
        <v>0</v>
      </c>
      <c r="BW322" s="102">
        <f>VLOOKUP(L322,材料合同!$L$6:$CC$305,64,0)</f>
        <v>0</v>
      </c>
      <c r="BX322" s="102">
        <f>VLOOKUP(L322,材料合同!$L$6:$CC$305,65,0)</f>
        <v>0</v>
      </c>
      <c r="BY322" s="102">
        <f>VLOOKUP(L322,材料合同!$L$6:$CC$305,66,0)</f>
        <v>0</v>
      </c>
      <c r="BZ322" s="102">
        <f>VLOOKUP(L322,材料合同!$L$6:$CC$305,67,0)</f>
        <v>0</v>
      </c>
      <c r="CA322" s="102">
        <f>VLOOKUP(L322,材料合同!$L$6:$CC$305,68,0)</f>
        <v>0</v>
      </c>
      <c r="CB322" s="102">
        <f>VLOOKUP(L322,材料合同!$L$6:$CC$305,69,0)</f>
        <v>0</v>
      </c>
      <c r="CC322" s="102">
        <f>VLOOKUP(L322,材料合同!$L$6:$CC$305,70,0)</f>
        <v>0</v>
      </c>
      <c r="CD322" s="123">
        <f t="shared" ref="CD322:CD330" si="77">W322+AA322+AE322+AI322+AM322+AQ322+AU322+AY322+BC322+BG322+BK322+BO322+BS322+BW322+CA322</f>
        <v>30000</v>
      </c>
      <c r="CE322" s="102">
        <f t="shared" ref="CE322:CE330" si="78">X322+AB322+AF322+AJ322+AN322+AR322+AV322+AZ322+BD322+BH322+BL322+BP322+BT322+BX322+CB322</f>
        <v>0</v>
      </c>
      <c r="CF322" s="102">
        <f t="shared" ref="CF322:CF330" si="79">Y322+AC322+AG322+AK322+AO322+AS322+AW322+BA322+BE322+BI322+BM322+BQ322+BU322+BY322+CC322</f>
        <v>0</v>
      </c>
      <c r="CG322" s="102">
        <f t="shared" ref="CG322:CG330" si="80">E322+F322+G322+H322</f>
        <v>0</v>
      </c>
      <c r="CH322" s="124">
        <f t="shared" ref="CH322:CH330" si="81">Q322-CF322-CG322</f>
        <v>30000</v>
      </c>
      <c r="CI322" s="125">
        <f t="shared" ref="CI322:CI330" si="82">IF(ISERROR((CF322+CG322)/Q322),"-",(CF322+CG322)/Q322)</f>
        <v>0</v>
      </c>
      <c r="CJ322" s="126" t="str">
        <f t="shared" ref="CJ322:CJ330" si="83">IF(Q322-CD322=0,"数据正确","数据错误")</f>
        <v>数据正确</v>
      </c>
    </row>
    <row r="323" s="60" customFormat="1" customHeight="1" spans="2:88">
      <c r="B323" s="70" t="str">
        <f t="shared" si="73"/>
        <v>申请中</v>
      </c>
      <c r="C323" s="71" t="str">
        <f t="shared" si="74"/>
        <v>-</v>
      </c>
      <c r="D323" s="181">
        <f t="shared" si="75"/>
        <v>0</v>
      </c>
      <c r="E323" s="181">
        <f>SUMIF(材料合同!$L$6:$L$305,L323,材料合同!$E$6:$E$305)</f>
        <v>0</v>
      </c>
      <c r="F323" s="181">
        <f>SUMIF(材料合同!$L$6:$L$305,L323,材料合同!$F$6:$F$305)</f>
        <v>0</v>
      </c>
      <c r="G323" s="181">
        <f>SUMIF(材料合同!$L$6:$L$305,L323,材料合同!$G$6:$G$305)</f>
        <v>0</v>
      </c>
      <c r="H323" s="181">
        <f>SUMIF(材料合同!$L$6:$L$305,L323,材料合同!$H$6:$H$305)</f>
        <v>0</v>
      </c>
      <c r="I323" s="181">
        <f t="shared" si="76"/>
        <v>2906051.58</v>
      </c>
      <c r="J323" s="86" t="s">
        <v>98</v>
      </c>
      <c r="K323" s="87"/>
      <c r="L323" s="88">
        <v>318</v>
      </c>
      <c r="M323" s="89" t="str">
        <f>VLOOKUP(L323,材料合同!$L$6:$CC$305,2,0)</f>
        <v>YRKJGC-17069</v>
      </c>
      <c r="N323" s="90" t="str">
        <f>VLOOKUP(L323,材料合同!$L$6:$CC$305,3,0)</f>
        <v>材料合同</v>
      </c>
      <c r="O323" s="265">
        <f>VLOOKUP(L323,材料合同!$L$6:$CC$305,4,0)</f>
        <v>2017100013</v>
      </c>
      <c r="P323" s="266">
        <f>VLOOKUP(L323,材料合同!$L$6:$CC$305,5,0)</f>
        <v>43042</v>
      </c>
      <c r="Q323" s="275">
        <f>VLOOKUP(L323,材料合同!$L$6:$CC$305,6,0)</f>
        <v>14530257.9</v>
      </c>
      <c r="R323" s="89" t="str">
        <f>VLOOKUP(L323,材料合同!$L$6:$CC$305,7,0)</f>
        <v>钢结构</v>
      </c>
      <c r="S323" s="89" t="str">
        <f>VLOOKUP(L323,材料合同!$L$6:$CC$305,8,0)</f>
        <v>福建东钢钢铁有限公司</v>
      </c>
      <c r="T323" s="107" t="str">
        <f>VLOOKUP(L323,材料合同!$L$6:$CC$305,9,0)</f>
        <v>全厂工艺及供热外管</v>
      </c>
      <c r="U323" s="103" t="str">
        <f>VLOOKUP(L323,材料合同!$L$6:$CC$305,10,0)</f>
        <v>电汇</v>
      </c>
      <c r="V323" s="276" t="str">
        <f>VLOOKUP(L323,材料合同!$L$6:$CC$305,11,0)</f>
        <v>甲方收到等额发票及预付款保函15个工作日支付20%预付款  10%履约保函</v>
      </c>
      <c r="W323" s="102">
        <f>VLOOKUP(L323,材料合同!$L$6:$CC$305,12,0)</f>
        <v>2906051.58</v>
      </c>
      <c r="X323" s="102">
        <f>VLOOKUP(L323,材料合同!$L$6:$CC$305,13,0)</f>
        <v>2906051.58</v>
      </c>
      <c r="Y323" s="102">
        <f>VLOOKUP(L323,材料合同!$L$6:$CC$305,14,0)</f>
        <v>0</v>
      </c>
      <c r="Z323" s="102" t="str">
        <f>VLOOKUP(L323,材料合同!$L$6:$CC$305,15,0)</f>
        <v>甲方去乙方工厂验收，完成后，5个工作日支付60%发货款，开具等额发票</v>
      </c>
      <c r="AA323" s="102">
        <f>VLOOKUP(L323,材料合同!$L$6:$CC$305,16,0)</f>
        <v>8718154.74</v>
      </c>
      <c r="AB323" s="102">
        <f>VLOOKUP(L323,材料合同!$L$6:$CC$305,17,0)</f>
        <v>0</v>
      </c>
      <c r="AC323" s="102">
        <f>VLOOKUP(L323,材料合同!$L$6:$CC$305,18,0)</f>
        <v>0</v>
      </c>
      <c r="AD323" s="102" t="str">
        <f>VLOOKUP(L323,材料合同!$L$6:$CC$305,19,0)</f>
        <v>甲方收到经甲方核定调试合格报告及全额的发票后15个工作日支付15%验收款</v>
      </c>
      <c r="AE323" s="102">
        <f>VLOOKUP(L323,材料合同!$L$6:$CC$305,20,0)</f>
        <v>2179538.685</v>
      </c>
      <c r="AF323" s="102">
        <f>VLOOKUP(L323,材料合同!$L$6:$CC$305,21,0)</f>
        <v>0</v>
      </c>
      <c r="AG323" s="102">
        <f>VLOOKUP(L323,材料合同!$L$6:$CC$305,22,0)</f>
        <v>0</v>
      </c>
      <c r="AH323" s="102" t="str">
        <f>VLOOKUP(L323,材料合同!$L$6:$CC$305,23,0)</f>
        <v>5%质保金，自验收合格，满12月或货到现场18个月支付</v>
      </c>
      <c r="AI323" s="102">
        <f>VLOOKUP(L323,材料合同!$L$6:$CC$305,24,0)</f>
        <v>726512.895</v>
      </c>
      <c r="AJ323" s="102">
        <f>VLOOKUP(L323,材料合同!$L$6:$CC$305,25,0)</f>
        <v>0</v>
      </c>
      <c r="AK323" s="102">
        <f>VLOOKUP(L323,材料合同!$L$6:$CC$305,26,0)</f>
        <v>0</v>
      </c>
      <c r="AL323" s="102">
        <f>VLOOKUP(L323,材料合同!$L$6:$CC$305,27,0)</f>
        <v>0</v>
      </c>
      <c r="AM323" s="102">
        <f>VLOOKUP(L323,材料合同!$L$6:$CC$305,28,0)</f>
        <v>0</v>
      </c>
      <c r="AN323" s="102">
        <f>VLOOKUP(L323,材料合同!$L$6:$CC$305,29,0)</f>
        <v>0</v>
      </c>
      <c r="AO323" s="102">
        <f>VLOOKUP(L323,材料合同!$L$6:$CC$305,30,0)</f>
        <v>0</v>
      </c>
      <c r="AP323" s="102">
        <f>VLOOKUP(L323,材料合同!$L$6:$CC$305,31,0)</f>
        <v>0</v>
      </c>
      <c r="AQ323" s="102">
        <f>VLOOKUP(L323,材料合同!$L$6:$CC$305,32,0)</f>
        <v>0</v>
      </c>
      <c r="AR323" s="102">
        <f>VLOOKUP(L323,材料合同!$L$6:$CC$305,33,0)</f>
        <v>0</v>
      </c>
      <c r="AS323" s="102">
        <f>VLOOKUP(L323,材料合同!$L$6:$CC$305,34,0)</f>
        <v>0</v>
      </c>
      <c r="AT323" s="102">
        <f>VLOOKUP(L323,材料合同!$L$6:$CC$305,35,0)</f>
        <v>0</v>
      </c>
      <c r="AU323" s="102">
        <f>VLOOKUP(L323,材料合同!$L$6:$CC$305,36,0)</f>
        <v>0</v>
      </c>
      <c r="AV323" s="102">
        <f>VLOOKUP(L323,材料合同!$L$6:$CC$305,37,0)</f>
        <v>0</v>
      </c>
      <c r="AW323" s="102">
        <f>VLOOKUP(L323,材料合同!$L$6:$CC$305,38,0)</f>
        <v>0</v>
      </c>
      <c r="AX323" s="102">
        <f>VLOOKUP(L323,材料合同!$L$6:$CC$305,39,0)</f>
        <v>0</v>
      </c>
      <c r="AY323" s="102">
        <f>VLOOKUP(L323,材料合同!$L$6:$CC$305,40,0)</f>
        <v>0</v>
      </c>
      <c r="AZ323" s="102">
        <f>VLOOKUP(L323,材料合同!$L$6:$CC$305,41,0)</f>
        <v>0</v>
      </c>
      <c r="BA323" s="102">
        <f>VLOOKUP(L323,材料合同!$L$6:$CC$305,42,0)</f>
        <v>0</v>
      </c>
      <c r="BB323" s="102">
        <f>VLOOKUP(L323,材料合同!$L$6:$CC$305,43,0)</f>
        <v>0</v>
      </c>
      <c r="BC323" s="102">
        <f>VLOOKUP(L323,材料合同!$L$6:$CC$305,44,0)</f>
        <v>0</v>
      </c>
      <c r="BD323" s="102">
        <f>VLOOKUP(L323,材料合同!$L$6:$CC$305,45,0)</f>
        <v>0</v>
      </c>
      <c r="BE323" s="102">
        <f>VLOOKUP(L323,材料合同!$L$6:$CC$305,46,0)</f>
        <v>0</v>
      </c>
      <c r="BF323" s="102">
        <f>VLOOKUP(L323,材料合同!$L$6:$CC$305,47,0)</f>
        <v>0</v>
      </c>
      <c r="BG323" s="102">
        <f>VLOOKUP(L323,材料合同!$L$6:$CC$305,48,0)</f>
        <v>0</v>
      </c>
      <c r="BH323" s="102">
        <f>VLOOKUP(L323,材料合同!$L$6:$CC$305,49,0)</f>
        <v>0</v>
      </c>
      <c r="BI323" s="102">
        <f>VLOOKUP(L323,材料合同!$L$6:$CC$305,50,0)</f>
        <v>0</v>
      </c>
      <c r="BJ323" s="102">
        <f>VLOOKUP(L323,材料合同!$L$6:$CC$305,51,0)</f>
        <v>0</v>
      </c>
      <c r="BK323" s="102">
        <f>VLOOKUP(L323,材料合同!$L$6:$CC$305,52,0)</f>
        <v>0</v>
      </c>
      <c r="BL323" s="102">
        <f>VLOOKUP(L323,材料合同!$L$6:$CC$305,53,0)</f>
        <v>0</v>
      </c>
      <c r="BM323" s="102">
        <f>VLOOKUP(L323,材料合同!$L$6:$CC$305,54,0)</f>
        <v>0</v>
      </c>
      <c r="BN323" s="102">
        <f>VLOOKUP(L323,材料合同!$L$6:$CC$305,55,0)</f>
        <v>0</v>
      </c>
      <c r="BO323" s="102">
        <f>VLOOKUP(L323,材料合同!$L$6:$CC$305,56,0)</f>
        <v>0</v>
      </c>
      <c r="BP323" s="102">
        <f>VLOOKUP(L323,材料合同!$L$6:$CC$305,57,0)</f>
        <v>0</v>
      </c>
      <c r="BQ323" s="102">
        <f>VLOOKUP(L323,材料合同!$L$6:$CC$305,58,0)</f>
        <v>0</v>
      </c>
      <c r="BR323" s="102">
        <f>VLOOKUP(L323,材料合同!$L$6:$CC$305,59,0)</f>
        <v>0</v>
      </c>
      <c r="BS323" s="102">
        <f>VLOOKUP(L323,材料合同!$L$6:$CC$305,60,0)</f>
        <v>0</v>
      </c>
      <c r="BT323" s="102">
        <f>VLOOKUP(L323,材料合同!$L$6:$CC$305,61,0)</f>
        <v>0</v>
      </c>
      <c r="BU323" s="102">
        <f>VLOOKUP(L323,材料合同!$L$6:$CC$305,62,0)</f>
        <v>0</v>
      </c>
      <c r="BV323" s="102">
        <f>VLOOKUP(L323,材料合同!$L$6:$CC$305,63,0)</f>
        <v>0</v>
      </c>
      <c r="BW323" s="102">
        <f>VLOOKUP(L323,材料合同!$L$6:$CC$305,64,0)</f>
        <v>0</v>
      </c>
      <c r="BX323" s="102">
        <f>VLOOKUP(L323,材料合同!$L$6:$CC$305,65,0)</f>
        <v>0</v>
      </c>
      <c r="BY323" s="102">
        <f>VLOOKUP(L323,材料合同!$L$6:$CC$305,66,0)</f>
        <v>0</v>
      </c>
      <c r="BZ323" s="102">
        <f>VLOOKUP(L323,材料合同!$L$6:$CC$305,67,0)</f>
        <v>0</v>
      </c>
      <c r="CA323" s="102">
        <f>VLOOKUP(L323,材料合同!$L$6:$CC$305,68,0)</f>
        <v>0</v>
      </c>
      <c r="CB323" s="102">
        <f>VLOOKUP(L323,材料合同!$L$6:$CC$305,69,0)</f>
        <v>0</v>
      </c>
      <c r="CC323" s="102">
        <f>VLOOKUP(L323,材料合同!$L$6:$CC$305,70,0)</f>
        <v>0</v>
      </c>
      <c r="CD323" s="123">
        <f t="shared" si="77"/>
        <v>14530257.9</v>
      </c>
      <c r="CE323" s="102">
        <f t="shared" si="78"/>
        <v>2906051.58</v>
      </c>
      <c r="CF323" s="102">
        <f t="shared" si="79"/>
        <v>0</v>
      </c>
      <c r="CG323" s="102">
        <f t="shared" si="80"/>
        <v>0</v>
      </c>
      <c r="CH323" s="124">
        <f t="shared" si="81"/>
        <v>14530257.9</v>
      </c>
      <c r="CI323" s="125">
        <f t="shared" si="82"/>
        <v>0</v>
      </c>
      <c r="CJ323" s="126" t="str">
        <f t="shared" si="83"/>
        <v>数据正确</v>
      </c>
    </row>
    <row r="324" s="60" customFormat="1" customHeight="1" spans="2:88">
      <c r="B324" s="70" t="str">
        <f t="shared" si="73"/>
        <v>-</v>
      </c>
      <c r="C324" s="71" t="str">
        <f t="shared" si="74"/>
        <v>-</v>
      </c>
      <c r="D324" s="181">
        <f t="shared" si="75"/>
        <v>0</v>
      </c>
      <c r="E324" s="181">
        <f>SUMIF(材料合同!$L$6:$L$305,L324,材料合同!$E$6:$E$305)</f>
        <v>0</v>
      </c>
      <c r="F324" s="181">
        <f>SUMIF(材料合同!$L$6:$L$305,L324,材料合同!$F$6:$F$305)</f>
        <v>0</v>
      </c>
      <c r="G324" s="181">
        <f>SUMIF(材料合同!$L$6:$L$305,L324,材料合同!$G$6:$G$305)</f>
        <v>0</v>
      </c>
      <c r="H324" s="181">
        <f>SUMIF(材料合同!$L$6:$L$305,L324,材料合同!$H$6:$H$305)</f>
        <v>0</v>
      </c>
      <c r="I324" s="181">
        <f t="shared" si="76"/>
        <v>0</v>
      </c>
      <c r="J324" s="86" t="s">
        <v>98</v>
      </c>
      <c r="K324" s="87"/>
      <c r="L324" s="88">
        <v>319</v>
      </c>
      <c r="M324" s="89" t="str">
        <f>VLOOKUP(L324,材料合同!$L$6:$CC$305,2,0)</f>
        <v>YRKJGC-17078</v>
      </c>
      <c r="N324" s="90" t="str">
        <f>VLOOKUP(L324,材料合同!$L$6:$CC$305,3,0)</f>
        <v>材料合同</v>
      </c>
      <c r="O324" s="265">
        <f>VLOOKUP(L324,材料合同!$L$6:$CC$305,4,0)</f>
        <v>0</v>
      </c>
      <c r="P324" s="266">
        <f>VLOOKUP(L324,材料合同!$L$6:$CC$305,5,0)</f>
        <v>43042</v>
      </c>
      <c r="Q324" s="275">
        <f>VLOOKUP(L324,材料合同!$L$6:$CC$305,6,0)</f>
        <v>0</v>
      </c>
      <c r="R324" s="89" t="str">
        <f>VLOOKUP(L324,材料合同!$L$6:$CC$305,7,0)</f>
        <v>油漆框架协议</v>
      </c>
      <c r="S324" s="89" t="str">
        <f>VLOOKUP(L324,材料合同!$L$6:$CC$305,8,0)</f>
        <v>江苏金陵特种涂料有限公司</v>
      </c>
      <c r="T324" s="107">
        <f>VLOOKUP(L324,材料合同!$L$6:$CC$305,9,0)</f>
        <v>0</v>
      </c>
      <c r="U324" s="103" t="str">
        <f>VLOOKUP(L324,材料合同!$L$6:$CC$305,10,0)</f>
        <v>6个月承兑汇票/电汇无说明</v>
      </c>
      <c r="V324" s="276" t="str">
        <f>VLOOKUP(L324,材料合同!$L$6:$CC$305,11,0)</f>
        <v>甲方收到货检验合格后收到全额发票30个工作日支付95%</v>
      </c>
      <c r="W324" s="102">
        <f>VLOOKUP(L324,材料合同!$L$6:$CC$305,12,0)</f>
        <v>0</v>
      </c>
      <c r="X324" s="102">
        <f>VLOOKUP(L324,材料合同!$L$6:$CC$305,13,0)</f>
        <v>0</v>
      </c>
      <c r="Y324" s="102">
        <f>VLOOKUP(L324,材料合同!$L$6:$CC$305,14,0)</f>
        <v>0</v>
      </c>
      <c r="Z324" s="102" t="str">
        <f>VLOOKUP(L324,材料合同!$L$6:$CC$305,15,0)</f>
        <v>5%质保金，自验收合格，满12月或货到现场18个月支付</v>
      </c>
      <c r="AA324" s="102">
        <f>VLOOKUP(L324,材料合同!$L$6:$CC$305,16,0)</f>
        <v>0</v>
      </c>
      <c r="AB324" s="102">
        <f>VLOOKUP(L324,材料合同!$L$6:$CC$305,17,0)</f>
        <v>0</v>
      </c>
      <c r="AC324" s="102">
        <f>VLOOKUP(L324,材料合同!$L$6:$CC$305,18,0)</f>
        <v>0</v>
      </c>
      <c r="AD324" s="102">
        <f>VLOOKUP(L324,材料合同!$L$6:$CC$305,19,0)</f>
        <v>0</v>
      </c>
      <c r="AE324" s="102">
        <f>VLOOKUP(L324,材料合同!$L$6:$CC$305,20,0)</f>
        <v>0</v>
      </c>
      <c r="AF324" s="102">
        <f>VLOOKUP(L324,材料合同!$L$6:$CC$305,21,0)</f>
        <v>0</v>
      </c>
      <c r="AG324" s="102">
        <f>VLOOKUP(L324,材料合同!$L$6:$CC$305,22,0)</f>
        <v>0</v>
      </c>
      <c r="AH324" s="102">
        <f>VLOOKUP(L324,材料合同!$L$6:$CC$305,23,0)</f>
        <v>0</v>
      </c>
      <c r="AI324" s="102">
        <f>VLOOKUP(L324,材料合同!$L$6:$CC$305,24,0)</f>
        <v>0</v>
      </c>
      <c r="AJ324" s="102">
        <f>VLOOKUP(L324,材料合同!$L$6:$CC$305,25,0)</f>
        <v>0</v>
      </c>
      <c r="AK324" s="102">
        <f>VLOOKUP(L324,材料合同!$L$6:$CC$305,26,0)</f>
        <v>0</v>
      </c>
      <c r="AL324" s="102">
        <f>VLOOKUP(L324,材料合同!$L$6:$CC$305,27,0)</f>
        <v>0</v>
      </c>
      <c r="AM324" s="102">
        <f>VLOOKUP(L324,材料合同!$L$6:$CC$305,28,0)</f>
        <v>0</v>
      </c>
      <c r="AN324" s="102">
        <f>VLOOKUP(L324,材料合同!$L$6:$CC$305,29,0)</f>
        <v>0</v>
      </c>
      <c r="AO324" s="102">
        <f>VLOOKUP(L324,材料合同!$L$6:$CC$305,30,0)</f>
        <v>0</v>
      </c>
      <c r="AP324" s="102">
        <f>VLOOKUP(L324,材料合同!$L$6:$CC$305,31,0)</f>
        <v>0</v>
      </c>
      <c r="AQ324" s="102">
        <f>VLOOKUP(L324,材料合同!$L$6:$CC$305,32,0)</f>
        <v>0</v>
      </c>
      <c r="AR324" s="102">
        <f>VLOOKUP(L324,材料合同!$L$6:$CC$305,33,0)</f>
        <v>0</v>
      </c>
      <c r="AS324" s="102">
        <f>VLOOKUP(L324,材料合同!$L$6:$CC$305,34,0)</f>
        <v>0</v>
      </c>
      <c r="AT324" s="102">
        <f>VLOOKUP(L324,材料合同!$L$6:$CC$305,35,0)</f>
        <v>0</v>
      </c>
      <c r="AU324" s="102">
        <f>VLOOKUP(L324,材料合同!$L$6:$CC$305,36,0)</f>
        <v>0</v>
      </c>
      <c r="AV324" s="102">
        <f>VLOOKUP(L324,材料合同!$L$6:$CC$305,37,0)</f>
        <v>0</v>
      </c>
      <c r="AW324" s="102">
        <f>VLOOKUP(L324,材料合同!$L$6:$CC$305,38,0)</f>
        <v>0</v>
      </c>
      <c r="AX324" s="102">
        <f>VLOOKUP(L324,材料合同!$L$6:$CC$305,39,0)</f>
        <v>0</v>
      </c>
      <c r="AY324" s="102">
        <f>VLOOKUP(L324,材料合同!$L$6:$CC$305,40,0)</f>
        <v>0</v>
      </c>
      <c r="AZ324" s="102">
        <f>VLOOKUP(L324,材料合同!$L$6:$CC$305,41,0)</f>
        <v>0</v>
      </c>
      <c r="BA324" s="102">
        <f>VLOOKUP(L324,材料合同!$L$6:$CC$305,42,0)</f>
        <v>0</v>
      </c>
      <c r="BB324" s="102">
        <f>VLOOKUP(L324,材料合同!$L$6:$CC$305,43,0)</f>
        <v>0</v>
      </c>
      <c r="BC324" s="102">
        <f>VLOOKUP(L324,材料合同!$L$6:$CC$305,44,0)</f>
        <v>0</v>
      </c>
      <c r="BD324" s="102">
        <f>VLOOKUP(L324,材料合同!$L$6:$CC$305,45,0)</f>
        <v>0</v>
      </c>
      <c r="BE324" s="102">
        <f>VLOOKUP(L324,材料合同!$L$6:$CC$305,46,0)</f>
        <v>0</v>
      </c>
      <c r="BF324" s="102">
        <f>VLOOKUP(L324,材料合同!$L$6:$CC$305,47,0)</f>
        <v>0</v>
      </c>
      <c r="BG324" s="102">
        <f>VLOOKUP(L324,材料合同!$L$6:$CC$305,48,0)</f>
        <v>0</v>
      </c>
      <c r="BH324" s="102">
        <f>VLOOKUP(L324,材料合同!$L$6:$CC$305,49,0)</f>
        <v>0</v>
      </c>
      <c r="BI324" s="102">
        <f>VLOOKUP(L324,材料合同!$L$6:$CC$305,50,0)</f>
        <v>0</v>
      </c>
      <c r="BJ324" s="102">
        <f>VLOOKUP(L324,材料合同!$L$6:$CC$305,51,0)</f>
        <v>0</v>
      </c>
      <c r="BK324" s="102">
        <f>VLOOKUP(L324,材料合同!$L$6:$CC$305,52,0)</f>
        <v>0</v>
      </c>
      <c r="BL324" s="102">
        <f>VLOOKUP(L324,材料合同!$L$6:$CC$305,53,0)</f>
        <v>0</v>
      </c>
      <c r="BM324" s="102">
        <f>VLOOKUP(L324,材料合同!$L$6:$CC$305,54,0)</f>
        <v>0</v>
      </c>
      <c r="BN324" s="102">
        <f>VLOOKUP(L324,材料合同!$L$6:$CC$305,55,0)</f>
        <v>0</v>
      </c>
      <c r="BO324" s="102">
        <f>VLOOKUP(L324,材料合同!$L$6:$CC$305,56,0)</f>
        <v>0</v>
      </c>
      <c r="BP324" s="102">
        <f>VLOOKUP(L324,材料合同!$L$6:$CC$305,57,0)</f>
        <v>0</v>
      </c>
      <c r="BQ324" s="102">
        <f>VLOOKUP(L324,材料合同!$L$6:$CC$305,58,0)</f>
        <v>0</v>
      </c>
      <c r="BR324" s="102">
        <f>VLOOKUP(L324,材料合同!$L$6:$CC$305,59,0)</f>
        <v>0</v>
      </c>
      <c r="BS324" s="102">
        <f>VLOOKUP(L324,材料合同!$L$6:$CC$305,60,0)</f>
        <v>0</v>
      </c>
      <c r="BT324" s="102">
        <f>VLOOKUP(L324,材料合同!$L$6:$CC$305,61,0)</f>
        <v>0</v>
      </c>
      <c r="BU324" s="102">
        <f>VLOOKUP(L324,材料合同!$L$6:$CC$305,62,0)</f>
        <v>0</v>
      </c>
      <c r="BV324" s="102">
        <f>VLOOKUP(L324,材料合同!$L$6:$CC$305,63,0)</f>
        <v>0</v>
      </c>
      <c r="BW324" s="102">
        <f>VLOOKUP(L324,材料合同!$L$6:$CC$305,64,0)</f>
        <v>0</v>
      </c>
      <c r="BX324" s="102">
        <f>VLOOKUP(L324,材料合同!$L$6:$CC$305,65,0)</f>
        <v>0</v>
      </c>
      <c r="BY324" s="102">
        <f>VLOOKUP(L324,材料合同!$L$6:$CC$305,66,0)</f>
        <v>0</v>
      </c>
      <c r="BZ324" s="102">
        <f>VLOOKUP(L324,材料合同!$L$6:$CC$305,67,0)</f>
        <v>0</v>
      </c>
      <c r="CA324" s="102">
        <f>VLOOKUP(L324,材料合同!$L$6:$CC$305,68,0)</f>
        <v>0</v>
      </c>
      <c r="CB324" s="102">
        <f>VLOOKUP(L324,材料合同!$L$6:$CC$305,69,0)</f>
        <v>0</v>
      </c>
      <c r="CC324" s="102">
        <f>VLOOKUP(L324,材料合同!$L$6:$CC$305,70,0)</f>
        <v>0</v>
      </c>
      <c r="CD324" s="123">
        <f t="shared" si="77"/>
        <v>0</v>
      </c>
      <c r="CE324" s="102">
        <f t="shared" si="78"/>
        <v>0</v>
      </c>
      <c r="CF324" s="102">
        <f t="shared" si="79"/>
        <v>0</v>
      </c>
      <c r="CG324" s="102">
        <f t="shared" si="80"/>
        <v>0</v>
      </c>
      <c r="CH324" s="124">
        <f t="shared" si="81"/>
        <v>0</v>
      </c>
      <c r="CI324" s="125" t="str">
        <f t="shared" si="82"/>
        <v>-</v>
      </c>
      <c r="CJ324" s="126" t="str">
        <f t="shared" si="83"/>
        <v>数据正确</v>
      </c>
    </row>
    <row r="325" s="60" customFormat="1" customHeight="1" spans="2:88">
      <c r="B325" s="70" t="str">
        <f t="shared" si="73"/>
        <v>-</v>
      </c>
      <c r="C325" s="71" t="str">
        <f t="shared" si="74"/>
        <v>-</v>
      </c>
      <c r="D325" s="181">
        <f t="shared" si="75"/>
        <v>0</v>
      </c>
      <c r="E325" s="181">
        <f>SUMIF(材料合同!$L$6:$L$305,L325,材料合同!$E$6:$E$305)</f>
        <v>0</v>
      </c>
      <c r="F325" s="181">
        <f>SUMIF(材料合同!$L$6:$L$305,L325,材料合同!$F$6:$F$305)</f>
        <v>0</v>
      </c>
      <c r="G325" s="181">
        <f>SUMIF(材料合同!$L$6:$L$305,L325,材料合同!$G$6:$G$305)</f>
        <v>0</v>
      </c>
      <c r="H325" s="181">
        <f>SUMIF(材料合同!$L$6:$L$305,L325,材料合同!$H$6:$H$305)</f>
        <v>0</v>
      </c>
      <c r="I325" s="181">
        <f t="shared" si="76"/>
        <v>0</v>
      </c>
      <c r="J325" s="86" t="s">
        <v>98</v>
      </c>
      <c r="K325" s="87"/>
      <c r="L325" s="88">
        <v>320</v>
      </c>
      <c r="M325" s="89" t="str">
        <f>VLOOKUP(L325,材料合同!$L$6:$CC$305,2,0)</f>
        <v>YRKJGC-17061</v>
      </c>
      <c r="N325" s="90" t="str">
        <f>VLOOKUP(L325,材料合同!$L$6:$CC$305,3,0)</f>
        <v>材料合同</v>
      </c>
      <c r="O325" s="265">
        <f>VLOOKUP(L325,材料合同!$L$6:$CC$305,4,0)</f>
        <v>0</v>
      </c>
      <c r="P325" s="266">
        <f>VLOOKUP(L325,材料合同!$L$6:$CC$305,5,0)</f>
        <v>43004</v>
      </c>
      <c r="Q325" s="275">
        <f>VLOOKUP(L325,材料合同!$L$6:$CC$305,6,0)</f>
        <v>19713.22</v>
      </c>
      <c r="R325" s="89" t="str">
        <f>VLOOKUP(L325,材料合同!$L$6:$CC$305,7,0)</f>
        <v>油漆</v>
      </c>
      <c r="S325" s="89" t="str">
        <f>VLOOKUP(L325,材料合同!$L$6:$CC$305,8,0)</f>
        <v>中远关西涂料化工（珠海）有限公司</v>
      </c>
      <c r="T325" s="107">
        <f>VLOOKUP(L325,材料合同!$L$6:$CC$305,9,0)</f>
        <v>0</v>
      </c>
      <c r="U325" s="103" t="str">
        <f>VLOOKUP(L325,材料合同!$L$6:$CC$305,10,0)</f>
        <v>电汇</v>
      </c>
      <c r="V325" s="276" t="str">
        <f>VLOOKUP(L325,材料合同!$L$6:$CC$305,11,0)</f>
        <v>甲方货物验收合格收到全额发票支付100%货款 </v>
      </c>
      <c r="W325" s="102">
        <f>VLOOKUP(L325,材料合同!$L$6:$CC$305,12,0)</f>
        <v>19713.22</v>
      </c>
      <c r="X325" s="102">
        <f>VLOOKUP(L325,材料合同!$L$6:$CC$305,13,0)</f>
        <v>0</v>
      </c>
      <c r="Y325" s="102">
        <f>VLOOKUP(L325,材料合同!$L$6:$CC$305,14,0)</f>
        <v>0</v>
      </c>
      <c r="Z325" s="102">
        <f>VLOOKUP(L325,材料合同!$L$6:$CC$305,15,0)</f>
        <v>0</v>
      </c>
      <c r="AA325" s="102">
        <f>VLOOKUP(L325,材料合同!$L$6:$CC$305,16,0)</f>
        <v>0</v>
      </c>
      <c r="AB325" s="102">
        <f>VLOOKUP(L325,材料合同!$L$6:$CC$305,17,0)</f>
        <v>0</v>
      </c>
      <c r="AC325" s="102">
        <f>VLOOKUP(L325,材料合同!$L$6:$CC$305,18,0)</f>
        <v>0</v>
      </c>
      <c r="AD325" s="102">
        <f>VLOOKUP(L325,材料合同!$L$6:$CC$305,19,0)</f>
        <v>0</v>
      </c>
      <c r="AE325" s="102">
        <f>VLOOKUP(L325,材料合同!$L$6:$CC$305,20,0)</f>
        <v>0</v>
      </c>
      <c r="AF325" s="102">
        <f>VLOOKUP(L325,材料合同!$L$6:$CC$305,21,0)</f>
        <v>0</v>
      </c>
      <c r="AG325" s="102">
        <f>VLOOKUP(L325,材料合同!$L$6:$CC$305,22,0)</f>
        <v>0</v>
      </c>
      <c r="AH325" s="102">
        <f>VLOOKUP(L325,材料合同!$L$6:$CC$305,23,0)</f>
        <v>0</v>
      </c>
      <c r="AI325" s="102">
        <f>VLOOKUP(L325,材料合同!$L$6:$CC$305,24,0)</f>
        <v>0</v>
      </c>
      <c r="AJ325" s="102">
        <f>VLOOKUP(L325,材料合同!$L$6:$CC$305,25,0)</f>
        <v>0</v>
      </c>
      <c r="AK325" s="102">
        <f>VLOOKUP(L325,材料合同!$L$6:$CC$305,26,0)</f>
        <v>0</v>
      </c>
      <c r="AL325" s="102">
        <f>VLOOKUP(L325,材料合同!$L$6:$CC$305,27,0)</f>
        <v>0</v>
      </c>
      <c r="AM325" s="102">
        <f>VLOOKUP(L325,材料合同!$L$6:$CC$305,28,0)</f>
        <v>0</v>
      </c>
      <c r="AN325" s="102">
        <f>VLOOKUP(L325,材料合同!$L$6:$CC$305,29,0)</f>
        <v>0</v>
      </c>
      <c r="AO325" s="102">
        <f>VLOOKUP(L325,材料合同!$L$6:$CC$305,30,0)</f>
        <v>0</v>
      </c>
      <c r="AP325" s="102">
        <f>VLOOKUP(L325,材料合同!$L$6:$CC$305,31,0)</f>
        <v>0</v>
      </c>
      <c r="AQ325" s="102">
        <f>VLOOKUP(L325,材料合同!$L$6:$CC$305,32,0)</f>
        <v>0</v>
      </c>
      <c r="AR325" s="102">
        <f>VLOOKUP(L325,材料合同!$L$6:$CC$305,33,0)</f>
        <v>0</v>
      </c>
      <c r="AS325" s="102">
        <f>VLOOKUP(L325,材料合同!$L$6:$CC$305,34,0)</f>
        <v>0</v>
      </c>
      <c r="AT325" s="102">
        <f>VLOOKUP(L325,材料合同!$L$6:$CC$305,35,0)</f>
        <v>0</v>
      </c>
      <c r="AU325" s="102">
        <f>VLOOKUP(L325,材料合同!$L$6:$CC$305,36,0)</f>
        <v>0</v>
      </c>
      <c r="AV325" s="102">
        <f>VLOOKUP(L325,材料合同!$L$6:$CC$305,37,0)</f>
        <v>0</v>
      </c>
      <c r="AW325" s="102">
        <f>VLOOKUP(L325,材料合同!$L$6:$CC$305,38,0)</f>
        <v>0</v>
      </c>
      <c r="AX325" s="102">
        <f>VLOOKUP(L325,材料合同!$L$6:$CC$305,39,0)</f>
        <v>0</v>
      </c>
      <c r="AY325" s="102">
        <f>VLOOKUP(L325,材料合同!$L$6:$CC$305,40,0)</f>
        <v>0</v>
      </c>
      <c r="AZ325" s="102">
        <f>VLOOKUP(L325,材料合同!$L$6:$CC$305,41,0)</f>
        <v>0</v>
      </c>
      <c r="BA325" s="102">
        <f>VLOOKUP(L325,材料合同!$L$6:$CC$305,42,0)</f>
        <v>0</v>
      </c>
      <c r="BB325" s="102">
        <f>VLOOKUP(L325,材料合同!$L$6:$CC$305,43,0)</f>
        <v>0</v>
      </c>
      <c r="BC325" s="102">
        <f>VLOOKUP(L325,材料合同!$L$6:$CC$305,44,0)</f>
        <v>0</v>
      </c>
      <c r="BD325" s="102">
        <f>VLOOKUP(L325,材料合同!$L$6:$CC$305,45,0)</f>
        <v>0</v>
      </c>
      <c r="BE325" s="102">
        <f>VLOOKUP(L325,材料合同!$L$6:$CC$305,46,0)</f>
        <v>0</v>
      </c>
      <c r="BF325" s="102">
        <f>VLOOKUP(L325,材料合同!$L$6:$CC$305,47,0)</f>
        <v>0</v>
      </c>
      <c r="BG325" s="102">
        <f>VLOOKUP(L325,材料合同!$L$6:$CC$305,48,0)</f>
        <v>0</v>
      </c>
      <c r="BH325" s="102">
        <f>VLOOKUP(L325,材料合同!$L$6:$CC$305,49,0)</f>
        <v>0</v>
      </c>
      <c r="BI325" s="102">
        <f>VLOOKUP(L325,材料合同!$L$6:$CC$305,50,0)</f>
        <v>0</v>
      </c>
      <c r="BJ325" s="102">
        <f>VLOOKUP(L325,材料合同!$L$6:$CC$305,51,0)</f>
        <v>0</v>
      </c>
      <c r="BK325" s="102">
        <f>VLOOKUP(L325,材料合同!$L$6:$CC$305,52,0)</f>
        <v>0</v>
      </c>
      <c r="BL325" s="102">
        <f>VLOOKUP(L325,材料合同!$L$6:$CC$305,53,0)</f>
        <v>0</v>
      </c>
      <c r="BM325" s="102">
        <f>VLOOKUP(L325,材料合同!$L$6:$CC$305,54,0)</f>
        <v>0</v>
      </c>
      <c r="BN325" s="102">
        <f>VLOOKUP(L325,材料合同!$L$6:$CC$305,55,0)</f>
        <v>0</v>
      </c>
      <c r="BO325" s="102">
        <f>VLOOKUP(L325,材料合同!$L$6:$CC$305,56,0)</f>
        <v>0</v>
      </c>
      <c r="BP325" s="102">
        <f>VLOOKUP(L325,材料合同!$L$6:$CC$305,57,0)</f>
        <v>0</v>
      </c>
      <c r="BQ325" s="102">
        <f>VLOOKUP(L325,材料合同!$L$6:$CC$305,58,0)</f>
        <v>0</v>
      </c>
      <c r="BR325" s="102">
        <f>VLOOKUP(L325,材料合同!$L$6:$CC$305,59,0)</f>
        <v>0</v>
      </c>
      <c r="BS325" s="102">
        <f>VLOOKUP(L325,材料合同!$L$6:$CC$305,60,0)</f>
        <v>0</v>
      </c>
      <c r="BT325" s="102">
        <f>VLOOKUP(L325,材料合同!$L$6:$CC$305,61,0)</f>
        <v>0</v>
      </c>
      <c r="BU325" s="102">
        <f>VLOOKUP(L325,材料合同!$L$6:$CC$305,62,0)</f>
        <v>0</v>
      </c>
      <c r="BV325" s="102">
        <f>VLOOKUP(L325,材料合同!$L$6:$CC$305,63,0)</f>
        <v>0</v>
      </c>
      <c r="BW325" s="102">
        <f>VLOOKUP(L325,材料合同!$L$6:$CC$305,64,0)</f>
        <v>0</v>
      </c>
      <c r="BX325" s="102">
        <f>VLOOKUP(L325,材料合同!$L$6:$CC$305,65,0)</f>
        <v>0</v>
      </c>
      <c r="BY325" s="102">
        <f>VLOOKUP(L325,材料合同!$L$6:$CC$305,66,0)</f>
        <v>0</v>
      </c>
      <c r="BZ325" s="102">
        <f>VLOOKUP(L325,材料合同!$L$6:$CC$305,67,0)</f>
        <v>0</v>
      </c>
      <c r="CA325" s="102">
        <f>VLOOKUP(L325,材料合同!$L$6:$CC$305,68,0)</f>
        <v>0</v>
      </c>
      <c r="CB325" s="102">
        <f>VLOOKUP(L325,材料合同!$L$6:$CC$305,69,0)</f>
        <v>0</v>
      </c>
      <c r="CC325" s="102">
        <f>VLOOKUP(L325,材料合同!$L$6:$CC$305,70,0)</f>
        <v>0</v>
      </c>
      <c r="CD325" s="123">
        <f t="shared" si="77"/>
        <v>19713.22</v>
      </c>
      <c r="CE325" s="102">
        <f t="shared" si="78"/>
        <v>0</v>
      </c>
      <c r="CF325" s="102">
        <f t="shared" si="79"/>
        <v>0</v>
      </c>
      <c r="CG325" s="102">
        <f t="shared" si="80"/>
        <v>0</v>
      </c>
      <c r="CH325" s="124">
        <f t="shared" si="81"/>
        <v>19713.22</v>
      </c>
      <c r="CI325" s="125">
        <f t="shared" si="82"/>
        <v>0</v>
      </c>
      <c r="CJ325" s="126" t="str">
        <f t="shared" si="83"/>
        <v>数据正确</v>
      </c>
    </row>
    <row r="326" s="60" customFormat="1" customHeight="1" spans="2:88">
      <c r="B326" s="70" t="str">
        <f t="shared" si="73"/>
        <v>-</v>
      </c>
      <c r="C326" s="71" t="str">
        <f t="shared" si="74"/>
        <v>-</v>
      </c>
      <c r="D326" s="181">
        <f t="shared" si="75"/>
        <v>0</v>
      </c>
      <c r="E326" s="181">
        <f>SUMIF(材料合同!$L$6:$L$305,L326,材料合同!$E$6:$E$305)</f>
        <v>0</v>
      </c>
      <c r="F326" s="181">
        <f>SUMIF(材料合同!$L$6:$L$305,L326,材料合同!$F$6:$F$305)</f>
        <v>0</v>
      </c>
      <c r="G326" s="181">
        <f>SUMIF(材料合同!$L$6:$L$305,L326,材料合同!$G$6:$G$305)</f>
        <v>0</v>
      </c>
      <c r="H326" s="181">
        <f>SUMIF(材料合同!$L$6:$L$305,L326,材料合同!$H$6:$H$305)</f>
        <v>0</v>
      </c>
      <c r="I326" s="181">
        <f t="shared" si="76"/>
        <v>0</v>
      </c>
      <c r="J326" s="86" t="s">
        <v>98</v>
      </c>
      <c r="K326" s="87"/>
      <c r="L326" s="88">
        <v>321</v>
      </c>
      <c r="M326" s="89" t="str">
        <f>VLOOKUP(L326,材料合同!$L$6:$CC$305,2,0)</f>
        <v>YRKJGC-17077</v>
      </c>
      <c r="N326" s="90" t="str">
        <f>VLOOKUP(L326,材料合同!$L$6:$CC$305,3,0)</f>
        <v>材料合同</v>
      </c>
      <c r="O326" s="265">
        <f>VLOOKUP(L326,材料合同!$L$6:$CC$305,4,0)</f>
        <v>0</v>
      </c>
      <c r="P326" s="266">
        <f>VLOOKUP(L326,材料合同!$L$6:$CC$305,5,0)</f>
        <v>43042</v>
      </c>
      <c r="Q326" s="275">
        <f>VLOOKUP(L326,材料合同!$L$6:$CC$305,6,0)</f>
        <v>0</v>
      </c>
      <c r="R326" s="89" t="str">
        <f>VLOOKUP(L326,材料合同!$L$6:$CC$305,7,0)</f>
        <v>油漆框架协议</v>
      </c>
      <c r="S326" s="89" t="str">
        <f>VLOOKUP(L326,材料合同!$L$6:$CC$305,8,0)</f>
        <v>永记造漆工业（昆山）有限公司</v>
      </c>
      <c r="T326" s="107">
        <f>VLOOKUP(L326,材料合同!$L$6:$CC$305,9,0)</f>
        <v>0</v>
      </c>
      <c r="U326" s="103" t="str">
        <f>VLOOKUP(L326,材料合同!$L$6:$CC$305,10,0)</f>
        <v>6个月承兑汇票/电汇无说明</v>
      </c>
      <c r="V326" s="276" t="str">
        <f>VLOOKUP(L326,材料合同!$L$6:$CC$305,11,0)</f>
        <v>甲方收到货检验合格后收到全额发票30个工作日支付95%</v>
      </c>
      <c r="W326" s="102">
        <f>VLOOKUP(L326,材料合同!$L$6:$CC$305,12,0)</f>
        <v>0</v>
      </c>
      <c r="X326" s="102">
        <f>VLOOKUP(L326,材料合同!$L$6:$CC$305,13,0)</f>
        <v>0</v>
      </c>
      <c r="Y326" s="102">
        <f>VLOOKUP(L326,材料合同!$L$6:$CC$305,14,0)</f>
        <v>0</v>
      </c>
      <c r="Z326" s="102" t="str">
        <f>VLOOKUP(L326,材料合同!$L$6:$CC$305,15,0)</f>
        <v>5%质保金，自验收合格，满12月或货到现场18个月支付</v>
      </c>
      <c r="AA326" s="102">
        <f>VLOOKUP(L326,材料合同!$L$6:$CC$305,16,0)</f>
        <v>0</v>
      </c>
      <c r="AB326" s="102">
        <f>VLOOKUP(L326,材料合同!$L$6:$CC$305,17,0)</f>
        <v>0</v>
      </c>
      <c r="AC326" s="102">
        <f>VLOOKUP(L326,材料合同!$L$6:$CC$305,18,0)</f>
        <v>0</v>
      </c>
      <c r="AD326" s="102">
        <f>VLOOKUP(L326,材料合同!$L$6:$CC$305,19,0)</f>
        <v>0</v>
      </c>
      <c r="AE326" s="102">
        <f>VLOOKUP(L326,材料合同!$L$6:$CC$305,20,0)</f>
        <v>0</v>
      </c>
      <c r="AF326" s="102">
        <f>VLOOKUP(L326,材料合同!$L$6:$CC$305,21,0)</f>
        <v>0</v>
      </c>
      <c r="AG326" s="102">
        <f>VLOOKUP(L326,材料合同!$L$6:$CC$305,22,0)</f>
        <v>0</v>
      </c>
      <c r="AH326" s="102">
        <f>VLOOKUP(L326,材料合同!$L$6:$CC$305,23,0)</f>
        <v>0</v>
      </c>
      <c r="AI326" s="102">
        <f>VLOOKUP(L326,材料合同!$L$6:$CC$305,24,0)</f>
        <v>0</v>
      </c>
      <c r="AJ326" s="102">
        <f>VLOOKUP(L326,材料合同!$L$6:$CC$305,25,0)</f>
        <v>0</v>
      </c>
      <c r="AK326" s="102">
        <f>VLOOKUP(L326,材料合同!$L$6:$CC$305,26,0)</f>
        <v>0</v>
      </c>
      <c r="AL326" s="102">
        <f>VLOOKUP(L326,材料合同!$L$6:$CC$305,27,0)</f>
        <v>0</v>
      </c>
      <c r="AM326" s="102">
        <f>VLOOKUP(L326,材料合同!$L$6:$CC$305,28,0)</f>
        <v>0</v>
      </c>
      <c r="AN326" s="102">
        <f>VLOOKUP(L326,材料合同!$L$6:$CC$305,29,0)</f>
        <v>0</v>
      </c>
      <c r="AO326" s="102">
        <f>VLOOKUP(L326,材料合同!$L$6:$CC$305,30,0)</f>
        <v>0</v>
      </c>
      <c r="AP326" s="102">
        <f>VLOOKUP(L326,材料合同!$L$6:$CC$305,31,0)</f>
        <v>0</v>
      </c>
      <c r="AQ326" s="102">
        <f>VLOOKUP(L326,材料合同!$L$6:$CC$305,32,0)</f>
        <v>0</v>
      </c>
      <c r="AR326" s="102">
        <f>VLOOKUP(L326,材料合同!$L$6:$CC$305,33,0)</f>
        <v>0</v>
      </c>
      <c r="AS326" s="102">
        <f>VLOOKUP(L326,材料合同!$L$6:$CC$305,34,0)</f>
        <v>0</v>
      </c>
      <c r="AT326" s="102">
        <f>VLOOKUP(L326,材料合同!$L$6:$CC$305,35,0)</f>
        <v>0</v>
      </c>
      <c r="AU326" s="102">
        <f>VLOOKUP(L326,材料合同!$L$6:$CC$305,36,0)</f>
        <v>0</v>
      </c>
      <c r="AV326" s="102">
        <f>VLOOKUP(L326,材料合同!$L$6:$CC$305,37,0)</f>
        <v>0</v>
      </c>
      <c r="AW326" s="102">
        <f>VLOOKUP(L326,材料合同!$L$6:$CC$305,38,0)</f>
        <v>0</v>
      </c>
      <c r="AX326" s="102">
        <f>VLOOKUP(L326,材料合同!$L$6:$CC$305,39,0)</f>
        <v>0</v>
      </c>
      <c r="AY326" s="102">
        <f>VLOOKUP(L326,材料合同!$L$6:$CC$305,40,0)</f>
        <v>0</v>
      </c>
      <c r="AZ326" s="102">
        <f>VLOOKUP(L326,材料合同!$L$6:$CC$305,41,0)</f>
        <v>0</v>
      </c>
      <c r="BA326" s="102">
        <f>VLOOKUP(L326,材料合同!$L$6:$CC$305,42,0)</f>
        <v>0</v>
      </c>
      <c r="BB326" s="102">
        <f>VLOOKUP(L326,材料合同!$L$6:$CC$305,43,0)</f>
        <v>0</v>
      </c>
      <c r="BC326" s="102">
        <f>VLOOKUP(L326,材料合同!$L$6:$CC$305,44,0)</f>
        <v>0</v>
      </c>
      <c r="BD326" s="102">
        <f>VLOOKUP(L326,材料合同!$L$6:$CC$305,45,0)</f>
        <v>0</v>
      </c>
      <c r="BE326" s="102">
        <f>VLOOKUP(L326,材料合同!$L$6:$CC$305,46,0)</f>
        <v>0</v>
      </c>
      <c r="BF326" s="102">
        <f>VLOOKUP(L326,材料合同!$L$6:$CC$305,47,0)</f>
        <v>0</v>
      </c>
      <c r="BG326" s="102">
        <f>VLOOKUP(L326,材料合同!$L$6:$CC$305,48,0)</f>
        <v>0</v>
      </c>
      <c r="BH326" s="102">
        <f>VLOOKUP(L326,材料合同!$L$6:$CC$305,49,0)</f>
        <v>0</v>
      </c>
      <c r="BI326" s="102">
        <f>VLOOKUP(L326,材料合同!$L$6:$CC$305,50,0)</f>
        <v>0</v>
      </c>
      <c r="BJ326" s="102">
        <f>VLOOKUP(L326,材料合同!$L$6:$CC$305,51,0)</f>
        <v>0</v>
      </c>
      <c r="BK326" s="102">
        <f>VLOOKUP(L326,材料合同!$L$6:$CC$305,52,0)</f>
        <v>0</v>
      </c>
      <c r="BL326" s="102">
        <f>VLOOKUP(L326,材料合同!$L$6:$CC$305,53,0)</f>
        <v>0</v>
      </c>
      <c r="BM326" s="102">
        <f>VLOOKUP(L326,材料合同!$L$6:$CC$305,54,0)</f>
        <v>0</v>
      </c>
      <c r="BN326" s="102">
        <f>VLOOKUP(L326,材料合同!$L$6:$CC$305,55,0)</f>
        <v>0</v>
      </c>
      <c r="BO326" s="102">
        <f>VLOOKUP(L326,材料合同!$L$6:$CC$305,56,0)</f>
        <v>0</v>
      </c>
      <c r="BP326" s="102">
        <f>VLOOKUP(L326,材料合同!$L$6:$CC$305,57,0)</f>
        <v>0</v>
      </c>
      <c r="BQ326" s="102">
        <f>VLOOKUP(L326,材料合同!$L$6:$CC$305,58,0)</f>
        <v>0</v>
      </c>
      <c r="BR326" s="102">
        <f>VLOOKUP(L326,材料合同!$L$6:$CC$305,59,0)</f>
        <v>0</v>
      </c>
      <c r="BS326" s="102">
        <f>VLOOKUP(L326,材料合同!$L$6:$CC$305,60,0)</f>
        <v>0</v>
      </c>
      <c r="BT326" s="102">
        <f>VLOOKUP(L326,材料合同!$L$6:$CC$305,61,0)</f>
        <v>0</v>
      </c>
      <c r="BU326" s="102">
        <f>VLOOKUP(L326,材料合同!$L$6:$CC$305,62,0)</f>
        <v>0</v>
      </c>
      <c r="BV326" s="102">
        <f>VLOOKUP(L326,材料合同!$L$6:$CC$305,63,0)</f>
        <v>0</v>
      </c>
      <c r="BW326" s="102">
        <f>VLOOKUP(L326,材料合同!$L$6:$CC$305,64,0)</f>
        <v>0</v>
      </c>
      <c r="BX326" s="102">
        <f>VLOOKUP(L326,材料合同!$L$6:$CC$305,65,0)</f>
        <v>0</v>
      </c>
      <c r="BY326" s="102">
        <f>VLOOKUP(L326,材料合同!$L$6:$CC$305,66,0)</f>
        <v>0</v>
      </c>
      <c r="BZ326" s="102">
        <f>VLOOKUP(L326,材料合同!$L$6:$CC$305,67,0)</f>
        <v>0</v>
      </c>
      <c r="CA326" s="102">
        <f>VLOOKUP(L326,材料合同!$L$6:$CC$305,68,0)</f>
        <v>0</v>
      </c>
      <c r="CB326" s="102">
        <f>VLOOKUP(L326,材料合同!$L$6:$CC$305,69,0)</f>
        <v>0</v>
      </c>
      <c r="CC326" s="102">
        <f>VLOOKUP(L326,材料合同!$L$6:$CC$305,70,0)</f>
        <v>0</v>
      </c>
      <c r="CD326" s="123">
        <f t="shared" si="77"/>
        <v>0</v>
      </c>
      <c r="CE326" s="102">
        <f t="shared" si="78"/>
        <v>0</v>
      </c>
      <c r="CF326" s="102">
        <f t="shared" si="79"/>
        <v>0</v>
      </c>
      <c r="CG326" s="102">
        <f t="shared" si="80"/>
        <v>0</v>
      </c>
      <c r="CH326" s="124">
        <f t="shared" si="81"/>
        <v>0</v>
      </c>
      <c r="CI326" s="125" t="str">
        <f t="shared" si="82"/>
        <v>-</v>
      </c>
      <c r="CJ326" s="126" t="str">
        <f t="shared" si="83"/>
        <v>数据正确</v>
      </c>
    </row>
    <row r="327" s="60" customFormat="1" customHeight="1" spans="2:88">
      <c r="B327" s="70" t="str">
        <f t="shared" si="73"/>
        <v>-</v>
      </c>
      <c r="C327" s="71" t="str">
        <f t="shared" si="74"/>
        <v>-</v>
      </c>
      <c r="D327" s="181">
        <f t="shared" si="75"/>
        <v>0</v>
      </c>
      <c r="E327" s="181">
        <f>SUMIF(材料合同!$L$6:$L$305,L327,材料合同!$E$6:$E$305)</f>
        <v>0</v>
      </c>
      <c r="F327" s="181">
        <f>SUMIF(材料合同!$L$6:$L$305,L327,材料合同!$F$6:$F$305)</f>
        <v>0</v>
      </c>
      <c r="G327" s="181">
        <f>SUMIF(材料合同!$L$6:$L$305,L327,材料合同!$G$6:$G$305)</f>
        <v>0</v>
      </c>
      <c r="H327" s="181">
        <f>SUMIF(材料合同!$L$6:$L$305,L327,材料合同!$H$6:$H$305)</f>
        <v>0</v>
      </c>
      <c r="I327" s="181">
        <f t="shared" si="76"/>
        <v>0</v>
      </c>
      <c r="J327" s="86" t="s">
        <v>98</v>
      </c>
      <c r="K327" s="87"/>
      <c r="L327" s="88">
        <v>322</v>
      </c>
      <c r="M327" s="89" t="str">
        <f>VLOOKUP(L327,材料合同!$L$6:$CC$305,2,0)</f>
        <v>YRKJGC-17084</v>
      </c>
      <c r="N327" s="90" t="str">
        <f>VLOOKUP(L327,材料合同!$L$6:$CC$305,3,0)</f>
        <v>材料合同</v>
      </c>
      <c r="O327" s="265">
        <f>VLOOKUP(L327,材料合同!$L$6:$CC$305,4,0)</f>
        <v>0</v>
      </c>
      <c r="P327" s="266">
        <f>VLOOKUP(L327,材料合同!$L$6:$CC$305,5,0)</f>
        <v>43040</v>
      </c>
      <c r="Q327" s="275">
        <f>VLOOKUP(L327,材料合同!$L$6:$CC$305,6,0)</f>
        <v>396582</v>
      </c>
      <c r="R327" s="89" t="str">
        <f>VLOOKUP(L327,材料合同!$L$6:$CC$305,7,0)</f>
        <v>防雷接地材料</v>
      </c>
      <c r="S327" s="89" t="str">
        <f>VLOOKUP(L327,材料合同!$L$6:$CC$305,8,0)</f>
        <v>浙江华甸防雷科技有限公司</v>
      </c>
      <c r="T327" s="107">
        <f>VLOOKUP(L327,材料合同!$L$6:$CC$305,9,0)</f>
        <v>0</v>
      </c>
      <c r="U327" s="103" t="str">
        <f>VLOOKUP(L327,材料合同!$L$6:$CC$305,10,0)</f>
        <v>6个月承兑汇票/电汇无说明</v>
      </c>
      <c r="V327" s="276" t="str">
        <f>VLOOKUP(L327,材料合同!$L$6:$CC$305,11,0)</f>
        <v>甲方货物验收合格收到全额发票支付100%货款 </v>
      </c>
      <c r="W327" s="102">
        <f>VLOOKUP(L327,材料合同!$L$6:$CC$305,12,0)</f>
        <v>396582</v>
      </c>
      <c r="X327" s="102">
        <f>VLOOKUP(L327,材料合同!$L$6:$CC$305,13,0)</f>
        <v>0</v>
      </c>
      <c r="Y327" s="102">
        <f>VLOOKUP(L327,材料合同!$L$6:$CC$305,14,0)</f>
        <v>0</v>
      </c>
      <c r="Z327" s="102">
        <f>VLOOKUP(L327,材料合同!$L$6:$CC$305,15,0)</f>
        <v>0</v>
      </c>
      <c r="AA327" s="102">
        <f>VLOOKUP(L327,材料合同!$L$6:$CC$305,16,0)</f>
        <v>0</v>
      </c>
      <c r="AB327" s="102">
        <f>VLOOKUP(L327,材料合同!$L$6:$CC$305,17,0)</f>
        <v>0</v>
      </c>
      <c r="AC327" s="102">
        <f>VLOOKUP(L327,材料合同!$L$6:$CC$305,18,0)</f>
        <v>0</v>
      </c>
      <c r="AD327" s="102">
        <f>VLOOKUP(L327,材料合同!$L$6:$CC$305,19,0)</f>
        <v>0</v>
      </c>
      <c r="AE327" s="102">
        <f>VLOOKUP(L327,材料合同!$L$6:$CC$305,20,0)</f>
        <v>0</v>
      </c>
      <c r="AF327" s="102">
        <f>VLOOKUP(L327,材料合同!$L$6:$CC$305,21,0)</f>
        <v>0</v>
      </c>
      <c r="AG327" s="102">
        <f>VLOOKUP(L327,材料合同!$L$6:$CC$305,22,0)</f>
        <v>0</v>
      </c>
      <c r="AH327" s="102">
        <f>VLOOKUP(L327,材料合同!$L$6:$CC$305,23,0)</f>
        <v>0</v>
      </c>
      <c r="AI327" s="102">
        <f>VLOOKUP(L327,材料合同!$L$6:$CC$305,24,0)</f>
        <v>0</v>
      </c>
      <c r="AJ327" s="102">
        <f>VLOOKUP(L327,材料合同!$L$6:$CC$305,25,0)</f>
        <v>0</v>
      </c>
      <c r="AK327" s="102">
        <f>VLOOKUP(L327,材料合同!$L$6:$CC$305,26,0)</f>
        <v>0</v>
      </c>
      <c r="AL327" s="102">
        <f>VLOOKUP(L327,材料合同!$L$6:$CC$305,27,0)</f>
        <v>0</v>
      </c>
      <c r="AM327" s="102">
        <f>VLOOKUP(L327,材料合同!$L$6:$CC$305,28,0)</f>
        <v>0</v>
      </c>
      <c r="AN327" s="102">
        <f>VLOOKUP(L327,材料合同!$L$6:$CC$305,29,0)</f>
        <v>0</v>
      </c>
      <c r="AO327" s="102">
        <f>VLOOKUP(L327,材料合同!$L$6:$CC$305,30,0)</f>
        <v>0</v>
      </c>
      <c r="AP327" s="102">
        <f>VLOOKUP(L327,材料合同!$L$6:$CC$305,31,0)</f>
        <v>0</v>
      </c>
      <c r="AQ327" s="102">
        <f>VLOOKUP(L327,材料合同!$L$6:$CC$305,32,0)</f>
        <v>0</v>
      </c>
      <c r="AR327" s="102">
        <f>VLOOKUP(L327,材料合同!$L$6:$CC$305,33,0)</f>
        <v>0</v>
      </c>
      <c r="AS327" s="102">
        <f>VLOOKUP(L327,材料合同!$L$6:$CC$305,34,0)</f>
        <v>0</v>
      </c>
      <c r="AT327" s="102">
        <f>VLOOKUP(L327,材料合同!$L$6:$CC$305,35,0)</f>
        <v>0</v>
      </c>
      <c r="AU327" s="102">
        <f>VLOOKUP(L327,材料合同!$L$6:$CC$305,36,0)</f>
        <v>0</v>
      </c>
      <c r="AV327" s="102">
        <f>VLOOKUP(L327,材料合同!$L$6:$CC$305,37,0)</f>
        <v>0</v>
      </c>
      <c r="AW327" s="102">
        <f>VLOOKUP(L327,材料合同!$L$6:$CC$305,38,0)</f>
        <v>0</v>
      </c>
      <c r="AX327" s="102">
        <f>VLOOKUP(L327,材料合同!$L$6:$CC$305,39,0)</f>
        <v>0</v>
      </c>
      <c r="AY327" s="102">
        <f>VLOOKUP(L327,材料合同!$L$6:$CC$305,40,0)</f>
        <v>0</v>
      </c>
      <c r="AZ327" s="102">
        <f>VLOOKUP(L327,材料合同!$L$6:$CC$305,41,0)</f>
        <v>0</v>
      </c>
      <c r="BA327" s="102">
        <f>VLOOKUP(L327,材料合同!$L$6:$CC$305,42,0)</f>
        <v>0</v>
      </c>
      <c r="BB327" s="102">
        <f>VLOOKUP(L327,材料合同!$L$6:$CC$305,43,0)</f>
        <v>0</v>
      </c>
      <c r="BC327" s="102">
        <f>VLOOKUP(L327,材料合同!$L$6:$CC$305,44,0)</f>
        <v>0</v>
      </c>
      <c r="BD327" s="102">
        <f>VLOOKUP(L327,材料合同!$L$6:$CC$305,45,0)</f>
        <v>0</v>
      </c>
      <c r="BE327" s="102">
        <f>VLOOKUP(L327,材料合同!$L$6:$CC$305,46,0)</f>
        <v>0</v>
      </c>
      <c r="BF327" s="102">
        <f>VLOOKUP(L327,材料合同!$L$6:$CC$305,47,0)</f>
        <v>0</v>
      </c>
      <c r="BG327" s="102">
        <f>VLOOKUP(L327,材料合同!$L$6:$CC$305,48,0)</f>
        <v>0</v>
      </c>
      <c r="BH327" s="102">
        <f>VLOOKUP(L327,材料合同!$L$6:$CC$305,49,0)</f>
        <v>0</v>
      </c>
      <c r="BI327" s="102">
        <f>VLOOKUP(L327,材料合同!$L$6:$CC$305,50,0)</f>
        <v>0</v>
      </c>
      <c r="BJ327" s="102">
        <f>VLOOKUP(L327,材料合同!$L$6:$CC$305,51,0)</f>
        <v>0</v>
      </c>
      <c r="BK327" s="102">
        <f>VLOOKUP(L327,材料合同!$L$6:$CC$305,52,0)</f>
        <v>0</v>
      </c>
      <c r="BL327" s="102">
        <f>VLOOKUP(L327,材料合同!$L$6:$CC$305,53,0)</f>
        <v>0</v>
      </c>
      <c r="BM327" s="102">
        <f>VLOOKUP(L327,材料合同!$L$6:$CC$305,54,0)</f>
        <v>0</v>
      </c>
      <c r="BN327" s="102">
        <f>VLOOKUP(L327,材料合同!$L$6:$CC$305,55,0)</f>
        <v>0</v>
      </c>
      <c r="BO327" s="102">
        <f>VLOOKUP(L327,材料合同!$L$6:$CC$305,56,0)</f>
        <v>0</v>
      </c>
      <c r="BP327" s="102">
        <f>VLOOKUP(L327,材料合同!$L$6:$CC$305,57,0)</f>
        <v>0</v>
      </c>
      <c r="BQ327" s="102">
        <f>VLOOKUP(L327,材料合同!$L$6:$CC$305,58,0)</f>
        <v>0</v>
      </c>
      <c r="BR327" s="102">
        <f>VLOOKUP(L327,材料合同!$L$6:$CC$305,59,0)</f>
        <v>0</v>
      </c>
      <c r="BS327" s="102">
        <f>VLOOKUP(L327,材料合同!$L$6:$CC$305,60,0)</f>
        <v>0</v>
      </c>
      <c r="BT327" s="102">
        <f>VLOOKUP(L327,材料合同!$L$6:$CC$305,61,0)</f>
        <v>0</v>
      </c>
      <c r="BU327" s="102">
        <f>VLOOKUP(L327,材料合同!$L$6:$CC$305,62,0)</f>
        <v>0</v>
      </c>
      <c r="BV327" s="102">
        <f>VLOOKUP(L327,材料合同!$L$6:$CC$305,63,0)</f>
        <v>0</v>
      </c>
      <c r="BW327" s="102">
        <f>VLOOKUP(L327,材料合同!$L$6:$CC$305,64,0)</f>
        <v>0</v>
      </c>
      <c r="BX327" s="102">
        <f>VLOOKUP(L327,材料合同!$L$6:$CC$305,65,0)</f>
        <v>0</v>
      </c>
      <c r="BY327" s="102">
        <f>VLOOKUP(L327,材料合同!$L$6:$CC$305,66,0)</f>
        <v>0</v>
      </c>
      <c r="BZ327" s="102">
        <f>VLOOKUP(L327,材料合同!$L$6:$CC$305,67,0)</f>
        <v>0</v>
      </c>
      <c r="CA327" s="102">
        <f>VLOOKUP(L327,材料合同!$L$6:$CC$305,68,0)</f>
        <v>0</v>
      </c>
      <c r="CB327" s="102">
        <f>VLOOKUP(L327,材料合同!$L$6:$CC$305,69,0)</f>
        <v>0</v>
      </c>
      <c r="CC327" s="102">
        <f>VLOOKUP(L327,材料合同!$L$6:$CC$305,70,0)</f>
        <v>0</v>
      </c>
      <c r="CD327" s="123">
        <f t="shared" si="77"/>
        <v>396582</v>
      </c>
      <c r="CE327" s="102">
        <f t="shared" si="78"/>
        <v>0</v>
      </c>
      <c r="CF327" s="102">
        <f t="shared" si="79"/>
        <v>0</v>
      </c>
      <c r="CG327" s="102">
        <f t="shared" si="80"/>
        <v>0</v>
      </c>
      <c r="CH327" s="124">
        <f t="shared" si="81"/>
        <v>396582</v>
      </c>
      <c r="CI327" s="125">
        <f t="shared" si="82"/>
        <v>0</v>
      </c>
      <c r="CJ327" s="126" t="str">
        <f t="shared" si="83"/>
        <v>数据正确</v>
      </c>
    </row>
    <row r="328" s="60" customFormat="1" customHeight="1" spans="2:88">
      <c r="B328" s="70" t="str">
        <f t="shared" si="73"/>
        <v>-</v>
      </c>
      <c r="C328" s="71" t="str">
        <f t="shared" si="74"/>
        <v>-</v>
      </c>
      <c r="D328" s="181">
        <f t="shared" si="75"/>
        <v>0</v>
      </c>
      <c r="E328" s="181">
        <f>SUMIF(材料合同!$L$6:$L$305,L328,材料合同!$E$6:$E$305)</f>
        <v>0</v>
      </c>
      <c r="F328" s="181">
        <f>SUMIF(材料合同!$L$6:$L$305,L328,材料合同!$F$6:$F$305)</f>
        <v>0</v>
      </c>
      <c r="G328" s="181">
        <f>SUMIF(材料合同!$L$6:$L$305,L328,材料合同!$G$6:$G$305)</f>
        <v>0</v>
      </c>
      <c r="H328" s="181">
        <f>SUMIF(材料合同!$L$6:$L$305,L328,材料合同!$H$6:$H$305)</f>
        <v>0</v>
      </c>
      <c r="I328" s="181">
        <f t="shared" si="76"/>
        <v>0</v>
      </c>
      <c r="J328" s="86" t="s">
        <v>98</v>
      </c>
      <c r="K328" s="87"/>
      <c r="L328" s="88">
        <v>323</v>
      </c>
      <c r="M328" s="89" t="str">
        <f>VLOOKUP(L328,材料合同!$L$6:$CC$305,2,0)</f>
        <v>YRKJGC-17075</v>
      </c>
      <c r="N328" s="90" t="str">
        <f>VLOOKUP(L328,材料合同!$L$6:$CC$305,3,0)</f>
        <v>材料合同</v>
      </c>
      <c r="O328" s="265">
        <f>VLOOKUP(L328,材料合同!$L$6:$CC$305,4,0)</f>
        <v>0</v>
      </c>
      <c r="P328" s="266">
        <f>VLOOKUP(L328,材料合同!$L$6:$CC$305,5,0)</f>
        <v>43037</v>
      </c>
      <c r="Q328" s="275">
        <f>VLOOKUP(L328,材料合同!$L$6:$CC$305,6,0)</f>
        <v>698000</v>
      </c>
      <c r="R328" s="89" t="str">
        <f>VLOOKUP(L328,材料合同!$L$6:$CC$305,7,0)</f>
        <v>路灯262套</v>
      </c>
      <c r="S328" s="89" t="str">
        <f>VLOOKUP(L328,材料合同!$L$6:$CC$305,8,0)</f>
        <v>飞策防爆电器有限公司</v>
      </c>
      <c r="T328" s="107">
        <f>VLOOKUP(L328,材料合同!$L$6:$CC$305,9,0)</f>
        <v>0</v>
      </c>
      <c r="U328" s="103" t="str">
        <f>VLOOKUP(L328,材料合同!$L$6:$CC$305,10,0)</f>
        <v>电汇</v>
      </c>
      <c r="V328" s="276" t="str">
        <f>VLOOKUP(L328,材料合同!$L$6:$CC$305,11,0)</f>
        <v>甲方收到10%履约保函和等额发票，15个工作日支付20%预付款   10%质量保函</v>
      </c>
      <c r="W328" s="102">
        <f>VLOOKUP(L328,材料合同!$L$6:$CC$305,12,0)</f>
        <v>139600</v>
      </c>
      <c r="X328" s="102">
        <f>VLOOKUP(L328,材料合同!$L$6:$CC$305,13,0)</f>
        <v>0</v>
      </c>
      <c r="Y328" s="102">
        <f>VLOOKUP(L328,材料合同!$L$6:$CC$305,14,0)</f>
        <v>0</v>
      </c>
      <c r="Z328" s="102" t="str">
        <f>VLOOKUP(L328,材料合同!$L$6:$CC$305,15,0)</f>
        <v>甲方去乙方工厂验收，完成后，5个工作日支付40%发货款，开具等额发票</v>
      </c>
      <c r="AA328" s="102">
        <f>VLOOKUP(L328,材料合同!$L$6:$CC$305,16,0)</f>
        <v>279200</v>
      </c>
      <c r="AB328" s="102">
        <f>VLOOKUP(L328,材料合同!$L$6:$CC$305,17,0)</f>
        <v>0</v>
      </c>
      <c r="AC328" s="102">
        <f>VLOOKUP(L328,材料合同!$L$6:$CC$305,18,0)</f>
        <v>0</v>
      </c>
      <c r="AD328" s="102" t="str">
        <f>VLOOKUP(L328,材料合同!$L$6:$CC$305,19,0)</f>
        <v>甲方经核定调试合格报告及本合同的足额发票后15个工作日支付30%调试款</v>
      </c>
      <c r="AE328" s="102">
        <f>VLOOKUP(L328,材料合同!$L$6:$CC$305,20,0)</f>
        <v>209400</v>
      </c>
      <c r="AF328" s="102">
        <f>VLOOKUP(L328,材料合同!$L$6:$CC$305,21,0)</f>
        <v>0</v>
      </c>
      <c r="AG328" s="102">
        <f>VLOOKUP(L328,材料合同!$L$6:$CC$305,22,0)</f>
        <v>0</v>
      </c>
      <c r="AH328" s="102" t="str">
        <f>VLOOKUP(L328,材料合同!$L$6:$CC$305,23,0)</f>
        <v>10%质保金，自验收合格，满12月或货到现场18个月支付</v>
      </c>
      <c r="AI328" s="102">
        <f>VLOOKUP(L328,材料合同!$L$6:$CC$305,24,0)</f>
        <v>69800</v>
      </c>
      <c r="AJ328" s="102">
        <f>VLOOKUP(L328,材料合同!$L$6:$CC$305,25,0)</f>
        <v>0</v>
      </c>
      <c r="AK328" s="102">
        <f>VLOOKUP(L328,材料合同!$L$6:$CC$305,26,0)</f>
        <v>0</v>
      </c>
      <c r="AL328" s="102">
        <f>VLOOKUP(L328,材料合同!$L$6:$CC$305,27,0)</f>
        <v>0</v>
      </c>
      <c r="AM328" s="102">
        <f>VLOOKUP(L328,材料合同!$L$6:$CC$305,28,0)</f>
        <v>0</v>
      </c>
      <c r="AN328" s="102">
        <f>VLOOKUP(L328,材料合同!$L$6:$CC$305,29,0)</f>
        <v>0</v>
      </c>
      <c r="AO328" s="102">
        <f>VLOOKUP(L328,材料合同!$L$6:$CC$305,30,0)</f>
        <v>0</v>
      </c>
      <c r="AP328" s="102">
        <f>VLOOKUP(L328,材料合同!$L$6:$CC$305,31,0)</f>
        <v>0</v>
      </c>
      <c r="AQ328" s="102">
        <f>VLOOKUP(L328,材料合同!$L$6:$CC$305,32,0)</f>
        <v>0</v>
      </c>
      <c r="AR328" s="102">
        <f>VLOOKUP(L328,材料合同!$L$6:$CC$305,33,0)</f>
        <v>0</v>
      </c>
      <c r="AS328" s="102">
        <f>VLOOKUP(L328,材料合同!$L$6:$CC$305,34,0)</f>
        <v>0</v>
      </c>
      <c r="AT328" s="102">
        <f>VLOOKUP(L328,材料合同!$L$6:$CC$305,35,0)</f>
        <v>0</v>
      </c>
      <c r="AU328" s="102">
        <f>VLOOKUP(L328,材料合同!$L$6:$CC$305,36,0)</f>
        <v>0</v>
      </c>
      <c r="AV328" s="102">
        <f>VLOOKUP(L328,材料合同!$L$6:$CC$305,37,0)</f>
        <v>0</v>
      </c>
      <c r="AW328" s="102">
        <f>VLOOKUP(L328,材料合同!$L$6:$CC$305,38,0)</f>
        <v>0</v>
      </c>
      <c r="AX328" s="102">
        <f>VLOOKUP(L328,材料合同!$L$6:$CC$305,39,0)</f>
        <v>0</v>
      </c>
      <c r="AY328" s="102">
        <f>VLOOKUP(L328,材料合同!$L$6:$CC$305,40,0)</f>
        <v>0</v>
      </c>
      <c r="AZ328" s="102">
        <f>VLOOKUP(L328,材料合同!$L$6:$CC$305,41,0)</f>
        <v>0</v>
      </c>
      <c r="BA328" s="102">
        <f>VLOOKUP(L328,材料合同!$L$6:$CC$305,42,0)</f>
        <v>0</v>
      </c>
      <c r="BB328" s="102">
        <f>VLOOKUP(L328,材料合同!$L$6:$CC$305,43,0)</f>
        <v>0</v>
      </c>
      <c r="BC328" s="102">
        <f>VLOOKUP(L328,材料合同!$L$6:$CC$305,44,0)</f>
        <v>0</v>
      </c>
      <c r="BD328" s="102">
        <f>VLOOKUP(L328,材料合同!$L$6:$CC$305,45,0)</f>
        <v>0</v>
      </c>
      <c r="BE328" s="102">
        <f>VLOOKUP(L328,材料合同!$L$6:$CC$305,46,0)</f>
        <v>0</v>
      </c>
      <c r="BF328" s="102">
        <f>VLOOKUP(L328,材料合同!$L$6:$CC$305,47,0)</f>
        <v>0</v>
      </c>
      <c r="BG328" s="102">
        <f>VLOOKUP(L328,材料合同!$L$6:$CC$305,48,0)</f>
        <v>0</v>
      </c>
      <c r="BH328" s="102">
        <f>VLOOKUP(L328,材料合同!$L$6:$CC$305,49,0)</f>
        <v>0</v>
      </c>
      <c r="BI328" s="102">
        <f>VLOOKUP(L328,材料合同!$L$6:$CC$305,50,0)</f>
        <v>0</v>
      </c>
      <c r="BJ328" s="102">
        <f>VLOOKUP(L328,材料合同!$L$6:$CC$305,51,0)</f>
        <v>0</v>
      </c>
      <c r="BK328" s="102">
        <f>VLOOKUP(L328,材料合同!$L$6:$CC$305,52,0)</f>
        <v>0</v>
      </c>
      <c r="BL328" s="102">
        <f>VLOOKUP(L328,材料合同!$L$6:$CC$305,53,0)</f>
        <v>0</v>
      </c>
      <c r="BM328" s="102">
        <f>VLOOKUP(L328,材料合同!$L$6:$CC$305,54,0)</f>
        <v>0</v>
      </c>
      <c r="BN328" s="102">
        <f>VLOOKUP(L328,材料合同!$L$6:$CC$305,55,0)</f>
        <v>0</v>
      </c>
      <c r="BO328" s="102">
        <f>VLOOKUP(L328,材料合同!$L$6:$CC$305,56,0)</f>
        <v>0</v>
      </c>
      <c r="BP328" s="102">
        <f>VLOOKUP(L328,材料合同!$L$6:$CC$305,57,0)</f>
        <v>0</v>
      </c>
      <c r="BQ328" s="102">
        <f>VLOOKUP(L328,材料合同!$L$6:$CC$305,58,0)</f>
        <v>0</v>
      </c>
      <c r="BR328" s="102">
        <f>VLOOKUP(L328,材料合同!$L$6:$CC$305,59,0)</f>
        <v>0</v>
      </c>
      <c r="BS328" s="102">
        <f>VLOOKUP(L328,材料合同!$L$6:$CC$305,60,0)</f>
        <v>0</v>
      </c>
      <c r="BT328" s="102">
        <f>VLOOKUP(L328,材料合同!$L$6:$CC$305,61,0)</f>
        <v>0</v>
      </c>
      <c r="BU328" s="102">
        <f>VLOOKUP(L328,材料合同!$L$6:$CC$305,62,0)</f>
        <v>0</v>
      </c>
      <c r="BV328" s="102">
        <f>VLOOKUP(L328,材料合同!$L$6:$CC$305,63,0)</f>
        <v>0</v>
      </c>
      <c r="BW328" s="102">
        <f>VLOOKUP(L328,材料合同!$L$6:$CC$305,64,0)</f>
        <v>0</v>
      </c>
      <c r="BX328" s="102">
        <f>VLOOKUP(L328,材料合同!$L$6:$CC$305,65,0)</f>
        <v>0</v>
      </c>
      <c r="BY328" s="102">
        <f>VLOOKUP(L328,材料合同!$L$6:$CC$305,66,0)</f>
        <v>0</v>
      </c>
      <c r="BZ328" s="102">
        <f>VLOOKUP(L328,材料合同!$L$6:$CC$305,67,0)</f>
        <v>0</v>
      </c>
      <c r="CA328" s="102">
        <f>VLOOKUP(L328,材料合同!$L$6:$CC$305,68,0)</f>
        <v>0</v>
      </c>
      <c r="CB328" s="102">
        <f>VLOOKUP(L328,材料合同!$L$6:$CC$305,69,0)</f>
        <v>0</v>
      </c>
      <c r="CC328" s="102">
        <f>VLOOKUP(L328,材料合同!$L$6:$CC$305,70,0)</f>
        <v>0</v>
      </c>
      <c r="CD328" s="123">
        <f t="shared" si="77"/>
        <v>698000</v>
      </c>
      <c r="CE328" s="102">
        <f t="shared" si="78"/>
        <v>0</v>
      </c>
      <c r="CF328" s="102">
        <f t="shared" si="79"/>
        <v>0</v>
      </c>
      <c r="CG328" s="102">
        <f t="shared" si="80"/>
        <v>0</v>
      </c>
      <c r="CH328" s="124">
        <f t="shared" si="81"/>
        <v>698000</v>
      </c>
      <c r="CI328" s="125">
        <f t="shared" si="82"/>
        <v>0</v>
      </c>
      <c r="CJ328" s="126" t="str">
        <f t="shared" si="83"/>
        <v>数据正确</v>
      </c>
    </row>
    <row r="329" s="60" customFormat="1" customHeight="1" spans="2:88">
      <c r="B329" s="70" t="str">
        <f t="shared" si="73"/>
        <v>-</v>
      </c>
      <c r="C329" s="71" t="str">
        <f t="shared" si="74"/>
        <v>-</v>
      </c>
      <c r="D329" s="181">
        <f t="shared" si="75"/>
        <v>0</v>
      </c>
      <c r="E329" s="181">
        <f>SUMIF(行政合同!$L$6:$L$300,L329,行政合同!$E$6:$E$300)</f>
        <v>0</v>
      </c>
      <c r="F329" s="181">
        <f>SUMIF(行政合同!$L$6:$L$300,L329,行政合同!$F$6:$F$300)</f>
        <v>0</v>
      </c>
      <c r="G329" s="181">
        <f>SUMIF(行政合同!$L$6:$L$300,L329,行政合同!$G$6:$G$300)</f>
        <v>0</v>
      </c>
      <c r="H329" s="181">
        <f>SUMIF(行政合同!$L$6:$L$300,L329,行政合同!$H$6:$H$300)</f>
        <v>0</v>
      </c>
      <c r="I329" s="181">
        <f t="shared" si="76"/>
        <v>0</v>
      </c>
      <c r="J329" s="86" t="s">
        <v>98</v>
      </c>
      <c r="K329" s="87"/>
      <c r="L329" s="88">
        <v>324</v>
      </c>
      <c r="M329" s="89" t="str">
        <f>VLOOKUP(L329,行政合同!$L$6:$CC$300,2,0)</f>
        <v>-</v>
      </c>
      <c r="N329" s="90" t="str">
        <f>VLOOKUP(L329,行政合同!$L$6:$CC$300,3,0)</f>
        <v>行政合同</v>
      </c>
      <c r="O329" s="265" t="str">
        <f>VLOOKUP(L329,行政合同!$L$6:$CC$300,4,0)</f>
        <v>-</v>
      </c>
      <c r="P329" s="266">
        <f>VLOOKUP(L329,行政合同!$L$6:$CC$300,5,0)</f>
        <v>43040</v>
      </c>
      <c r="Q329" s="275">
        <f>VLOOKUP(L329,行政合同!$L$6:$CC$300,6,0)</f>
        <v>45900</v>
      </c>
      <c r="R329" s="89" t="str">
        <f>VLOOKUP(L329,行政合同!$L$6:$CC$300,7,0)</f>
        <v>劳保鞋、安全带</v>
      </c>
      <c r="S329" s="89" t="str">
        <f>VLOOKUP(L329,行政合同!$L$6:$CC$300,8,0)</f>
        <v>福州帆顺特需劳保用品有限公司</v>
      </c>
      <c r="T329" s="107">
        <f>VLOOKUP(L329,行政合同!$L$6:$CC$300,9,0)</f>
        <v>0</v>
      </c>
      <c r="U329" s="103" t="str">
        <f>VLOOKUP(L329,行政合同!$L$6:$CC$300,10,0)</f>
        <v>6个月承兑汇票/接受反向贴息</v>
      </c>
      <c r="V329" s="276" t="str">
        <f>VLOOKUP(L329,行政合同!$L$6:$CC$300,11,0)</f>
        <v>甲方收到货款验收合格以及全额的发票后15个工作日支付100%的货款</v>
      </c>
      <c r="W329" s="102">
        <f>VLOOKUP(L329,行政合同!$L$6:$CC$300,12,0)</f>
        <v>45900</v>
      </c>
      <c r="X329" s="102">
        <f>VLOOKUP(L329,行政合同!$L$6:$CC$300,13,0)</f>
        <v>0</v>
      </c>
      <c r="Y329" s="102">
        <f>VLOOKUP(L329,行政合同!$L$6:$CC$300,14,0)</f>
        <v>0</v>
      </c>
      <c r="Z329" s="102">
        <f>VLOOKUP(L329,行政合同!$L$6:$CC$300,15,0)</f>
        <v>0</v>
      </c>
      <c r="AA329" s="102">
        <f>VLOOKUP(L329,行政合同!$L$6:$CC$300,16,0)</f>
        <v>0</v>
      </c>
      <c r="AB329" s="102">
        <f>VLOOKUP(L329,行政合同!$L$6:$CC$300,17,0)</f>
        <v>0</v>
      </c>
      <c r="AC329" s="102">
        <f>VLOOKUP(L329,行政合同!$L$6:$CC$300,18,0)</f>
        <v>0</v>
      </c>
      <c r="AD329" s="102">
        <f>VLOOKUP(L329,行政合同!$L$6:$CC$300,19,0)</f>
        <v>0</v>
      </c>
      <c r="AE329" s="102">
        <f>VLOOKUP(L329,行政合同!$L$6:$CC$300,20,0)</f>
        <v>0</v>
      </c>
      <c r="AF329" s="102">
        <f>VLOOKUP(L329,行政合同!$L$6:$CC$300,21,0)</f>
        <v>0</v>
      </c>
      <c r="AG329" s="102">
        <f>VLOOKUP(L329,行政合同!$L$6:$CC$300,22,0)</f>
        <v>0</v>
      </c>
      <c r="AH329" s="102">
        <f>VLOOKUP(L329,行政合同!$L$6:$CC$300,23,0)</f>
        <v>0</v>
      </c>
      <c r="AI329" s="102">
        <f>VLOOKUP(L329,行政合同!$L$6:$CC$300,24,0)</f>
        <v>0</v>
      </c>
      <c r="AJ329" s="102">
        <f>VLOOKUP(L329,行政合同!$L$6:$CC$300,25,0)</f>
        <v>0</v>
      </c>
      <c r="AK329" s="102">
        <f>VLOOKUP(L329,行政合同!$L$6:$CC$300,26,0)</f>
        <v>0</v>
      </c>
      <c r="AL329" s="102">
        <f>VLOOKUP(L329,行政合同!$L$6:$CC$300,27,0)</f>
        <v>0</v>
      </c>
      <c r="AM329" s="102">
        <f>VLOOKUP(L329,行政合同!$L$6:$CC$300,28,0)</f>
        <v>0</v>
      </c>
      <c r="AN329" s="102">
        <f>VLOOKUP(L329,行政合同!$L$6:$CC$300,29,0)</f>
        <v>0</v>
      </c>
      <c r="AO329" s="102">
        <f>VLOOKUP(L329,行政合同!$L$6:$CC$300,30,0)</f>
        <v>0</v>
      </c>
      <c r="AP329" s="102">
        <f>VLOOKUP(L329,行政合同!$L$6:$CC$300,31,0)</f>
        <v>0</v>
      </c>
      <c r="AQ329" s="102">
        <f>VLOOKUP(L329,行政合同!$L$6:$CC$300,32,0)</f>
        <v>0</v>
      </c>
      <c r="AR329" s="102">
        <f>VLOOKUP(L329,行政合同!$L$6:$CC$300,33,0)</f>
        <v>0</v>
      </c>
      <c r="AS329" s="102">
        <f>VLOOKUP(L329,行政合同!$L$6:$CC$300,34,0)</f>
        <v>0</v>
      </c>
      <c r="AT329" s="102">
        <f>VLOOKUP(L329,行政合同!$L$6:$CC$300,35,0)</f>
        <v>0</v>
      </c>
      <c r="AU329" s="102">
        <f>VLOOKUP(L329,行政合同!$L$6:$CC$300,36,0)</f>
        <v>0</v>
      </c>
      <c r="AV329" s="102">
        <f>VLOOKUP(L329,行政合同!$L$6:$CC$300,37,0)</f>
        <v>0</v>
      </c>
      <c r="AW329" s="102">
        <f>VLOOKUP(L329,行政合同!$L$6:$CC$300,38,0)</f>
        <v>0</v>
      </c>
      <c r="AX329" s="102">
        <f>VLOOKUP(L329,行政合同!$L$6:$CC$300,39,0)</f>
        <v>0</v>
      </c>
      <c r="AY329" s="102">
        <f>VLOOKUP(L329,行政合同!$L$6:$CC$300,40,0)</f>
        <v>0</v>
      </c>
      <c r="AZ329" s="102">
        <f>VLOOKUP(L329,行政合同!$L$6:$CC$300,41,0)</f>
        <v>0</v>
      </c>
      <c r="BA329" s="102">
        <f>VLOOKUP(L329,行政合同!$L$6:$CC$300,42,0)</f>
        <v>0</v>
      </c>
      <c r="BB329" s="102">
        <f>VLOOKUP(L329,行政合同!$L$6:$CC$300,43,0)</f>
        <v>0</v>
      </c>
      <c r="BC329" s="102">
        <f>VLOOKUP(L329,行政合同!$L$6:$CC$300,44,0)</f>
        <v>0</v>
      </c>
      <c r="BD329" s="102">
        <f>VLOOKUP(L329,行政合同!$L$6:$CC$300,45,0)</f>
        <v>0</v>
      </c>
      <c r="BE329" s="102">
        <f>VLOOKUP(L329,行政合同!$L$6:$CC$300,46,0)</f>
        <v>0</v>
      </c>
      <c r="BF329" s="102">
        <f>VLOOKUP(L329,行政合同!$L$6:$CC$300,47,0)</f>
        <v>0</v>
      </c>
      <c r="BG329" s="102">
        <f>VLOOKUP(L329,行政合同!$L$6:$CC$300,48,0)</f>
        <v>0</v>
      </c>
      <c r="BH329" s="102">
        <f>VLOOKUP(L329,行政合同!$L$6:$CC$300,49,0)</f>
        <v>0</v>
      </c>
      <c r="BI329" s="102">
        <f>VLOOKUP(L329,行政合同!$L$6:$CC$300,50,0)</f>
        <v>0</v>
      </c>
      <c r="BJ329" s="102">
        <f>VLOOKUP(L329,行政合同!$L$6:$CC$300,51,0)</f>
        <v>0</v>
      </c>
      <c r="BK329" s="102">
        <f>VLOOKUP(L329,行政合同!$L$6:$CC$300,52,0)</f>
        <v>0</v>
      </c>
      <c r="BL329" s="102">
        <f>VLOOKUP(L329,行政合同!$L$6:$CC$300,53,0)</f>
        <v>0</v>
      </c>
      <c r="BM329" s="102">
        <f>VLOOKUP(L329,行政合同!$L$6:$CC$300,54,0)</f>
        <v>0</v>
      </c>
      <c r="BN329" s="102">
        <f>VLOOKUP(L329,行政合同!$L$6:$CC$300,55,0)</f>
        <v>0</v>
      </c>
      <c r="BO329" s="102">
        <f>VLOOKUP(L329,行政合同!$L$6:$CC$300,56,0)</f>
        <v>0</v>
      </c>
      <c r="BP329" s="102">
        <f>VLOOKUP(L329,行政合同!$L$6:$CC$300,57,0)</f>
        <v>0</v>
      </c>
      <c r="BQ329" s="102">
        <f>VLOOKUP(L329,行政合同!$L$6:$CC$300,58,0)</f>
        <v>0</v>
      </c>
      <c r="BR329" s="102">
        <f>VLOOKUP(L329,行政合同!$L$6:$CC$300,59,0)</f>
        <v>0</v>
      </c>
      <c r="BS329" s="102">
        <f>VLOOKUP(L329,行政合同!$L$6:$CC$300,60,0)</f>
        <v>0</v>
      </c>
      <c r="BT329" s="102">
        <f>VLOOKUP(L329,行政合同!$L$6:$CC$300,61,0)</f>
        <v>0</v>
      </c>
      <c r="BU329" s="102">
        <f>VLOOKUP(L329,行政合同!$L$6:$CC$300,62,0)</f>
        <v>0</v>
      </c>
      <c r="BV329" s="102">
        <f>VLOOKUP(L329,行政合同!$L$6:$CC$300,63,0)</f>
        <v>0</v>
      </c>
      <c r="BW329" s="102">
        <f>VLOOKUP(L329,行政合同!$L$6:$CC$300,64,0)</f>
        <v>0</v>
      </c>
      <c r="BX329" s="102">
        <f>VLOOKUP(L329,行政合同!$L$6:$CC$300,65,0)</f>
        <v>0</v>
      </c>
      <c r="BY329" s="102">
        <f>VLOOKUP(L329,行政合同!$L$6:$CC$300,66,0)</f>
        <v>0</v>
      </c>
      <c r="BZ329" s="102">
        <f>VLOOKUP(L329,行政合同!$L$6:$CC$300,67,0)</f>
        <v>0</v>
      </c>
      <c r="CA329" s="102">
        <f>VLOOKUP(L329,行政合同!$L$6:$CC$300,68,0)</f>
        <v>0</v>
      </c>
      <c r="CB329" s="102">
        <f>VLOOKUP(L329,行政合同!$L$6:$CC$300,69,0)</f>
        <v>0</v>
      </c>
      <c r="CC329" s="102">
        <f>VLOOKUP(L329,行政合同!$L$6:$CC$300,70,0)</f>
        <v>0</v>
      </c>
      <c r="CD329" s="123">
        <f t="shared" si="77"/>
        <v>45900</v>
      </c>
      <c r="CE329" s="102">
        <f t="shared" si="78"/>
        <v>0</v>
      </c>
      <c r="CF329" s="102">
        <f t="shared" si="79"/>
        <v>0</v>
      </c>
      <c r="CG329" s="102">
        <f t="shared" si="80"/>
        <v>0</v>
      </c>
      <c r="CH329" s="124">
        <f t="shared" si="81"/>
        <v>45900</v>
      </c>
      <c r="CI329" s="125">
        <f t="shared" si="82"/>
        <v>0</v>
      </c>
      <c r="CJ329" s="126" t="str">
        <f t="shared" si="83"/>
        <v>数据正确</v>
      </c>
    </row>
    <row r="330" s="60" customFormat="1" customHeight="1" spans="2:88">
      <c r="B330" s="70" t="str">
        <f t="shared" si="73"/>
        <v>-</v>
      </c>
      <c r="C330" s="71" t="str">
        <f t="shared" si="74"/>
        <v>-</v>
      </c>
      <c r="D330" s="181">
        <f t="shared" si="75"/>
        <v>0</v>
      </c>
      <c r="E330" s="181">
        <f>SUMIF(设备合同!$L$6:$L$302,L330,设备合同!$E$6:$E$302)</f>
        <v>0</v>
      </c>
      <c r="F330" s="181">
        <f>SUMIF(设备合同!$L$6:$L$302,L330,设备合同!$F$6:$F$302)</f>
        <v>0</v>
      </c>
      <c r="G330" s="181">
        <f>SUMIF(设备合同!$L$6:$L$302,L330,设备合同!$G$6:$G$302)</f>
        <v>0</v>
      </c>
      <c r="H330" s="181">
        <f>SUMIF(设备合同!$L$6:$L$302,L330,设备合同!$H$6:$H$302)</f>
        <v>0</v>
      </c>
      <c r="I330" s="181">
        <f t="shared" si="76"/>
        <v>0</v>
      </c>
      <c r="J330" s="86" t="s">
        <v>98</v>
      </c>
      <c r="K330" s="87"/>
      <c r="L330" s="88">
        <v>325</v>
      </c>
      <c r="M330" s="89" t="str">
        <f>VLOOKUP(L330,设备合同!$L$6:$CC$302,2,0)</f>
        <v>YRKJBT-170115</v>
      </c>
      <c r="N330" s="90" t="str">
        <f>VLOOKUP(L330,设备合同!$L$6:$CC$302,3,0)</f>
        <v>设备合同</v>
      </c>
      <c r="O330" s="265">
        <f>VLOOKUP(L330,设备合同!$L$6:$CC$302,4,0)</f>
        <v>0</v>
      </c>
      <c r="P330" s="266">
        <f>VLOOKUP(L330,设备合同!$L$6:$CC$302,5,0)</f>
        <v>43023</v>
      </c>
      <c r="Q330" s="275">
        <f>VLOOKUP(L330,设备合同!$L$6:$CC$302,6,0)</f>
        <v>2080000</v>
      </c>
      <c r="R330" s="89" t="str">
        <f>VLOOKUP(L330,设备合同!$L$6:$CC$302,7,0)</f>
        <v>进口直通阀</v>
      </c>
      <c r="S330" s="89" t="str">
        <f>VLOOKUP(L330,设备合同!$L$6:$CC$302,8,0)</f>
        <v>萨姆森控制设备（中国）有限公司</v>
      </c>
      <c r="T330" s="107">
        <f>VLOOKUP(L330,设备合同!$L$6:$CC$302,9,0)</f>
        <v>0</v>
      </c>
      <c r="U330" s="103" t="str">
        <f>VLOOKUP(L330,设备合同!$L$6:$CC$302,10,0)</f>
        <v>电汇</v>
      </c>
      <c r="V330" s="276" t="str">
        <f>VLOOKUP(L330,设备合同!$L$6:$CC$302,11,0)</f>
        <v>甲方收到等额收据及预付款保函，15个工作日支付20%预付款  10%履约保函  10%质量保函</v>
      </c>
      <c r="W330" s="102">
        <f>VLOOKUP(L330,设备合同!$L$6:$CC$302,12,0)</f>
        <v>416000</v>
      </c>
      <c r="X330" s="102">
        <f>VLOOKUP(L330,设备合同!$L$6:$CC$302,13,0)</f>
        <v>0</v>
      </c>
      <c r="Y330" s="102">
        <f>VLOOKUP(L330,设备合同!$L$6:$CC$302,14,0)</f>
        <v>0</v>
      </c>
      <c r="Z330" s="102" t="str">
        <f>VLOOKUP(L330,设备合同!$L$6:$CC$302,15,0)</f>
        <v>甲方到乙方现场确认无误后，收到17%等额专票，15个工作日内支付40%发货款</v>
      </c>
      <c r="AA330" s="102">
        <f>VLOOKUP(L330,设备合同!$L$6:$CC$302,16,0)</f>
        <v>832000</v>
      </c>
      <c r="AB330" s="102">
        <f>VLOOKUP(L330,设备合同!$L$6:$CC$302,17,0)</f>
        <v>0</v>
      </c>
      <c r="AC330" s="102">
        <f>VLOOKUP(L330,设备合同!$L$6:$CC$302,18,0)</f>
        <v>0</v>
      </c>
      <c r="AD330" s="102" t="str">
        <f>VLOOKUP(L330,设备合同!$L$6:$CC$302,19,0)</f>
        <v>甲方核定的调试合格报告及足额的发票后付40%的验收款</v>
      </c>
      <c r="AE330" s="102">
        <f>VLOOKUP(L330,设备合同!$L$6:$CC$302,20,0)</f>
        <v>832000</v>
      </c>
      <c r="AF330" s="102">
        <f>VLOOKUP(L330,设备合同!$L$6:$CC$302,21,0)</f>
        <v>0</v>
      </c>
      <c r="AG330" s="102">
        <f>VLOOKUP(L330,设备合同!$L$6:$CC$302,22,0)</f>
        <v>0</v>
      </c>
      <c r="AH330" s="102">
        <f>VLOOKUP(L330,设备合同!$L$6:$CC$302,23,0)</f>
        <v>0</v>
      </c>
      <c r="AI330" s="102">
        <f>VLOOKUP(L330,设备合同!$L$6:$CC$302,24,0)</f>
        <v>0</v>
      </c>
      <c r="AJ330" s="102">
        <f>VLOOKUP(L330,设备合同!$L$6:$CC$302,25,0)</f>
        <v>0</v>
      </c>
      <c r="AK330" s="102">
        <f>VLOOKUP(L330,设备合同!$L$6:$CC$302,26,0)</f>
        <v>0</v>
      </c>
      <c r="AL330" s="102">
        <f>VLOOKUP(L330,设备合同!$L$6:$CC$302,27,0)</f>
        <v>0</v>
      </c>
      <c r="AM330" s="102">
        <f>VLOOKUP(L330,设备合同!$L$6:$CC$302,28,0)</f>
        <v>0</v>
      </c>
      <c r="AN330" s="102">
        <f>VLOOKUP(L330,设备合同!$L$6:$CC$302,29,0)</f>
        <v>0</v>
      </c>
      <c r="AO330" s="102">
        <f>VLOOKUP(L330,设备合同!$L$6:$CC$302,30,0)</f>
        <v>0</v>
      </c>
      <c r="AP330" s="102">
        <f>VLOOKUP(L330,设备合同!$L$6:$CC$302,31,0)</f>
        <v>0</v>
      </c>
      <c r="AQ330" s="102">
        <f>VLOOKUP(L330,设备合同!$L$6:$CC$302,32,0)</f>
        <v>0</v>
      </c>
      <c r="AR330" s="102">
        <f>VLOOKUP(L330,设备合同!$L$6:$CC$302,33,0)</f>
        <v>0</v>
      </c>
      <c r="AS330" s="102">
        <f>VLOOKUP(L330,设备合同!$L$6:$CC$302,34,0)</f>
        <v>0</v>
      </c>
      <c r="AT330" s="102">
        <f>VLOOKUP(L330,设备合同!$L$6:$CC$302,35,0)</f>
        <v>0</v>
      </c>
      <c r="AU330" s="102">
        <f>VLOOKUP(L330,设备合同!$L$6:$CC$302,36,0)</f>
        <v>0</v>
      </c>
      <c r="AV330" s="102">
        <f>VLOOKUP(L330,设备合同!$L$6:$CC$302,37,0)</f>
        <v>0</v>
      </c>
      <c r="AW330" s="102">
        <f>VLOOKUP(L330,设备合同!$L$6:$CC$302,38,0)</f>
        <v>0</v>
      </c>
      <c r="AX330" s="102">
        <f>VLOOKUP(L330,设备合同!$L$6:$CC$302,39,0)</f>
        <v>0</v>
      </c>
      <c r="AY330" s="102">
        <f>VLOOKUP(L330,设备合同!$L$6:$CC$302,40,0)</f>
        <v>0</v>
      </c>
      <c r="AZ330" s="102">
        <f>VLOOKUP(L330,设备合同!$L$6:$CC$302,41,0)</f>
        <v>0</v>
      </c>
      <c r="BA330" s="102">
        <f>VLOOKUP(L330,设备合同!$L$6:$CC$302,42,0)</f>
        <v>0</v>
      </c>
      <c r="BB330" s="102">
        <f>VLOOKUP(L330,设备合同!$L$6:$CC$302,43,0)</f>
        <v>0</v>
      </c>
      <c r="BC330" s="102">
        <f>VLOOKUP(L330,设备合同!$L$6:$CC$302,44,0)</f>
        <v>0</v>
      </c>
      <c r="BD330" s="102">
        <f>VLOOKUP(L330,设备合同!$L$6:$CC$302,45,0)</f>
        <v>0</v>
      </c>
      <c r="BE330" s="102">
        <f>VLOOKUP(L330,设备合同!$L$6:$CC$302,46,0)</f>
        <v>0</v>
      </c>
      <c r="BF330" s="102">
        <f>VLOOKUP(L330,设备合同!$L$6:$CC$302,47,0)</f>
        <v>0</v>
      </c>
      <c r="BG330" s="102">
        <f>VLOOKUP(L330,设备合同!$L$6:$CC$302,48,0)</f>
        <v>0</v>
      </c>
      <c r="BH330" s="102">
        <f>VLOOKUP(L330,设备合同!$L$6:$CC$302,49,0)</f>
        <v>0</v>
      </c>
      <c r="BI330" s="102">
        <f>VLOOKUP(L330,设备合同!$L$6:$CC$302,50,0)</f>
        <v>0</v>
      </c>
      <c r="BJ330" s="102">
        <f>VLOOKUP(L330,设备合同!$L$6:$CC$302,51,0)</f>
        <v>0</v>
      </c>
      <c r="BK330" s="102">
        <f>VLOOKUP(L330,设备合同!$L$6:$CC$302,52,0)</f>
        <v>0</v>
      </c>
      <c r="BL330" s="102">
        <f>VLOOKUP(L330,设备合同!$L$6:$CC$302,53,0)</f>
        <v>0</v>
      </c>
      <c r="BM330" s="102">
        <f>VLOOKUP(L330,设备合同!$L$6:$CC$302,54,0)</f>
        <v>0</v>
      </c>
      <c r="BN330" s="102">
        <f>VLOOKUP(L330,设备合同!$L$6:$CC$302,55,0)</f>
        <v>0</v>
      </c>
      <c r="BO330" s="102">
        <f>VLOOKUP(L330,设备合同!$L$6:$CC$302,56,0)</f>
        <v>0</v>
      </c>
      <c r="BP330" s="102">
        <f>VLOOKUP(L330,设备合同!$L$6:$CC$302,57,0)</f>
        <v>0</v>
      </c>
      <c r="BQ330" s="102">
        <f>VLOOKUP(L330,设备合同!$L$6:$CC$302,58,0)</f>
        <v>0</v>
      </c>
      <c r="BR330" s="102">
        <f>VLOOKUP(L330,设备合同!$L$6:$CC$302,59,0)</f>
        <v>0</v>
      </c>
      <c r="BS330" s="102">
        <f>VLOOKUP(L330,设备合同!$L$6:$CC$302,60,0)</f>
        <v>0</v>
      </c>
      <c r="BT330" s="102">
        <f>VLOOKUP(L330,设备合同!$L$6:$CC$302,61,0)</f>
        <v>0</v>
      </c>
      <c r="BU330" s="102">
        <f>VLOOKUP(L330,设备合同!$L$6:$CC$302,62,0)</f>
        <v>0</v>
      </c>
      <c r="BV330" s="102">
        <f>VLOOKUP(L330,设备合同!$L$6:$CC$302,63,0)</f>
        <v>0</v>
      </c>
      <c r="BW330" s="102">
        <f>VLOOKUP(L330,设备合同!$L$6:$CC$302,64,0)</f>
        <v>0</v>
      </c>
      <c r="BX330" s="102">
        <f>VLOOKUP(L330,设备合同!$L$6:$CC$302,65,0)</f>
        <v>0</v>
      </c>
      <c r="BY330" s="102">
        <f>VLOOKUP(L330,设备合同!$L$6:$CC$302,66,0)</f>
        <v>0</v>
      </c>
      <c r="BZ330" s="102">
        <f>VLOOKUP(L330,设备合同!$L$6:$CC$302,67,0)</f>
        <v>0</v>
      </c>
      <c r="CA330" s="102">
        <f>VLOOKUP(L330,设备合同!$L$6:$CC$302,68,0)</f>
        <v>0</v>
      </c>
      <c r="CB330" s="102">
        <f>VLOOKUP(L330,设备合同!$L$6:$CC$302,69,0)</f>
        <v>0</v>
      </c>
      <c r="CC330" s="102">
        <f>VLOOKUP(L330,设备合同!$L$6:$CC$302,70,0)</f>
        <v>0</v>
      </c>
      <c r="CD330" s="123">
        <f t="shared" si="77"/>
        <v>2080000</v>
      </c>
      <c r="CE330" s="102">
        <f t="shared" si="78"/>
        <v>0</v>
      </c>
      <c r="CF330" s="102">
        <f t="shared" si="79"/>
        <v>0</v>
      </c>
      <c r="CG330" s="102">
        <f t="shared" si="80"/>
        <v>0</v>
      </c>
      <c r="CH330" s="124">
        <f t="shared" si="81"/>
        <v>2080000</v>
      </c>
      <c r="CI330" s="125">
        <f t="shared" si="82"/>
        <v>0</v>
      </c>
      <c r="CJ330" s="126" t="str">
        <f t="shared" si="83"/>
        <v>数据正确</v>
      </c>
    </row>
    <row r="331" s="60" customFormat="1" customHeight="1" spans="2:88">
      <c r="B331" s="70" t="str">
        <f t="shared" si="73"/>
        <v>-</v>
      </c>
      <c r="C331" s="71" t="str">
        <f t="shared" si="74"/>
        <v>-</v>
      </c>
      <c r="D331" s="181">
        <f t="shared" si="75"/>
        <v>0</v>
      </c>
      <c r="E331" s="181">
        <f>SUMIF(设备合同!$L$6:$L$302,L331,设备合同!$E$6:$E$302)</f>
        <v>0</v>
      </c>
      <c r="F331" s="181">
        <f>SUMIF(设备合同!$L$6:$L$302,L331,设备合同!$F$6:$F$302)</f>
        <v>0</v>
      </c>
      <c r="G331" s="181">
        <f>SUMIF(设备合同!$L$6:$L$302,L331,设备合同!$G$6:$G$302)</f>
        <v>0</v>
      </c>
      <c r="H331" s="181">
        <f>SUMIF(设备合同!$L$6:$L$302,L331,设备合同!$H$6:$H$302)</f>
        <v>0</v>
      </c>
      <c r="I331" s="181">
        <f t="shared" si="76"/>
        <v>0</v>
      </c>
      <c r="J331" s="86" t="s">
        <v>98</v>
      </c>
      <c r="K331" s="87"/>
      <c r="L331" s="88">
        <v>326</v>
      </c>
      <c r="M331" s="89" t="str">
        <f>VLOOKUP(L331,设备合同!$L$6:$CC$302,2,0)</f>
        <v>YRKJBT-170122</v>
      </c>
      <c r="N331" s="90" t="str">
        <f>VLOOKUP(L331,设备合同!$L$6:$CC$302,3,0)</f>
        <v>设备合同</v>
      </c>
      <c r="O331" s="265">
        <f>VLOOKUP(L331,设备合同!$L$6:$CC$302,4,0)</f>
        <v>0</v>
      </c>
      <c r="P331" s="266">
        <f>VLOOKUP(L331,设备合同!$L$6:$CC$302,5,0)</f>
        <v>43033</v>
      </c>
      <c r="Q331" s="275">
        <f>VLOOKUP(L331,设备合同!$L$6:$CC$302,6,0)</f>
        <v>135000</v>
      </c>
      <c r="R331" s="89" t="str">
        <f>VLOOKUP(L331,设备合同!$L$6:$CC$302,7,0)</f>
        <v>输送泵、退料泵、注油泵</v>
      </c>
      <c r="S331" s="89" t="str">
        <f>VLOOKUP(L331,设备合同!$L$6:$CC$302,8,0)</f>
        <v>黄山工业泵制造有限公司</v>
      </c>
      <c r="T331" s="107">
        <f>VLOOKUP(L331,设备合同!$L$6:$CC$302,9,0)</f>
        <v>0</v>
      </c>
      <c r="U331" s="103" t="str">
        <f>VLOOKUP(L331,设备合同!$L$6:$CC$302,10,0)</f>
        <v>6个月承兑汇票/电汇不下浮</v>
      </c>
      <c r="V331" s="276" t="str">
        <f>VLOOKUP(L331,设备合同!$L$6:$CC$302,11,0)</f>
        <v>甲方到乙方现场确认无误后，收到17%等额、专票，15个工作日内支付60%发货款</v>
      </c>
      <c r="W331" s="102">
        <f>VLOOKUP(L331,设备合同!$L$6:$CC$302,12,0)</f>
        <v>81000</v>
      </c>
      <c r="X331" s="102">
        <f>VLOOKUP(L331,设备合同!$L$6:$CC$302,13,0)</f>
        <v>0</v>
      </c>
      <c r="Y331" s="102">
        <f>VLOOKUP(L331,设备合同!$L$6:$CC$302,14,0)</f>
        <v>0</v>
      </c>
      <c r="Z331" s="102" t="str">
        <f>VLOOKUP(L331,设备合同!$L$6:$CC$302,15,0)</f>
        <v>甲方核定的调试合格报告及足额的发票后付30%的验收款</v>
      </c>
      <c r="AA331" s="102">
        <f>VLOOKUP(L331,设备合同!$L$6:$CC$302,16,0)</f>
        <v>40500</v>
      </c>
      <c r="AB331" s="102">
        <f>VLOOKUP(L331,设备合同!$L$6:$CC$302,17,0)</f>
        <v>0</v>
      </c>
      <c r="AC331" s="102">
        <f>VLOOKUP(L331,设备合同!$L$6:$CC$302,18,0)</f>
        <v>0</v>
      </c>
      <c r="AD331" s="102" t="str">
        <f>VLOOKUP(L331,设备合同!$L$6:$CC$302,19,0)</f>
        <v>10%质保金，验收合格12个月或到货现场18个月</v>
      </c>
      <c r="AE331" s="102">
        <f>VLOOKUP(L331,设备合同!$L$6:$CC$302,20,0)</f>
        <v>13500</v>
      </c>
      <c r="AF331" s="102">
        <f>VLOOKUP(L331,设备合同!$L$6:$CC$302,21,0)</f>
        <v>0</v>
      </c>
      <c r="AG331" s="102">
        <f>VLOOKUP(L331,设备合同!$L$6:$CC$302,22,0)</f>
        <v>0</v>
      </c>
      <c r="AH331" s="102">
        <f>VLOOKUP(L331,设备合同!$L$6:$CC$302,23,0)</f>
        <v>0</v>
      </c>
      <c r="AI331" s="102">
        <f>VLOOKUP(L331,设备合同!$L$6:$CC$302,24,0)</f>
        <v>0</v>
      </c>
      <c r="AJ331" s="102">
        <f>VLOOKUP(L331,设备合同!$L$6:$CC$302,25,0)</f>
        <v>0</v>
      </c>
      <c r="AK331" s="102">
        <f>VLOOKUP(L331,设备合同!$L$6:$CC$302,26,0)</f>
        <v>0</v>
      </c>
      <c r="AL331" s="102">
        <f>VLOOKUP(L331,设备合同!$L$6:$CC$302,27,0)</f>
        <v>0</v>
      </c>
      <c r="AM331" s="102">
        <f>VLOOKUP(L331,设备合同!$L$6:$CC$302,28,0)</f>
        <v>0</v>
      </c>
      <c r="AN331" s="102">
        <f>VLOOKUP(L331,设备合同!$L$6:$CC$302,29,0)</f>
        <v>0</v>
      </c>
      <c r="AO331" s="102">
        <f>VLOOKUP(L331,设备合同!$L$6:$CC$302,30,0)</f>
        <v>0</v>
      </c>
      <c r="AP331" s="102">
        <f>VLOOKUP(L331,设备合同!$L$6:$CC$302,31,0)</f>
        <v>0</v>
      </c>
      <c r="AQ331" s="102">
        <f>VLOOKUP(L331,设备合同!$L$6:$CC$302,32,0)</f>
        <v>0</v>
      </c>
      <c r="AR331" s="102">
        <f>VLOOKUP(L331,设备合同!$L$6:$CC$302,33,0)</f>
        <v>0</v>
      </c>
      <c r="AS331" s="102">
        <f>VLOOKUP(L331,设备合同!$L$6:$CC$302,34,0)</f>
        <v>0</v>
      </c>
      <c r="AT331" s="102">
        <f>VLOOKUP(L331,设备合同!$L$6:$CC$302,35,0)</f>
        <v>0</v>
      </c>
      <c r="AU331" s="102">
        <f>VLOOKUP(L331,设备合同!$L$6:$CC$302,36,0)</f>
        <v>0</v>
      </c>
      <c r="AV331" s="102">
        <f>VLOOKUP(L331,设备合同!$L$6:$CC$302,37,0)</f>
        <v>0</v>
      </c>
      <c r="AW331" s="102">
        <f>VLOOKUP(L331,设备合同!$L$6:$CC$302,38,0)</f>
        <v>0</v>
      </c>
      <c r="AX331" s="102">
        <f>VLOOKUP(L331,设备合同!$L$6:$CC$302,39,0)</f>
        <v>0</v>
      </c>
      <c r="AY331" s="102">
        <f>VLOOKUP(L331,设备合同!$L$6:$CC$302,40,0)</f>
        <v>0</v>
      </c>
      <c r="AZ331" s="102">
        <f>VLOOKUP(L331,设备合同!$L$6:$CC$302,41,0)</f>
        <v>0</v>
      </c>
      <c r="BA331" s="102">
        <f>VLOOKUP(L331,设备合同!$L$6:$CC$302,42,0)</f>
        <v>0</v>
      </c>
      <c r="BB331" s="102">
        <f>VLOOKUP(L331,设备合同!$L$6:$CC$302,43,0)</f>
        <v>0</v>
      </c>
      <c r="BC331" s="102">
        <f>VLOOKUP(L331,设备合同!$L$6:$CC$302,44,0)</f>
        <v>0</v>
      </c>
      <c r="BD331" s="102">
        <f>VLOOKUP(L331,设备合同!$L$6:$CC$302,45,0)</f>
        <v>0</v>
      </c>
      <c r="BE331" s="102">
        <f>VLOOKUP(L331,设备合同!$L$6:$CC$302,46,0)</f>
        <v>0</v>
      </c>
      <c r="BF331" s="102">
        <f>VLOOKUP(L331,设备合同!$L$6:$CC$302,47,0)</f>
        <v>0</v>
      </c>
      <c r="BG331" s="102">
        <f>VLOOKUP(L331,设备合同!$L$6:$CC$302,48,0)</f>
        <v>0</v>
      </c>
      <c r="BH331" s="102">
        <f>VLOOKUP(L331,设备合同!$L$6:$CC$302,49,0)</f>
        <v>0</v>
      </c>
      <c r="BI331" s="102">
        <f>VLOOKUP(L331,设备合同!$L$6:$CC$302,50,0)</f>
        <v>0</v>
      </c>
      <c r="BJ331" s="102">
        <f>VLOOKUP(L331,设备合同!$L$6:$CC$302,51,0)</f>
        <v>0</v>
      </c>
      <c r="BK331" s="102">
        <f>VLOOKUP(L331,设备合同!$L$6:$CC$302,52,0)</f>
        <v>0</v>
      </c>
      <c r="BL331" s="102">
        <f>VLOOKUP(L331,设备合同!$L$6:$CC$302,53,0)</f>
        <v>0</v>
      </c>
      <c r="BM331" s="102">
        <f>VLOOKUP(L331,设备合同!$L$6:$CC$302,54,0)</f>
        <v>0</v>
      </c>
      <c r="BN331" s="102">
        <f>VLOOKUP(L331,设备合同!$L$6:$CC$302,55,0)</f>
        <v>0</v>
      </c>
      <c r="BO331" s="102">
        <f>VLOOKUP(L331,设备合同!$L$6:$CC$302,56,0)</f>
        <v>0</v>
      </c>
      <c r="BP331" s="102">
        <f>VLOOKUP(L331,设备合同!$L$6:$CC$302,57,0)</f>
        <v>0</v>
      </c>
      <c r="BQ331" s="102">
        <f>VLOOKUP(L331,设备合同!$L$6:$CC$302,58,0)</f>
        <v>0</v>
      </c>
      <c r="BR331" s="102">
        <f>VLOOKUP(L331,设备合同!$L$6:$CC$302,59,0)</f>
        <v>0</v>
      </c>
      <c r="BS331" s="102">
        <f>VLOOKUP(L331,设备合同!$L$6:$CC$302,60,0)</f>
        <v>0</v>
      </c>
      <c r="BT331" s="102">
        <f>VLOOKUP(L331,设备合同!$L$6:$CC$302,61,0)</f>
        <v>0</v>
      </c>
      <c r="BU331" s="102">
        <f>VLOOKUP(L331,设备合同!$L$6:$CC$302,62,0)</f>
        <v>0</v>
      </c>
      <c r="BV331" s="102">
        <f>VLOOKUP(L331,设备合同!$L$6:$CC$302,63,0)</f>
        <v>0</v>
      </c>
      <c r="BW331" s="102">
        <f>VLOOKUP(L331,设备合同!$L$6:$CC$302,64,0)</f>
        <v>0</v>
      </c>
      <c r="BX331" s="102">
        <f>VLOOKUP(L331,设备合同!$L$6:$CC$302,65,0)</f>
        <v>0</v>
      </c>
      <c r="BY331" s="102">
        <f>VLOOKUP(L331,设备合同!$L$6:$CC$302,66,0)</f>
        <v>0</v>
      </c>
      <c r="BZ331" s="102">
        <f>VLOOKUP(L331,设备合同!$L$6:$CC$302,67,0)</f>
        <v>0</v>
      </c>
      <c r="CA331" s="102">
        <f>VLOOKUP(L331,设备合同!$L$6:$CC$302,68,0)</f>
        <v>0</v>
      </c>
      <c r="CB331" s="102">
        <f>VLOOKUP(L331,设备合同!$L$6:$CC$302,69,0)</f>
        <v>0</v>
      </c>
      <c r="CC331" s="102">
        <f>VLOOKUP(L331,设备合同!$L$6:$CC$302,70,0)</f>
        <v>0</v>
      </c>
      <c r="CD331" s="123">
        <f t="shared" ref="CD324:CD349" si="84">W331+AA331+AE331+AI331+AM331+AQ331+AU331+AY331+BC331+BG331+BK331+BO331+BS331+BW331+CA331</f>
        <v>135000</v>
      </c>
      <c r="CE331" s="102">
        <f t="shared" ref="CE324:CE349" si="85">X331+AB331+AF331+AJ331+AN331+AR331+AV331+AZ331+BD331+BH331+BL331+BP331+BT331+BX331+CB331</f>
        <v>0</v>
      </c>
      <c r="CF331" s="102">
        <f t="shared" ref="CF324:CF349" si="86">Y331+AC331+AG331+AK331+AO331+AS331+AW331+BA331+BE331+BI331+BM331+BQ331+BU331+BY331+CC331</f>
        <v>0</v>
      </c>
      <c r="CG331" s="102">
        <f t="shared" ref="CG324:CG349" si="87">E331+F331+G331+H331</f>
        <v>0</v>
      </c>
      <c r="CH331" s="124">
        <f t="shared" ref="CH324:CH349" si="88">Q331-CF331-CG331</f>
        <v>135000</v>
      </c>
      <c r="CI331" s="125">
        <f t="shared" ref="CI324:CI349" si="89">IF(ISERROR((CF331+CG331)/Q331),"-",(CF331+CG331)/Q331)</f>
        <v>0</v>
      </c>
      <c r="CJ331" s="126" t="str">
        <f t="shared" ref="CJ324:CJ349" si="90">IF(Q331-CD331=0,"数据正确","数据错误")</f>
        <v>数据正确</v>
      </c>
    </row>
    <row r="332" s="60" customFormat="1" customHeight="1" spans="2:88">
      <c r="B332" s="70" t="str">
        <f t="shared" si="73"/>
        <v>-</v>
      </c>
      <c r="C332" s="71" t="str">
        <f t="shared" si="74"/>
        <v>-</v>
      </c>
      <c r="D332" s="181">
        <f t="shared" si="75"/>
        <v>0</v>
      </c>
      <c r="E332" s="181">
        <f>SUMIF(设备合同!$L$6:$L$302,L332,设备合同!$E$6:$E$302)</f>
        <v>0</v>
      </c>
      <c r="F332" s="181">
        <f>SUMIF(设备合同!$L$6:$L$302,L332,设备合同!$F$6:$F$302)</f>
        <v>0</v>
      </c>
      <c r="G332" s="181">
        <f>SUMIF(设备合同!$L$6:$L$302,L332,设备合同!$G$6:$G$302)</f>
        <v>0</v>
      </c>
      <c r="H332" s="181">
        <f>SUMIF(设备合同!$L$6:$L$302,L332,设备合同!$H$6:$H$302)</f>
        <v>0</v>
      </c>
      <c r="I332" s="181">
        <f t="shared" si="76"/>
        <v>0</v>
      </c>
      <c r="J332" s="86" t="s">
        <v>98</v>
      </c>
      <c r="K332" s="87"/>
      <c r="L332" s="88">
        <v>327</v>
      </c>
      <c r="M332" s="89" t="str">
        <f>VLOOKUP(L332,设备合同!$L$6:$CC$302,2,0)</f>
        <v>YRKJBT-170125</v>
      </c>
      <c r="N332" s="90" t="str">
        <f>VLOOKUP(L332,设备合同!$L$6:$CC$302,3,0)</f>
        <v>设备合同</v>
      </c>
      <c r="O332" s="265">
        <f>VLOOKUP(L332,设备合同!$L$6:$CC$302,4,0)</f>
        <v>0</v>
      </c>
      <c r="P332" s="266">
        <f>VLOOKUP(L332,设备合同!$L$6:$CC$302,5,0)</f>
        <v>43030</v>
      </c>
      <c r="Q332" s="275">
        <f>VLOOKUP(L332,设备合同!$L$6:$CC$302,6,0)</f>
        <v>8100000</v>
      </c>
      <c r="R332" s="89" t="str">
        <f>VLOOKUP(L332,设备合同!$L$6:$CC$302,7,0)</f>
        <v>高低压开关柜一批</v>
      </c>
      <c r="S332" s="89" t="str">
        <f>VLOOKUP(L332,设备合同!$L$6:$CC$302,8,0)</f>
        <v>中山市明阳电气有限公司</v>
      </c>
      <c r="T332" s="107">
        <f>VLOOKUP(L332,设备合同!$L$6:$CC$302,9,0)</f>
        <v>0</v>
      </c>
      <c r="U332" s="103" t="str">
        <f>VLOOKUP(L332,设备合同!$L$6:$CC$302,10,0)</f>
        <v>电汇</v>
      </c>
      <c r="V332" s="276" t="str">
        <f>VLOOKUP(L332,设备合同!$L$6:$CC$302,11,0)</f>
        <v>甲方收到预付款保函以及本合同的10%履约保函，收据后15个工作日支付20%预付款</v>
      </c>
      <c r="W332" s="102">
        <f>VLOOKUP(L332,设备合同!$L$6:$CC$302,12,0)</f>
        <v>1620000</v>
      </c>
      <c r="X332" s="102">
        <f>VLOOKUP(L332,设备合同!$L$6:$CC$302,13,0)</f>
        <v>0</v>
      </c>
      <c r="Y332" s="102">
        <f>VLOOKUP(L332,设备合同!$L$6:$CC$302,14,0)</f>
        <v>0</v>
      </c>
      <c r="Z332" s="102" t="str">
        <f>VLOOKUP(L332,设备合同!$L$6:$CC$302,15,0)</f>
        <v>甲方到乙方现场确认无误后，收到17%等额、专票，15个工作日内支付40%发货款</v>
      </c>
      <c r="AA332" s="102">
        <f>VLOOKUP(L332,设备合同!$L$6:$CC$302,16,0)</f>
        <v>3240000</v>
      </c>
      <c r="AB332" s="102">
        <f>VLOOKUP(L332,设备合同!$L$6:$CC$302,17,0)</f>
        <v>0</v>
      </c>
      <c r="AC332" s="102">
        <f>VLOOKUP(L332,设备合同!$L$6:$CC$302,18,0)</f>
        <v>0</v>
      </c>
      <c r="AD332" s="102" t="str">
        <f>VLOOKUP(L332,设备合同!$L$6:$CC$302,19,0)</f>
        <v>甲方核定的调试合格报告及足额的发票后付30%的验收款</v>
      </c>
      <c r="AE332" s="102">
        <f>VLOOKUP(L332,设备合同!$L$6:$CC$302,20,0)</f>
        <v>2430000</v>
      </c>
      <c r="AF332" s="102">
        <f>VLOOKUP(L332,设备合同!$L$6:$CC$302,21,0)</f>
        <v>0</v>
      </c>
      <c r="AG332" s="102">
        <f>VLOOKUP(L332,设备合同!$L$6:$CC$302,22,0)</f>
        <v>0</v>
      </c>
      <c r="AH332" s="102" t="str">
        <f>VLOOKUP(L332,设备合同!$L$6:$CC$302,23,0)</f>
        <v>10%质保金，验收合格12个月或到货现场18个月</v>
      </c>
      <c r="AI332" s="102">
        <f>VLOOKUP(L332,设备合同!$L$6:$CC$302,24,0)</f>
        <v>810000</v>
      </c>
      <c r="AJ332" s="102">
        <f>VLOOKUP(L332,设备合同!$L$6:$CC$302,25,0)</f>
        <v>0</v>
      </c>
      <c r="AK332" s="102">
        <f>VLOOKUP(L332,设备合同!$L$6:$CC$302,26,0)</f>
        <v>0</v>
      </c>
      <c r="AL332" s="102">
        <f>VLOOKUP(L332,设备合同!$L$6:$CC$302,27,0)</f>
        <v>0</v>
      </c>
      <c r="AM332" s="102">
        <f>VLOOKUP(L332,设备合同!$L$6:$CC$302,28,0)</f>
        <v>0</v>
      </c>
      <c r="AN332" s="102">
        <f>VLOOKUP(L332,设备合同!$L$6:$CC$302,29,0)</f>
        <v>0</v>
      </c>
      <c r="AO332" s="102">
        <f>VLOOKUP(L332,设备合同!$L$6:$CC$302,30,0)</f>
        <v>0</v>
      </c>
      <c r="AP332" s="102">
        <f>VLOOKUP(L332,设备合同!$L$6:$CC$302,31,0)</f>
        <v>0</v>
      </c>
      <c r="AQ332" s="102">
        <f>VLOOKUP(L332,设备合同!$L$6:$CC$302,32,0)</f>
        <v>0</v>
      </c>
      <c r="AR332" s="102">
        <f>VLOOKUP(L332,设备合同!$L$6:$CC$302,33,0)</f>
        <v>0</v>
      </c>
      <c r="AS332" s="102">
        <f>VLOOKUP(L332,设备合同!$L$6:$CC$302,34,0)</f>
        <v>0</v>
      </c>
      <c r="AT332" s="102">
        <f>VLOOKUP(L332,设备合同!$L$6:$CC$302,35,0)</f>
        <v>0</v>
      </c>
      <c r="AU332" s="102">
        <f>VLOOKUP(L332,设备合同!$L$6:$CC$302,36,0)</f>
        <v>0</v>
      </c>
      <c r="AV332" s="102">
        <f>VLOOKUP(L332,设备合同!$L$6:$CC$302,37,0)</f>
        <v>0</v>
      </c>
      <c r="AW332" s="102">
        <f>VLOOKUP(L332,设备合同!$L$6:$CC$302,38,0)</f>
        <v>0</v>
      </c>
      <c r="AX332" s="102">
        <f>VLOOKUP(L332,设备合同!$L$6:$CC$302,39,0)</f>
        <v>0</v>
      </c>
      <c r="AY332" s="102">
        <f>VLOOKUP(L332,设备合同!$L$6:$CC$302,40,0)</f>
        <v>0</v>
      </c>
      <c r="AZ332" s="102">
        <f>VLOOKUP(L332,设备合同!$L$6:$CC$302,41,0)</f>
        <v>0</v>
      </c>
      <c r="BA332" s="102">
        <f>VLOOKUP(L332,设备合同!$L$6:$CC$302,42,0)</f>
        <v>0</v>
      </c>
      <c r="BB332" s="102">
        <f>VLOOKUP(L332,设备合同!$L$6:$CC$302,43,0)</f>
        <v>0</v>
      </c>
      <c r="BC332" s="102">
        <f>VLOOKUP(L332,设备合同!$L$6:$CC$302,44,0)</f>
        <v>0</v>
      </c>
      <c r="BD332" s="102">
        <f>VLOOKUP(L332,设备合同!$L$6:$CC$302,45,0)</f>
        <v>0</v>
      </c>
      <c r="BE332" s="102">
        <f>VLOOKUP(L332,设备合同!$L$6:$CC$302,46,0)</f>
        <v>0</v>
      </c>
      <c r="BF332" s="102">
        <f>VLOOKUP(L332,设备合同!$L$6:$CC$302,47,0)</f>
        <v>0</v>
      </c>
      <c r="BG332" s="102">
        <f>VLOOKUP(L332,设备合同!$L$6:$CC$302,48,0)</f>
        <v>0</v>
      </c>
      <c r="BH332" s="102">
        <f>VLOOKUP(L332,设备合同!$L$6:$CC$302,49,0)</f>
        <v>0</v>
      </c>
      <c r="BI332" s="102">
        <f>VLOOKUP(L332,设备合同!$L$6:$CC$302,50,0)</f>
        <v>0</v>
      </c>
      <c r="BJ332" s="102">
        <f>VLOOKUP(L332,设备合同!$L$6:$CC$302,51,0)</f>
        <v>0</v>
      </c>
      <c r="BK332" s="102">
        <f>VLOOKUP(L332,设备合同!$L$6:$CC$302,52,0)</f>
        <v>0</v>
      </c>
      <c r="BL332" s="102">
        <f>VLOOKUP(L332,设备合同!$L$6:$CC$302,53,0)</f>
        <v>0</v>
      </c>
      <c r="BM332" s="102">
        <f>VLOOKUP(L332,设备合同!$L$6:$CC$302,54,0)</f>
        <v>0</v>
      </c>
      <c r="BN332" s="102">
        <f>VLOOKUP(L332,设备合同!$L$6:$CC$302,55,0)</f>
        <v>0</v>
      </c>
      <c r="BO332" s="102">
        <f>VLOOKUP(L332,设备合同!$L$6:$CC$302,56,0)</f>
        <v>0</v>
      </c>
      <c r="BP332" s="102">
        <f>VLOOKUP(L332,设备合同!$L$6:$CC$302,57,0)</f>
        <v>0</v>
      </c>
      <c r="BQ332" s="102">
        <f>VLOOKUP(L332,设备合同!$L$6:$CC$302,58,0)</f>
        <v>0</v>
      </c>
      <c r="BR332" s="102">
        <f>VLOOKUP(L332,设备合同!$L$6:$CC$302,59,0)</f>
        <v>0</v>
      </c>
      <c r="BS332" s="102">
        <f>VLOOKUP(L332,设备合同!$L$6:$CC$302,60,0)</f>
        <v>0</v>
      </c>
      <c r="BT332" s="102">
        <f>VLOOKUP(L332,设备合同!$L$6:$CC$302,61,0)</f>
        <v>0</v>
      </c>
      <c r="BU332" s="102">
        <f>VLOOKUP(L332,设备合同!$L$6:$CC$302,62,0)</f>
        <v>0</v>
      </c>
      <c r="BV332" s="102">
        <f>VLOOKUP(L332,设备合同!$L$6:$CC$302,63,0)</f>
        <v>0</v>
      </c>
      <c r="BW332" s="102">
        <f>VLOOKUP(L332,设备合同!$L$6:$CC$302,64,0)</f>
        <v>0</v>
      </c>
      <c r="BX332" s="102">
        <f>VLOOKUP(L332,设备合同!$L$6:$CC$302,65,0)</f>
        <v>0</v>
      </c>
      <c r="BY332" s="102">
        <f>VLOOKUP(L332,设备合同!$L$6:$CC$302,66,0)</f>
        <v>0</v>
      </c>
      <c r="BZ332" s="102">
        <f>VLOOKUP(L332,设备合同!$L$6:$CC$302,67,0)</f>
        <v>0</v>
      </c>
      <c r="CA332" s="102">
        <f>VLOOKUP(L332,设备合同!$L$6:$CC$302,68,0)</f>
        <v>0</v>
      </c>
      <c r="CB332" s="102">
        <f>VLOOKUP(L332,设备合同!$L$6:$CC$302,69,0)</f>
        <v>0</v>
      </c>
      <c r="CC332" s="102">
        <f>VLOOKUP(L332,设备合同!$L$6:$CC$302,70,0)</f>
        <v>0</v>
      </c>
      <c r="CD332" s="123">
        <f t="shared" si="84"/>
        <v>8100000</v>
      </c>
      <c r="CE332" s="102">
        <f t="shared" si="85"/>
        <v>0</v>
      </c>
      <c r="CF332" s="102">
        <f t="shared" si="86"/>
        <v>0</v>
      </c>
      <c r="CG332" s="102">
        <f t="shared" si="87"/>
        <v>0</v>
      </c>
      <c r="CH332" s="124">
        <f t="shared" si="88"/>
        <v>8100000</v>
      </c>
      <c r="CI332" s="125">
        <f t="shared" si="89"/>
        <v>0</v>
      </c>
      <c r="CJ332" s="126" t="str">
        <f t="shared" si="90"/>
        <v>数据正确</v>
      </c>
    </row>
    <row r="333" s="60" customFormat="1" customHeight="1" spans="2:88">
      <c r="B333" s="70" t="str">
        <f t="shared" si="73"/>
        <v>-</v>
      </c>
      <c r="C333" s="71" t="str">
        <f t="shared" si="74"/>
        <v>-</v>
      </c>
      <c r="D333" s="181">
        <f t="shared" si="75"/>
        <v>0</v>
      </c>
      <c r="E333" s="181">
        <f>SUMIF(设备合同!$L$6:$L$302,L333,设备合同!$E$6:$E$302)</f>
        <v>0</v>
      </c>
      <c r="F333" s="181">
        <f>SUMIF(设备合同!$L$6:$L$302,L333,设备合同!$F$6:$F$302)</f>
        <v>0</v>
      </c>
      <c r="G333" s="181">
        <f>SUMIF(设备合同!$L$6:$L$302,L333,设备合同!$G$6:$G$302)</f>
        <v>0</v>
      </c>
      <c r="H333" s="181">
        <f>SUMIF(设备合同!$L$6:$L$302,L333,设备合同!$H$6:$H$302)</f>
        <v>0</v>
      </c>
      <c r="I333" s="181">
        <f t="shared" si="76"/>
        <v>0</v>
      </c>
      <c r="J333" s="86" t="s">
        <v>98</v>
      </c>
      <c r="K333" s="87"/>
      <c r="L333" s="88">
        <v>328</v>
      </c>
      <c r="M333" s="89" t="str">
        <f>VLOOKUP(L333,设备合同!$L$6:$CC$302,2,0)</f>
        <v>YRKJBT-170130</v>
      </c>
      <c r="N333" s="90" t="str">
        <f>VLOOKUP(L333,设备合同!$L$6:$CC$302,3,0)</f>
        <v>设备合同</v>
      </c>
      <c r="O333" s="265">
        <f>VLOOKUP(L333,设备合同!$L$6:$CC$302,4,0)</f>
        <v>0</v>
      </c>
      <c r="P333" s="266">
        <f>VLOOKUP(L333,设备合同!$L$6:$CC$302,5,0)</f>
        <v>43042</v>
      </c>
      <c r="Q333" s="275">
        <f>VLOOKUP(L333,设备合同!$L$6:$CC$302,6,0)</f>
        <v>103000</v>
      </c>
      <c r="R333" s="89" t="str">
        <f>VLOOKUP(L333,设备合同!$L$6:$CC$302,7,0)</f>
        <v>石墨换热器</v>
      </c>
      <c r="S333" s="89" t="str">
        <f>VLOOKUP(L333,设备合同!$L$6:$CC$302,8,0)</f>
        <v>南通鑫宝石墨设备有限公司</v>
      </c>
      <c r="T333" s="107">
        <f>VLOOKUP(L333,设备合同!$L$6:$CC$302,9,0)</f>
        <v>0</v>
      </c>
      <c r="U333" s="103" t="str">
        <f>VLOOKUP(L333,设备合同!$L$6:$CC$302,10,0)</f>
        <v>电汇</v>
      </c>
      <c r="V333" s="276" t="str">
        <f>VLOOKUP(L333,设备合同!$L$6:$CC$302,11,0)</f>
        <v>甲方到乙方清点无误验收合格后，收到专票的15个工作日支付60%发货款</v>
      </c>
      <c r="W333" s="102">
        <f>VLOOKUP(L333,设备合同!$L$6:$CC$302,12,0)</f>
        <v>61800</v>
      </c>
      <c r="X333" s="102">
        <f>VLOOKUP(L333,设备合同!$L$6:$CC$302,13,0)</f>
        <v>0</v>
      </c>
      <c r="Y333" s="102">
        <f>VLOOKUP(L333,设备合同!$L$6:$CC$302,14,0)</f>
        <v>0</v>
      </c>
      <c r="Z333" s="102" t="str">
        <f>VLOOKUP(L333,设备合同!$L$6:$CC$302,15,0)</f>
        <v>甲方核定的调试合格报告及足额的发票后付30%的验收款</v>
      </c>
      <c r="AA333" s="102">
        <f>VLOOKUP(L333,设备合同!$L$6:$CC$302,16,0)</f>
        <v>30900</v>
      </c>
      <c r="AB333" s="102">
        <f>VLOOKUP(L333,设备合同!$L$6:$CC$302,17,0)</f>
        <v>0</v>
      </c>
      <c r="AC333" s="102">
        <f>VLOOKUP(L333,设备合同!$L$6:$CC$302,18,0)</f>
        <v>0</v>
      </c>
      <c r="AD333" s="102" t="str">
        <f>VLOOKUP(L333,设备合同!$L$6:$CC$302,19,0)</f>
        <v>10%质量保证金，验收合格后12个月或到货香肠18个月支付</v>
      </c>
      <c r="AE333" s="102">
        <f>VLOOKUP(L333,设备合同!$L$6:$CC$302,20,0)</f>
        <v>10300</v>
      </c>
      <c r="AF333" s="102">
        <f>VLOOKUP(L333,设备合同!$L$6:$CC$302,21,0)</f>
        <v>0</v>
      </c>
      <c r="AG333" s="102">
        <f>VLOOKUP(L333,设备合同!$L$6:$CC$302,22,0)</f>
        <v>0</v>
      </c>
      <c r="AH333" s="102">
        <f>VLOOKUP(L333,设备合同!$L$6:$CC$302,23,0)</f>
        <v>0</v>
      </c>
      <c r="AI333" s="102">
        <f>VLOOKUP(L333,设备合同!$L$6:$CC$302,24,0)</f>
        <v>0</v>
      </c>
      <c r="AJ333" s="102">
        <f>VLOOKUP(L333,设备合同!$L$6:$CC$302,25,0)</f>
        <v>0</v>
      </c>
      <c r="AK333" s="102">
        <f>VLOOKUP(L333,设备合同!$L$6:$CC$302,26,0)</f>
        <v>0</v>
      </c>
      <c r="AL333" s="102">
        <f>VLOOKUP(L333,设备合同!$L$6:$CC$302,27,0)</f>
        <v>0</v>
      </c>
      <c r="AM333" s="102">
        <f>VLOOKUP(L333,设备合同!$L$6:$CC$302,28,0)</f>
        <v>0</v>
      </c>
      <c r="AN333" s="102">
        <f>VLOOKUP(L333,设备合同!$L$6:$CC$302,29,0)</f>
        <v>0</v>
      </c>
      <c r="AO333" s="102">
        <f>VLOOKUP(L333,设备合同!$L$6:$CC$302,30,0)</f>
        <v>0</v>
      </c>
      <c r="AP333" s="102">
        <f>VLOOKUP(L333,设备合同!$L$6:$CC$302,31,0)</f>
        <v>0</v>
      </c>
      <c r="AQ333" s="102">
        <f>VLOOKUP(L333,设备合同!$L$6:$CC$302,32,0)</f>
        <v>0</v>
      </c>
      <c r="AR333" s="102">
        <f>VLOOKUP(L333,设备合同!$L$6:$CC$302,33,0)</f>
        <v>0</v>
      </c>
      <c r="AS333" s="102">
        <f>VLOOKUP(L333,设备合同!$L$6:$CC$302,34,0)</f>
        <v>0</v>
      </c>
      <c r="AT333" s="102">
        <f>VLOOKUP(L333,设备合同!$L$6:$CC$302,35,0)</f>
        <v>0</v>
      </c>
      <c r="AU333" s="102">
        <f>VLOOKUP(L333,设备合同!$L$6:$CC$302,36,0)</f>
        <v>0</v>
      </c>
      <c r="AV333" s="102">
        <f>VLOOKUP(L333,设备合同!$L$6:$CC$302,37,0)</f>
        <v>0</v>
      </c>
      <c r="AW333" s="102">
        <f>VLOOKUP(L333,设备合同!$L$6:$CC$302,38,0)</f>
        <v>0</v>
      </c>
      <c r="AX333" s="102">
        <f>VLOOKUP(L333,设备合同!$L$6:$CC$302,39,0)</f>
        <v>0</v>
      </c>
      <c r="AY333" s="102">
        <f>VLOOKUP(L333,设备合同!$L$6:$CC$302,40,0)</f>
        <v>0</v>
      </c>
      <c r="AZ333" s="102">
        <f>VLOOKUP(L333,设备合同!$L$6:$CC$302,41,0)</f>
        <v>0</v>
      </c>
      <c r="BA333" s="102">
        <f>VLOOKUP(L333,设备合同!$L$6:$CC$302,42,0)</f>
        <v>0</v>
      </c>
      <c r="BB333" s="102">
        <f>VLOOKUP(L333,设备合同!$L$6:$CC$302,43,0)</f>
        <v>0</v>
      </c>
      <c r="BC333" s="102">
        <f>VLOOKUP(L333,设备合同!$L$6:$CC$302,44,0)</f>
        <v>0</v>
      </c>
      <c r="BD333" s="102">
        <f>VLOOKUP(L333,设备合同!$L$6:$CC$302,45,0)</f>
        <v>0</v>
      </c>
      <c r="BE333" s="102">
        <f>VLOOKUP(L333,设备合同!$L$6:$CC$302,46,0)</f>
        <v>0</v>
      </c>
      <c r="BF333" s="102">
        <f>VLOOKUP(L333,设备合同!$L$6:$CC$302,47,0)</f>
        <v>0</v>
      </c>
      <c r="BG333" s="102">
        <f>VLOOKUP(L333,设备合同!$L$6:$CC$302,48,0)</f>
        <v>0</v>
      </c>
      <c r="BH333" s="102">
        <f>VLOOKUP(L333,设备合同!$L$6:$CC$302,49,0)</f>
        <v>0</v>
      </c>
      <c r="BI333" s="102">
        <f>VLOOKUP(L333,设备合同!$L$6:$CC$302,50,0)</f>
        <v>0</v>
      </c>
      <c r="BJ333" s="102">
        <f>VLOOKUP(L333,设备合同!$L$6:$CC$302,51,0)</f>
        <v>0</v>
      </c>
      <c r="BK333" s="102">
        <f>VLOOKUP(L333,设备合同!$L$6:$CC$302,52,0)</f>
        <v>0</v>
      </c>
      <c r="BL333" s="102">
        <f>VLOOKUP(L333,设备合同!$L$6:$CC$302,53,0)</f>
        <v>0</v>
      </c>
      <c r="BM333" s="102">
        <f>VLOOKUP(L333,设备合同!$L$6:$CC$302,54,0)</f>
        <v>0</v>
      </c>
      <c r="BN333" s="102">
        <f>VLOOKUP(L333,设备合同!$L$6:$CC$302,55,0)</f>
        <v>0</v>
      </c>
      <c r="BO333" s="102">
        <f>VLOOKUP(L333,设备合同!$L$6:$CC$302,56,0)</f>
        <v>0</v>
      </c>
      <c r="BP333" s="102">
        <f>VLOOKUP(L333,设备合同!$L$6:$CC$302,57,0)</f>
        <v>0</v>
      </c>
      <c r="BQ333" s="102">
        <f>VLOOKUP(L333,设备合同!$L$6:$CC$302,58,0)</f>
        <v>0</v>
      </c>
      <c r="BR333" s="102">
        <f>VLOOKUP(L333,设备合同!$L$6:$CC$302,59,0)</f>
        <v>0</v>
      </c>
      <c r="BS333" s="102">
        <f>VLOOKUP(L333,设备合同!$L$6:$CC$302,60,0)</f>
        <v>0</v>
      </c>
      <c r="BT333" s="102">
        <f>VLOOKUP(L333,设备合同!$L$6:$CC$302,61,0)</f>
        <v>0</v>
      </c>
      <c r="BU333" s="102">
        <f>VLOOKUP(L333,设备合同!$L$6:$CC$302,62,0)</f>
        <v>0</v>
      </c>
      <c r="BV333" s="102">
        <f>VLOOKUP(L333,设备合同!$L$6:$CC$302,63,0)</f>
        <v>0</v>
      </c>
      <c r="BW333" s="102">
        <f>VLOOKUP(L333,设备合同!$L$6:$CC$302,64,0)</f>
        <v>0</v>
      </c>
      <c r="BX333" s="102">
        <f>VLOOKUP(L333,设备合同!$L$6:$CC$302,65,0)</f>
        <v>0</v>
      </c>
      <c r="BY333" s="102">
        <f>VLOOKUP(L333,设备合同!$L$6:$CC$302,66,0)</f>
        <v>0</v>
      </c>
      <c r="BZ333" s="102">
        <f>VLOOKUP(L333,设备合同!$L$6:$CC$302,67,0)</f>
        <v>0</v>
      </c>
      <c r="CA333" s="102">
        <f>VLOOKUP(L333,设备合同!$L$6:$CC$302,68,0)</f>
        <v>0</v>
      </c>
      <c r="CB333" s="102">
        <f>VLOOKUP(L333,设备合同!$L$6:$CC$302,69,0)</f>
        <v>0</v>
      </c>
      <c r="CC333" s="102">
        <f>VLOOKUP(L333,设备合同!$L$6:$CC$302,70,0)</f>
        <v>0</v>
      </c>
      <c r="CD333" s="123">
        <f t="shared" si="84"/>
        <v>103000</v>
      </c>
      <c r="CE333" s="102">
        <f t="shared" si="85"/>
        <v>0</v>
      </c>
      <c r="CF333" s="102">
        <f t="shared" si="86"/>
        <v>0</v>
      </c>
      <c r="CG333" s="102">
        <f t="shared" si="87"/>
        <v>0</v>
      </c>
      <c r="CH333" s="124">
        <f t="shared" si="88"/>
        <v>103000</v>
      </c>
      <c r="CI333" s="125">
        <f t="shared" si="89"/>
        <v>0</v>
      </c>
      <c r="CJ333" s="126" t="str">
        <f t="shared" si="90"/>
        <v>数据正确</v>
      </c>
    </row>
    <row r="334" s="60" customFormat="1" customHeight="1" spans="2:88">
      <c r="B334" s="70" t="str">
        <f t="shared" si="73"/>
        <v>申请中</v>
      </c>
      <c r="C334" s="71" t="str">
        <f t="shared" si="74"/>
        <v>-</v>
      </c>
      <c r="D334" s="181">
        <f t="shared" si="75"/>
        <v>0</v>
      </c>
      <c r="E334" s="181">
        <f>SUMIF(设备合同!$L$6:$L$302,L334,设备合同!$E$6:$E$302)</f>
        <v>0</v>
      </c>
      <c r="F334" s="181">
        <f>SUMIF(设备合同!$L$6:$L$302,L334,设备合同!$F$6:$F$302)</f>
        <v>0</v>
      </c>
      <c r="G334" s="181">
        <f>SUMIF(设备合同!$L$6:$L$302,L334,设备合同!$G$6:$G$302)</f>
        <v>0</v>
      </c>
      <c r="H334" s="181">
        <f>SUMIF(设备合同!$L$6:$L$302,L334,设备合同!$H$6:$H$302)</f>
        <v>0</v>
      </c>
      <c r="I334" s="181">
        <f t="shared" si="76"/>
        <v>185932.1</v>
      </c>
      <c r="J334" s="86" t="s">
        <v>98</v>
      </c>
      <c r="K334" s="87"/>
      <c r="L334" s="88">
        <v>329</v>
      </c>
      <c r="M334" s="89" t="str">
        <f>VLOOKUP(L334,设备合同!$L$6:$CC$302,2,0)</f>
        <v>YRKJEQ-170092</v>
      </c>
      <c r="N334" s="90" t="str">
        <f>VLOOKUP(L334,设备合同!$L$6:$CC$302,3,0)</f>
        <v>设备合同</v>
      </c>
      <c r="O334" s="265">
        <f>VLOOKUP(L334,设备合同!$L$6:$CC$302,4,0)</f>
        <v>0</v>
      </c>
      <c r="P334" s="266">
        <f>VLOOKUP(L334,设备合同!$L$6:$CC$302,5,0)</f>
        <v>42986</v>
      </c>
      <c r="Q334" s="275">
        <f>VLOOKUP(L334,设备合同!$L$6:$CC$302,6,0)</f>
        <v>195718</v>
      </c>
      <c r="R334" s="89" t="str">
        <f>VLOOKUP(L334,设备合同!$L$6:$CC$302,7,0)</f>
        <v>压力泡沫比例混合装置、水成膜泡沫液</v>
      </c>
      <c r="S334" s="89" t="str">
        <f>VLOOKUP(L334,设备合同!$L$6:$CC$302,8,0)</f>
        <v>水力消防科技有限公司</v>
      </c>
      <c r="T334" s="107" t="str">
        <f>VLOOKUP(L334,设备合同!$L$6:$CC$302,9,0)</f>
        <v>有机物料罐组</v>
      </c>
      <c r="U334" s="103" t="str">
        <f>VLOOKUP(L334,设备合同!$L$6:$CC$302,10,0)</f>
        <v>6个月承兑汇票/电汇不下浮</v>
      </c>
      <c r="V334" s="276" t="str">
        <f>VLOOKUP(L334,设备合同!$L$6:$CC$302,11,0)</f>
        <v>甲方到乙方现场确认无误后，收到100%专票，15个工作日内支付95%发货款</v>
      </c>
      <c r="W334" s="102">
        <f>VLOOKUP(L334,设备合同!$L$6:$CC$302,12,0)</f>
        <v>185932.1</v>
      </c>
      <c r="X334" s="102">
        <f>VLOOKUP(L334,设备合同!$L$6:$CC$302,13,0)</f>
        <v>185932.1</v>
      </c>
      <c r="Y334" s="102">
        <f>VLOOKUP(L334,设备合同!$L$6:$CC$302,14,0)</f>
        <v>0</v>
      </c>
      <c r="Z334" s="102" t="str">
        <f>VLOOKUP(L334,设备合同!$L$6:$CC$302,15,0)</f>
        <v>5%质保金，验收合格12个月或到货现场18个月 承兑</v>
      </c>
      <c r="AA334" s="102">
        <f>VLOOKUP(L334,设备合同!$L$6:$CC$302,16,0)</f>
        <v>9785.9</v>
      </c>
      <c r="AB334" s="102">
        <f>VLOOKUP(L334,设备合同!$L$6:$CC$302,17,0)</f>
        <v>0</v>
      </c>
      <c r="AC334" s="102">
        <f>VLOOKUP(L334,设备合同!$L$6:$CC$302,18,0)</f>
        <v>0</v>
      </c>
      <c r="AD334" s="102">
        <f>VLOOKUP(L334,设备合同!$L$6:$CC$302,19,0)</f>
        <v>0</v>
      </c>
      <c r="AE334" s="102">
        <f>VLOOKUP(L334,设备合同!$L$6:$CC$302,20,0)</f>
        <v>0</v>
      </c>
      <c r="AF334" s="102">
        <f>VLOOKUP(L334,设备合同!$L$6:$CC$302,21,0)</f>
        <v>0</v>
      </c>
      <c r="AG334" s="102">
        <f>VLOOKUP(L334,设备合同!$L$6:$CC$302,22,0)</f>
        <v>0</v>
      </c>
      <c r="AH334" s="102">
        <f>VLOOKUP(L334,设备合同!$L$6:$CC$302,23,0)</f>
        <v>0</v>
      </c>
      <c r="AI334" s="102">
        <f>VLOOKUP(L334,设备合同!$L$6:$CC$302,24,0)</f>
        <v>0</v>
      </c>
      <c r="AJ334" s="102">
        <f>VLOOKUP(L334,设备合同!$L$6:$CC$302,25,0)</f>
        <v>0</v>
      </c>
      <c r="AK334" s="102">
        <f>VLOOKUP(L334,设备合同!$L$6:$CC$302,26,0)</f>
        <v>0</v>
      </c>
      <c r="AL334" s="102">
        <f>VLOOKUP(L334,设备合同!$L$6:$CC$302,27,0)</f>
        <v>0</v>
      </c>
      <c r="AM334" s="102">
        <f>VLOOKUP(L334,设备合同!$L$6:$CC$302,28,0)</f>
        <v>0</v>
      </c>
      <c r="AN334" s="102">
        <f>VLOOKUP(L334,设备合同!$L$6:$CC$302,29,0)</f>
        <v>0</v>
      </c>
      <c r="AO334" s="102">
        <f>VLOOKUP(L334,设备合同!$L$6:$CC$302,30,0)</f>
        <v>0</v>
      </c>
      <c r="AP334" s="102">
        <f>VLOOKUP(L334,设备合同!$L$6:$CC$302,31,0)</f>
        <v>0</v>
      </c>
      <c r="AQ334" s="102">
        <f>VLOOKUP(L334,设备合同!$L$6:$CC$302,32,0)</f>
        <v>0</v>
      </c>
      <c r="AR334" s="102">
        <f>VLOOKUP(L334,设备合同!$L$6:$CC$302,33,0)</f>
        <v>0</v>
      </c>
      <c r="AS334" s="102">
        <f>VLOOKUP(L334,设备合同!$L$6:$CC$302,34,0)</f>
        <v>0</v>
      </c>
      <c r="AT334" s="102">
        <f>VLOOKUP(L334,设备合同!$L$6:$CC$302,35,0)</f>
        <v>0</v>
      </c>
      <c r="AU334" s="102">
        <f>VLOOKUP(L334,设备合同!$L$6:$CC$302,36,0)</f>
        <v>0</v>
      </c>
      <c r="AV334" s="102">
        <f>VLOOKUP(L334,设备合同!$L$6:$CC$302,37,0)</f>
        <v>0</v>
      </c>
      <c r="AW334" s="102">
        <f>VLOOKUP(L334,设备合同!$L$6:$CC$302,38,0)</f>
        <v>0</v>
      </c>
      <c r="AX334" s="102">
        <f>VLOOKUP(L334,设备合同!$L$6:$CC$302,39,0)</f>
        <v>0</v>
      </c>
      <c r="AY334" s="102">
        <f>VLOOKUP(L334,设备合同!$L$6:$CC$302,40,0)</f>
        <v>0</v>
      </c>
      <c r="AZ334" s="102">
        <f>VLOOKUP(L334,设备合同!$L$6:$CC$302,41,0)</f>
        <v>0</v>
      </c>
      <c r="BA334" s="102">
        <f>VLOOKUP(L334,设备合同!$L$6:$CC$302,42,0)</f>
        <v>0</v>
      </c>
      <c r="BB334" s="102">
        <f>VLOOKUP(L334,设备合同!$L$6:$CC$302,43,0)</f>
        <v>0</v>
      </c>
      <c r="BC334" s="102">
        <f>VLOOKUP(L334,设备合同!$L$6:$CC$302,44,0)</f>
        <v>0</v>
      </c>
      <c r="BD334" s="102">
        <f>VLOOKUP(L334,设备合同!$L$6:$CC$302,45,0)</f>
        <v>0</v>
      </c>
      <c r="BE334" s="102">
        <f>VLOOKUP(L334,设备合同!$L$6:$CC$302,46,0)</f>
        <v>0</v>
      </c>
      <c r="BF334" s="102">
        <f>VLOOKUP(L334,设备合同!$L$6:$CC$302,47,0)</f>
        <v>0</v>
      </c>
      <c r="BG334" s="102">
        <f>VLOOKUP(L334,设备合同!$L$6:$CC$302,48,0)</f>
        <v>0</v>
      </c>
      <c r="BH334" s="102">
        <f>VLOOKUP(L334,设备合同!$L$6:$CC$302,49,0)</f>
        <v>0</v>
      </c>
      <c r="BI334" s="102">
        <f>VLOOKUP(L334,设备合同!$L$6:$CC$302,50,0)</f>
        <v>0</v>
      </c>
      <c r="BJ334" s="102">
        <f>VLOOKUP(L334,设备合同!$L$6:$CC$302,51,0)</f>
        <v>0</v>
      </c>
      <c r="BK334" s="102">
        <f>VLOOKUP(L334,设备合同!$L$6:$CC$302,52,0)</f>
        <v>0</v>
      </c>
      <c r="BL334" s="102">
        <f>VLOOKUP(L334,设备合同!$L$6:$CC$302,53,0)</f>
        <v>0</v>
      </c>
      <c r="BM334" s="102">
        <f>VLOOKUP(L334,设备合同!$L$6:$CC$302,54,0)</f>
        <v>0</v>
      </c>
      <c r="BN334" s="102">
        <f>VLOOKUP(L334,设备合同!$L$6:$CC$302,55,0)</f>
        <v>0</v>
      </c>
      <c r="BO334" s="102">
        <f>VLOOKUP(L334,设备合同!$L$6:$CC$302,56,0)</f>
        <v>0</v>
      </c>
      <c r="BP334" s="102">
        <f>VLOOKUP(L334,设备合同!$L$6:$CC$302,57,0)</f>
        <v>0</v>
      </c>
      <c r="BQ334" s="102">
        <f>VLOOKUP(L334,设备合同!$L$6:$CC$302,58,0)</f>
        <v>0</v>
      </c>
      <c r="BR334" s="102">
        <f>VLOOKUP(L334,设备合同!$L$6:$CC$302,59,0)</f>
        <v>0</v>
      </c>
      <c r="BS334" s="102">
        <f>VLOOKUP(L334,设备合同!$L$6:$CC$302,60,0)</f>
        <v>0</v>
      </c>
      <c r="BT334" s="102">
        <f>VLOOKUP(L334,设备合同!$L$6:$CC$302,61,0)</f>
        <v>0</v>
      </c>
      <c r="BU334" s="102">
        <f>VLOOKUP(L334,设备合同!$L$6:$CC$302,62,0)</f>
        <v>0</v>
      </c>
      <c r="BV334" s="102">
        <f>VLOOKUP(L334,设备合同!$L$6:$CC$302,63,0)</f>
        <v>0</v>
      </c>
      <c r="BW334" s="102">
        <f>VLOOKUP(L334,设备合同!$L$6:$CC$302,64,0)</f>
        <v>0</v>
      </c>
      <c r="BX334" s="102">
        <f>VLOOKUP(L334,设备合同!$L$6:$CC$302,65,0)</f>
        <v>0</v>
      </c>
      <c r="BY334" s="102">
        <f>VLOOKUP(L334,设备合同!$L$6:$CC$302,66,0)</f>
        <v>0</v>
      </c>
      <c r="BZ334" s="102">
        <f>VLOOKUP(L334,设备合同!$L$6:$CC$302,67,0)</f>
        <v>0</v>
      </c>
      <c r="CA334" s="102">
        <f>VLOOKUP(L334,设备合同!$L$6:$CC$302,68,0)</f>
        <v>0</v>
      </c>
      <c r="CB334" s="102">
        <f>VLOOKUP(L334,设备合同!$L$6:$CC$302,69,0)</f>
        <v>0</v>
      </c>
      <c r="CC334" s="102">
        <f>VLOOKUP(L334,设备合同!$L$6:$CC$302,70,0)</f>
        <v>0</v>
      </c>
      <c r="CD334" s="123">
        <f t="shared" si="84"/>
        <v>195718</v>
      </c>
      <c r="CE334" s="102">
        <f t="shared" si="85"/>
        <v>185932.1</v>
      </c>
      <c r="CF334" s="102">
        <f t="shared" si="86"/>
        <v>0</v>
      </c>
      <c r="CG334" s="102">
        <f t="shared" si="87"/>
        <v>0</v>
      </c>
      <c r="CH334" s="124">
        <f t="shared" si="88"/>
        <v>195718</v>
      </c>
      <c r="CI334" s="125">
        <f t="shared" si="89"/>
        <v>0</v>
      </c>
      <c r="CJ334" s="126" t="str">
        <f t="shared" si="90"/>
        <v>数据正确</v>
      </c>
    </row>
    <row r="335" s="60" customFormat="1" customHeight="1" spans="2:88">
      <c r="B335" s="70"/>
      <c r="C335" s="71"/>
      <c r="D335" s="181"/>
      <c r="E335" s="181"/>
      <c r="F335" s="181"/>
      <c r="G335" s="181"/>
      <c r="H335" s="181"/>
      <c r="I335" s="181"/>
      <c r="J335" s="86"/>
      <c r="K335" s="87"/>
      <c r="L335" s="88">
        <v>330</v>
      </c>
      <c r="M335" s="89"/>
      <c r="N335" s="90"/>
      <c r="O335" s="265"/>
      <c r="P335" s="91"/>
      <c r="Q335" s="275"/>
      <c r="R335" s="89"/>
      <c r="S335" s="89"/>
      <c r="T335" s="107"/>
      <c r="U335" s="103"/>
      <c r="V335" s="28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102"/>
      <c r="AX335" s="102"/>
      <c r="AY335" s="102"/>
      <c r="AZ335" s="102"/>
      <c r="BA335" s="102"/>
      <c r="BB335" s="102"/>
      <c r="BC335" s="102"/>
      <c r="BD335" s="102"/>
      <c r="BE335" s="102"/>
      <c r="BF335" s="102"/>
      <c r="BG335" s="102"/>
      <c r="BH335" s="102"/>
      <c r="BI335" s="102"/>
      <c r="BJ335" s="102"/>
      <c r="BK335" s="102"/>
      <c r="BL335" s="102"/>
      <c r="BM335" s="102"/>
      <c r="BN335" s="102"/>
      <c r="BO335" s="102"/>
      <c r="BP335" s="102"/>
      <c r="BQ335" s="102"/>
      <c r="BR335" s="102"/>
      <c r="BS335" s="102"/>
      <c r="BT335" s="102"/>
      <c r="BU335" s="102"/>
      <c r="BV335" s="102"/>
      <c r="BW335" s="102"/>
      <c r="BX335" s="102"/>
      <c r="BY335" s="102"/>
      <c r="BZ335" s="102"/>
      <c r="CA335" s="102"/>
      <c r="CB335" s="102"/>
      <c r="CC335" s="122"/>
      <c r="CD335" s="123">
        <f t="shared" si="84"/>
        <v>0</v>
      </c>
      <c r="CE335" s="102">
        <f t="shared" si="85"/>
        <v>0</v>
      </c>
      <c r="CF335" s="102">
        <f t="shared" si="86"/>
        <v>0</v>
      </c>
      <c r="CG335" s="102">
        <f t="shared" si="87"/>
        <v>0</v>
      </c>
      <c r="CH335" s="124">
        <f t="shared" si="88"/>
        <v>0</v>
      </c>
      <c r="CI335" s="125" t="str">
        <f t="shared" si="89"/>
        <v>-</v>
      </c>
      <c r="CJ335" s="126" t="str">
        <f t="shared" si="90"/>
        <v>数据正确</v>
      </c>
    </row>
    <row r="336" s="60" customFormat="1" customHeight="1" spans="2:88">
      <c r="B336" s="70"/>
      <c r="C336" s="71"/>
      <c r="D336" s="181"/>
      <c r="E336" s="181"/>
      <c r="F336" s="181"/>
      <c r="G336" s="181"/>
      <c r="H336" s="181"/>
      <c r="I336" s="181"/>
      <c r="J336" s="86"/>
      <c r="K336" s="87"/>
      <c r="L336" s="88">
        <v>331</v>
      </c>
      <c r="M336" s="89"/>
      <c r="N336" s="90"/>
      <c r="O336" s="265"/>
      <c r="P336" s="91"/>
      <c r="Q336" s="275"/>
      <c r="R336" s="89"/>
      <c r="S336" s="89"/>
      <c r="T336" s="107"/>
      <c r="U336" s="103"/>
      <c r="V336" s="282"/>
      <c r="W336" s="102"/>
      <c r="X336" s="102"/>
      <c r="Y336" s="102"/>
      <c r="Z336" s="102"/>
      <c r="AA336" s="102"/>
      <c r="AB336" s="102"/>
      <c r="AC336" s="102"/>
      <c r="AD336" s="102"/>
      <c r="AE336" s="102"/>
      <c r="AF336" s="102"/>
      <c r="AG336" s="102"/>
      <c r="AH336" s="102"/>
      <c r="AI336" s="102"/>
      <c r="AJ336" s="102"/>
      <c r="AK336" s="102"/>
      <c r="AL336" s="102"/>
      <c r="AM336" s="102"/>
      <c r="AN336" s="102"/>
      <c r="AO336" s="102"/>
      <c r="AP336" s="102"/>
      <c r="AQ336" s="102"/>
      <c r="AR336" s="102"/>
      <c r="AS336" s="102"/>
      <c r="AT336" s="102"/>
      <c r="AU336" s="102"/>
      <c r="AV336" s="102"/>
      <c r="AW336" s="102"/>
      <c r="AX336" s="102"/>
      <c r="AY336" s="102"/>
      <c r="AZ336" s="102"/>
      <c r="BA336" s="102"/>
      <c r="BB336" s="102"/>
      <c r="BC336" s="102"/>
      <c r="BD336" s="102"/>
      <c r="BE336" s="102"/>
      <c r="BF336" s="102"/>
      <c r="BG336" s="102"/>
      <c r="BH336" s="102"/>
      <c r="BI336" s="102"/>
      <c r="BJ336" s="102"/>
      <c r="BK336" s="102"/>
      <c r="BL336" s="102"/>
      <c r="BM336" s="102"/>
      <c r="BN336" s="102"/>
      <c r="BO336" s="102"/>
      <c r="BP336" s="102"/>
      <c r="BQ336" s="102"/>
      <c r="BR336" s="102"/>
      <c r="BS336" s="102"/>
      <c r="BT336" s="102"/>
      <c r="BU336" s="102"/>
      <c r="BV336" s="102"/>
      <c r="BW336" s="102"/>
      <c r="BX336" s="102"/>
      <c r="BY336" s="102"/>
      <c r="BZ336" s="102"/>
      <c r="CA336" s="102"/>
      <c r="CB336" s="102"/>
      <c r="CC336" s="122"/>
      <c r="CD336" s="123">
        <f t="shared" si="84"/>
        <v>0</v>
      </c>
      <c r="CE336" s="102">
        <f t="shared" si="85"/>
        <v>0</v>
      </c>
      <c r="CF336" s="102">
        <f t="shared" si="86"/>
        <v>0</v>
      </c>
      <c r="CG336" s="102">
        <f t="shared" si="87"/>
        <v>0</v>
      </c>
      <c r="CH336" s="124">
        <f t="shared" si="88"/>
        <v>0</v>
      </c>
      <c r="CI336" s="125" t="str">
        <f t="shared" si="89"/>
        <v>-</v>
      </c>
      <c r="CJ336" s="126" t="str">
        <f t="shared" si="90"/>
        <v>数据正确</v>
      </c>
    </row>
    <row r="337" s="60" customFormat="1" customHeight="1" spans="2:88">
      <c r="B337" s="70"/>
      <c r="C337" s="71"/>
      <c r="D337" s="181"/>
      <c r="E337" s="181"/>
      <c r="F337" s="181"/>
      <c r="G337" s="181"/>
      <c r="H337" s="181"/>
      <c r="I337" s="181"/>
      <c r="J337" s="86"/>
      <c r="K337" s="87"/>
      <c r="L337" s="88">
        <v>332</v>
      </c>
      <c r="M337" s="89"/>
      <c r="N337" s="90"/>
      <c r="O337" s="265"/>
      <c r="P337" s="91"/>
      <c r="Q337" s="275"/>
      <c r="R337" s="89"/>
      <c r="S337" s="89"/>
      <c r="T337" s="107"/>
      <c r="U337" s="103"/>
      <c r="V337" s="28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c r="AW337" s="102"/>
      <c r="AX337" s="102"/>
      <c r="AY337" s="102"/>
      <c r="AZ337" s="102"/>
      <c r="BA337" s="102"/>
      <c r="BB337" s="102"/>
      <c r="BC337" s="102"/>
      <c r="BD337" s="102"/>
      <c r="BE337" s="102"/>
      <c r="BF337" s="102"/>
      <c r="BG337" s="102"/>
      <c r="BH337" s="102"/>
      <c r="BI337" s="102"/>
      <c r="BJ337" s="102"/>
      <c r="BK337" s="102"/>
      <c r="BL337" s="102"/>
      <c r="BM337" s="102"/>
      <c r="BN337" s="102"/>
      <c r="BO337" s="102"/>
      <c r="BP337" s="102"/>
      <c r="BQ337" s="102"/>
      <c r="BR337" s="102"/>
      <c r="BS337" s="102"/>
      <c r="BT337" s="102"/>
      <c r="BU337" s="102"/>
      <c r="BV337" s="102"/>
      <c r="BW337" s="102"/>
      <c r="BX337" s="102"/>
      <c r="BY337" s="102"/>
      <c r="BZ337" s="102"/>
      <c r="CA337" s="102"/>
      <c r="CB337" s="102"/>
      <c r="CC337" s="122"/>
      <c r="CD337" s="123">
        <f t="shared" si="84"/>
        <v>0</v>
      </c>
      <c r="CE337" s="102">
        <f t="shared" si="85"/>
        <v>0</v>
      </c>
      <c r="CF337" s="102">
        <f t="shared" si="86"/>
        <v>0</v>
      </c>
      <c r="CG337" s="102">
        <f t="shared" si="87"/>
        <v>0</v>
      </c>
      <c r="CH337" s="124">
        <f t="shared" si="88"/>
        <v>0</v>
      </c>
      <c r="CI337" s="125" t="str">
        <f t="shared" si="89"/>
        <v>-</v>
      </c>
      <c r="CJ337" s="126" t="str">
        <f t="shared" si="90"/>
        <v>数据正确</v>
      </c>
    </row>
    <row r="338" s="60" customFormat="1" customHeight="1" spans="2:88">
      <c r="B338" s="70"/>
      <c r="C338" s="71"/>
      <c r="D338" s="181"/>
      <c r="E338" s="181"/>
      <c r="F338" s="181"/>
      <c r="G338" s="181"/>
      <c r="H338" s="181"/>
      <c r="I338" s="181"/>
      <c r="J338" s="86"/>
      <c r="K338" s="87"/>
      <c r="L338" s="88">
        <v>333</v>
      </c>
      <c r="M338" s="89"/>
      <c r="N338" s="90"/>
      <c r="O338" s="265"/>
      <c r="P338" s="91"/>
      <c r="Q338" s="275"/>
      <c r="R338" s="89"/>
      <c r="S338" s="89"/>
      <c r="T338" s="107"/>
      <c r="U338" s="103"/>
      <c r="V338" s="282"/>
      <c r="W338" s="102"/>
      <c r="X338" s="102"/>
      <c r="Y338" s="102"/>
      <c r="Z338" s="102"/>
      <c r="AA338" s="102"/>
      <c r="AB338" s="102"/>
      <c r="AC338" s="102"/>
      <c r="AD338" s="102"/>
      <c r="AE338" s="102"/>
      <c r="AF338" s="102"/>
      <c r="AG338" s="102"/>
      <c r="AH338" s="102"/>
      <c r="AI338" s="102"/>
      <c r="AJ338" s="102"/>
      <c r="AK338" s="102"/>
      <c r="AL338" s="102"/>
      <c r="AM338" s="102"/>
      <c r="AN338" s="102"/>
      <c r="AO338" s="102"/>
      <c r="AP338" s="102"/>
      <c r="AQ338" s="102"/>
      <c r="AR338" s="102"/>
      <c r="AS338" s="102"/>
      <c r="AT338" s="102"/>
      <c r="AU338" s="102"/>
      <c r="AV338" s="102"/>
      <c r="AW338" s="102"/>
      <c r="AX338" s="102"/>
      <c r="AY338" s="102"/>
      <c r="AZ338" s="102"/>
      <c r="BA338" s="102"/>
      <c r="BB338" s="102"/>
      <c r="BC338" s="102"/>
      <c r="BD338" s="102"/>
      <c r="BE338" s="102"/>
      <c r="BF338" s="102"/>
      <c r="BG338" s="102"/>
      <c r="BH338" s="102"/>
      <c r="BI338" s="102"/>
      <c r="BJ338" s="102"/>
      <c r="BK338" s="102"/>
      <c r="BL338" s="102"/>
      <c r="BM338" s="102"/>
      <c r="BN338" s="102"/>
      <c r="BO338" s="102"/>
      <c r="BP338" s="102"/>
      <c r="BQ338" s="102"/>
      <c r="BR338" s="102"/>
      <c r="BS338" s="102"/>
      <c r="BT338" s="102"/>
      <c r="BU338" s="102"/>
      <c r="BV338" s="102"/>
      <c r="BW338" s="102"/>
      <c r="BX338" s="102"/>
      <c r="BY338" s="102"/>
      <c r="BZ338" s="102"/>
      <c r="CA338" s="102"/>
      <c r="CB338" s="102"/>
      <c r="CC338" s="122"/>
      <c r="CD338" s="123">
        <f t="shared" si="84"/>
        <v>0</v>
      </c>
      <c r="CE338" s="102">
        <f t="shared" si="85"/>
        <v>0</v>
      </c>
      <c r="CF338" s="102">
        <f t="shared" si="86"/>
        <v>0</v>
      </c>
      <c r="CG338" s="102">
        <f t="shared" si="87"/>
        <v>0</v>
      </c>
      <c r="CH338" s="124">
        <f t="shared" si="88"/>
        <v>0</v>
      </c>
      <c r="CI338" s="125" t="str">
        <f t="shared" si="89"/>
        <v>-</v>
      </c>
      <c r="CJ338" s="126" t="str">
        <f t="shared" si="90"/>
        <v>数据正确</v>
      </c>
    </row>
    <row r="339" s="60" customFormat="1" customHeight="1" spans="2:88">
      <c r="B339" s="70"/>
      <c r="C339" s="71"/>
      <c r="D339" s="181"/>
      <c r="E339" s="181"/>
      <c r="F339" s="181"/>
      <c r="G339" s="181"/>
      <c r="H339" s="181"/>
      <c r="I339" s="181"/>
      <c r="J339" s="86"/>
      <c r="K339" s="87"/>
      <c r="L339" s="88">
        <v>334</v>
      </c>
      <c r="M339" s="89"/>
      <c r="N339" s="90"/>
      <c r="O339" s="265"/>
      <c r="P339" s="91"/>
      <c r="Q339" s="275"/>
      <c r="R339" s="89"/>
      <c r="S339" s="89"/>
      <c r="T339" s="107"/>
      <c r="U339" s="103"/>
      <c r="V339" s="282"/>
      <c r="W339" s="102"/>
      <c r="X339" s="102"/>
      <c r="Y339" s="102"/>
      <c r="Z339" s="102"/>
      <c r="AA339" s="102"/>
      <c r="AB339" s="102"/>
      <c r="AC339" s="102"/>
      <c r="AD339" s="102"/>
      <c r="AE339" s="102"/>
      <c r="AF339" s="102"/>
      <c r="AG339" s="102"/>
      <c r="AH339" s="102"/>
      <c r="AI339" s="102"/>
      <c r="AJ339" s="102"/>
      <c r="AK339" s="102"/>
      <c r="AL339" s="102"/>
      <c r="AM339" s="102"/>
      <c r="AN339" s="102"/>
      <c r="AO339" s="102"/>
      <c r="AP339" s="102"/>
      <c r="AQ339" s="102"/>
      <c r="AR339" s="102"/>
      <c r="AS339" s="102"/>
      <c r="AT339" s="102"/>
      <c r="AU339" s="102"/>
      <c r="AV339" s="102"/>
      <c r="AW339" s="102"/>
      <c r="AX339" s="102"/>
      <c r="AY339" s="102"/>
      <c r="AZ339" s="102"/>
      <c r="BA339" s="102"/>
      <c r="BB339" s="102"/>
      <c r="BC339" s="102"/>
      <c r="BD339" s="102"/>
      <c r="BE339" s="102"/>
      <c r="BF339" s="102"/>
      <c r="BG339" s="102"/>
      <c r="BH339" s="102"/>
      <c r="BI339" s="102"/>
      <c r="BJ339" s="102"/>
      <c r="BK339" s="102"/>
      <c r="BL339" s="102"/>
      <c r="BM339" s="102"/>
      <c r="BN339" s="102"/>
      <c r="BO339" s="102"/>
      <c r="BP339" s="102"/>
      <c r="BQ339" s="102"/>
      <c r="BR339" s="102"/>
      <c r="BS339" s="102"/>
      <c r="BT339" s="102"/>
      <c r="BU339" s="102"/>
      <c r="BV339" s="102"/>
      <c r="BW339" s="102"/>
      <c r="BX339" s="102"/>
      <c r="BY339" s="102"/>
      <c r="BZ339" s="102"/>
      <c r="CA339" s="102"/>
      <c r="CB339" s="102"/>
      <c r="CC339" s="122"/>
      <c r="CD339" s="123">
        <f t="shared" si="84"/>
        <v>0</v>
      </c>
      <c r="CE339" s="102">
        <f t="shared" si="85"/>
        <v>0</v>
      </c>
      <c r="CF339" s="102">
        <f t="shared" si="86"/>
        <v>0</v>
      </c>
      <c r="CG339" s="102">
        <f t="shared" si="87"/>
        <v>0</v>
      </c>
      <c r="CH339" s="124">
        <f t="shared" si="88"/>
        <v>0</v>
      </c>
      <c r="CI339" s="125" t="str">
        <f t="shared" si="89"/>
        <v>-</v>
      </c>
      <c r="CJ339" s="126" t="str">
        <f t="shared" si="90"/>
        <v>数据正确</v>
      </c>
    </row>
    <row r="340" s="60" customFormat="1" customHeight="1" spans="2:88">
      <c r="B340" s="70"/>
      <c r="C340" s="71"/>
      <c r="D340" s="181"/>
      <c r="E340" s="181"/>
      <c r="F340" s="181"/>
      <c r="G340" s="181"/>
      <c r="H340" s="181"/>
      <c r="I340" s="181"/>
      <c r="J340" s="86"/>
      <c r="K340" s="87"/>
      <c r="L340" s="88">
        <v>335</v>
      </c>
      <c r="M340" s="89"/>
      <c r="N340" s="90"/>
      <c r="O340" s="265"/>
      <c r="P340" s="91"/>
      <c r="Q340" s="275"/>
      <c r="R340" s="89"/>
      <c r="S340" s="89"/>
      <c r="T340" s="107"/>
      <c r="U340" s="103"/>
      <c r="V340" s="282"/>
      <c r="W340" s="102"/>
      <c r="X340" s="102"/>
      <c r="Y340" s="102"/>
      <c r="Z340" s="102"/>
      <c r="AA340" s="102"/>
      <c r="AB340" s="102"/>
      <c r="AC340" s="102"/>
      <c r="AD340" s="102"/>
      <c r="AE340" s="102"/>
      <c r="AF340" s="102"/>
      <c r="AG340" s="102"/>
      <c r="AH340" s="102"/>
      <c r="AI340" s="102"/>
      <c r="AJ340" s="102"/>
      <c r="AK340" s="102"/>
      <c r="AL340" s="102"/>
      <c r="AM340" s="102"/>
      <c r="AN340" s="102"/>
      <c r="AO340" s="102"/>
      <c r="AP340" s="102"/>
      <c r="AQ340" s="102"/>
      <c r="AR340" s="102"/>
      <c r="AS340" s="102"/>
      <c r="AT340" s="102"/>
      <c r="AU340" s="102"/>
      <c r="AV340" s="102"/>
      <c r="AW340" s="102"/>
      <c r="AX340" s="102"/>
      <c r="AY340" s="102"/>
      <c r="AZ340" s="102"/>
      <c r="BA340" s="102"/>
      <c r="BB340" s="102"/>
      <c r="BC340" s="102"/>
      <c r="BD340" s="102"/>
      <c r="BE340" s="102"/>
      <c r="BF340" s="102"/>
      <c r="BG340" s="102"/>
      <c r="BH340" s="102"/>
      <c r="BI340" s="102"/>
      <c r="BJ340" s="102"/>
      <c r="BK340" s="102"/>
      <c r="BL340" s="102"/>
      <c r="BM340" s="102"/>
      <c r="BN340" s="102"/>
      <c r="BO340" s="102"/>
      <c r="BP340" s="102"/>
      <c r="BQ340" s="102"/>
      <c r="BR340" s="102"/>
      <c r="BS340" s="102"/>
      <c r="BT340" s="102"/>
      <c r="BU340" s="102"/>
      <c r="BV340" s="102"/>
      <c r="BW340" s="102"/>
      <c r="BX340" s="102"/>
      <c r="BY340" s="102"/>
      <c r="BZ340" s="102"/>
      <c r="CA340" s="102"/>
      <c r="CB340" s="102"/>
      <c r="CC340" s="122"/>
      <c r="CD340" s="123">
        <f t="shared" si="84"/>
        <v>0</v>
      </c>
      <c r="CE340" s="102">
        <f t="shared" si="85"/>
        <v>0</v>
      </c>
      <c r="CF340" s="102">
        <f t="shared" si="86"/>
        <v>0</v>
      </c>
      <c r="CG340" s="102">
        <f t="shared" si="87"/>
        <v>0</v>
      </c>
      <c r="CH340" s="124">
        <f t="shared" si="88"/>
        <v>0</v>
      </c>
      <c r="CI340" s="125" t="str">
        <f t="shared" si="89"/>
        <v>-</v>
      </c>
      <c r="CJ340" s="126" t="str">
        <f t="shared" si="90"/>
        <v>数据正确</v>
      </c>
    </row>
    <row r="341" s="60" customFormat="1" customHeight="1" spans="2:88">
      <c r="B341" s="70"/>
      <c r="C341" s="71"/>
      <c r="D341" s="181"/>
      <c r="E341" s="181"/>
      <c r="F341" s="181"/>
      <c r="G341" s="181"/>
      <c r="H341" s="181"/>
      <c r="I341" s="181"/>
      <c r="J341" s="86"/>
      <c r="K341" s="87"/>
      <c r="L341" s="88">
        <v>336</v>
      </c>
      <c r="M341" s="89"/>
      <c r="N341" s="90"/>
      <c r="O341" s="265"/>
      <c r="P341" s="91"/>
      <c r="Q341" s="275"/>
      <c r="R341" s="89"/>
      <c r="S341" s="89"/>
      <c r="T341" s="107"/>
      <c r="U341" s="103"/>
      <c r="V341" s="282"/>
      <c r="W341" s="102"/>
      <c r="X341" s="102"/>
      <c r="Y341" s="102"/>
      <c r="Z341" s="102"/>
      <c r="AA341" s="102"/>
      <c r="AB341" s="102"/>
      <c r="AC341" s="102"/>
      <c r="AD341" s="102"/>
      <c r="AE341" s="102"/>
      <c r="AF341" s="102"/>
      <c r="AG341" s="102"/>
      <c r="AH341" s="102"/>
      <c r="AI341" s="102"/>
      <c r="AJ341" s="102"/>
      <c r="AK341" s="102"/>
      <c r="AL341" s="102"/>
      <c r="AM341" s="102"/>
      <c r="AN341" s="102"/>
      <c r="AO341" s="102"/>
      <c r="AP341" s="102"/>
      <c r="AQ341" s="102"/>
      <c r="AR341" s="102"/>
      <c r="AS341" s="102"/>
      <c r="AT341" s="102"/>
      <c r="AU341" s="102"/>
      <c r="AV341" s="102"/>
      <c r="AW341" s="102"/>
      <c r="AX341" s="102"/>
      <c r="AY341" s="102"/>
      <c r="AZ341" s="102"/>
      <c r="BA341" s="102"/>
      <c r="BB341" s="102"/>
      <c r="BC341" s="102"/>
      <c r="BD341" s="102"/>
      <c r="BE341" s="102"/>
      <c r="BF341" s="102"/>
      <c r="BG341" s="102"/>
      <c r="BH341" s="102"/>
      <c r="BI341" s="102"/>
      <c r="BJ341" s="102"/>
      <c r="BK341" s="102"/>
      <c r="BL341" s="102"/>
      <c r="BM341" s="102"/>
      <c r="BN341" s="102"/>
      <c r="BO341" s="102"/>
      <c r="BP341" s="102"/>
      <c r="BQ341" s="102"/>
      <c r="BR341" s="102"/>
      <c r="BS341" s="102"/>
      <c r="BT341" s="102"/>
      <c r="BU341" s="102"/>
      <c r="BV341" s="102"/>
      <c r="BW341" s="102"/>
      <c r="BX341" s="102"/>
      <c r="BY341" s="102"/>
      <c r="BZ341" s="102"/>
      <c r="CA341" s="102"/>
      <c r="CB341" s="102"/>
      <c r="CC341" s="122"/>
      <c r="CD341" s="123">
        <f t="shared" si="84"/>
        <v>0</v>
      </c>
      <c r="CE341" s="102">
        <f t="shared" si="85"/>
        <v>0</v>
      </c>
      <c r="CF341" s="102">
        <f t="shared" si="86"/>
        <v>0</v>
      </c>
      <c r="CG341" s="102">
        <f t="shared" si="87"/>
        <v>0</v>
      </c>
      <c r="CH341" s="124">
        <f t="shared" si="88"/>
        <v>0</v>
      </c>
      <c r="CI341" s="125" t="str">
        <f t="shared" si="89"/>
        <v>-</v>
      </c>
      <c r="CJ341" s="126" t="str">
        <f t="shared" si="90"/>
        <v>数据正确</v>
      </c>
    </row>
    <row r="342" s="60" customFormat="1" customHeight="1" spans="2:88">
      <c r="B342" s="70"/>
      <c r="C342" s="71"/>
      <c r="D342" s="181"/>
      <c r="E342" s="181"/>
      <c r="F342" s="181"/>
      <c r="G342" s="181"/>
      <c r="H342" s="181"/>
      <c r="I342" s="181"/>
      <c r="J342" s="86"/>
      <c r="K342" s="87"/>
      <c r="L342" s="88">
        <v>337</v>
      </c>
      <c r="M342" s="89"/>
      <c r="N342" s="90"/>
      <c r="O342" s="265"/>
      <c r="P342" s="91"/>
      <c r="Q342" s="275"/>
      <c r="R342" s="89"/>
      <c r="S342" s="89"/>
      <c r="T342" s="107"/>
      <c r="U342" s="103"/>
      <c r="V342" s="282"/>
      <c r="W342" s="102"/>
      <c r="X342" s="102"/>
      <c r="Y342" s="102"/>
      <c r="Z342" s="102"/>
      <c r="AA342" s="102"/>
      <c r="AB342" s="102"/>
      <c r="AC342" s="102"/>
      <c r="AD342" s="102"/>
      <c r="AE342" s="102"/>
      <c r="AF342" s="102"/>
      <c r="AG342" s="102"/>
      <c r="AH342" s="102"/>
      <c r="AI342" s="102"/>
      <c r="AJ342" s="102"/>
      <c r="AK342" s="102"/>
      <c r="AL342" s="102"/>
      <c r="AM342" s="102"/>
      <c r="AN342" s="102"/>
      <c r="AO342" s="102"/>
      <c r="AP342" s="102"/>
      <c r="AQ342" s="102"/>
      <c r="AR342" s="102"/>
      <c r="AS342" s="102"/>
      <c r="AT342" s="102"/>
      <c r="AU342" s="102"/>
      <c r="AV342" s="102"/>
      <c r="AW342" s="102"/>
      <c r="AX342" s="102"/>
      <c r="AY342" s="102"/>
      <c r="AZ342" s="102"/>
      <c r="BA342" s="102"/>
      <c r="BB342" s="102"/>
      <c r="BC342" s="102"/>
      <c r="BD342" s="102"/>
      <c r="BE342" s="102"/>
      <c r="BF342" s="102"/>
      <c r="BG342" s="102"/>
      <c r="BH342" s="102"/>
      <c r="BI342" s="102"/>
      <c r="BJ342" s="102"/>
      <c r="BK342" s="102"/>
      <c r="BL342" s="102"/>
      <c r="BM342" s="102"/>
      <c r="BN342" s="102"/>
      <c r="BO342" s="102"/>
      <c r="BP342" s="102"/>
      <c r="BQ342" s="102"/>
      <c r="BR342" s="102"/>
      <c r="BS342" s="102"/>
      <c r="BT342" s="102"/>
      <c r="BU342" s="102"/>
      <c r="BV342" s="102"/>
      <c r="BW342" s="102"/>
      <c r="BX342" s="102"/>
      <c r="BY342" s="102"/>
      <c r="BZ342" s="102"/>
      <c r="CA342" s="102"/>
      <c r="CB342" s="102"/>
      <c r="CC342" s="122"/>
      <c r="CD342" s="123">
        <f t="shared" si="84"/>
        <v>0</v>
      </c>
      <c r="CE342" s="102">
        <f t="shared" si="85"/>
        <v>0</v>
      </c>
      <c r="CF342" s="102">
        <f t="shared" si="86"/>
        <v>0</v>
      </c>
      <c r="CG342" s="102">
        <f t="shared" si="87"/>
        <v>0</v>
      </c>
      <c r="CH342" s="124">
        <f t="shared" si="88"/>
        <v>0</v>
      </c>
      <c r="CI342" s="125" t="str">
        <f t="shared" si="89"/>
        <v>-</v>
      </c>
      <c r="CJ342" s="126" t="str">
        <f t="shared" si="90"/>
        <v>数据正确</v>
      </c>
    </row>
    <row r="343" s="60" customFormat="1" customHeight="1" spans="2:88">
      <c r="B343" s="70"/>
      <c r="C343" s="71"/>
      <c r="D343" s="181"/>
      <c r="E343" s="181"/>
      <c r="F343" s="181"/>
      <c r="G343" s="181"/>
      <c r="H343" s="181"/>
      <c r="I343" s="181"/>
      <c r="J343" s="86"/>
      <c r="K343" s="87"/>
      <c r="L343" s="88">
        <v>338</v>
      </c>
      <c r="M343" s="89"/>
      <c r="N343" s="90"/>
      <c r="O343" s="265"/>
      <c r="P343" s="91"/>
      <c r="Q343" s="275"/>
      <c r="R343" s="89"/>
      <c r="S343" s="89"/>
      <c r="T343" s="107"/>
      <c r="U343" s="103"/>
      <c r="V343" s="282"/>
      <c r="W343" s="102"/>
      <c r="X343" s="102"/>
      <c r="Y343" s="102"/>
      <c r="Z343" s="102"/>
      <c r="AA343" s="102"/>
      <c r="AB343" s="102"/>
      <c r="AC343" s="102"/>
      <c r="AD343" s="102"/>
      <c r="AE343" s="102"/>
      <c r="AF343" s="102"/>
      <c r="AG343" s="102"/>
      <c r="AH343" s="102"/>
      <c r="AI343" s="102"/>
      <c r="AJ343" s="102"/>
      <c r="AK343" s="102"/>
      <c r="AL343" s="102"/>
      <c r="AM343" s="102"/>
      <c r="AN343" s="102"/>
      <c r="AO343" s="102"/>
      <c r="AP343" s="102"/>
      <c r="AQ343" s="102"/>
      <c r="AR343" s="102"/>
      <c r="AS343" s="102"/>
      <c r="AT343" s="102"/>
      <c r="AU343" s="102"/>
      <c r="AV343" s="102"/>
      <c r="AW343" s="102"/>
      <c r="AX343" s="102"/>
      <c r="AY343" s="102"/>
      <c r="AZ343" s="102"/>
      <c r="BA343" s="102"/>
      <c r="BB343" s="102"/>
      <c r="BC343" s="102"/>
      <c r="BD343" s="102"/>
      <c r="BE343" s="102"/>
      <c r="BF343" s="102"/>
      <c r="BG343" s="102"/>
      <c r="BH343" s="102"/>
      <c r="BI343" s="102"/>
      <c r="BJ343" s="102"/>
      <c r="BK343" s="102"/>
      <c r="BL343" s="102"/>
      <c r="BM343" s="102"/>
      <c r="BN343" s="102"/>
      <c r="BO343" s="102"/>
      <c r="BP343" s="102"/>
      <c r="BQ343" s="102"/>
      <c r="BR343" s="102"/>
      <c r="BS343" s="102"/>
      <c r="BT343" s="102"/>
      <c r="BU343" s="102"/>
      <c r="BV343" s="102"/>
      <c r="BW343" s="102"/>
      <c r="BX343" s="102"/>
      <c r="BY343" s="102"/>
      <c r="BZ343" s="102"/>
      <c r="CA343" s="102"/>
      <c r="CB343" s="102"/>
      <c r="CC343" s="122"/>
      <c r="CD343" s="123">
        <f t="shared" si="84"/>
        <v>0</v>
      </c>
      <c r="CE343" s="102">
        <f t="shared" si="85"/>
        <v>0</v>
      </c>
      <c r="CF343" s="102">
        <f t="shared" si="86"/>
        <v>0</v>
      </c>
      <c r="CG343" s="102">
        <f t="shared" si="87"/>
        <v>0</v>
      </c>
      <c r="CH343" s="124">
        <f t="shared" si="88"/>
        <v>0</v>
      </c>
      <c r="CI343" s="125" t="str">
        <f t="shared" si="89"/>
        <v>-</v>
      </c>
      <c r="CJ343" s="126" t="str">
        <f t="shared" si="90"/>
        <v>数据正确</v>
      </c>
    </row>
    <row r="344" s="60" customFormat="1" customHeight="1" spans="2:88">
      <c r="B344" s="70"/>
      <c r="C344" s="71"/>
      <c r="D344" s="181"/>
      <c r="E344" s="181"/>
      <c r="F344" s="181"/>
      <c r="G344" s="181"/>
      <c r="H344" s="181"/>
      <c r="I344" s="181"/>
      <c r="J344" s="86"/>
      <c r="K344" s="87"/>
      <c r="L344" s="88">
        <v>339</v>
      </c>
      <c r="M344" s="89"/>
      <c r="N344" s="90"/>
      <c r="O344" s="265"/>
      <c r="P344" s="91"/>
      <c r="Q344" s="275"/>
      <c r="R344" s="89"/>
      <c r="S344" s="89"/>
      <c r="T344" s="107"/>
      <c r="U344" s="103"/>
      <c r="V344" s="282"/>
      <c r="W344" s="102"/>
      <c r="X344" s="102"/>
      <c r="Y344" s="102"/>
      <c r="Z344" s="102"/>
      <c r="AA344" s="102"/>
      <c r="AB344" s="102"/>
      <c r="AC344" s="102"/>
      <c r="AD344" s="102"/>
      <c r="AE344" s="102"/>
      <c r="AF344" s="102"/>
      <c r="AG344" s="102"/>
      <c r="AH344" s="102"/>
      <c r="AI344" s="102"/>
      <c r="AJ344" s="102"/>
      <c r="AK344" s="102"/>
      <c r="AL344" s="102"/>
      <c r="AM344" s="102"/>
      <c r="AN344" s="102"/>
      <c r="AO344" s="102"/>
      <c r="AP344" s="102"/>
      <c r="AQ344" s="102"/>
      <c r="AR344" s="102"/>
      <c r="AS344" s="102"/>
      <c r="AT344" s="102"/>
      <c r="AU344" s="102"/>
      <c r="AV344" s="102"/>
      <c r="AW344" s="102"/>
      <c r="AX344" s="102"/>
      <c r="AY344" s="102"/>
      <c r="AZ344" s="102"/>
      <c r="BA344" s="102"/>
      <c r="BB344" s="102"/>
      <c r="BC344" s="102"/>
      <c r="BD344" s="102"/>
      <c r="BE344" s="102"/>
      <c r="BF344" s="102"/>
      <c r="BG344" s="102"/>
      <c r="BH344" s="102"/>
      <c r="BI344" s="102"/>
      <c r="BJ344" s="102"/>
      <c r="BK344" s="102"/>
      <c r="BL344" s="102"/>
      <c r="BM344" s="102"/>
      <c r="BN344" s="102"/>
      <c r="BO344" s="102"/>
      <c r="BP344" s="102"/>
      <c r="BQ344" s="102"/>
      <c r="BR344" s="102"/>
      <c r="BS344" s="102"/>
      <c r="BT344" s="102"/>
      <c r="BU344" s="102"/>
      <c r="BV344" s="102"/>
      <c r="BW344" s="102"/>
      <c r="BX344" s="102"/>
      <c r="BY344" s="102"/>
      <c r="BZ344" s="102"/>
      <c r="CA344" s="102"/>
      <c r="CB344" s="102"/>
      <c r="CC344" s="122"/>
      <c r="CD344" s="123">
        <f t="shared" si="84"/>
        <v>0</v>
      </c>
      <c r="CE344" s="102">
        <f t="shared" si="85"/>
        <v>0</v>
      </c>
      <c r="CF344" s="102">
        <f t="shared" si="86"/>
        <v>0</v>
      </c>
      <c r="CG344" s="102">
        <f t="shared" si="87"/>
        <v>0</v>
      </c>
      <c r="CH344" s="124">
        <f t="shared" si="88"/>
        <v>0</v>
      </c>
      <c r="CI344" s="125" t="str">
        <f t="shared" si="89"/>
        <v>-</v>
      </c>
      <c r="CJ344" s="126" t="str">
        <f t="shared" si="90"/>
        <v>数据正确</v>
      </c>
    </row>
    <row r="345" s="60" customFormat="1" customHeight="1" spans="2:88">
      <c r="B345" s="70"/>
      <c r="C345" s="71"/>
      <c r="D345" s="181"/>
      <c r="E345" s="181"/>
      <c r="F345" s="181"/>
      <c r="G345" s="181"/>
      <c r="H345" s="181"/>
      <c r="I345" s="181"/>
      <c r="J345" s="86"/>
      <c r="K345" s="87"/>
      <c r="L345" s="88">
        <v>340</v>
      </c>
      <c r="M345" s="89"/>
      <c r="N345" s="90"/>
      <c r="O345" s="265"/>
      <c r="P345" s="91"/>
      <c r="Q345" s="275"/>
      <c r="R345" s="89"/>
      <c r="S345" s="89"/>
      <c r="T345" s="107"/>
      <c r="U345" s="103"/>
      <c r="V345" s="282"/>
      <c r="W345" s="102"/>
      <c r="X345" s="102"/>
      <c r="Y345" s="102"/>
      <c r="Z345" s="102"/>
      <c r="AA345" s="102"/>
      <c r="AB345" s="102"/>
      <c r="AC345" s="102"/>
      <c r="AD345" s="102"/>
      <c r="AE345" s="102"/>
      <c r="AF345" s="102"/>
      <c r="AG345" s="102"/>
      <c r="AH345" s="102"/>
      <c r="AI345" s="102"/>
      <c r="AJ345" s="102"/>
      <c r="AK345" s="102"/>
      <c r="AL345" s="102"/>
      <c r="AM345" s="102"/>
      <c r="AN345" s="102"/>
      <c r="AO345" s="102"/>
      <c r="AP345" s="102"/>
      <c r="AQ345" s="102"/>
      <c r="AR345" s="102"/>
      <c r="AS345" s="102"/>
      <c r="AT345" s="102"/>
      <c r="AU345" s="102"/>
      <c r="AV345" s="102"/>
      <c r="AW345" s="102"/>
      <c r="AX345" s="102"/>
      <c r="AY345" s="102"/>
      <c r="AZ345" s="102"/>
      <c r="BA345" s="102"/>
      <c r="BB345" s="102"/>
      <c r="BC345" s="102"/>
      <c r="BD345" s="102"/>
      <c r="BE345" s="102"/>
      <c r="BF345" s="102"/>
      <c r="BG345" s="102"/>
      <c r="BH345" s="102"/>
      <c r="BI345" s="102"/>
      <c r="BJ345" s="102"/>
      <c r="BK345" s="102"/>
      <c r="BL345" s="102"/>
      <c r="BM345" s="102"/>
      <c r="BN345" s="102"/>
      <c r="BO345" s="102"/>
      <c r="BP345" s="102"/>
      <c r="BQ345" s="102"/>
      <c r="BR345" s="102"/>
      <c r="BS345" s="102"/>
      <c r="BT345" s="102"/>
      <c r="BU345" s="102"/>
      <c r="BV345" s="102"/>
      <c r="BW345" s="102"/>
      <c r="BX345" s="102"/>
      <c r="BY345" s="102"/>
      <c r="BZ345" s="102"/>
      <c r="CA345" s="102"/>
      <c r="CB345" s="102"/>
      <c r="CC345" s="122"/>
      <c r="CD345" s="123">
        <f t="shared" si="84"/>
        <v>0</v>
      </c>
      <c r="CE345" s="102">
        <f t="shared" si="85"/>
        <v>0</v>
      </c>
      <c r="CF345" s="102">
        <f t="shared" si="86"/>
        <v>0</v>
      </c>
      <c r="CG345" s="102">
        <f t="shared" si="87"/>
        <v>0</v>
      </c>
      <c r="CH345" s="124">
        <f t="shared" si="88"/>
        <v>0</v>
      </c>
      <c r="CI345" s="125" t="str">
        <f t="shared" si="89"/>
        <v>-</v>
      </c>
      <c r="CJ345" s="126" t="str">
        <f t="shared" si="90"/>
        <v>数据正确</v>
      </c>
    </row>
    <row r="346" s="60" customFormat="1" customHeight="1" spans="2:88">
      <c r="B346" s="70"/>
      <c r="C346" s="71"/>
      <c r="D346" s="181"/>
      <c r="E346" s="181"/>
      <c r="F346" s="181"/>
      <c r="G346" s="181"/>
      <c r="H346" s="181"/>
      <c r="I346" s="181"/>
      <c r="J346" s="86"/>
      <c r="K346" s="87"/>
      <c r="L346" s="88">
        <v>341</v>
      </c>
      <c r="M346" s="89"/>
      <c r="N346" s="90"/>
      <c r="O346" s="265"/>
      <c r="P346" s="91"/>
      <c r="Q346" s="275"/>
      <c r="R346" s="89"/>
      <c r="S346" s="89"/>
      <c r="T346" s="107"/>
      <c r="U346" s="103"/>
      <c r="V346" s="282"/>
      <c r="W346" s="102"/>
      <c r="X346" s="102"/>
      <c r="Y346" s="102"/>
      <c r="Z346" s="102"/>
      <c r="AA346" s="102"/>
      <c r="AB346" s="102"/>
      <c r="AC346" s="102"/>
      <c r="AD346" s="102"/>
      <c r="AE346" s="102"/>
      <c r="AF346" s="102"/>
      <c r="AG346" s="102"/>
      <c r="AH346" s="102"/>
      <c r="AI346" s="102"/>
      <c r="AJ346" s="102"/>
      <c r="AK346" s="102"/>
      <c r="AL346" s="102"/>
      <c r="AM346" s="102"/>
      <c r="AN346" s="102"/>
      <c r="AO346" s="102"/>
      <c r="AP346" s="102"/>
      <c r="AQ346" s="102"/>
      <c r="AR346" s="102"/>
      <c r="AS346" s="102"/>
      <c r="AT346" s="102"/>
      <c r="AU346" s="102"/>
      <c r="AV346" s="102"/>
      <c r="AW346" s="102"/>
      <c r="AX346" s="102"/>
      <c r="AY346" s="102"/>
      <c r="AZ346" s="102"/>
      <c r="BA346" s="102"/>
      <c r="BB346" s="102"/>
      <c r="BC346" s="102"/>
      <c r="BD346" s="102"/>
      <c r="BE346" s="102"/>
      <c r="BF346" s="102"/>
      <c r="BG346" s="102"/>
      <c r="BH346" s="102"/>
      <c r="BI346" s="102"/>
      <c r="BJ346" s="102"/>
      <c r="BK346" s="102"/>
      <c r="BL346" s="102"/>
      <c r="BM346" s="102"/>
      <c r="BN346" s="102"/>
      <c r="BO346" s="102"/>
      <c r="BP346" s="102"/>
      <c r="BQ346" s="102"/>
      <c r="BR346" s="102"/>
      <c r="BS346" s="102"/>
      <c r="BT346" s="102"/>
      <c r="BU346" s="102"/>
      <c r="BV346" s="102"/>
      <c r="BW346" s="102"/>
      <c r="BX346" s="102"/>
      <c r="BY346" s="102"/>
      <c r="BZ346" s="102"/>
      <c r="CA346" s="102"/>
      <c r="CB346" s="102"/>
      <c r="CC346" s="122"/>
      <c r="CD346" s="123">
        <f t="shared" si="84"/>
        <v>0</v>
      </c>
      <c r="CE346" s="102">
        <f t="shared" si="85"/>
        <v>0</v>
      </c>
      <c r="CF346" s="102">
        <f t="shared" si="86"/>
        <v>0</v>
      </c>
      <c r="CG346" s="102">
        <f t="shared" si="87"/>
        <v>0</v>
      </c>
      <c r="CH346" s="124">
        <f t="shared" si="88"/>
        <v>0</v>
      </c>
      <c r="CI346" s="125" t="str">
        <f t="shared" si="89"/>
        <v>-</v>
      </c>
      <c r="CJ346" s="126" t="str">
        <f t="shared" si="90"/>
        <v>数据正确</v>
      </c>
    </row>
    <row r="347" s="60" customFormat="1" customHeight="1" spans="2:88">
      <c r="B347" s="70"/>
      <c r="C347" s="71"/>
      <c r="D347" s="181"/>
      <c r="E347" s="181"/>
      <c r="F347" s="181"/>
      <c r="G347" s="181"/>
      <c r="H347" s="181"/>
      <c r="I347" s="181"/>
      <c r="J347" s="86"/>
      <c r="K347" s="87"/>
      <c r="L347" s="88">
        <v>342</v>
      </c>
      <c r="M347" s="89"/>
      <c r="N347" s="90"/>
      <c r="O347" s="265"/>
      <c r="P347" s="91"/>
      <c r="Q347" s="275"/>
      <c r="R347" s="89"/>
      <c r="S347" s="89"/>
      <c r="T347" s="107"/>
      <c r="U347" s="103"/>
      <c r="V347" s="282"/>
      <c r="W347" s="102"/>
      <c r="X347" s="102"/>
      <c r="Y347" s="102"/>
      <c r="Z347" s="102"/>
      <c r="AA347" s="102"/>
      <c r="AB347" s="102"/>
      <c r="AC347" s="102"/>
      <c r="AD347" s="102"/>
      <c r="AE347" s="102"/>
      <c r="AF347" s="102"/>
      <c r="AG347" s="102"/>
      <c r="AH347" s="102"/>
      <c r="AI347" s="102"/>
      <c r="AJ347" s="102"/>
      <c r="AK347" s="102"/>
      <c r="AL347" s="102"/>
      <c r="AM347" s="102"/>
      <c r="AN347" s="102"/>
      <c r="AO347" s="102"/>
      <c r="AP347" s="102"/>
      <c r="AQ347" s="102"/>
      <c r="AR347" s="102"/>
      <c r="AS347" s="102"/>
      <c r="AT347" s="102"/>
      <c r="AU347" s="102"/>
      <c r="AV347" s="102"/>
      <c r="AW347" s="102"/>
      <c r="AX347" s="102"/>
      <c r="AY347" s="102"/>
      <c r="AZ347" s="102"/>
      <c r="BA347" s="102"/>
      <c r="BB347" s="102"/>
      <c r="BC347" s="102"/>
      <c r="BD347" s="102"/>
      <c r="BE347" s="102"/>
      <c r="BF347" s="102"/>
      <c r="BG347" s="102"/>
      <c r="BH347" s="102"/>
      <c r="BI347" s="102"/>
      <c r="BJ347" s="102"/>
      <c r="BK347" s="102"/>
      <c r="BL347" s="102"/>
      <c r="BM347" s="102"/>
      <c r="BN347" s="102"/>
      <c r="BO347" s="102"/>
      <c r="BP347" s="102"/>
      <c r="BQ347" s="102"/>
      <c r="BR347" s="102"/>
      <c r="BS347" s="102"/>
      <c r="BT347" s="102"/>
      <c r="BU347" s="102"/>
      <c r="BV347" s="102"/>
      <c r="BW347" s="102"/>
      <c r="BX347" s="102"/>
      <c r="BY347" s="102"/>
      <c r="BZ347" s="102"/>
      <c r="CA347" s="102"/>
      <c r="CB347" s="102"/>
      <c r="CC347" s="122"/>
      <c r="CD347" s="123">
        <f t="shared" si="84"/>
        <v>0</v>
      </c>
      <c r="CE347" s="102">
        <f t="shared" si="85"/>
        <v>0</v>
      </c>
      <c r="CF347" s="102">
        <f t="shared" si="86"/>
        <v>0</v>
      </c>
      <c r="CG347" s="102">
        <f t="shared" si="87"/>
        <v>0</v>
      </c>
      <c r="CH347" s="124">
        <f t="shared" si="88"/>
        <v>0</v>
      </c>
      <c r="CI347" s="125" t="str">
        <f t="shared" si="89"/>
        <v>-</v>
      </c>
      <c r="CJ347" s="126" t="str">
        <f t="shared" si="90"/>
        <v>数据正确</v>
      </c>
    </row>
    <row r="348" s="60" customFormat="1" customHeight="1" spans="2:88">
      <c r="B348" s="70"/>
      <c r="C348" s="71"/>
      <c r="D348" s="181"/>
      <c r="E348" s="181"/>
      <c r="F348" s="181"/>
      <c r="G348" s="181"/>
      <c r="H348" s="181"/>
      <c r="I348" s="181"/>
      <c r="J348" s="86"/>
      <c r="K348" s="87"/>
      <c r="L348" s="88">
        <v>343</v>
      </c>
      <c r="M348" s="89"/>
      <c r="N348" s="90"/>
      <c r="O348" s="265"/>
      <c r="P348" s="91"/>
      <c r="Q348" s="275"/>
      <c r="R348" s="89"/>
      <c r="S348" s="89"/>
      <c r="T348" s="107"/>
      <c r="U348" s="103"/>
      <c r="V348" s="28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2"/>
      <c r="AT348" s="102"/>
      <c r="AU348" s="102"/>
      <c r="AV348" s="102"/>
      <c r="AW348" s="102"/>
      <c r="AX348" s="102"/>
      <c r="AY348" s="102"/>
      <c r="AZ348" s="102"/>
      <c r="BA348" s="102"/>
      <c r="BB348" s="102"/>
      <c r="BC348" s="102"/>
      <c r="BD348" s="102"/>
      <c r="BE348" s="102"/>
      <c r="BF348" s="102"/>
      <c r="BG348" s="102"/>
      <c r="BH348" s="102"/>
      <c r="BI348" s="102"/>
      <c r="BJ348" s="102"/>
      <c r="BK348" s="102"/>
      <c r="BL348" s="102"/>
      <c r="BM348" s="102"/>
      <c r="BN348" s="102"/>
      <c r="BO348" s="102"/>
      <c r="BP348" s="102"/>
      <c r="BQ348" s="102"/>
      <c r="BR348" s="102"/>
      <c r="BS348" s="102"/>
      <c r="BT348" s="102"/>
      <c r="BU348" s="102"/>
      <c r="BV348" s="102"/>
      <c r="BW348" s="102"/>
      <c r="BX348" s="102"/>
      <c r="BY348" s="102"/>
      <c r="BZ348" s="102"/>
      <c r="CA348" s="102"/>
      <c r="CB348" s="102"/>
      <c r="CC348" s="122"/>
      <c r="CD348" s="123">
        <f t="shared" si="84"/>
        <v>0</v>
      </c>
      <c r="CE348" s="102">
        <f t="shared" si="85"/>
        <v>0</v>
      </c>
      <c r="CF348" s="102">
        <f t="shared" si="86"/>
        <v>0</v>
      </c>
      <c r="CG348" s="102">
        <f t="shared" si="87"/>
        <v>0</v>
      </c>
      <c r="CH348" s="124">
        <f t="shared" si="88"/>
        <v>0</v>
      </c>
      <c r="CI348" s="125" t="str">
        <f t="shared" si="89"/>
        <v>-</v>
      </c>
      <c r="CJ348" s="126" t="str">
        <f t="shared" si="90"/>
        <v>数据正确</v>
      </c>
    </row>
    <row r="349" s="60" customFormat="1" customHeight="1" spans="2:88">
      <c r="B349" s="70"/>
      <c r="C349" s="71"/>
      <c r="D349" s="181"/>
      <c r="E349" s="181"/>
      <c r="F349" s="181"/>
      <c r="G349" s="181"/>
      <c r="H349" s="181"/>
      <c r="I349" s="181"/>
      <c r="J349" s="86"/>
      <c r="K349" s="87"/>
      <c r="L349" s="88">
        <v>344</v>
      </c>
      <c r="M349" s="89"/>
      <c r="N349" s="90"/>
      <c r="O349" s="265"/>
      <c r="P349" s="91"/>
      <c r="Q349" s="275"/>
      <c r="R349" s="89"/>
      <c r="S349" s="89"/>
      <c r="T349" s="107"/>
      <c r="U349" s="103"/>
      <c r="V349" s="282"/>
      <c r="W349" s="102"/>
      <c r="X349" s="102"/>
      <c r="Y349" s="102"/>
      <c r="Z349" s="102"/>
      <c r="AA349" s="102"/>
      <c r="AB349" s="102"/>
      <c r="AC349" s="102"/>
      <c r="AD349" s="102"/>
      <c r="AE349" s="102"/>
      <c r="AF349" s="102"/>
      <c r="AG349" s="102"/>
      <c r="AH349" s="102"/>
      <c r="AI349" s="102"/>
      <c r="AJ349" s="102"/>
      <c r="AK349" s="102"/>
      <c r="AL349" s="102"/>
      <c r="AM349" s="102"/>
      <c r="AN349" s="102"/>
      <c r="AO349" s="102"/>
      <c r="AP349" s="102"/>
      <c r="AQ349" s="102"/>
      <c r="AR349" s="102"/>
      <c r="AS349" s="102"/>
      <c r="AT349" s="102"/>
      <c r="AU349" s="102"/>
      <c r="AV349" s="102"/>
      <c r="AW349" s="102"/>
      <c r="AX349" s="102"/>
      <c r="AY349" s="102"/>
      <c r="AZ349" s="102"/>
      <c r="BA349" s="102"/>
      <c r="BB349" s="102"/>
      <c r="BC349" s="102"/>
      <c r="BD349" s="102"/>
      <c r="BE349" s="102"/>
      <c r="BF349" s="102"/>
      <c r="BG349" s="102"/>
      <c r="BH349" s="102"/>
      <c r="BI349" s="102"/>
      <c r="BJ349" s="102"/>
      <c r="BK349" s="102"/>
      <c r="BL349" s="102"/>
      <c r="BM349" s="102"/>
      <c r="BN349" s="102"/>
      <c r="BO349" s="102"/>
      <c r="BP349" s="102"/>
      <c r="BQ349" s="102"/>
      <c r="BR349" s="102"/>
      <c r="BS349" s="102"/>
      <c r="BT349" s="102"/>
      <c r="BU349" s="102"/>
      <c r="BV349" s="102"/>
      <c r="BW349" s="102"/>
      <c r="BX349" s="102"/>
      <c r="BY349" s="102"/>
      <c r="BZ349" s="102"/>
      <c r="CA349" s="102"/>
      <c r="CB349" s="102"/>
      <c r="CC349" s="122"/>
      <c r="CD349" s="123">
        <f t="shared" si="84"/>
        <v>0</v>
      </c>
      <c r="CE349" s="102">
        <f t="shared" si="85"/>
        <v>0</v>
      </c>
      <c r="CF349" s="102">
        <f t="shared" si="86"/>
        <v>0</v>
      </c>
      <c r="CG349" s="102">
        <f t="shared" si="87"/>
        <v>0</v>
      </c>
      <c r="CH349" s="124">
        <f t="shared" si="88"/>
        <v>0</v>
      </c>
      <c r="CI349" s="125" t="str">
        <f t="shared" si="89"/>
        <v>-</v>
      </c>
      <c r="CJ349" s="126" t="str">
        <f t="shared" si="90"/>
        <v>数据正确</v>
      </c>
    </row>
  </sheetData>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86"/>
  <sheetViews>
    <sheetView workbookViewId="0">
      <pane ySplit="5" topLeftCell="A6" activePane="bottomLeft" state="frozen"/>
      <selection/>
      <selection pane="bottomLeft" activeCell="F73" sqref="F73"/>
    </sheetView>
  </sheetViews>
  <sheetFormatPr defaultColWidth="9" defaultRowHeight="18" customHeight="1"/>
  <cols>
    <col min="1" max="1" width="4.125" customWidth="1"/>
    <col min="2" max="2" width="5.125" style="61" customWidth="1"/>
    <col min="3" max="3" width="5.25" customWidth="1"/>
    <col min="4" max="4" width="12.125" style="233" customWidth="1"/>
    <col min="5" max="5" width="11" style="233" customWidth="1"/>
    <col min="6" max="7" width="9" style="233" customWidth="1"/>
    <col min="8" max="8" width="7.875" style="233" customWidth="1"/>
    <col min="9" max="9" width="12.5" style="233" customWidth="1"/>
    <col min="10" max="10" width="5.875" customWidth="1"/>
    <col min="11" max="11" width="0.75" style="60" customWidth="1"/>
    <col min="12" max="12" width="5.25" customWidth="1"/>
    <col min="13" max="13" width="11.25" customWidth="1"/>
    <col min="14" max="14" width="11.125"/>
    <col min="15" max="15" width="10.125"/>
    <col min="16" max="16" width="11.25" customWidth="1"/>
    <col min="17" max="17" width="16" customWidth="1"/>
    <col min="18" max="18" width="22.5" customWidth="1"/>
    <col min="19" max="19" width="26.875" customWidth="1"/>
    <col min="20" max="20" width="11.125"/>
    <col min="21" max="21" width="15.5" customWidth="1"/>
    <col min="22" max="22" width="17.625" customWidth="1"/>
    <col min="23" max="25" width="16" customWidth="1"/>
    <col min="26" max="26" width="12.875" customWidth="1"/>
    <col min="27" max="27" width="16" customWidth="1"/>
    <col min="28" max="29" width="15" customWidth="1"/>
    <col min="30" max="30" width="16.75" customWidth="1"/>
    <col min="31" max="31" width="16" customWidth="1"/>
    <col min="32" max="33" width="15" customWidth="1"/>
    <col min="34" max="34" width="11.75" customWidth="1"/>
    <col min="35" max="37" width="15" customWidth="1"/>
    <col min="38" max="38" width="13.125" customWidth="1"/>
    <col min="39" max="39" width="16" customWidth="1"/>
    <col min="40" max="41" width="15" customWidth="1"/>
    <col min="42" max="42" width="12.375" customWidth="1"/>
    <col min="43" max="43" width="16" customWidth="1"/>
    <col min="44" max="45" width="15" customWidth="1"/>
    <col min="46" max="46" width="12.25" customWidth="1"/>
    <col min="47" max="47" width="15" customWidth="1"/>
    <col min="48" max="49" width="14" customWidth="1"/>
    <col min="50" max="50" width="12.875" customWidth="1"/>
    <col min="51" max="51" width="15" customWidth="1"/>
    <col min="52" max="53" width="9.625" customWidth="1"/>
    <col min="54" max="54" width="11.375" customWidth="1"/>
    <col min="55" max="55" width="14" customWidth="1"/>
    <col min="56" max="57" width="9.625" customWidth="1"/>
    <col min="58" max="58" width="7.125" customWidth="1"/>
    <col min="59" max="59" width="14" customWidth="1"/>
    <col min="60" max="61" width="9.625" customWidth="1"/>
    <col min="62" max="62" width="7.125" customWidth="1"/>
    <col min="63" max="63" width="14" customWidth="1"/>
    <col min="64" max="65" width="9.625" customWidth="1"/>
    <col min="66" max="66" width="7.125" customWidth="1"/>
    <col min="67" max="67" width="14" customWidth="1"/>
    <col min="68" max="69" width="9.625" customWidth="1"/>
    <col min="70" max="70" width="7.125" customWidth="1"/>
    <col min="71" max="71" width="8" customWidth="1"/>
    <col min="72" max="73" width="9.625" customWidth="1"/>
    <col min="74" max="74" width="7.125" customWidth="1"/>
    <col min="75" max="75" width="8" customWidth="1"/>
    <col min="76" max="77" width="9.625" customWidth="1"/>
    <col min="78" max="78" width="7.125" customWidth="1"/>
    <col min="79" max="79" width="8" customWidth="1"/>
    <col min="80" max="81" width="9.625" customWidth="1"/>
    <col min="82" max="84" width="16" customWidth="1"/>
    <col min="85" max="85" width="14" customWidth="1"/>
    <col min="86" max="86" width="16" customWidth="1"/>
    <col min="87" max="87" width="9.25"/>
  </cols>
  <sheetData>
    <row r="1" s="232" customFormat="1" ht="4" customHeight="1" spans="4:81">
      <c r="D1" s="234"/>
      <c r="E1" s="234"/>
      <c r="F1" s="234"/>
      <c r="G1" s="234"/>
      <c r="H1" s="234"/>
      <c r="I1" s="234"/>
      <c r="K1" s="236"/>
      <c r="L1" s="232">
        <v>1</v>
      </c>
      <c r="M1" s="232">
        <v>2</v>
      </c>
      <c r="N1" s="232">
        <v>3</v>
      </c>
      <c r="O1" s="232">
        <v>4</v>
      </c>
      <c r="P1" s="232">
        <v>5</v>
      </c>
      <c r="Q1" s="232">
        <v>6</v>
      </c>
      <c r="R1" s="232">
        <v>7</v>
      </c>
      <c r="S1" s="232">
        <v>8</v>
      </c>
      <c r="T1" s="232">
        <v>9</v>
      </c>
      <c r="U1" s="232">
        <v>10</v>
      </c>
      <c r="V1" s="232">
        <v>11</v>
      </c>
      <c r="W1" s="232">
        <v>12</v>
      </c>
      <c r="X1" s="232">
        <v>13</v>
      </c>
      <c r="Y1" s="232">
        <v>14</v>
      </c>
      <c r="Z1" s="232">
        <v>15</v>
      </c>
      <c r="AA1" s="232">
        <v>16</v>
      </c>
      <c r="AB1" s="232">
        <v>17</v>
      </c>
      <c r="AC1" s="232">
        <v>18</v>
      </c>
      <c r="AD1" s="232">
        <v>19</v>
      </c>
      <c r="AE1" s="232">
        <v>20</v>
      </c>
      <c r="AF1" s="232">
        <v>21</v>
      </c>
      <c r="AG1" s="232">
        <v>22</v>
      </c>
      <c r="AH1" s="232">
        <v>23</v>
      </c>
      <c r="AI1" s="232">
        <v>24</v>
      </c>
      <c r="AJ1" s="232">
        <v>25</v>
      </c>
      <c r="AK1" s="232">
        <v>26</v>
      </c>
      <c r="AL1" s="232">
        <v>27</v>
      </c>
      <c r="AM1" s="232">
        <v>28</v>
      </c>
      <c r="AN1" s="232">
        <v>29</v>
      </c>
      <c r="AO1" s="232">
        <v>30</v>
      </c>
      <c r="AP1" s="232">
        <v>31</v>
      </c>
      <c r="AQ1" s="232">
        <v>32</v>
      </c>
      <c r="AR1" s="232">
        <v>33</v>
      </c>
      <c r="AS1" s="232">
        <v>34</v>
      </c>
      <c r="AT1" s="232">
        <v>35</v>
      </c>
      <c r="AU1" s="232">
        <v>36</v>
      </c>
      <c r="AV1" s="232">
        <v>37</v>
      </c>
      <c r="AW1" s="232">
        <v>38</v>
      </c>
      <c r="AX1" s="232">
        <v>39</v>
      </c>
      <c r="AY1" s="232">
        <v>40</v>
      </c>
      <c r="AZ1" s="232">
        <v>41</v>
      </c>
      <c r="BA1" s="232">
        <v>42</v>
      </c>
      <c r="BB1" s="232">
        <v>43</v>
      </c>
      <c r="BC1" s="232">
        <v>44</v>
      </c>
      <c r="BD1" s="232">
        <v>45</v>
      </c>
      <c r="BE1" s="232">
        <v>46</v>
      </c>
      <c r="BF1" s="232">
        <v>47</v>
      </c>
      <c r="BG1" s="232">
        <v>48</v>
      </c>
      <c r="BH1" s="232">
        <v>49</v>
      </c>
      <c r="BI1" s="232">
        <v>50</v>
      </c>
      <c r="BJ1" s="232">
        <v>51</v>
      </c>
      <c r="BK1" s="232">
        <v>52</v>
      </c>
      <c r="BL1" s="232">
        <v>53</v>
      </c>
      <c r="BM1" s="232">
        <v>54</v>
      </c>
      <c r="BN1" s="232">
        <v>55</v>
      </c>
      <c r="BO1" s="232">
        <v>56</v>
      </c>
      <c r="BP1" s="232">
        <v>57</v>
      </c>
      <c r="BQ1" s="232">
        <v>58</v>
      </c>
      <c r="BR1" s="232">
        <v>59</v>
      </c>
      <c r="BS1" s="232">
        <v>60</v>
      </c>
      <c r="BT1" s="232">
        <v>61</v>
      </c>
      <c r="BU1" s="232">
        <v>62</v>
      </c>
      <c r="BV1" s="232">
        <v>63</v>
      </c>
      <c r="BW1" s="232">
        <v>64</v>
      </c>
      <c r="BX1" s="232">
        <v>65</v>
      </c>
      <c r="BY1" s="232">
        <v>66</v>
      </c>
      <c r="BZ1" s="232">
        <v>67</v>
      </c>
      <c r="CA1" s="232">
        <v>68</v>
      </c>
      <c r="CB1" s="232">
        <v>69</v>
      </c>
      <c r="CC1" s="232">
        <v>70</v>
      </c>
    </row>
    <row r="2" s="57" customFormat="1" customHeight="1" spans="2:88">
      <c r="B2" s="62" t="s">
        <v>99</v>
      </c>
      <c r="C2" s="63"/>
      <c r="D2" s="177"/>
      <c r="E2" s="177"/>
      <c r="F2" s="177"/>
      <c r="G2" s="177"/>
      <c r="H2" s="177"/>
      <c r="I2" s="177"/>
      <c r="J2" s="73"/>
      <c r="K2" s="74"/>
      <c r="L2" s="75" t="s">
        <v>100</v>
      </c>
      <c r="M2" s="76"/>
      <c r="N2" s="76"/>
      <c r="O2" s="76"/>
      <c r="P2" s="76"/>
      <c r="Q2" s="76"/>
      <c r="R2" s="76"/>
      <c r="S2" s="76"/>
      <c r="T2" s="76"/>
      <c r="U2" s="92"/>
      <c r="V2" s="93" t="s">
        <v>101</v>
      </c>
      <c r="W2" s="94"/>
      <c r="X2" s="94"/>
      <c r="Y2" s="94"/>
      <c r="Z2" s="93" t="s">
        <v>101</v>
      </c>
      <c r="AA2" s="94"/>
      <c r="AB2" s="94"/>
      <c r="AC2" s="94"/>
      <c r="AD2" s="93" t="s">
        <v>101</v>
      </c>
      <c r="AE2" s="94"/>
      <c r="AF2" s="94"/>
      <c r="AG2" s="94"/>
      <c r="AH2" s="93" t="s">
        <v>101</v>
      </c>
      <c r="AI2" s="94"/>
      <c r="AJ2" s="94"/>
      <c r="AK2" s="94"/>
      <c r="AL2" s="93" t="s">
        <v>101</v>
      </c>
      <c r="AM2" s="94"/>
      <c r="AN2" s="94"/>
      <c r="AO2" s="94"/>
      <c r="AP2" s="93" t="s">
        <v>101</v>
      </c>
      <c r="AQ2" s="94"/>
      <c r="AR2" s="94"/>
      <c r="AS2" s="94"/>
      <c r="AT2" s="93" t="s">
        <v>101</v>
      </c>
      <c r="AU2" s="94"/>
      <c r="AV2" s="94"/>
      <c r="AW2" s="94"/>
      <c r="AX2" s="93" t="s">
        <v>101</v>
      </c>
      <c r="AY2" s="94"/>
      <c r="AZ2" s="94"/>
      <c r="BA2" s="94"/>
      <c r="BB2" s="93" t="s">
        <v>101</v>
      </c>
      <c r="BC2" s="94"/>
      <c r="BD2" s="94"/>
      <c r="BE2" s="94"/>
      <c r="BF2" s="93" t="s">
        <v>101</v>
      </c>
      <c r="BG2" s="94"/>
      <c r="BH2" s="94"/>
      <c r="BI2" s="94"/>
      <c r="BJ2" s="93" t="s">
        <v>101</v>
      </c>
      <c r="BK2" s="94"/>
      <c r="BL2" s="94"/>
      <c r="BM2" s="94"/>
      <c r="BN2" s="93" t="s">
        <v>101</v>
      </c>
      <c r="BO2" s="94"/>
      <c r="BP2" s="94"/>
      <c r="BQ2" s="94"/>
      <c r="BR2" s="93" t="s">
        <v>101</v>
      </c>
      <c r="BS2" s="94"/>
      <c r="BT2" s="94"/>
      <c r="BU2" s="94"/>
      <c r="BV2" s="93" t="s">
        <v>101</v>
      </c>
      <c r="BW2" s="94"/>
      <c r="BX2" s="94"/>
      <c r="BY2" s="94"/>
      <c r="BZ2" s="93" t="s">
        <v>101</v>
      </c>
      <c r="CA2" s="94"/>
      <c r="CB2" s="94"/>
      <c r="CC2" s="94"/>
      <c r="CD2" s="109" t="s">
        <v>56</v>
      </c>
      <c r="CE2" s="110"/>
      <c r="CF2" s="110"/>
      <c r="CG2" s="110"/>
      <c r="CH2" s="110"/>
      <c r="CI2" s="110"/>
      <c r="CJ2" s="111"/>
    </row>
    <row r="3" s="58" customFormat="1" ht="20" customHeight="1" spans="2:88">
      <c r="B3" s="64" t="s">
        <v>57</v>
      </c>
      <c r="C3" s="65" t="s">
        <v>58</v>
      </c>
      <c r="D3" s="178" t="s">
        <v>17</v>
      </c>
      <c r="E3" s="178" t="s">
        <v>59</v>
      </c>
      <c r="F3" s="178" t="s">
        <v>60</v>
      </c>
      <c r="G3" s="178" t="s">
        <v>61</v>
      </c>
      <c r="H3" s="178" t="s">
        <v>62</v>
      </c>
      <c r="I3" s="178" t="s">
        <v>63</v>
      </c>
      <c r="J3" s="77" t="s">
        <v>64</v>
      </c>
      <c r="K3" s="78"/>
      <c r="L3" s="79" t="s">
        <v>65</v>
      </c>
      <c r="M3" s="80" t="s">
        <v>65</v>
      </c>
      <c r="N3" s="80" t="s">
        <v>14</v>
      </c>
      <c r="O3" s="80" t="s">
        <v>66</v>
      </c>
      <c r="P3" s="81" t="s">
        <v>67</v>
      </c>
      <c r="Q3" s="85" t="s">
        <v>44</v>
      </c>
      <c r="R3" s="80" t="s">
        <v>68</v>
      </c>
      <c r="S3" s="80" t="s">
        <v>69</v>
      </c>
      <c r="T3" s="80" t="s">
        <v>70</v>
      </c>
      <c r="U3" s="95" t="s">
        <v>71</v>
      </c>
      <c r="V3" s="96" t="s">
        <v>72</v>
      </c>
      <c r="W3" s="97"/>
      <c r="X3" s="97"/>
      <c r="Y3" s="97"/>
      <c r="Z3" s="97" t="s">
        <v>73</v>
      </c>
      <c r="AA3" s="97"/>
      <c r="AB3" s="97"/>
      <c r="AC3" s="97"/>
      <c r="AD3" s="97" t="s">
        <v>74</v>
      </c>
      <c r="AE3" s="97"/>
      <c r="AF3" s="97"/>
      <c r="AG3" s="97"/>
      <c r="AH3" s="97" t="s">
        <v>75</v>
      </c>
      <c r="AI3" s="97"/>
      <c r="AJ3" s="97"/>
      <c r="AK3" s="97"/>
      <c r="AL3" s="97" t="s">
        <v>76</v>
      </c>
      <c r="AM3" s="97"/>
      <c r="AN3" s="97"/>
      <c r="AO3" s="97"/>
      <c r="AP3" s="97" t="s">
        <v>77</v>
      </c>
      <c r="AQ3" s="97"/>
      <c r="AR3" s="97"/>
      <c r="AS3" s="97"/>
      <c r="AT3" s="97" t="s">
        <v>78</v>
      </c>
      <c r="AU3" s="97"/>
      <c r="AV3" s="97"/>
      <c r="AW3" s="97"/>
      <c r="AX3" s="97" t="s">
        <v>79</v>
      </c>
      <c r="AY3" s="97"/>
      <c r="AZ3" s="97"/>
      <c r="BA3" s="97"/>
      <c r="BB3" s="97" t="s">
        <v>80</v>
      </c>
      <c r="BC3" s="97"/>
      <c r="BD3" s="97"/>
      <c r="BE3" s="97"/>
      <c r="BF3" s="97" t="s">
        <v>81</v>
      </c>
      <c r="BG3" s="97"/>
      <c r="BH3" s="97"/>
      <c r="BI3" s="97"/>
      <c r="BJ3" s="97" t="s">
        <v>82</v>
      </c>
      <c r="BK3" s="97"/>
      <c r="BL3" s="97"/>
      <c r="BM3" s="97"/>
      <c r="BN3" s="97" t="s">
        <v>83</v>
      </c>
      <c r="BO3" s="97"/>
      <c r="BP3" s="97"/>
      <c r="BQ3" s="97"/>
      <c r="BR3" s="97" t="s">
        <v>84</v>
      </c>
      <c r="BS3" s="97"/>
      <c r="BT3" s="97"/>
      <c r="BU3" s="97"/>
      <c r="BV3" s="97" t="s">
        <v>85</v>
      </c>
      <c r="BW3" s="97"/>
      <c r="BX3" s="97"/>
      <c r="BY3" s="97"/>
      <c r="BZ3" s="97" t="s">
        <v>86</v>
      </c>
      <c r="CA3" s="97"/>
      <c r="CB3" s="97"/>
      <c r="CC3" s="112"/>
      <c r="CD3" s="113" t="s">
        <v>87</v>
      </c>
      <c r="CE3" s="114" t="s">
        <v>88</v>
      </c>
      <c r="CF3" s="85" t="s">
        <v>17</v>
      </c>
      <c r="CG3" s="85" t="s">
        <v>90</v>
      </c>
      <c r="CH3" s="85" t="s">
        <v>91</v>
      </c>
      <c r="CI3" s="114" t="s">
        <v>24</v>
      </c>
      <c r="CJ3" s="115" t="s">
        <v>92</v>
      </c>
    </row>
    <row r="4" s="58" customFormat="1" ht="20" customHeight="1" spans="2:88">
      <c r="B4" s="64"/>
      <c r="C4" s="65"/>
      <c r="D4" s="178"/>
      <c r="E4" s="178"/>
      <c r="F4" s="178"/>
      <c r="G4" s="178"/>
      <c r="H4" s="178"/>
      <c r="I4" s="178"/>
      <c r="J4" s="77"/>
      <c r="K4" s="78"/>
      <c r="L4" s="79"/>
      <c r="M4" s="80"/>
      <c r="N4" s="80"/>
      <c r="O4" s="80"/>
      <c r="P4" s="81"/>
      <c r="Q4" s="85"/>
      <c r="R4" s="80"/>
      <c r="S4" s="80"/>
      <c r="T4" s="80"/>
      <c r="U4" s="95"/>
      <c r="V4" s="98" t="s">
        <v>93</v>
      </c>
      <c r="W4" s="99" t="s">
        <v>94</v>
      </c>
      <c r="X4" s="99" t="s">
        <v>95</v>
      </c>
      <c r="Y4" s="99" t="s">
        <v>96</v>
      </c>
      <c r="Z4" s="106" t="s">
        <v>93</v>
      </c>
      <c r="AA4" s="99" t="s">
        <v>94</v>
      </c>
      <c r="AB4" s="99" t="s">
        <v>95</v>
      </c>
      <c r="AC4" s="99" t="s">
        <v>96</v>
      </c>
      <c r="AD4" s="106" t="s">
        <v>93</v>
      </c>
      <c r="AE4" s="99" t="s">
        <v>94</v>
      </c>
      <c r="AF4" s="99" t="s">
        <v>95</v>
      </c>
      <c r="AG4" s="99" t="s">
        <v>96</v>
      </c>
      <c r="AH4" s="106" t="s">
        <v>93</v>
      </c>
      <c r="AI4" s="99" t="s">
        <v>94</v>
      </c>
      <c r="AJ4" s="99" t="s">
        <v>95</v>
      </c>
      <c r="AK4" s="99" t="s">
        <v>96</v>
      </c>
      <c r="AL4" s="106" t="s">
        <v>93</v>
      </c>
      <c r="AM4" s="99" t="s">
        <v>94</v>
      </c>
      <c r="AN4" s="99" t="s">
        <v>95</v>
      </c>
      <c r="AO4" s="99" t="s">
        <v>96</v>
      </c>
      <c r="AP4" s="106" t="s">
        <v>93</v>
      </c>
      <c r="AQ4" s="99" t="s">
        <v>94</v>
      </c>
      <c r="AR4" s="99" t="s">
        <v>95</v>
      </c>
      <c r="AS4" s="99" t="s">
        <v>96</v>
      </c>
      <c r="AT4" s="106" t="s">
        <v>93</v>
      </c>
      <c r="AU4" s="99" t="s">
        <v>94</v>
      </c>
      <c r="AV4" s="99" t="s">
        <v>95</v>
      </c>
      <c r="AW4" s="99" t="s">
        <v>96</v>
      </c>
      <c r="AX4" s="106" t="s">
        <v>93</v>
      </c>
      <c r="AY4" s="99" t="s">
        <v>94</v>
      </c>
      <c r="AZ4" s="99" t="s">
        <v>95</v>
      </c>
      <c r="BA4" s="99" t="s">
        <v>96</v>
      </c>
      <c r="BB4" s="106" t="s">
        <v>93</v>
      </c>
      <c r="BC4" s="99" t="s">
        <v>94</v>
      </c>
      <c r="BD4" s="99" t="s">
        <v>95</v>
      </c>
      <c r="BE4" s="99" t="s">
        <v>96</v>
      </c>
      <c r="BF4" s="106" t="s">
        <v>93</v>
      </c>
      <c r="BG4" s="99" t="s">
        <v>94</v>
      </c>
      <c r="BH4" s="99" t="s">
        <v>95</v>
      </c>
      <c r="BI4" s="99" t="s">
        <v>96</v>
      </c>
      <c r="BJ4" s="106" t="s">
        <v>93</v>
      </c>
      <c r="BK4" s="99" t="s">
        <v>94</v>
      </c>
      <c r="BL4" s="99" t="s">
        <v>95</v>
      </c>
      <c r="BM4" s="99" t="s">
        <v>96</v>
      </c>
      <c r="BN4" s="106" t="s">
        <v>93</v>
      </c>
      <c r="BO4" s="99" t="s">
        <v>94</v>
      </c>
      <c r="BP4" s="99" t="s">
        <v>95</v>
      </c>
      <c r="BQ4" s="99" t="s">
        <v>96</v>
      </c>
      <c r="BR4" s="106" t="s">
        <v>93</v>
      </c>
      <c r="BS4" s="99" t="s">
        <v>94</v>
      </c>
      <c r="BT4" s="99" t="s">
        <v>95</v>
      </c>
      <c r="BU4" s="99" t="s">
        <v>96</v>
      </c>
      <c r="BV4" s="106" t="s">
        <v>93</v>
      </c>
      <c r="BW4" s="99" t="s">
        <v>94</v>
      </c>
      <c r="BX4" s="99" t="s">
        <v>95</v>
      </c>
      <c r="BY4" s="99" t="s">
        <v>96</v>
      </c>
      <c r="BZ4" s="106" t="s">
        <v>93</v>
      </c>
      <c r="CA4" s="99" t="s">
        <v>94</v>
      </c>
      <c r="CB4" s="99" t="s">
        <v>95</v>
      </c>
      <c r="CC4" s="116" t="s">
        <v>96</v>
      </c>
      <c r="CD4" s="113"/>
      <c r="CE4" s="114"/>
      <c r="CF4" s="85"/>
      <c r="CG4" s="85"/>
      <c r="CH4" s="85"/>
      <c r="CI4" s="114"/>
      <c r="CJ4" s="115"/>
    </row>
    <row r="5" s="59" customFormat="1" customHeight="1" spans="2:88">
      <c r="B5" s="67" t="s">
        <v>97</v>
      </c>
      <c r="C5" s="68" t="s">
        <v>35</v>
      </c>
      <c r="D5" s="179">
        <f t="shared" ref="D5:I5" si="0">IF(ISERROR(SUM(D6:D300)/2),"-",SUM(D6:D3002))</f>
        <v>204938219.866</v>
      </c>
      <c r="E5" s="179">
        <f t="shared" si="0"/>
        <v>2883600</v>
      </c>
      <c r="F5" s="179">
        <f t="shared" si="0"/>
        <v>263360</v>
      </c>
      <c r="G5" s="179">
        <f t="shared" si="0"/>
        <v>412771.5</v>
      </c>
      <c r="H5" s="179">
        <f t="shared" si="0"/>
        <v>5000</v>
      </c>
      <c r="I5" s="179">
        <f t="shared" si="0"/>
        <v>64699748</v>
      </c>
      <c r="J5" s="82" t="s">
        <v>97</v>
      </c>
      <c r="K5" s="83"/>
      <c r="L5" s="84" t="s">
        <v>35</v>
      </c>
      <c r="M5" s="85"/>
      <c r="N5" s="85">
        <v>0</v>
      </c>
      <c r="O5" s="85">
        <v>0</v>
      </c>
      <c r="P5" s="85">
        <v>0</v>
      </c>
      <c r="Q5" s="85">
        <f>IF(ISERROR(SUM(Q6:Q300)/2),"-",SUM(Q6:Q300)/2)</f>
        <v>798380000</v>
      </c>
      <c r="R5" s="85">
        <f t="shared" ref="R5:AW5" si="1">IF(ISERROR(SUM(R6:R300)/2),"-",SUM(R6:R300)/2)</f>
        <v>0</v>
      </c>
      <c r="S5" s="85">
        <f t="shared" si="1"/>
        <v>0</v>
      </c>
      <c r="T5" s="85">
        <f t="shared" si="1"/>
        <v>0</v>
      </c>
      <c r="U5" s="85">
        <f t="shared" si="1"/>
        <v>0</v>
      </c>
      <c r="V5" s="85">
        <f t="shared" si="1"/>
        <v>0</v>
      </c>
      <c r="W5" s="85">
        <f t="shared" si="1"/>
        <v>165986965.1</v>
      </c>
      <c r="X5" s="85">
        <f t="shared" si="1"/>
        <v>41183168.8</v>
      </c>
      <c r="Y5" s="85">
        <f t="shared" si="1"/>
        <v>36229768.8</v>
      </c>
      <c r="Z5" s="85">
        <f t="shared" si="1"/>
        <v>0</v>
      </c>
      <c r="AA5" s="85">
        <f t="shared" si="1"/>
        <v>51792198.9</v>
      </c>
      <c r="AB5" s="85">
        <f t="shared" si="1"/>
        <v>19150927.683</v>
      </c>
      <c r="AC5" s="85">
        <f t="shared" si="1"/>
        <v>17613399.933</v>
      </c>
      <c r="AD5" s="85">
        <f t="shared" si="1"/>
        <v>0</v>
      </c>
      <c r="AE5" s="85">
        <f t="shared" si="1"/>
        <v>270191280.75</v>
      </c>
      <c r="AF5" s="85">
        <f t="shared" si="1"/>
        <v>11217109.6</v>
      </c>
      <c r="AG5" s="85">
        <f t="shared" si="1"/>
        <v>11159707.5</v>
      </c>
      <c r="AH5" s="85">
        <f t="shared" si="1"/>
        <v>0</v>
      </c>
      <c r="AI5" s="85">
        <f t="shared" si="1"/>
        <v>68390816.15</v>
      </c>
      <c r="AJ5" s="85">
        <f t="shared" si="1"/>
        <v>13543539</v>
      </c>
      <c r="AK5" s="85">
        <f t="shared" si="1"/>
        <v>13543614.1</v>
      </c>
      <c r="AL5" s="85">
        <f t="shared" si="1"/>
        <v>0</v>
      </c>
      <c r="AM5" s="85">
        <f t="shared" si="1"/>
        <v>83360118.7</v>
      </c>
      <c r="AN5" s="85">
        <f t="shared" si="1"/>
        <v>23990730.6</v>
      </c>
      <c r="AO5" s="85">
        <f t="shared" si="1"/>
        <v>23922619.6</v>
      </c>
      <c r="AP5" s="85">
        <f t="shared" si="1"/>
        <v>0</v>
      </c>
      <c r="AQ5" s="85">
        <f t="shared" si="1"/>
        <v>51863918.7</v>
      </c>
      <c r="AR5" s="85">
        <f t="shared" si="1"/>
        <v>27515874</v>
      </c>
      <c r="AS5" s="85">
        <f t="shared" si="1"/>
        <v>0</v>
      </c>
      <c r="AT5" s="85">
        <f t="shared" si="1"/>
        <v>0</v>
      </c>
      <c r="AU5" s="85">
        <f t="shared" si="1"/>
        <v>48488541.7</v>
      </c>
      <c r="AV5" s="85">
        <f t="shared" si="1"/>
        <v>0</v>
      </c>
      <c r="AW5" s="85">
        <f t="shared" si="1"/>
        <v>0</v>
      </c>
      <c r="AX5" s="85">
        <f t="shared" ref="AX5:CC5" si="2">IF(ISERROR(SUM(AX6:AX300)/2),"-",SUM(AX6:AX300)/2)</f>
        <v>0</v>
      </c>
      <c r="AY5" s="85">
        <f t="shared" si="2"/>
        <v>38383100</v>
      </c>
      <c r="AZ5" s="85">
        <f t="shared" si="2"/>
        <v>0</v>
      </c>
      <c r="BA5" s="85">
        <f t="shared" si="2"/>
        <v>0</v>
      </c>
      <c r="BB5" s="85">
        <f t="shared" si="2"/>
        <v>0</v>
      </c>
      <c r="BC5" s="85">
        <f t="shared" si="2"/>
        <v>8622370</v>
      </c>
      <c r="BD5" s="85">
        <f t="shared" si="2"/>
        <v>0</v>
      </c>
      <c r="BE5" s="85">
        <f t="shared" si="2"/>
        <v>0</v>
      </c>
      <c r="BF5" s="85">
        <f t="shared" si="2"/>
        <v>0</v>
      </c>
      <c r="BG5" s="85">
        <f t="shared" si="2"/>
        <v>8622370</v>
      </c>
      <c r="BH5" s="85">
        <f t="shared" si="2"/>
        <v>0</v>
      </c>
      <c r="BI5" s="85">
        <f t="shared" si="2"/>
        <v>0</v>
      </c>
      <c r="BJ5" s="85">
        <f t="shared" si="2"/>
        <v>0</v>
      </c>
      <c r="BK5" s="85">
        <f t="shared" si="2"/>
        <v>1339160</v>
      </c>
      <c r="BL5" s="85">
        <f t="shared" si="2"/>
        <v>0</v>
      </c>
      <c r="BM5" s="85">
        <f t="shared" si="2"/>
        <v>0</v>
      </c>
      <c r="BN5" s="85">
        <f t="shared" si="2"/>
        <v>0</v>
      </c>
      <c r="BO5" s="85">
        <f t="shared" si="2"/>
        <v>1339160</v>
      </c>
      <c r="BP5" s="85">
        <f t="shared" si="2"/>
        <v>0</v>
      </c>
      <c r="BQ5" s="85">
        <f t="shared" si="2"/>
        <v>0</v>
      </c>
      <c r="BR5" s="85">
        <f t="shared" si="2"/>
        <v>0</v>
      </c>
      <c r="BS5" s="85">
        <f t="shared" si="2"/>
        <v>0</v>
      </c>
      <c r="BT5" s="85">
        <f t="shared" si="2"/>
        <v>0</v>
      </c>
      <c r="BU5" s="85">
        <f t="shared" si="2"/>
        <v>0</v>
      </c>
      <c r="BV5" s="85">
        <f t="shared" si="2"/>
        <v>0</v>
      </c>
      <c r="BW5" s="85">
        <f t="shared" si="2"/>
        <v>0</v>
      </c>
      <c r="BX5" s="85">
        <f t="shared" si="2"/>
        <v>0</v>
      </c>
      <c r="BY5" s="85">
        <f t="shared" si="2"/>
        <v>0</v>
      </c>
      <c r="BZ5" s="85">
        <f t="shared" si="2"/>
        <v>0</v>
      </c>
      <c r="CA5" s="85">
        <f t="shared" si="2"/>
        <v>0</v>
      </c>
      <c r="CB5" s="85">
        <f t="shared" si="2"/>
        <v>0</v>
      </c>
      <c r="CC5" s="85">
        <f t="shared" si="2"/>
        <v>0</v>
      </c>
      <c r="CD5" s="117">
        <f t="shared" ref="CD5:CF5" si="3">W5+AA5+AE5+AI5+AM5+AQ5+AU5+AY5+BC5+BG5+BK5+BO5+BS5+BW5+CA5</f>
        <v>798380000</v>
      </c>
      <c r="CE5" s="118">
        <f t="shared" si="3"/>
        <v>136601349.683</v>
      </c>
      <c r="CF5" s="118">
        <f t="shared" si="3"/>
        <v>102469109.933</v>
      </c>
      <c r="CG5" s="118">
        <f>E5+F5+G5+H5</f>
        <v>3564731.5</v>
      </c>
      <c r="CH5" s="119">
        <f>Q5-CF5-CG5</f>
        <v>692346158.567</v>
      </c>
      <c r="CI5" s="120">
        <f>IF(ISERROR((CF5+CG5)/Q5),"-",(CF5+CG5)/Q5)</f>
        <v>0.132811244561487</v>
      </c>
      <c r="CJ5" s="121" t="str">
        <f>IF(Q5-CD5=0,"数据正确","数据错误")</f>
        <v>数据正确</v>
      </c>
    </row>
    <row r="6" s="60" customFormat="1" customHeight="1" spans="1:88">
      <c r="A6" s="60" t="s">
        <v>36</v>
      </c>
      <c r="B6" s="70" t="str">
        <f t="shared" ref="B6:B48" si="4">IF(I6=0,"-","申请中")</f>
        <v>-</v>
      </c>
      <c r="C6" s="71" t="str">
        <f t="shared" ref="C6:C48" si="5">IF(CI6=100%,"已付清","-")</f>
        <v>-</v>
      </c>
      <c r="D6" s="181">
        <f t="shared" ref="D6:D48" si="6">CF6</f>
        <v>3762780</v>
      </c>
      <c r="E6" s="181">
        <v>788000</v>
      </c>
      <c r="F6" s="181">
        <v>0</v>
      </c>
      <c r="G6" s="181">
        <v>0</v>
      </c>
      <c r="H6" s="181">
        <v>2500</v>
      </c>
      <c r="I6" s="181">
        <f t="shared" ref="I6:I48" si="7">CE6-CF6-CG6</f>
        <v>0</v>
      </c>
      <c r="J6" s="237" t="s">
        <v>98</v>
      </c>
      <c r="K6" s="87"/>
      <c r="L6" s="141" t="s">
        <v>102</v>
      </c>
      <c r="M6" s="191" t="s">
        <v>103</v>
      </c>
      <c r="N6" s="148" t="s">
        <v>28</v>
      </c>
      <c r="O6" s="197" t="s">
        <v>104</v>
      </c>
      <c r="P6" s="238">
        <v>42805</v>
      </c>
      <c r="Q6" s="124">
        <v>11383200</v>
      </c>
      <c r="R6" s="148" t="s">
        <v>105</v>
      </c>
      <c r="S6" s="148" t="s">
        <v>106</v>
      </c>
      <c r="T6" s="148" t="s">
        <v>107</v>
      </c>
      <c r="U6" s="148" t="s">
        <v>108</v>
      </c>
      <c r="V6" s="185" t="s">
        <v>109</v>
      </c>
      <c r="W6" s="102">
        <v>1138320</v>
      </c>
      <c r="X6" s="102">
        <v>1138320</v>
      </c>
      <c r="Y6" s="102">
        <v>1138320</v>
      </c>
      <c r="Z6" s="107" t="s">
        <v>110</v>
      </c>
      <c r="AA6" s="102">
        <v>3414960</v>
      </c>
      <c r="AB6" s="102">
        <v>3414960</v>
      </c>
      <c r="AC6" s="102">
        <f>3414960-788000-2500</f>
        <v>2624460</v>
      </c>
      <c r="AD6" s="102">
        <v>0</v>
      </c>
      <c r="AE6" s="102">
        <v>0</v>
      </c>
      <c r="AF6" s="102">
        <v>0</v>
      </c>
      <c r="AG6" s="102">
        <v>0</v>
      </c>
      <c r="AH6" s="102">
        <v>0</v>
      </c>
      <c r="AI6" s="102">
        <v>0</v>
      </c>
      <c r="AJ6" s="102">
        <v>0</v>
      </c>
      <c r="AK6" s="102">
        <v>0</v>
      </c>
      <c r="AL6" s="102">
        <v>0</v>
      </c>
      <c r="AM6" s="102">
        <v>0</v>
      </c>
      <c r="AN6" s="102">
        <v>0</v>
      </c>
      <c r="AO6" s="102">
        <v>0</v>
      </c>
      <c r="AP6" s="102">
        <v>0</v>
      </c>
      <c r="AQ6" s="102">
        <v>0</v>
      </c>
      <c r="AR6" s="102">
        <v>0</v>
      </c>
      <c r="AS6" s="102">
        <v>0</v>
      </c>
      <c r="AT6" s="107" t="s">
        <v>111</v>
      </c>
      <c r="AU6" s="102">
        <v>2845800</v>
      </c>
      <c r="AV6" s="102"/>
      <c r="AW6" s="102"/>
      <c r="AX6" s="107" t="s">
        <v>112</v>
      </c>
      <c r="AY6" s="102">
        <v>569160</v>
      </c>
      <c r="AZ6" s="102"/>
      <c r="BA6" s="102"/>
      <c r="BB6" s="107" t="s">
        <v>113</v>
      </c>
      <c r="BC6" s="102">
        <v>1138320</v>
      </c>
      <c r="BD6" s="102"/>
      <c r="BE6" s="102"/>
      <c r="BF6" s="107" t="s">
        <v>114</v>
      </c>
      <c r="BG6" s="102">
        <v>1138320</v>
      </c>
      <c r="BH6" s="102"/>
      <c r="BI6" s="102"/>
      <c r="BJ6" s="107" t="s">
        <v>115</v>
      </c>
      <c r="BK6" s="102">
        <v>569160</v>
      </c>
      <c r="BL6" s="102"/>
      <c r="BM6" s="102"/>
      <c r="BN6" s="107" t="s">
        <v>116</v>
      </c>
      <c r="BO6" s="102">
        <v>569160</v>
      </c>
      <c r="BP6" s="102"/>
      <c r="BQ6" s="102"/>
      <c r="BR6" s="102"/>
      <c r="BS6" s="102"/>
      <c r="BT6" s="102"/>
      <c r="BU6" s="102"/>
      <c r="BV6" s="102"/>
      <c r="BW6" s="102"/>
      <c r="BX6" s="102"/>
      <c r="BY6" s="102"/>
      <c r="BZ6" s="102"/>
      <c r="CA6" s="102"/>
      <c r="CB6" s="102"/>
      <c r="CC6" s="122"/>
      <c r="CD6" s="123">
        <f>W6+AA6+AE6+AI6+AM6+AQ6+AU6+AY6+BC6+BG6+BK6+BO6+BS6+BW6+CA6</f>
        <v>11383200</v>
      </c>
      <c r="CE6" s="102">
        <f>X6+AB6+AF6+AJ6+AN6+AR6+AV6+AZ6+BD6+BH6+BL6+BP6+BT6+BX6+CB6</f>
        <v>4553280</v>
      </c>
      <c r="CF6" s="102">
        <f>Y6+AC6+AG6+AK6+AO6+AS6+AW6+BA6+BE6+BI6+BM6+BQ6+BU6+BY6+CC6</f>
        <v>3762780</v>
      </c>
      <c r="CG6" s="102">
        <f>E6+F6+G6+H6</f>
        <v>790500</v>
      </c>
      <c r="CH6" s="124">
        <f>Q6-CF6-CG6</f>
        <v>6829920</v>
      </c>
      <c r="CI6" s="125">
        <f>IF(ISERROR((CF6+CG6)/Q6),"-",(CF6+CG6)/Q6)</f>
        <v>0.4</v>
      </c>
      <c r="CJ6" s="126" t="str">
        <f>IF(Q6-CD6=0,"数据正确","数据错误")</f>
        <v>数据正确</v>
      </c>
    </row>
    <row r="7" s="60" customFormat="1" customHeight="1" spans="1:88">
      <c r="A7" s="60" t="s">
        <v>36</v>
      </c>
      <c r="B7" s="70" t="str">
        <f t="shared" si="4"/>
        <v>申请中</v>
      </c>
      <c r="C7" s="71" t="str">
        <f t="shared" si="5"/>
        <v>-</v>
      </c>
      <c r="D7" s="181">
        <f t="shared" si="6"/>
        <v>34867931.8</v>
      </c>
      <c r="E7" s="181">
        <v>0</v>
      </c>
      <c r="F7" s="181">
        <f>57327+68111</f>
        <v>125438</v>
      </c>
      <c r="G7" s="181">
        <v>0</v>
      </c>
      <c r="H7" s="181">
        <v>0</v>
      </c>
      <c r="I7" s="181">
        <f t="shared" si="7"/>
        <v>20785150</v>
      </c>
      <c r="J7" s="237" t="s">
        <v>98</v>
      </c>
      <c r="K7" s="87"/>
      <c r="L7" s="141" t="s">
        <v>117</v>
      </c>
      <c r="M7" s="191" t="s">
        <v>103</v>
      </c>
      <c r="N7" s="148" t="s">
        <v>28</v>
      </c>
      <c r="O7" s="197" t="s">
        <v>104</v>
      </c>
      <c r="P7" s="238">
        <v>42805</v>
      </c>
      <c r="Q7" s="124">
        <v>218067988</v>
      </c>
      <c r="R7" s="148" t="s">
        <v>118</v>
      </c>
      <c r="S7" s="148" t="s">
        <v>106</v>
      </c>
      <c r="T7" s="148" t="s">
        <v>107</v>
      </c>
      <c r="U7" s="148" t="s">
        <v>108</v>
      </c>
      <c r="V7" s="185" t="s">
        <v>109</v>
      </c>
      <c r="W7" s="102">
        <v>21806798.8</v>
      </c>
      <c r="X7" s="102">
        <v>21806798.8</v>
      </c>
      <c r="Y7" s="102">
        <v>21806798.8</v>
      </c>
      <c r="Z7" s="102">
        <v>0</v>
      </c>
      <c r="AA7" s="102">
        <v>0</v>
      </c>
      <c r="AB7" s="102">
        <v>0</v>
      </c>
      <c r="AC7" s="102">
        <v>0</v>
      </c>
      <c r="AD7" s="107" t="s">
        <v>119</v>
      </c>
      <c r="AE7" s="102">
        <f>87227195.2+32710198.2</f>
        <v>119937393.4</v>
      </c>
      <c r="AF7" s="102">
        <v>5111514</v>
      </c>
      <c r="AG7" s="102">
        <v>5111514</v>
      </c>
      <c r="AH7" s="107" t="s">
        <v>112</v>
      </c>
      <c r="AI7" s="102">
        <v>10903399.4</v>
      </c>
      <c r="AJ7" s="102">
        <v>638939</v>
      </c>
      <c r="AK7" s="102">
        <f>638939-57327</f>
        <v>581612</v>
      </c>
      <c r="AL7" s="107" t="s">
        <v>113</v>
      </c>
      <c r="AM7" s="102">
        <v>21806798.8</v>
      </c>
      <c r="AN7" s="102">
        <v>7436118</v>
      </c>
      <c r="AO7" s="102">
        <f>7436118-68111</f>
        <v>7368007</v>
      </c>
      <c r="AP7" s="107" t="s">
        <v>114</v>
      </c>
      <c r="AQ7" s="102">
        <v>21806798.8</v>
      </c>
      <c r="AR7" s="102">
        <v>20785150</v>
      </c>
      <c r="AS7" s="102"/>
      <c r="AT7" s="107" t="s">
        <v>115</v>
      </c>
      <c r="AU7" s="102">
        <v>10903399.4</v>
      </c>
      <c r="AV7" s="102"/>
      <c r="AW7" s="102"/>
      <c r="AX7" s="107" t="s">
        <v>116</v>
      </c>
      <c r="AY7" s="102">
        <v>10903399.4</v>
      </c>
      <c r="AZ7" s="102"/>
      <c r="BA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22"/>
      <c r="CD7" s="123">
        <f>W7+AA7+AE7+AI7+AM7+AQ7+AU7+AY7+BC7+BG7+BK7+BO7+BS7+BW7+CA7</f>
        <v>218067988</v>
      </c>
      <c r="CE7" s="102">
        <f>X7+AB7+AF7+AJ7+AN7+AR7+AV7+AZ7+BD7+BH7+BL7+BP7+BT7+BX7+CB7</f>
        <v>55778519.8</v>
      </c>
      <c r="CF7" s="102">
        <f>Y7+AC7+AG7+AK7+AO7+AS7+AW7+BA7+BE7+BI7+BM7+BQ7+BU7+BY7+CC7</f>
        <v>34867931.8</v>
      </c>
      <c r="CG7" s="102">
        <f>E7+F7+G7+H7</f>
        <v>125438</v>
      </c>
      <c r="CH7" s="124">
        <f>Q7-CF7-CG7</f>
        <v>183074618.2</v>
      </c>
      <c r="CI7" s="125">
        <f>IF(ISERROR((CF7+CG7)/Q7),"-",(CF7+CG7)/Q7)</f>
        <v>0.160469998925289</v>
      </c>
      <c r="CJ7" s="126" t="str">
        <f>IF(Q7-CD7=0,"数据正确","数据错误")</f>
        <v>数据正确</v>
      </c>
    </row>
    <row r="8" s="60" customFormat="1" customHeight="1" spans="1:88">
      <c r="A8" s="60" t="s">
        <v>36</v>
      </c>
      <c r="B8" s="70" t="str">
        <f t="shared" si="4"/>
        <v>申请中</v>
      </c>
      <c r="C8" s="71" t="str">
        <f t="shared" si="5"/>
        <v>-</v>
      </c>
      <c r="D8" s="181">
        <f t="shared" si="6"/>
        <v>17860357</v>
      </c>
      <c r="E8" s="181">
        <v>0</v>
      </c>
      <c r="F8" s="181">
        <v>0</v>
      </c>
      <c r="G8" s="181">
        <v>0</v>
      </c>
      <c r="H8" s="181">
        <v>0</v>
      </c>
      <c r="I8" s="181">
        <f t="shared" si="7"/>
        <v>6730724</v>
      </c>
      <c r="J8" s="237" t="s">
        <v>98</v>
      </c>
      <c r="K8" s="87"/>
      <c r="L8" s="141" t="s">
        <v>120</v>
      </c>
      <c r="M8" s="191" t="s">
        <v>103</v>
      </c>
      <c r="N8" s="148" t="s">
        <v>28</v>
      </c>
      <c r="O8" s="197" t="s">
        <v>104</v>
      </c>
      <c r="P8" s="238">
        <v>42805</v>
      </c>
      <c r="Q8" s="124">
        <v>156455699</v>
      </c>
      <c r="R8" s="148" t="s">
        <v>121</v>
      </c>
      <c r="S8" s="148" t="s">
        <v>106</v>
      </c>
      <c r="T8" s="148" t="s">
        <v>107</v>
      </c>
      <c r="U8" s="148" t="s">
        <v>108</v>
      </c>
      <c r="V8" s="185" t="s">
        <v>122</v>
      </c>
      <c r="W8" s="102">
        <v>0</v>
      </c>
      <c r="X8" s="102">
        <v>0</v>
      </c>
      <c r="Y8" s="102">
        <v>0</v>
      </c>
      <c r="Z8" s="107" t="s">
        <v>122</v>
      </c>
      <c r="AA8" s="102">
        <v>0</v>
      </c>
      <c r="AB8" s="102">
        <v>0</v>
      </c>
      <c r="AC8" s="102">
        <v>0</v>
      </c>
      <c r="AD8" s="107" t="s">
        <v>123</v>
      </c>
      <c r="AE8" s="102">
        <v>93873419.4</v>
      </c>
      <c r="AF8" s="102">
        <v>2437893</v>
      </c>
      <c r="AG8" s="102">
        <v>2437893</v>
      </c>
      <c r="AH8" s="107" t="s">
        <v>112</v>
      </c>
      <c r="AI8" s="102">
        <v>15645569.9</v>
      </c>
      <c r="AJ8" s="102">
        <v>6354292</v>
      </c>
      <c r="AK8" s="102">
        <v>6354292</v>
      </c>
      <c r="AL8" s="107" t="s">
        <v>113</v>
      </c>
      <c r="AM8" s="102">
        <v>15645569.9</v>
      </c>
      <c r="AN8" s="102">
        <v>9068172</v>
      </c>
      <c r="AO8" s="102">
        <v>9068172</v>
      </c>
      <c r="AP8" s="107" t="s">
        <v>114</v>
      </c>
      <c r="AQ8" s="102">
        <v>15645569.9</v>
      </c>
      <c r="AR8" s="102">
        <v>6730724</v>
      </c>
      <c r="AS8" s="102"/>
      <c r="AT8" s="107" t="s">
        <v>115</v>
      </c>
      <c r="AU8" s="102">
        <v>7822784.95</v>
      </c>
      <c r="AV8" s="102"/>
      <c r="AW8" s="102"/>
      <c r="AX8" s="107" t="s">
        <v>116</v>
      </c>
      <c r="AY8" s="102">
        <v>7822784.95</v>
      </c>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22"/>
      <c r="CD8" s="123">
        <f>W8+AA8+AE8+AI8+AM8+AQ8+AU8+AY8+BC8+BG8+BK8+BO8+BS8+BW8+CA8</f>
        <v>156455699</v>
      </c>
      <c r="CE8" s="102">
        <f>X8+AB8+AF8+AJ8+AN8+AR8+AV8+AZ8+BD8+BH8+BL8+BP8+BT8+BX8+CB8</f>
        <v>24591081</v>
      </c>
      <c r="CF8" s="102">
        <f>Y8+AC8+AG8+AK8+AO8+AS8+AW8+BA8+BE8+BI8+BM8+BQ8+BU8+BY8+CC8</f>
        <v>17860357</v>
      </c>
      <c r="CG8" s="102">
        <f>E8+F8+G8+H8</f>
        <v>0</v>
      </c>
      <c r="CH8" s="124">
        <f>Q8-CF8-CG8</f>
        <v>138595342</v>
      </c>
      <c r="CI8" s="125">
        <f>IF(ISERROR((CF8+CG8)/Q8),"-",(CF8+CG8)/Q8)</f>
        <v>0.114156001437826</v>
      </c>
      <c r="CJ8" s="126" t="str">
        <f>IF(Q8-CD8=0,"数据正确","数据错误")</f>
        <v>数据正确</v>
      </c>
    </row>
    <row r="9" s="60" customFormat="1" customHeight="1" spans="1:88">
      <c r="A9" s="60" t="s">
        <v>36</v>
      </c>
      <c r="B9" s="70" t="str">
        <f t="shared" si="4"/>
        <v>-</v>
      </c>
      <c r="C9" s="71" t="str">
        <f t="shared" si="5"/>
        <v>-</v>
      </c>
      <c r="D9" s="181">
        <f t="shared" si="6"/>
        <v>0</v>
      </c>
      <c r="E9" s="181">
        <v>0</v>
      </c>
      <c r="F9" s="181">
        <v>0</v>
      </c>
      <c r="G9" s="181">
        <v>0</v>
      </c>
      <c r="H9" s="181">
        <v>0</v>
      </c>
      <c r="I9" s="181">
        <f t="shared" si="7"/>
        <v>0</v>
      </c>
      <c r="J9" s="237" t="s">
        <v>98</v>
      </c>
      <c r="K9" s="87"/>
      <c r="L9" s="141" t="s">
        <v>124</v>
      </c>
      <c r="M9" s="191" t="s">
        <v>103</v>
      </c>
      <c r="N9" s="148" t="s">
        <v>28</v>
      </c>
      <c r="O9" s="197" t="s">
        <v>104</v>
      </c>
      <c r="P9" s="238">
        <v>42805</v>
      </c>
      <c r="Q9" s="124">
        <v>200000</v>
      </c>
      <c r="R9" s="148" t="s">
        <v>125</v>
      </c>
      <c r="S9" s="148" t="s">
        <v>106</v>
      </c>
      <c r="T9" s="148" t="s">
        <v>107</v>
      </c>
      <c r="U9" s="148" t="s">
        <v>108</v>
      </c>
      <c r="V9" s="185" t="s">
        <v>122</v>
      </c>
      <c r="W9" s="102">
        <v>0</v>
      </c>
      <c r="X9" s="102">
        <v>0</v>
      </c>
      <c r="Y9" s="102">
        <v>0</v>
      </c>
      <c r="Z9" s="107" t="s">
        <v>122</v>
      </c>
      <c r="AA9" s="102">
        <v>0</v>
      </c>
      <c r="AB9" s="102">
        <v>0</v>
      </c>
      <c r="AC9" s="102">
        <v>0</v>
      </c>
      <c r="AD9" s="107" t="s">
        <v>122</v>
      </c>
      <c r="AE9" s="102">
        <v>0</v>
      </c>
      <c r="AF9" s="102">
        <v>0</v>
      </c>
      <c r="AG9" s="102">
        <v>0</v>
      </c>
      <c r="AH9" s="107" t="s">
        <v>126</v>
      </c>
      <c r="AI9" s="102">
        <v>0</v>
      </c>
      <c r="AJ9" s="102">
        <v>0</v>
      </c>
      <c r="AK9" s="102">
        <v>0</v>
      </c>
      <c r="AL9" s="107" t="s">
        <v>126</v>
      </c>
      <c r="AM9" s="102">
        <v>0</v>
      </c>
      <c r="AN9" s="102">
        <v>0</v>
      </c>
      <c r="AO9" s="102">
        <v>0</v>
      </c>
      <c r="AP9" s="107" t="s">
        <v>126</v>
      </c>
      <c r="AQ9" s="102">
        <v>0</v>
      </c>
      <c r="AR9" s="102">
        <v>0</v>
      </c>
      <c r="AS9" s="102">
        <v>0</v>
      </c>
      <c r="AT9" s="107" t="s">
        <v>127</v>
      </c>
      <c r="AU9" s="102">
        <v>190000</v>
      </c>
      <c r="AV9" s="102"/>
      <c r="AW9" s="102"/>
      <c r="AX9" s="107" t="s">
        <v>116</v>
      </c>
      <c r="AY9" s="102">
        <v>10000</v>
      </c>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22"/>
      <c r="CD9" s="123">
        <f>W9+AA9+AE9+AI9+AM9+AQ9+AU9+AY9+BC9+BG9+BK9+BO9+BS9+BW9+CA9</f>
        <v>200000</v>
      </c>
      <c r="CE9" s="102">
        <f>X9+AB9+AF9+AJ9+AN9+AR9+AV9+AZ9+BD9+BH9+BL9+BP9+BT9+BX9+CB9</f>
        <v>0</v>
      </c>
      <c r="CF9" s="102">
        <f>Y9+AC9+AG9+AK9+AO9+AS9+AW9+BA9+BE9+BI9+BM9+BQ9+BU9+BY9+CC9</f>
        <v>0</v>
      </c>
      <c r="CG9" s="102">
        <f>E9+F9+G9+H9</f>
        <v>0</v>
      </c>
      <c r="CH9" s="124">
        <f>Q9-CF9-CG9</f>
        <v>200000</v>
      </c>
      <c r="CI9" s="125">
        <f>IF(ISERROR((CF9+CG9)/Q9),"-",(CF9+CG9)/Q9)</f>
        <v>0</v>
      </c>
      <c r="CJ9" s="126" t="str">
        <f>IF(Q9-CD9=0,"数据正确","数据错误")</f>
        <v>数据正确</v>
      </c>
    </row>
    <row r="10" s="60" customFormat="1" customHeight="1" spans="1:88">
      <c r="A10" s="60" t="s">
        <v>36</v>
      </c>
      <c r="B10" s="70" t="str">
        <f t="shared" si="4"/>
        <v>-</v>
      </c>
      <c r="C10" s="71" t="str">
        <f t="shared" si="5"/>
        <v>-</v>
      </c>
      <c r="D10" s="181">
        <f t="shared" si="6"/>
        <v>1690885</v>
      </c>
      <c r="E10" s="181">
        <v>0</v>
      </c>
      <c r="F10" s="181">
        <v>0</v>
      </c>
      <c r="G10" s="181">
        <v>0</v>
      </c>
      <c r="H10" s="181">
        <v>0</v>
      </c>
      <c r="I10" s="181">
        <f t="shared" si="7"/>
        <v>0</v>
      </c>
      <c r="J10" s="237" t="s">
        <v>98</v>
      </c>
      <c r="K10" s="87"/>
      <c r="L10" s="141" t="s">
        <v>128</v>
      </c>
      <c r="M10" s="191" t="s">
        <v>103</v>
      </c>
      <c r="N10" s="148" t="s">
        <v>28</v>
      </c>
      <c r="O10" s="197" t="s">
        <v>104</v>
      </c>
      <c r="P10" s="238">
        <v>42805</v>
      </c>
      <c r="Q10" s="124">
        <v>5546278</v>
      </c>
      <c r="R10" s="148" t="s">
        <v>129</v>
      </c>
      <c r="S10" s="148" t="s">
        <v>106</v>
      </c>
      <c r="T10" s="148" t="s">
        <v>107</v>
      </c>
      <c r="U10" s="148" t="s">
        <v>108</v>
      </c>
      <c r="V10" s="185" t="s">
        <v>122</v>
      </c>
      <c r="W10" s="102">
        <v>0</v>
      </c>
      <c r="X10" s="102">
        <v>0</v>
      </c>
      <c r="Y10" s="102">
        <v>0</v>
      </c>
      <c r="Z10" s="107" t="s">
        <v>122</v>
      </c>
      <c r="AA10" s="102">
        <v>0</v>
      </c>
      <c r="AB10" s="102">
        <v>1690885</v>
      </c>
      <c r="AC10" s="102">
        <v>1690885</v>
      </c>
      <c r="AD10" s="107" t="s">
        <v>122</v>
      </c>
      <c r="AE10" s="102">
        <v>0</v>
      </c>
      <c r="AF10" s="102">
        <v>0</v>
      </c>
      <c r="AG10" s="102">
        <v>0</v>
      </c>
      <c r="AH10" s="107" t="s">
        <v>126</v>
      </c>
      <c r="AI10" s="102">
        <v>0</v>
      </c>
      <c r="AJ10" s="102">
        <v>0</v>
      </c>
      <c r="AK10" s="102">
        <v>0</v>
      </c>
      <c r="AL10" s="107" t="s">
        <v>126</v>
      </c>
      <c r="AM10" s="102">
        <v>0</v>
      </c>
      <c r="AN10" s="102">
        <v>0</v>
      </c>
      <c r="AO10" s="102">
        <v>0</v>
      </c>
      <c r="AP10" s="107" t="s">
        <v>126</v>
      </c>
      <c r="AQ10" s="102">
        <v>0</v>
      </c>
      <c r="AR10" s="102">
        <v>0</v>
      </c>
      <c r="AS10" s="102">
        <v>0</v>
      </c>
      <c r="AT10" s="107" t="s">
        <v>127</v>
      </c>
      <c r="AU10" s="102">
        <v>5268964.1</v>
      </c>
      <c r="AV10" s="102"/>
      <c r="AW10" s="102"/>
      <c r="AX10" s="107" t="s">
        <v>116</v>
      </c>
      <c r="AY10" s="102">
        <v>277313.9</v>
      </c>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22"/>
      <c r="CD10" s="123">
        <f t="shared" ref="CD10:CD41" si="8">W10+AA10+AE10+AI10+AM10+AQ10+AU10+AY10+BC10+BG10+BK10+BO10+BS10+BW10+CA10</f>
        <v>5546278</v>
      </c>
      <c r="CE10" s="102">
        <f t="shared" ref="CE10:CE41" si="9">X10+AB10+AF10+AJ10+AN10+AR10+AV10+AZ10+BD10+BH10+BL10+BP10+BT10+BX10+CB10</f>
        <v>1690885</v>
      </c>
      <c r="CF10" s="102">
        <f t="shared" ref="CF10:CF41" si="10">Y10+AC10+AG10+AK10+AO10+AS10+AW10+BA10+BE10+BI10+BM10+BQ10+BU10+BY10+CC10</f>
        <v>1690885</v>
      </c>
      <c r="CG10" s="102">
        <f t="shared" ref="CG10:CG41" si="11">E10+F10+G10+H10</f>
        <v>0</v>
      </c>
      <c r="CH10" s="124">
        <f t="shared" ref="CH10:CH41" si="12">Q10-CF10-CG10</f>
        <v>3855393</v>
      </c>
      <c r="CI10" s="125">
        <f t="shared" ref="CI10:CI41" si="13">IF(ISERROR((CF10+CG10)/Q10),"-",(CF10+CG10)/Q10)</f>
        <v>0.304868418063429</v>
      </c>
      <c r="CJ10" s="126" t="str">
        <f t="shared" ref="CJ10:CJ41" si="14">IF(Q10-CD10=0,"数据正确","数据错误")</f>
        <v>数据正确</v>
      </c>
    </row>
    <row r="11" s="60" customFormat="1" customHeight="1" spans="1:88">
      <c r="A11" s="60" t="s">
        <v>36</v>
      </c>
      <c r="B11" s="70" t="str">
        <f t="shared" si="4"/>
        <v>-</v>
      </c>
      <c r="C11" s="71" t="str">
        <f t="shared" si="5"/>
        <v>-</v>
      </c>
      <c r="D11" s="181">
        <f t="shared" si="6"/>
        <v>2229494</v>
      </c>
      <c r="E11" s="181">
        <v>0</v>
      </c>
      <c r="F11" s="181">
        <v>0</v>
      </c>
      <c r="G11" s="181">
        <v>0</v>
      </c>
      <c r="H11" s="181">
        <v>0</v>
      </c>
      <c r="I11" s="181">
        <f t="shared" si="7"/>
        <v>0</v>
      </c>
      <c r="J11" s="237" t="s">
        <v>98</v>
      </c>
      <c r="K11" s="87"/>
      <c r="L11" s="141" t="s">
        <v>130</v>
      </c>
      <c r="M11" s="191" t="s">
        <v>103</v>
      </c>
      <c r="N11" s="148" t="s">
        <v>28</v>
      </c>
      <c r="O11" s="197" t="s">
        <v>104</v>
      </c>
      <c r="P11" s="238">
        <v>42805</v>
      </c>
      <c r="Q11" s="124">
        <v>2346835</v>
      </c>
      <c r="R11" s="148" t="s">
        <v>131</v>
      </c>
      <c r="S11" s="148" t="s">
        <v>106</v>
      </c>
      <c r="T11" s="148" t="s">
        <v>107</v>
      </c>
      <c r="U11" s="148" t="s">
        <v>108</v>
      </c>
      <c r="V11" s="185" t="s">
        <v>122</v>
      </c>
      <c r="W11" s="102">
        <v>0</v>
      </c>
      <c r="X11" s="102">
        <v>0</v>
      </c>
      <c r="Y11" s="102">
        <v>0</v>
      </c>
      <c r="Z11" s="107" t="s">
        <v>122</v>
      </c>
      <c r="AA11" s="102">
        <v>0</v>
      </c>
      <c r="AB11" s="102">
        <v>2229494</v>
      </c>
      <c r="AC11" s="102">
        <v>2229494</v>
      </c>
      <c r="AD11" s="107" t="s">
        <v>122</v>
      </c>
      <c r="AE11" s="102">
        <v>0</v>
      </c>
      <c r="AF11" s="102">
        <v>0</v>
      </c>
      <c r="AG11" s="102">
        <v>0</v>
      </c>
      <c r="AH11" s="107" t="s">
        <v>126</v>
      </c>
      <c r="AI11" s="102">
        <v>0</v>
      </c>
      <c r="AJ11" s="102">
        <v>0</v>
      </c>
      <c r="AK11" s="102">
        <v>0</v>
      </c>
      <c r="AL11" s="107" t="s">
        <v>126</v>
      </c>
      <c r="AM11" s="102">
        <v>0</v>
      </c>
      <c r="AN11" s="102">
        <v>0</v>
      </c>
      <c r="AO11" s="102">
        <v>0</v>
      </c>
      <c r="AP11" s="107" t="s">
        <v>126</v>
      </c>
      <c r="AQ11" s="102">
        <v>0</v>
      </c>
      <c r="AR11" s="102">
        <v>0</v>
      </c>
      <c r="AS11" s="102">
        <v>0</v>
      </c>
      <c r="AT11" s="107" t="s">
        <v>127</v>
      </c>
      <c r="AU11" s="102">
        <v>2229493.25</v>
      </c>
      <c r="AV11" s="102"/>
      <c r="AW11" s="102"/>
      <c r="AX11" s="107" t="s">
        <v>116</v>
      </c>
      <c r="AY11" s="102">
        <v>117341.75</v>
      </c>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22"/>
      <c r="CD11" s="123">
        <f t="shared" si="8"/>
        <v>2346835</v>
      </c>
      <c r="CE11" s="102">
        <f t="shared" si="9"/>
        <v>2229494</v>
      </c>
      <c r="CF11" s="102">
        <f t="shared" si="10"/>
        <v>2229494</v>
      </c>
      <c r="CG11" s="102">
        <f t="shared" si="11"/>
        <v>0</v>
      </c>
      <c r="CH11" s="124">
        <f t="shared" si="12"/>
        <v>117341</v>
      </c>
      <c r="CI11" s="125">
        <f t="shared" si="13"/>
        <v>0.950000319579348</v>
      </c>
      <c r="CJ11" s="126" t="str">
        <f t="shared" si="14"/>
        <v>数据正确</v>
      </c>
    </row>
    <row r="12" s="130" customFormat="1" customHeight="1" spans="1:88">
      <c r="A12" s="130" t="s">
        <v>36</v>
      </c>
      <c r="B12" s="132" t="str">
        <f t="shared" si="4"/>
        <v>申请中</v>
      </c>
      <c r="C12" s="133" t="str">
        <f t="shared" si="5"/>
        <v>-</v>
      </c>
      <c r="D12" s="235">
        <f t="shared" si="6"/>
        <v>60411447.8</v>
      </c>
      <c r="E12" s="235">
        <f>SUM(E6:E11)</f>
        <v>788000</v>
      </c>
      <c r="F12" s="235">
        <f>SUM(F6:F11)</f>
        <v>125438</v>
      </c>
      <c r="G12" s="235">
        <f>SUM(G6:G11)</f>
        <v>0</v>
      </c>
      <c r="H12" s="235">
        <f>SUM(H6:H11)</f>
        <v>2500</v>
      </c>
      <c r="I12" s="235">
        <f t="shared" si="7"/>
        <v>27515874</v>
      </c>
      <c r="J12" s="239" t="s">
        <v>98</v>
      </c>
      <c r="K12" s="172"/>
      <c r="L12" s="240">
        <v>1</v>
      </c>
      <c r="M12" s="199" t="s">
        <v>103</v>
      </c>
      <c r="N12" s="150" t="s">
        <v>28</v>
      </c>
      <c r="O12" s="200" t="s">
        <v>104</v>
      </c>
      <c r="P12" s="151">
        <v>42805</v>
      </c>
      <c r="Q12" s="163">
        <f>SUM(Q6:Q11)</f>
        <v>394000000</v>
      </c>
      <c r="R12" s="150" t="s">
        <v>132</v>
      </c>
      <c r="S12" s="150" t="s">
        <v>106</v>
      </c>
      <c r="T12" s="150" t="s">
        <v>107</v>
      </c>
      <c r="U12" s="150" t="s">
        <v>108</v>
      </c>
      <c r="V12" s="243" t="s">
        <v>97</v>
      </c>
      <c r="W12" s="158">
        <f>SUM(W6:W11)</f>
        <v>22945118.8</v>
      </c>
      <c r="X12" s="158">
        <f t="shared" ref="X12:BC12" si="15">SUM(X6:X11)</f>
        <v>22945118.8</v>
      </c>
      <c r="Y12" s="158">
        <f t="shared" si="15"/>
        <v>22945118.8</v>
      </c>
      <c r="Z12" s="158">
        <f t="shared" si="15"/>
        <v>0</v>
      </c>
      <c r="AA12" s="158">
        <f t="shared" si="15"/>
        <v>3414960</v>
      </c>
      <c r="AB12" s="158">
        <f t="shared" si="15"/>
        <v>7335339</v>
      </c>
      <c r="AC12" s="158">
        <f t="shared" si="15"/>
        <v>6544839</v>
      </c>
      <c r="AD12" s="158">
        <f t="shared" si="15"/>
        <v>0</v>
      </c>
      <c r="AE12" s="158">
        <f t="shared" si="15"/>
        <v>213810812.8</v>
      </c>
      <c r="AF12" s="158">
        <f t="shared" si="15"/>
        <v>7549407</v>
      </c>
      <c r="AG12" s="158">
        <f t="shared" si="15"/>
        <v>7549407</v>
      </c>
      <c r="AH12" s="158">
        <f t="shared" si="15"/>
        <v>0</v>
      </c>
      <c r="AI12" s="158">
        <f t="shared" si="15"/>
        <v>26548969.3</v>
      </c>
      <c r="AJ12" s="158">
        <f t="shared" si="15"/>
        <v>6993231</v>
      </c>
      <c r="AK12" s="158">
        <f t="shared" si="15"/>
        <v>6935904</v>
      </c>
      <c r="AL12" s="158">
        <f t="shared" si="15"/>
        <v>0</v>
      </c>
      <c r="AM12" s="158">
        <f t="shared" si="15"/>
        <v>37452368.7</v>
      </c>
      <c r="AN12" s="158">
        <f t="shared" si="15"/>
        <v>16504290</v>
      </c>
      <c r="AO12" s="158">
        <f t="shared" si="15"/>
        <v>16436179</v>
      </c>
      <c r="AP12" s="158">
        <f t="shared" si="15"/>
        <v>0</v>
      </c>
      <c r="AQ12" s="158">
        <f t="shared" si="15"/>
        <v>37452368.7</v>
      </c>
      <c r="AR12" s="158">
        <f t="shared" si="15"/>
        <v>27515874</v>
      </c>
      <c r="AS12" s="158">
        <f t="shared" si="15"/>
        <v>0</v>
      </c>
      <c r="AT12" s="158">
        <f t="shared" si="15"/>
        <v>0</v>
      </c>
      <c r="AU12" s="158">
        <f t="shared" si="15"/>
        <v>29260441.7</v>
      </c>
      <c r="AV12" s="158">
        <f t="shared" si="15"/>
        <v>0</v>
      </c>
      <c r="AW12" s="158">
        <f t="shared" si="15"/>
        <v>0</v>
      </c>
      <c r="AX12" s="158">
        <f t="shared" si="15"/>
        <v>0</v>
      </c>
      <c r="AY12" s="158">
        <f t="shared" si="15"/>
        <v>19700000</v>
      </c>
      <c r="AZ12" s="158">
        <f t="shared" si="15"/>
        <v>0</v>
      </c>
      <c r="BA12" s="158">
        <f t="shared" si="15"/>
        <v>0</v>
      </c>
      <c r="BB12" s="158">
        <f t="shared" si="15"/>
        <v>0</v>
      </c>
      <c r="BC12" s="158">
        <f t="shared" si="15"/>
        <v>1138320</v>
      </c>
      <c r="BD12" s="158">
        <f t="shared" ref="BD12:CC12" si="16">SUM(BD6:BD11)</f>
        <v>0</v>
      </c>
      <c r="BE12" s="158">
        <f t="shared" si="16"/>
        <v>0</v>
      </c>
      <c r="BF12" s="158">
        <f t="shared" si="16"/>
        <v>0</v>
      </c>
      <c r="BG12" s="158">
        <f t="shared" si="16"/>
        <v>1138320</v>
      </c>
      <c r="BH12" s="158">
        <f t="shared" si="16"/>
        <v>0</v>
      </c>
      <c r="BI12" s="158">
        <f t="shared" si="16"/>
        <v>0</v>
      </c>
      <c r="BJ12" s="158">
        <f t="shared" si="16"/>
        <v>0</v>
      </c>
      <c r="BK12" s="158">
        <f t="shared" si="16"/>
        <v>569160</v>
      </c>
      <c r="BL12" s="158">
        <f t="shared" si="16"/>
        <v>0</v>
      </c>
      <c r="BM12" s="158">
        <f t="shared" si="16"/>
        <v>0</v>
      </c>
      <c r="BN12" s="158">
        <f t="shared" si="16"/>
        <v>0</v>
      </c>
      <c r="BO12" s="158">
        <f t="shared" si="16"/>
        <v>569160</v>
      </c>
      <c r="BP12" s="158">
        <f t="shared" si="16"/>
        <v>0</v>
      </c>
      <c r="BQ12" s="158">
        <f t="shared" si="16"/>
        <v>0</v>
      </c>
      <c r="BR12" s="158">
        <f t="shared" si="16"/>
        <v>0</v>
      </c>
      <c r="BS12" s="158">
        <f t="shared" si="16"/>
        <v>0</v>
      </c>
      <c r="BT12" s="158">
        <f t="shared" si="16"/>
        <v>0</v>
      </c>
      <c r="BU12" s="158">
        <f t="shared" si="16"/>
        <v>0</v>
      </c>
      <c r="BV12" s="158">
        <f t="shared" si="16"/>
        <v>0</v>
      </c>
      <c r="BW12" s="158">
        <f t="shared" si="16"/>
        <v>0</v>
      </c>
      <c r="BX12" s="158">
        <f t="shared" si="16"/>
        <v>0</v>
      </c>
      <c r="BY12" s="158">
        <f t="shared" si="16"/>
        <v>0</v>
      </c>
      <c r="BZ12" s="158">
        <f t="shared" si="16"/>
        <v>0</v>
      </c>
      <c r="CA12" s="158">
        <f t="shared" si="16"/>
        <v>0</v>
      </c>
      <c r="CB12" s="158">
        <f t="shared" si="16"/>
        <v>0</v>
      </c>
      <c r="CC12" s="158">
        <f t="shared" si="16"/>
        <v>0</v>
      </c>
      <c r="CD12" s="123">
        <f t="shared" si="8"/>
        <v>394000000</v>
      </c>
      <c r="CE12" s="102">
        <f t="shared" si="9"/>
        <v>88843259.8</v>
      </c>
      <c r="CF12" s="102">
        <f t="shared" si="10"/>
        <v>60411447.8</v>
      </c>
      <c r="CG12" s="102">
        <f t="shared" si="11"/>
        <v>915938</v>
      </c>
      <c r="CH12" s="124">
        <f t="shared" si="12"/>
        <v>332672614.2</v>
      </c>
      <c r="CI12" s="125">
        <f t="shared" si="13"/>
        <v>0.155653263451777</v>
      </c>
      <c r="CJ12" s="126" t="str">
        <f t="shared" si="14"/>
        <v>数据正确</v>
      </c>
    </row>
    <row r="13" s="60" customFormat="1" ht="15" customHeight="1" spans="1:88">
      <c r="A13" s="60" t="s">
        <v>36</v>
      </c>
      <c r="B13" s="70" t="str">
        <f t="shared" si="4"/>
        <v>-</v>
      </c>
      <c r="C13" s="71" t="str">
        <f t="shared" si="5"/>
        <v>-</v>
      </c>
      <c r="D13" s="181">
        <f t="shared" si="6"/>
        <v>12199454.85</v>
      </c>
      <c r="E13" s="181">
        <f>400000</f>
        <v>400000</v>
      </c>
      <c r="F13" s="181">
        <v>0</v>
      </c>
      <c r="G13" s="181">
        <f>86985.75</f>
        <v>86985.75</v>
      </c>
      <c r="H13" s="181">
        <v>0</v>
      </c>
      <c r="I13" s="181">
        <f t="shared" si="7"/>
        <v>0</v>
      </c>
      <c r="J13" s="237" t="s">
        <v>98</v>
      </c>
      <c r="K13" s="87"/>
      <c r="L13" s="141" t="s">
        <v>133</v>
      </c>
      <c r="M13" s="191" t="s">
        <v>134</v>
      </c>
      <c r="N13" s="148" t="s">
        <v>28</v>
      </c>
      <c r="O13" s="241" t="s">
        <v>135</v>
      </c>
      <c r="P13" s="238">
        <v>42805</v>
      </c>
      <c r="Q13" s="124">
        <v>13000000</v>
      </c>
      <c r="R13" s="89" t="s">
        <v>136</v>
      </c>
      <c r="S13" s="148" t="s">
        <v>137</v>
      </c>
      <c r="T13" s="148" t="s">
        <v>138</v>
      </c>
      <c r="U13" s="148" t="s">
        <v>139</v>
      </c>
      <c r="V13" s="244" t="s">
        <v>109</v>
      </c>
      <c r="W13" s="102">
        <v>1300000</v>
      </c>
      <c r="X13" s="102">
        <v>1300000</v>
      </c>
      <c r="Y13" s="124">
        <v>1300000</v>
      </c>
      <c r="Z13" s="107" t="s">
        <v>140</v>
      </c>
      <c r="AA13" s="102">
        <v>3900000</v>
      </c>
      <c r="AB13" s="102">
        <v>3900000</v>
      </c>
      <c r="AC13" s="247">
        <f>3900000-400000-86985.75</f>
        <v>3413014.25</v>
      </c>
      <c r="AD13" s="102">
        <v>0</v>
      </c>
      <c r="AE13" s="102">
        <v>0</v>
      </c>
      <c r="AF13" s="102">
        <v>0</v>
      </c>
      <c r="AG13" s="102">
        <v>0</v>
      </c>
      <c r="AH13" s="102">
        <v>0</v>
      </c>
      <c r="AI13" s="102">
        <v>0</v>
      </c>
      <c r="AJ13" s="102">
        <v>0</v>
      </c>
      <c r="AK13" s="102">
        <v>0</v>
      </c>
      <c r="AL13" s="107" t="s">
        <v>141</v>
      </c>
      <c r="AM13" s="102">
        <v>3250000</v>
      </c>
      <c r="AN13" s="102">
        <v>7486440.6</v>
      </c>
      <c r="AO13" s="124">
        <v>7486440.6</v>
      </c>
      <c r="AP13" s="107" t="s">
        <v>142</v>
      </c>
      <c r="AQ13" s="102">
        <v>650000</v>
      </c>
      <c r="AR13" s="102"/>
      <c r="AS13" s="124"/>
      <c r="AT13" s="107" t="s">
        <v>143</v>
      </c>
      <c r="AU13" s="102">
        <v>1300000</v>
      </c>
      <c r="AV13" s="102"/>
      <c r="AW13" s="124"/>
      <c r="AX13" s="107" t="s">
        <v>144</v>
      </c>
      <c r="AY13" s="102">
        <v>1300000</v>
      </c>
      <c r="AZ13" s="102"/>
      <c r="BA13" s="124"/>
      <c r="BB13" s="107" t="s">
        <v>145</v>
      </c>
      <c r="BC13" s="102">
        <v>650000</v>
      </c>
      <c r="BD13" s="102"/>
      <c r="BE13" s="102"/>
      <c r="BF13" s="107" t="s">
        <v>146</v>
      </c>
      <c r="BG13" s="102">
        <v>650000</v>
      </c>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22"/>
      <c r="CD13" s="123">
        <f t="shared" si="8"/>
        <v>13000000</v>
      </c>
      <c r="CE13" s="102">
        <f t="shared" si="9"/>
        <v>12686440.6</v>
      </c>
      <c r="CF13" s="102">
        <f t="shared" si="10"/>
        <v>12199454.85</v>
      </c>
      <c r="CG13" s="102">
        <f t="shared" si="11"/>
        <v>486985.75</v>
      </c>
      <c r="CH13" s="124">
        <f t="shared" si="12"/>
        <v>313559.4</v>
      </c>
      <c r="CI13" s="125">
        <f t="shared" si="13"/>
        <v>0.975880046153846</v>
      </c>
      <c r="CJ13" s="126" t="str">
        <f t="shared" si="14"/>
        <v>数据正确</v>
      </c>
    </row>
    <row r="14" s="60" customFormat="1" ht="15" customHeight="1" spans="1:88">
      <c r="A14" s="60" t="s">
        <v>36</v>
      </c>
      <c r="B14" s="70" t="str">
        <f t="shared" ref="B14:B64" si="17">IF(I14=0,"-","申请中")</f>
        <v>-</v>
      </c>
      <c r="C14" s="71" t="str">
        <f t="shared" ref="C14:C64" si="18">IF(CI14=100%,"已付清","-")</f>
        <v>-</v>
      </c>
      <c r="D14" s="181">
        <f t="shared" ref="D14:D64" si="19">CF14</f>
        <v>8998100</v>
      </c>
      <c r="E14" s="181">
        <v>0</v>
      </c>
      <c r="F14" s="181">
        <v>0</v>
      </c>
      <c r="G14" s="181">
        <v>0</v>
      </c>
      <c r="H14" s="181">
        <v>0</v>
      </c>
      <c r="I14" s="181">
        <f t="shared" ref="I14:I64" si="20">CE14-CF14-CG14</f>
        <v>0</v>
      </c>
      <c r="J14" s="237" t="s">
        <v>98</v>
      </c>
      <c r="K14" s="87"/>
      <c r="L14" s="141" t="s">
        <v>147</v>
      </c>
      <c r="M14" s="191" t="s">
        <v>134</v>
      </c>
      <c r="N14" s="148" t="s">
        <v>28</v>
      </c>
      <c r="O14" s="241" t="s">
        <v>135</v>
      </c>
      <c r="P14" s="238">
        <v>42805</v>
      </c>
      <c r="Q14" s="124">
        <v>89981000</v>
      </c>
      <c r="R14" s="89" t="s">
        <v>148</v>
      </c>
      <c r="S14" s="148" t="s">
        <v>137</v>
      </c>
      <c r="T14" s="148" t="s">
        <v>138</v>
      </c>
      <c r="U14" s="148" t="s">
        <v>139</v>
      </c>
      <c r="V14" s="244" t="s">
        <v>109</v>
      </c>
      <c r="W14" s="102">
        <v>8998100</v>
      </c>
      <c r="X14" s="102">
        <v>4499050</v>
      </c>
      <c r="Y14" s="124">
        <v>4499050</v>
      </c>
      <c r="Z14" s="102">
        <v>0</v>
      </c>
      <c r="AA14" s="102">
        <v>0</v>
      </c>
      <c r="AB14" s="102">
        <v>0</v>
      </c>
      <c r="AC14" s="102">
        <v>0</v>
      </c>
      <c r="AD14" s="102">
        <v>0</v>
      </c>
      <c r="AE14" s="102">
        <v>0</v>
      </c>
      <c r="AF14" s="102">
        <v>0</v>
      </c>
      <c r="AG14" s="102">
        <v>0</v>
      </c>
      <c r="AH14" s="107" t="s">
        <v>149</v>
      </c>
      <c r="AI14" s="102">
        <v>26994300</v>
      </c>
      <c r="AJ14" s="102">
        <v>4499050</v>
      </c>
      <c r="AK14" s="124">
        <v>4499050</v>
      </c>
      <c r="AL14" s="107" t="s">
        <v>150</v>
      </c>
      <c r="AM14" s="102">
        <v>22495250</v>
      </c>
      <c r="AN14" s="102"/>
      <c r="AO14" s="124"/>
      <c r="AP14" s="107" t="s">
        <v>142</v>
      </c>
      <c r="AQ14" s="102">
        <v>4499050</v>
      </c>
      <c r="AR14" s="102"/>
      <c r="AS14" s="124"/>
      <c r="AT14" s="107" t="s">
        <v>143</v>
      </c>
      <c r="AU14" s="102">
        <v>8998100</v>
      </c>
      <c r="AV14" s="102"/>
      <c r="AW14" s="124"/>
      <c r="AX14" s="107" t="s">
        <v>144</v>
      </c>
      <c r="AY14" s="102">
        <v>8998100</v>
      </c>
      <c r="AZ14" s="102"/>
      <c r="BA14" s="124"/>
      <c r="BB14" s="107" t="s">
        <v>145</v>
      </c>
      <c r="BC14" s="102">
        <v>4499050</v>
      </c>
      <c r="BD14" s="102"/>
      <c r="BE14" s="102"/>
      <c r="BF14" s="107" t="s">
        <v>146</v>
      </c>
      <c r="BG14" s="102">
        <v>4499050</v>
      </c>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22"/>
      <c r="CD14" s="123">
        <f t="shared" si="8"/>
        <v>89981000</v>
      </c>
      <c r="CE14" s="102">
        <f t="shared" si="9"/>
        <v>8998100</v>
      </c>
      <c r="CF14" s="102">
        <f t="shared" si="10"/>
        <v>8998100</v>
      </c>
      <c r="CG14" s="102">
        <f t="shared" si="11"/>
        <v>0</v>
      </c>
      <c r="CH14" s="124">
        <f t="shared" si="12"/>
        <v>80982900</v>
      </c>
      <c r="CI14" s="125">
        <f t="shared" si="13"/>
        <v>0.1</v>
      </c>
      <c r="CJ14" s="126" t="str">
        <f t="shared" si="14"/>
        <v>数据正确</v>
      </c>
    </row>
    <row r="15" s="60" customFormat="1" ht="15" customHeight="1" spans="1:88">
      <c r="A15" s="60" t="s">
        <v>36</v>
      </c>
      <c r="B15" s="70" t="str">
        <f t="shared" si="17"/>
        <v>-</v>
      </c>
      <c r="C15" s="71" t="str">
        <f t="shared" si="18"/>
        <v>-</v>
      </c>
      <c r="D15" s="181">
        <f t="shared" si="19"/>
        <v>1753750.6</v>
      </c>
      <c r="E15" s="181">
        <v>0</v>
      </c>
      <c r="F15" s="181">
        <v>0</v>
      </c>
      <c r="G15" s="181">
        <v>0</v>
      </c>
      <c r="H15" s="181">
        <f>57402.1-57402.1</f>
        <v>0</v>
      </c>
      <c r="I15" s="181">
        <f t="shared" si="20"/>
        <v>0</v>
      </c>
      <c r="J15" s="237" t="s">
        <v>98</v>
      </c>
      <c r="K15" s="87"/>
      <c r="L15" s="141" t="s">
        <v>151</v>
      </c>
      <c r="M15" s="191" t="s">
        <v>134</v>
      </c>
      <c r="N15" s="148" t="s">
        <v>28</v>
      </c>
      <c r="O15" s="241">
        <v>2016120034</v>
      </c>
      <c r="P15" s="238">
        <v>42805</v>
      </c>
      <c r="Q15" s="124">
        <v>15900000</v>
      </c>
      <c r="R15" s="89" t="s">
        <v>152</v>
      </c>
      <c r="S15" s="148" t="s">
        <v>137</v>
      </c>
      <c r="T15" s="148" t="s">
        <v>138</v>
      </c>
      <c r="U15" s="148" t="s">
        <v>139</v>
      </c>
      <c r="V15" s="102">
        <v>0</v>
      </c>
      <c r="W15" s="102">
        <v>0</v>
      </c>
      <c r="X15" s="102">
        <v>0</v>
      </c>
      <c r="Y15" s="102">
        <v>0</v>
      </c>
      <c r="Z15" s="102">
        <v>0</v>
      </c>
      <c r="AA15" s="102">
        <v>0</v>
      </c>
      <c r="AB15" s="102">
        <v>0</v>
      </c>
      <c r="AC15" s="102">
        <v>0</v>
      </c>
      <c r="AD15" s="244" t="s">
        <v>153</v>
      </c>
      <c r="AE15" s="102">
        <v>9540000</v>
      </c>
      <c r="AF15" s="102">
        <v>514933.6</v>
      </c>
      <c r="AG15" s="124">
        <f>514933.6-57402.1</f>
        <v>457531.5</v>
      </c>
      <c r="AH15" s="107" t="s">
        <v>153</v>
      </c>
      <c r="AI15" s="102">
        <v>0</v>
      </c>
      <c r="AJ15" s="102">
        <v>1238817</v>
      </c>
      <c r="AK15" s="124">
        <f>1238817+57402.1</f>
        <v>1296219.1</v>
      </c>
      <c r="AL15" s="107" t="s">
        <v>154</v>
      </c>
      <c r="AM15" s="102">
        <v>795000</v>
      </c>
      <c r="AN15" s="102"/>
      <c r="AO15" s="124"/>
      <c r="AP15" s="107" t="s">
        <v>142</v>
      </c>
      <c r="AQ15" s="102">
        <v>795000</v>
      </c>
      <c r="AR15" s="102"/>
      <c r="AS15" s="124"/>
      <c r="AT15" s="107" t="s">
        <v>143</v>
      </c>
      <c r="AU15" s="102">
        <v>1590000</v>
      </c>
      <c r="AV15" s="102"/>
      <c r="AW15" s="124"/>
      <c r="AX15" s="107" t="s">
        <v>144</v>
      </c>
      <c r="AY15" s="102">
        <v>1590000</v>
      </c>
      <c r="AZ15" s="102"/>
      <c r="BA15" s="124"/>
      <c r="BB15" s="107" t="s">
        <v>145</v>
      </c>
      <c r="BC15" s="102">
        <v>795000</v>
      </c>
      <c r="BD15" s="102"/>
      <c r="BE15" s="102"/>
      <c r="BF15" s="107" t="s">
        <v>146</v>
      </c>
      <c r="BG15" s="102">
        <v>795000</v>
      </c>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22"/>
      <c r="CD15" s="123">
        <f t="shared" si="8"/>
        <v>15900000</v>
      </c>
      <c r="CE15" s="102">
        <f t="shared" si="9"/>
        <v>1753750.6</v>
      </c>
      <c r="CF15" s="102">
        <f t="shared" si="10"/>
        <v>1753750.6</v>
      </c>
      <c r="CG15" s="102">
        <f t="shared" si="11"/>
        <v>0</v>
      </c>
      <c r="CH15" s="124">
        <f t="shared" si="12"/>
        <v>14146249.4</v>
      </c>
      <c r="CI15" s="125">
        <f t="shared" si="13"/>
        <v>0.110298779874214</v>
      </c>
      <c r="CJ15" s="126" t="str">
        <f t="shared" si="14"/>
        <v>数据正确</v>
      </c>
    </row>
    <row r="16" s="60" customFormat="1" ht="15" customHeight="1" spans="1:88">
      <c r="A16" s="60" t="s">
        <v>36</v>
      </c>
      <c r="B16" s="70" t="str">
        <f t="shared" si="17"/>
        <v>-</v>
      </c>
      <c r="C16" s="71" t="str">
        <f t="shared" si="18"/>
        <v>-</v>
      </c>
      <c r="D16" s="181">
        <f t="shared" si="19"/>
        <v>0</v>
      </c>
      <c r="E16" s="181">
        <v>0</v>
      </c>
      <c r="F16" s="181">
        <v>0</v>
      </c>
      <c r="G16" s="181">
        <v>0</v>
      </c>
      <c r="H16" s="181">
        <v>0</v>
      </c>
      <c r="I16" s="181">
        <f t="shared" si="20"/>
        <v>0</v>
      </c>
      <c r="J16" s="237" t="s">
        <v>98</v>
      </c>
      <c r="K16" s="87"/>
      <c r="L16" s="141" t="s">
        <v>155</v>
      </c>
      <c r="M16" s="191" t="s">
        <v>134</v>
      </c>
      <c r="N16" s="148" t="s">
        <v>28</v>
      </c>
      <c r="O16" s="241">
        <v>2016120034</v>
      </c>
      <c r="P16" s="238">
        <v>42805</v>
      </c>
      <c r="Q16" s="124">
        <v>15400000</v>
      </c>
      <c r="R16" s="89" t="s">
        <v>156</v>
      </c>
      <c r="S16" s="148" t="s">
        <v>137</v>
      </c>
      <c r="T16" s="148" t="s">
        <v>138</v>
      </c>
      <c r="U16" s="148" t="s">
        <v>139</v>
      </c>
      <c r="V16" s="102">
        <v>0</v>
      </c>
      <c r="W16" s="102">
        <v>0</v>
      </c>
      <c r="X16" s="102">
        <v>0</v>
      </c>
      <c r="Y16" s="102">
        <v>0</v>
      </c>
      <c r="Z16" s="102">
        <v>0</v>
      </c>
      <c r="AA16" s="102">
        <v>0</v>
      </c>
      <c r="AB16" s="102">
        <v>0</v>
      </c>
      <c r="AC16" s="102">
        <v>0</v>
      </c>
      <c r="AD16" s="102">
        <v>0</v>
      </c>
      <c r="AE16" s="102">
        <v>0</v>
      </c>
      <c r="AF16" s="102">
        <v>0</v>
      </c>
      <c r="AG16" s="102">
        <v>0</v>
      </c>
      <c r="AH16" s="102">
        <v>0</v>
      </c>
      <c r="AI16" s="102">
        <v>0</v>
      </c>
      <c r="AJ16" s="102">
        <v>0</v>
      </c>
      <c r="AK16" s="102">
        <v>0</v>
      </c>
      <c r="AL16" s="244" t="s">
        <v>153</v>
      </c>
      <c r="AM16" s="102">
        <v>9240000</v>
      </c>
      <c r="AN16" s="102"/>
      <c r="AO16" s="124"/>
      <c r="AP16" s="107" t="s">
        <v>126</v>
      </c>
      <c r="AQ16" s="102">
        <v>0</v>
      </c>
      <c r="AR16" s="102"/>
      <c r="AS16" s="124"/>
      <c r="AT16" s="107" t="s">
        <v>154</v>
      </c>
      <c r="AU16" s="102">
        <v>770000</v>
      </c>
      <c r="AV16" s="102"/>
      <c r="AW16" s="124"/>
      <c r="AX16" s="107" t="s">
        <v>142</v>
      </c>
      <c r="AY16" s="102">
        <v>770000</v>
      </c>
      <c r="AZ16" s="102"/>
      <c r="BA16" s="124"/>
      <c r="BB16" s="107" t="s">
        <v>143</v>
      </c>
      <c r="BC16" s="102">
        <v>1540000</v>
      </c>
      <c r="BD16" s="102"/>
      <c r="BE16" s="124"/>
      <c r="BF16" s="107" t="s">
        <v>144</v>
      </c>
      <c r="BG16" s="102">
        <v>1540000</v>
      </c>
      <c r="BH16" s="102"/>
      <c r="BI16" s="124"/>
      <c r="BJ16" s="107" t="s">
        <v>145</v>
      </c>
      <c r="BK16" s="102">
        <v>770000</v>
      </c>
      <c r="BL16" s="102"/>
      <c r="BM16" s="102"/>
      <c r="BN16" s="107" t="s">
        <v>146</v>
      </c>
      <c r="BO16" s="102">
        <v>770000</v>
      </c>
      <c r="BP16" s="102"/>
      <c r="BQ16" s="102"/>
      <c r="BR16" s="102"/>
      <c r="BS16" s="102"/>
      <c r="BT16" s="102"/>
      <c r="BU16" s="102"/>
      <c r="BV16" s="102"/>
      <c r="BW16" s="102"/>
      <c r="BX16" s="102"/>
      <c r="BY16" s="102"/>
      <c r="BZ16" s="102"/>
      <c r="CA16" s="102"/>
      <c r="CB16" s="102"/>
      <c r="CC16" s="122"/>
      <c r="CD16" s="123">
        <f t="shared" si="8"/>
        <v>15400000</v>
      </c>
      <c r="CE16" s="102">
        <f t="shared" si="9"/>
        <v>0</v>
      </c>
      <c r="CF16" s="102">
        <f t="shared" si="10"/>
        <v>0</v>
      </c>
      <c r="CG16" s="102">
        <f t="shared" si="11"/>
        <v>0</v>
      </c>
      <c r="CH16" s="124">
        <f t="shared" si="12"/>
        <v>15400000</v>
      </c>
      <c r="CI16" s="125">
        <f t="shared" si="13"/>
        <v>0</v>
      </c>
      <c r="CJ16" s="126" t="str">
        <f t="shared" si="14"/>
        <v>数据正确</v>
      </c>
    </row>
    <row r="17" s="60" customFormat="1" ht="15" customHeight="1" spans="1:88">
      <c r="A17" s="60" t="s">
        <v>36</v>
      </c>
      <c r="B17" s="70" t="str">
        <f t="shared" si="17"/>
        <v>-</v>
      </c>
      <c r="C17" s="71" t="str">
        <f t="shared" si="18"/>
        <v>-</v>
      </c>
      <c r="D17" s="181">
        <f t="shared" si="19"/>
        <v>0</v>
      </c>
      <c r="E17" s="181">
        <v>0</v>
      </c>
      <c r="F17" s="181">
        <v>0</v>
      </c>
      <c r="G17" s="181">
        <v>0</v>
      </c>
      <c r="H17" s="181">
        <v>0</v>
      </c>
      <c r="I17" s="181">
        <f t="shared" si="20"/>
        <v>0</v>
      </c>
      <c r="J17" s="237" t="s">
        <v>98</v>
      </c>
      <c r="K17" s="87"/>
      <c r="L17" s="141" t="s">
        <v>157</v>
      </c>
      <c r="M17" s="191" t="s">
        <v>134</v>
      </c>
      <c r="N17" s="148" t="s">
        <v>28</v>
      </c>
      <c r="O17" s="241" t="s">
        <v>135</v>
      </c>
      <c r="P17" s="238">
        <v>42805</v>
      </c>
      <c r="Q17" s="124">
        <v>120000</v>
      </c>
      <c r="R17" s="89" t="s">
        <v>158</v>
      </c>
      <c r="S17" s="148" t="s">
        <v>137</v>
      </c>
      <c r="T17" s="148" t="s">
        <v>138</v>
      </c>
      <c r="U17" s="148" t="s">
        <v>139</v>
      </c>
      <c r="V17" s="102">
        <v>0</v>
      </c>
      <c r="W17" s="102">
        <v>0</v>
      </c>
      <c r="X17" s="102">
        <v>0</v>
      </c>
      <c r="Y17" s="102">
        <v>0</v>
      </c>
      <c r="Z17" s="102">
        <v>0</v>
      </c>
      <c r="AA17" s="102">
        <v>0</v>
      </c>
      <c r="AB17" s="102">
        <v>0</v>
      </c>
      <c r="AC17" s="102">
        <v>0</v>
      </c>
      <c r="AD17" s="102">
        <v>0</v>
      </c>
      <c r="AE17" s="102">
        <v>0</v>
      </c>
      <c r="AF17" s="102">
        <v>0</v>
      </c>
      <c r="AG17" s="102">
        <v>0</v>
      </c>
      <c r="AH17" s="102">
        <v>0</v>
      </c>
      <c r="AI17" s="102">
        <v>0</v>
      </c>
      <c r="AJ17" s="102">
        <v>0</v>
      </c>
      <c r="AK17" s="102">
        <v>0</v>
      </c>
      <c r="AL17" s="244" t="s">
        <v>159</v>
      </c>
      <c r="AM17" s="102">
        <v>114000</v>
      </c>
      <c r="AN17" s="102"/>
      <c r="AO17" s="124"/>
      <c r="AP17" s="107" t="s">
        <v>160</v>
      </c>
      <c r="AQ17" s="102">
        <v>6000</v>
      </c>
      <c r="AR17" s="102"/>
      <c r="AS17" s="124"/>
      <c r="AT17" s="107"/>
      <c r="AU17" s="102"/>
      <c r="AV17" s="102"/>
      <c r="AW17" s="124"/>
      <c r="AX17" s="107"/>
      <c r="AY17" s="102"/>
      <c r="AZ17" s="102"/>
      <c r="BA17" s="124"/>
      <c r="BB17" s="107"/>
      <c r="BC17" s="102"/>
      <c r="BD17" s="102"/>
      <c r="BE17" s="124"/>
      <c r="BF17" s="107"/>
      <c r="BG17" s="102"/>
      <c r="BH17" s="102"/>
      <c r="BI17" s="124"/>
      <c r="BJ17" s="107"/>
      <c r="BK17" s="102"/>
      <c r="BL17" s="102"/>
      <c r="BM17" s="102"/>
      <c r="BN17" s="107"/>
      <c r="BO17" s="102"/>
      <c r="BP17" s="102"/>
      <c r="BQ17" s="102"/>
      <c r="BR17" s="102"/>
      <c r="BS17" s="102"/>
      <c r="BT17" s="102"/>
      <c r="BU17" s="102"/>
      <c r="BV17" s="102"/>
      <c r="BW17" s="102"/>
      <c r="BX17" s="102"/>
      <c r="BY17" s="102"/>
      <c r="BZ17" s="102"/>
      <c r="CA17" s="102"/>
      <c r="CB17" s="102"/>
      <c r="CC17" s="122"/>
      <c r="CD17" s="123">
        <f t="shared" si="8"/>
        <v>120000</v>
      </c>
      <c r="CE17" s="102">
        <f t="shared" si="9"/>
        <v>0</v>
      </c>
      <c r="CF17" s="102">
        <f t="shared" si="10"/>
        <v>0</v>
      </c>
      <c r="CG17" s="102">
        <f t="shared" si="11"/>
        <v>0</v>
      </c>
      <c r="CH17" s="124">
        <f t="shared" si="12"/>
        <v>120000</v>
      </c>
      <c r="CI17" s="125">
        <f t="shared" si="13"/>
        <v>0</v>
      </c>
      <c r="CJ17" s="126" t="str">
        <f t="shared" si="14"/>
        <v>数据正确</v>
      </c>
    </row>
    <row r="18" s="60" customFormat="1" ht="15" customHeight="1" spans="1:88">
      <c r="A18" s="60" t="s">
        <v>36</v>
      </c>
      <c r="B18" s="70" t="str">
        <f t="shared" si="17"/>
        <v>-</v>
      </c>
      <c r="C18" s="71" t="str">
        <f t="shared" si="18"/>
        <v>-</v>
      </c>
      <c r="D18" s="181">
        <f t="shared" si="19"/>
        <v>0</v>
      </c>
      <c r="E18" s="181">
        <v>0</v>
      </c>
      <c r="F18" s="181">
        <v>0</v>
      </c>
      <c r="G18" s="181">
        <v>0</v>
      </c>
      <c r="H18" s="181">
        <v>0</v>
      </c>
      <c r="I18" s="181">
        <f t="shared" si="20"/>
        <v>0</v>
      </c>
      <c r="J18" s="237" t="s">
        <v>98</v>
      </c>
      <c r="K18" s="87"/>
      <c r="L18" s="141" t="s">
        <v>161</v>
      </c>
      <c r="M18" s="191" t="s">
        <v>134</v>
      </c>
      <c r="N18" s="148" t="s">
        <v>28</v>
      </c>
      <c r="O18" s="241" t="s">
        <v>135</v>
      </c>
      <c r="P18" s="238">
        <v>42805</v>
      </c>
      <c r="Q18" s="124">
        <v>200000</v>
      </c>
      <c r="R18" s="89" t="s">
        <v>162</v>
      </c>
      <c r="S18" s="148" t="s">
        <v>137</v>
      </c>
      <c r="T18" s="148" t="s">
        <v>138</v>
      </c>
      <c r="U18" s="148" t="s">
        <v>139</v>
      </c>
      <c r="V18" s="102">
        <v>0</v>
      </c>
      <c r="W18" s="102">
        <v>0</v>
      </c>
      <c r="X18" s="102">
        <v>0</v>
      </c>
      <c r="Y18" s="102">
        <v>0</v>
      </c>
      <c r="Z18" s="102">
        <v>0</v>
      </c>
      <c r="AA18" s="102">
        <v>0</v>
      </c>
      <c r="AB18" s="102">
        <v>0</v>
      </c>
      <c r="AC18" s="102">
        <v>0</v>
      </c>
      <c r="AD18" s="102">
        <v>0</v>
      </c>
      <c r="AE18" s="102">
        <v>0</v>
      </c>
      <c r="AF18" s="102">
        <v>0</v>
      </c>
      <c r="AG18" s="102">
        <v>0</v>
      </c>
      <c r="AH18" s="102">
        <v>0</v>
      </c>
      <c r="AI18" s="102">
        <v>0</v>
      </c>
      <c r="AJ18" s="102">
        <v>0</v>
      </c>
      <c r="AK18" s="102">
        <v>0</v>
      </c>
      <c r="AL18" s="244" t="s">
        <v>159</v>
      </c>
      <c r="AM18" s="102">
        <v>190000</v>
      </c>
      <c r="AN18" s="102"/>
      <c r="AO18" s="124"/>
      <c r="AP18" s="107" t="s">
        <v>160</v>
      </c>
      <c r="AQ18" s="102">
        <v>10000</v>
      </c>
      <c r="AR18" s="102"/>
      <c r="AS18" s="124"/>
      <c r="AT18" s="107"/>
      <c r="AU18" s="102"/>
      <c r="AV18" s="102"/>
      <c r="AW18" s="124"/>
      <c r="AX18" s="107"/>
      <c r="AY18" s="102"/>
      <c r="AZ18" s="102"/>
      <c r="BA18" s="124"/>
      <c r="BB18" s="107"/>
      <c r="BC18" s="102"/>
      <c r="BD18" s="102"/>
      <c r="BE18" s="124"/>
      <c r="BF18" s="107"/>
      <c r="BG18" s="102"/>
      <c r="BH18" s="102"/>
      <c r="BI18" s="124"/>
      <c r="BJ18" s="107"/>
      <c r="BK18" s="102"/>
      <c r="BL18" s="102"/>
      <c r="BM18" s="102"/>
      <c r="BN18" s="107"/>
      <c r="BO18" s="102"/>
      <c r="BP18" s="102"/>
      <c r="BQ18" s="102"/>
      <c r="BR18" s="102"/>
      <c r="BS18" s="102"/>
      <c r="BT18" s="102"/>
      <c r="BU18" s="102"/>
      <c r="BV18" s="102"/>
      <c r="BW18" s="102"/>
      <c r="BX18" s="102"/>
      <c r="BY18" s="102"/>
      <c r="BZ18" s="102"/>
      <c r="CA18" s="102"/>
      <c r="CB18" s="102"/>
      <c r="CC18" s="122"/>
      <c r="CD18" s="123">
        <f t="shared" si="8"/>
        <v>200000</v>
      </c>
      <c r="CE18" s="102">
        <f t="shared" si="9"/>
        <v>0</v>
      </c>
      <c r="CF18" s="102">
        <f t="shared" si="10"/>
        <v>0</v>
      </c>
      <c r="CG18" s="102">
        <f t="shared" si="11"/>
        <v>0</v>
      </c>
      <c r="CH18" s="124">
        <f t="shared" si="12"/>
        <v>200000</v>
      </c>
      <c r="CI18" s="125">
        <f t="shared" si="13"/>
        <v>0</v>
      </c>
      <c r="CJ18" s="126" t="str">
        <f t="shared" si="14"/>
        <v>数据正确</v>
      </c>
    </row>
    <row r="19" s="60" customFormat="1" ht="15" customHeight="1" spans="1:88">
      <c r="A19" s="60" t="s">
        <v>36</v>
      </c>
      <c r="B19" s="70" t="str">
        <f t="shared" si="17"/>
        <v>-</v>
      </c>
      <c r="C19" s="71" t="str">
        <f t="shared" si="18"/>
        <v>-</v>
      </c>
      <c r="D19" s="181">
        <f t="shared" si="19"/>
        <v>224000</v>
      </c>
      <c r="E19" s="181">
        <v>0</v>
      </c>
      <c r="F19" s="181">
        <v>0</v>
      </c>
      <c r="G19" s="181">
        <v>0</v>
      </c>
      <c r="H19" s="181">
        <v>0</v>
      </c>
      <c r="I19" s="181">
        <f t="shared" si="20"/>
        <v>0</v>
      </c>
      <c r="J19" s="237" t="s">
        <v>98</v>
      </c>
      <c r="K19" s="87"/>
      <c r="L19" s="141" t="s">
        <v>163</v>
      </c>
      <c r="M19" s="191" t="s">
        <v>134</v>
      </c>
      <c r="N19" s="148" t="s">
        <v>28</v>
      </c>
      <c r="O19" s="241" t="s">
        <v>135</v>
      </c>
      <c r="P19" s="238">
        <v>42805</v>
      </c>
      <c r="Q19" s="124">
        <v>600000</v>
      </c>
      <c r="R19" s="89" t="s">
        <v>164</v>
      </c>
      <c r="S19" s="148" t="s">
        <v>137</v>
      </c>
      <c r="T19" s="148" t="s">
        <v>138</v>
      </c>
      <c r="U19" s="148" t="s">
        <v>139</v>
      </c>
      <c r="V19" s="102">
        <v>0</v>
      </c>
      <c r="W19" s="102">
        <v>0</v>
      </c>
      <c r="X19" s="102">
        <v>0</v>
      </c>
      <c r="Y19" s="102">
        <v>0</v>
      </c>
      <c r="Z19" s="102">
        <v>0</v>
      </c>
      <c r="AA19" s="102">
        <v>0</v>
      </c>
      <c r="AB19" s="102">
        <v>0</v>
      </c>
      <c r="AC19" s="102">
        <v>0</v>
      </c>
      <c r="AD19" s="244" t="s">
        <v>165</v>
      </c>
      <c r="AE19" s="102">
        <v>480000</v>
      </c>
      <c r="AF19" s="102">
        <v>160000</v>
      </c>
      <c r="AG19" s="124">
        <v>160000</v>
      </c>
      <c r="AH19" s="107" t="s">
        <v>166</v>
      </c>
      <c r="AI19" s="102">
        <v>120000</v>
      </c>
      <c r="AJ19" s="102">
        <v>64000</v>
      </c>
      <c r="AK19" s="124">
        <v>64000</v>
      </c>
      <c r="AL19" s="107"/>
      <c r="AM19" s="102"/>
      <c r="AN19" s="102"/>
      <c r="AO19" s="124"/>
      <c r="AP19" s="107"/>
      <c r="AQ19" s="102"/>
      <c r="AR19" s="102"/>
      <c r="AS19" s="124"/>
      <c r="AT19" s="107"/>
      <c r="AU19" s="102"/>
      <c r="AV19" s="102"/>
      <c r="AW19" s="124"/>
      <c r="AX19" s="107"/>
      <c r="AY19" s="102"/>
      <c r="AZ19" s="102"/>
      <c r="BA19" s="124"/>
      <c r="BB19" s="107"/>
      <c r="BC19" s="102"/>
      <c r="BD19" s="102"/>
      <c r="BE19" s="102"/>
      <c r="BF19" s="107"/>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22"/>
      <c r="CD19" s="123">
        <f t="shared" si="8"/>
        <v>600000</v>
      </c>
      <c r="CE19" s="102">
        <f t="shared" si="9"/>
        <v>224000</v>
      </c>
      <c r="CF19" s="102">
        <f t="shared" si="10"/>
        <v>224000</v>
      </c>
      <c r="CG19" s="102">
        <f t="shared" si="11"/>
        <v>0</v>
      </c>
      <c r="CH19" s="124">
        <f t="shared" si="12"/>
        <v>376000</v>
      </c>
      <c r="CI19" s="125">
        <f t="shared" si="13"/>
        <v>0.373333333333333</v>
      </c>
      <c r="CJ19" s="126" t="str">
        <f t="shared" si="14"/>
        <v>数据正确</v>
      </c>
    </row>
    <row r="20" s="60" customFormat="1" ht="15" customHeight="1" spans="1:88">
      <c r="A20" s="60" t="s">
        <v>36</v>
      </c>
      <c r="B20" s="70" t="str">
        <f t="shared" si="17"/>
        <v>-</v>
      </c>
      <c r="C20" s="71" t="str">
        <f t="shared" si="18"/>
        <v>-</v>
      </c>
      <c r="D20" s="181">
        <f t="shared" si="19"/>
        <v>0</v>
      </c>
      <c r="E20" s="181">
        <v>0</v>
      </c>
      <c r="F20" s="181">
        <v>0</v>
      </c>
      <c r="G20" s="181">
        <v>0</v>
      </c>
      <c r="H20" s="181">
        <v>0</v>
      </c>
      <c r="I20" s="181">
        <f t="shared" si="20"/>
        <v>0</v>
      </c>
      <c r="J20" s="237" t="s">
        <v>98</v>
      </c>
      <c r="K20" s="87"/>
      <c r="L20" s="141" t="s">
        <v>167</v>
      </c>
      <c r="M20" s="191" t="s">
        <v>134</v>
      </c>
      <c r="N20" s="148" t="s">
        <v>28</v>
      </c>
      <c r="O20" s="241" t="s">
        <v>135</v>
      </c>
      <c r="P20" s="238">
        <v>42805</v>
      </c>
      <c r="Q20" s="124">
        <v>300000</v>
      </c>
      <c r="R20" s="89" t="s">
        <v>168</v>
      </c>
      <c r="S20" s="148" t="s">
        <v>137</v>
      </c>
      <c r="T20" s="148" t="s">
        <v>138</v>
      </c>
      <c r="U20" s="148" t="s">
        <v>139</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244" t="s">
        <v>165</v>
      </c>
      <c r="AM20" s="102">
        <v>240000</v>
      </c>
      <c r="AN20" s="102"/>
      <c r="AO20" s="124"/>
      <c r="AP20" s="107" t="s">
        <v>166</v>
      </c>
      <c r="AQ20" s="102">
        <v>60000</v>
      </c>
      <c r="AR20" s="102"/>
      <c r="AS20" s="124"/>
      <c r="AT20" s="107"/>
      <c r="AU20" s="102"/>
      <c r="AV20" s="102"/>
      <c r="AW20" s="124"/>
      <c r="AX20" s="107"/>
      <c r="AY20" s="102"/>
      <c r="AZ20" s="102"/>
      <c r="BA20" s="124"/>
      <c r="BB20" s="107"/>
      <c r="BC20" s="102"/>
      <c r="BD20" s="102"/>
      <c r="BE20" s="102"/>
      <c r="BF20" s="107"/>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22"/>
      <c r="CD20" s="123">
        <f t="shared" si="8"/>
        <v>300000</v>
      </c>
      <c r="CE20" s="102">
        <f t="shared" si="9"/>
        <v>0</v>
      </c>
      <c r="CF20" s="102">
        <f t="shared" si="10"/>
        <v>0</v>
      </c>
      <c r="CG20" s="102">
        <f t="shared" si="11"/>
        <v>0</v>
      </c>
      <c r="CH20" s="124">
        <f t="shared" si="12"/>
        <v>300000</v>
      </c>
      <c r="CI20" s="125">
        <f t="shared" si="13"/>
        <v>0</v>
      </c>
      <c r="CJ20" s="126" t="str">
        <f t="shared" si="14"/>
        <v>数据正确</v>
      </c>
    </row>
    <row r="21" s="60" customFormat="1" ht="15" customHeight="1" spans="1:88">
      <c r="A21" s="60" t="s">
        <v>36</v>
      </c>
      <c r="B21" s="70" t="str">
        <f t="shared" si="17"/>
        <v>-</v>
      </c>
      <c r="C21" s="71" t="str">
        <f t="shared" si="18"/>
        <v>-</v>
      </c>
      <c r="D21" s="181">
        <f t="shared" si="19"/>
        <v>0</v>
      </c>
      <c r="E21" s="181">
        <v>0</v>
      </c>
      <c r="F21" s="181">
        <v>0</v>
      </c>
      <c r="G21" s="181">
        <v>0</v>
      </c>
      <c r="H21" s="181">
        <v>0</v>
      </c>
      <c r="I21" s="181">
        <f t="shared" si="20"/>
        <v>0</v>
      </c>
      <c r="J21" s="237" t="s">
        <v>98</v>
      </c>
      <c r="K21" s="87"/>
      <c r="L21" s="141" t="s">
        <v>169</v>
      </c>
      <c r="M21" s="191" t="s">
        <v>134</v>
      </c>
      <c r="N21" s="148" t="s">
        <v>28</v>
      </c>
      <c r="O21" s="241" t="s">
        <v>135</v>
      </c>
      <c r="P21" s="238">
        <v>42805</v>
      </c>
      <c r="Q21" s="124">
        <v>160000</v>
      </c>
      <c r="R21" s="89" t="s">
        <v>170</v>
      </c>
      <c r="S21" s="148" t="s">
        <v>137</v>
      </c>
      <c r="T21" s="148" t="s">
        <v>138</v>
      </c>
      <c r="U21" s="148" t="s">
        <v>139</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244" t="s">
        <v>159</v>
      </c>
      <c r="AM21" s="102">
        <v>152000</v>
      </c>
      <c r="AN21" s="102"/>
      <c r="AO21" s="124"/>
      <c r="AP21" s="107" t="s">
        <v>160</v>
      </c>
      <c r="AQ21" s="102">
        <v>8000</v>
      </c>
      <c r="AR21" s="102"/>
      <c r="AS21" s="124"/>
      <c r="AT21" s="107"/>
      <c r="AU21" s="102"/>
      <c r="AV21" s="102"/>
      <c r="AW21" s="124"/>
      <c r="AX21" s="107"/>
      <c r="AY21" s="102"/>
      <c r="AZ21" s="102"/>
      <c r="BA21" s="124"/>
      <c r="BB21" s="107"/>
      <c r="BC21" s="102"/>
      <c r="BD21" s="102"/>
      <c r="BE21" s="102"/>
      <c r="BF21" s="107"/>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22"/>
      <c r="CD21" s="123">
        <f t="shared" si="8"/>
        <v>160000</v>
      </c>
      <c r="CE21" s="102">
        <f t="shared" si="9"/>
        <v>0</v>
      </c>
      <c r="CF21" s="102">
        <f t="shared" si="10"/>
        <v>0</v>
      </c>
      <c r="CG21" s="102">
        <f t="shared" si="11"/>
        <v>0</v>
      </c>
      <c r="CH21" s="124">
        <f t="shared" si="12"/>
        <v>160000</v>
      </c>
      <c r="CI21" s="125">
        <f t="shared" si="13"/>
        <v>0</v>
      </c>
      <c r="CJ21" s="126" t="str">
        <f t="shared" si="14"/>
        <v>数据正确</v>
      </c>
    </row>
    <row r="22" s="60" customFormat="1" ht="15" customHeight="1" spans="1:88">
      <c r="A22" s="60" t="s">
        <v>36</v>
      </c>
      <c r="B22" s="70" t="str">
        <f t="shared" si="17"/>
        <v>-</v>
      </c>
      <c r="C22" s="71" t="str">
        <f t="shared" si="18"/>
        <v>-</v>
      </c>
      <c r="D22" s="181">
        <f t="shared" si="19"/>
        <v>0</v>
      </c>
      <c r="E22" s="181">
        <v>0</v>
      </c>
      <c r="F22" s="181">
        <v>0</v>
      </c>
      <c r="G22" s="181">
        <v>0</v>
      </c>
      <c r="H22" s="181">
        <v>0</v>
      </c>
      <c r="I22" s="181">
        <f t="shared" si="20"/>
        <v>0</v>
      </c>
      <c r="J22" s="237" t="s">
        <v>98</v>
      </c>
      <c r="K22" s="87"/>
      <c r="L22" s="141" t="s">
        <v>171</v>
      </c>
      <c r="M22" s="191" t="s">
        <v>134</v>
      </c>
      <c r="N22" s="148" t="s">
        <v>28</v>
      </c>
      <c r="O22" s="241" t="s">
        <v>135</v>
      </c>
      <c r="P22" s="238">
        <v>42805</v>
      </c>
      <c r="Q22" s="124">
        <v>20000</v>
      </c>
      <c r="R22" s="89" t="s">
        <v>172</v>
      </c>
      <c r="S22" s="148" t="s">
        <v>137</v>
      </c>
      <c r="T22" s="148" t="s">
        <v>138</v>
      </c>
      <c r="U22" s="148" t="s">
        <v>139</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244" t="s">
        <v>159</v>
      </c>
      <c r="AM22" s="102">
        <v>19000</v>
      </c>
      <c r="AN22" s="102"/>
      <c r="AO22" s="124"/>
      <c r="AP22" s="107" t="s">
        <v>160</v>
      </c>
      <c r="AQ22" s="102">
        <v>1000</v>
      </c>
      <c r="AR22" s="102"/>
      <c r="AS22" s="124"/>
      <c r="AT22" s="107"/>
      <c r="AU22" s="102"/>
      <c r="AV22" s="102"/>
      <c r="AW22" s="124"/>
      <c r="AX22" s="107"/>
      <c r="AY22" s="102"/>
      <c r="AZ22" s="102"/>
      <c r="BA22" s="124"/>
      <c r="BB22" s="107"/>
      <c r="BC22" s="102"/>
      <c r="BD22" s="102"/>
      <c r="BE22" s="102"/>
      <c r="BF22" s="107"/>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22"/>
      <c r="CD22" s="123">
        <f t="shared" si="8"/>
        <v>20000</v>
      </c>
      <c r="CE22" s="102">
        <f t="shared" si="9"/>
        <v>0</v>
      </c>
      <c r="CF22" s="102">
        <f t="shared" si="10"/>
        <v>0</v>
      </c>
      <c r="CG22" s="102">
        <f t="shared" si="11"/>
        <v>0</v>
      </c>
      <c r="CH22" s="124">
        <f t="shared" si="12"/>
        <v>20000</v>
      </c>
      <c r="CI22" s="125">
        <f t="shared" si="13"/>
        <v>0</v>
      </c>
      <c r="CJ22" s="126" t="str">
        <f t="shared" si="14"/>
        <v>数据正确</v>
      </c>
    </row>
    <row r="23" s="60" customFormat="1" ht="15" customHeight="1" spans="1:88">
      <c r="A23" s="60" t="s">
        <v>36</v>
      </c>
      <c r="B23" s="70" t="str">
        <f t="shared" si="17"/>
        <v>-</v>
      </c>
      <c r="C23" s="71" t="str">
        <f t="shared" si="18"/>
        <v>-</v>
      </c>
      <c r="D23" s="181">
        <f t="shared" si="19"/>
        <v>0</v>
      </c>
      <c r="E23" s="181">
        <v>0</v>
      </c>
      <c r="F23" s="181">
        <v>0</v>
      </c>
      <c r="G23" s="181">
        <v>0</v>
      </c>
      <c r="H23" s="181">
        <v>0</v>
      </c>
      <c r="I23" s="181">
        <f t="shared" si="20"/>
        <v>0</v>
      </c>
      <c r="J23" s="237" t="s">
        <v>98</v>
      </c>
      <c r="K23" s="87"/>
      <c r="L23" s="141" t="s">
        <v>173</v>
      </c>
      <c r="M23" s="191" t="s">
        <v>134</v>
      </c>
      <c r="N23" s="148" t="s">
        <v>28</v>
      </c>
      <c r="O23" s="241" t="s">
        <v>135</v>
      </c>
      <c r="P23" s="238">
        <v>42805</v>
      </c>
      <c r="Q23" s="124">
        <v>200000</v>
      </c>
      <c r="R23" s="89" t="s">
        <v>174</v>
      </c>
      <c r="S23" s="148" t="s">
        <v>137</v>
      </c>
      <c r="T23" s="148" t="s">
        <v>138</v>
      </c>
      <c r="U23" s="148" t="s">
        <v>139</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244" t="s">
        <v>159</v>
      </c>
      <c r="AM23" s="102">
        <v>190000</v>
      </c>
      <c r="AN23" s="102"/>
      <c r="AO23" s="124"/>
      <c r="AP23" s="107" t="s">
        <v>160</v>
      </c>
      <c r="AQ23" s="102">
        <v>10000</v>
      </c>
      <c r="AR23" s="102"/>
      <c r="AS23" s="124"/>
      <c r="AT23" s="107"/>
      <c r="AU23" s="102"/>
      <c r="AV23" s="102"/>
      <c r="AW23" s="124"/>
      <c r="AX23" s="107"/>
      <c r="AY23" s="102"/>
      <c r="AZ23" s="102"/>
      <c r="BA23" s="124"/>
      <c r="BB23" s="107"/>
      <c r="BC23" s="102"/>
      <c r="BD23" s="102"/>
      <c r="BE23" s="102"/>
      <c r="BF23" s="107"/>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22"/>
      <c r="CD23" s="123">
        <f t="shared" si="8"/>
        <v>200000</v>
      </c>
      <c r="CE23" s="102">
        <f t="shared" si="9"/>
        <v>0</v>
      </c>
      <c r="CF23" s="102">
        <f t="shared" si="10"/>
        <v>0</v>
      </c>
      <c r="CG23" s="102">
        <f t="shared" si="11"/>
        <v>0</v>
      </c>
      <c r="CH23" s="124">
        <f t="shared" si="12"/>
        <v>200000</v>
      </c>
      <c r="CI23" s="125">
        <f t="shared" si="13"/>
        <v>0</v>
      </c>
      <c r="CJ23" s="126" t="str">
        <f t="shared" si="14"/>
        <v>数据正确</v>
      </c>
    </row>
    <row r="24" s="60" customFormat="1" ht="15" customHeight="1" spans="1:88">
      <c r="A24" s="60" t="s">
        <v>36</v>
      </c>
      <c r="B24" s="70" t="str">
        <f t="shared" si="17"/>
        <v>-</v>
      </c>
      <c r="C24" s="71" t="str">
        <f t="shared" si="18"/>
        <v>-</v>
      </c>
      <c r="D24" s="181">
        <f t="shared" si="19"/>
        <v>0</v>
      </c>
      <c r="E24" s="181">
        <v>0</v>
      </c>
      <c r="F24" s="181">
        <v>0</v>
      </c>
      <c r="G24" s="181">
        <v>0</v>
      </c>
      <c r="H24" s="181">
        <v>0</v>
      </c>
      <c r="I24" s="181">
        <f t="shared" si="20"/>
        <v>0</v>
      </c>
      <c r="J24" s="237" t="s">
        <v>98</v>
      </c>
      <c r="K24" s="87"/>
      <c r="L24" s="141" t="s">
        <v>175</v>
      </c>
      <c r="M24" s="191" t="s">
        <v>134</v>
      </c>
      <c r="N24" s="148" t="s">
        <v>28</v>
      </c>
      <c r="O24" s="241" t="s">
        <v>135</v>
      </c>
      <c r="P24" s="238">
        <v>42805</v>
      </c>
      <c r="Q24" s="124">
        <v>150000</v>
      </c>
      <c r="R24" s="89" t="s">
        <v>176</v>
      </c>
      <c r="S24" s="148" t="s">
        <v>137</v>
      </c>
      <c r="T24" s="148" t="s">
        <v>138</v>
      </c>
      <c r="U24" s="148" t="s">
        <v>139</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244" t="s">
        <v>159</v>
      </c>
      <c r="AM24" s="102">
        <v>142500</v>
      </c>
      <c r="AN24" s="102"/>
      <c r="AO24" s="124"/>
      <c r="AP24" s="107" t="s">
        <v>160</v>
      </c>
      <c r="AQ24" s="102">
        <v>7500</v>
      </c>
      <c r="AR24" s="102"/>
      <c r="AS24" s="124"/>
      <c r="AT24" s="107"/>
      <c r="AU24" s="102"/>
      <c r="AV24" s="102"/>
      <c r="AW24" s="124"/>
      <c r="AX24" s="107"/>
      <c r="AY24" s="102"/>
      <c r="AZ24" s="102"/>
      <c r="BA24" s="124"/>
      <c r="BB24" s="107"/>
      <c r="BC24" s="102"/>
      <c r="BD24" s="102"/>
      <c r="BE24" s="102"/>
      <c r="BF24" s="107"/>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22"/>
      <c r="CD24" s="123">
        <f t="shared" si="8"/>
        <v>150000</v>
      </c>
      <c r="CE24" s="102">
        <f t="shared" si="9"/>
        <v>0</v>
      </c>
      <c r="CF24" s="102">
        <f t="shared" si="10"/>
        <v>0</v>
      </c>
      <c r="CG24" s="102">
        <f t="shared" si="11"/>
        <v>0</v>
      </c>
      <c r="CH24" s="124">
        <f t="shared" si="12"/>
        <v>150000</v>
      </c>
      <c r="CI24" s="125">
        <f t="shared" si="13"/>
        <v>0</v>
      </c>
      <c r="CJ24" s="126" t="str">
        <f t="shared" si="14"/>
        <v>数据正确</v>
      </c>
    </row>
    <row r="25" s="60" customFormat="1" ht="15" customHeight="1" spans="1:88">
      <c r="A25" s="60" t="s">
        <v>36</v>
      </c>
      <c r="B25" s="70" t="str">
        <f t="shared" si="17"/>
        <v>-</v>
      </c>
      <c r="C25" s="71" t="str">
        <f t="shared" si="18"/>
        <v>-</v>
      </c>
      <c r="D25" s="181">
        <f t="shared" si="19"/>
        <v>118940</v>
      </c>
      <c r="E25" s="181">
        <v>0</v>
      </c>
      <c r="F25" s="181">
        <v>0</v>
      </c>
      <c r="G25" s="181">
        <v>0</v>
      </c>
      <c r="H25" s="181">
        <v>0</v>
      </c>
      <c r="I25" s="181">
        <f t="shared" si="20"/>
        <v>0</v>
      </c>
      <c r="J25" s="237" t="s">
        <v>98</v>
      </c>
      <c r="K25" s="87"/>
      <c r="L25" s="141" t="s">
        <v>177</v>
      </c>
      <c r="M25" s="191" t="s">
        <v>134</v>
      </c>
      <c r="N25" s="148" t="s">
        <v>28</v>
      </c>
      <c r="O25" s="241" t="s">
        <v>135</v>
      </c>
      <c r="P25" s="238">
        <v>42805</v>
      </c>
      <c r="Q25" s="124">
        <v>200000</v>
      </c>
      <c r="R25" s="89" t="s">
        <v>178</v>
      </c>
      <c r="S25" s="148" t="s">
        <v>137</v>
      </c>
      <c r="T25" s="148" t="s">
        <v>138</v>
      </c>
      <c r="U25" s="148" t="s">
        <v>139</v>
      </c>
      <c r="V25" s="102">
        <v>0</v>
      </c>
      <c r="W25" s="102">
        <v>0</v>
      </c>
      <c r="X25" s="102">
        <v>0</v>
      </c>
      <c r="Y25" s="102">
        <v>0</v>
      </c>
      <c r="Z25" s="102">
        <v>0</v>
      </c>
      <c r="AA25" s="102">
        <v>0</v>
      </c>
      <c r="AB25" s="102">
        <v>0</v>
      </c>
      <c r="AC25" s="102">
        <v>0</v>
      </c>
      <c r="AD25" s="244" t="s">
        <v>159</v>
      </c>
      <c r="AE25" s="102">
        <v>190000</v>
      </c>
      <c r="AF25" s="102">
        <v>118940</v>
      </c>
      <c r="AG25" s="124">
        <v>118940</v>
      </c>
      <c r="AH25" s="102">
        <v>0</v>
      </c>
      <c r="AI25" s="102">
        <v>0</v>
      </c>
      <c r="AJ25" s="102">
        <v>0</v>
      </c>
      <c r="AK25" s="102">
        <v>0</v>
      </c>
      <c r="AL25" s="107" t="s">
        <v>160</v>
      </c>
      <c r="AM25" s="102">
        <v>10000</v>
      </c>
      <c r="AN25" s="102"/>
      <c r="AO25" s="124"/>
      <c r="AP25" s="107"/>
      <c r="AQ25" s="102"/>
      <c r="AR25" s="102"/>
      <c r="AS25" s="124"/>
      <c r="AT25" s="107"/>
      <c r="AU25" s="102"/>
      <c r="AV25" s="102"/>
      <c r="AW25" s="124"/>
      <c r="AX25" s="107"/>
      <c r="AY25" s="102"/>
      <c r="AZ25" s="102"/>
      <c r="BA25" s="124"/>
      <c r="BB25" s="107"/>
      <c r="BC25" s="102"/>
      <c r="BD25" s="102"/>
      <c r="BE25" s="102"/>
      <c r="BF25" s="107"/>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22"/>
      <c r="CD25" s="123">
        <f t="shared" si="8"/>
        <v>200000</v>
      </c>
      <c r="CE25" s="102">
        <f t="shared" si="9"/>
        <v>118940</v>
      </c>
      <c r="CF25" s="102">
        <f t="shared" si="10"/>
        <v>118940</v>
      </c>
      <c r="CG25" s="102">
        <f t="shared" si="11"/>
        <v>0</v>
      </c>
      <c r="CH25" s="124">
        <f t="shared" si="12"/>
        <v>81060</v>
      </c>
      <c r="CI25" s="125">
        <f t="shared" si="13"/>
        <v>0.5947</v>
      </c>
      <c r="CJ25" s="126" t="str">
        <f t="shared" si="14"/>
        <v>数据正确</v>
      </c>
    </row>
    <row r="26" s="60" customFormat="1" ht="15" customHeight="1" spans="1:88">
      <c r="A26" s="60" t="s">
        <v>36</v>
      </c>
      <c r="B26" s="70" t="str">
        <f t="shared" si="17"/>
        <v>-</v>
      </c>
      <c r="C26" s="71" t="str">
        <f t="shared" si="18"/>
        <v>-</v>
      </c>
      <c r="D26" s="181">
        <f t="shared" si="19"/>
        <v>2125714</v>
      </c>
      <c r="E26" s="181">
        <v>0</v>
      </c>
      <c r="F26" s="181">
        <v>0</v>
      </c>
      <c r="G26" s="181">
        <v>0</v>
      </c>
      <c r="H26" s="181">
        <v>0</v>
      </c>
      <c r="I26" s="181">
        <f t="shared" si="20"/>
        <v>0</v>
      </c>
      <c r="J26" s="237" t="s">
        <v>98</v>
      </c>
      <c r="K26" s="87"/>
      <c r="L26" s="141" t="s">
        <v>179</v>
      </c>
      <c r="M26" s="191" t="s">
        <v>134</v>
      </c>
      <c r="N26" s="148" t="s">
        <v>28</v>
      </c>
      <c r="O26" s="241" t="s">
        <v>135</v>
      </c>
      <c r="P26" s="238">
        <v>42805</v>
      </c>
      <c r="Q26" s="124">
        <v>9300000</v>
      </c>
      <c r="R26" s="89" t="s">
        <v>180</v>
      </c>
      <c r="S26" s="148" t="s">
        <v>137</v>
      </c>
      <c r="T26" s="148" t="s">
        <v>138</v>
      </c>
      <c r="U26" s="148" t="s">
        <v>139</v>
      </c>
      <c r="V26" s="102">
        <v>0</v>
      </c>
      <c r="W26" s="102">
        <v>0</v>
      </c>
      <c r="X26" s="102">
        <v>0</v>
      </c>
      <c r="Y26" s="102">
        <v>0</v>
      </c>
      <c r="Z26" s="102">
        <v>0</v>
      </c>
      <c r="AA26" s="102">
        <v>0</v>
      </c>
      <c r="AB26" s="102">
        <v>0</v>
      </c>
      <c r="AC26" s="102">
        <v>0</v>
      </c>
      <c r="AD26" s="244" t="s">
        <v>165</v>
      </c>
      <c r="AE26" s="102">
        <v>7440000</v>
      </c>
      <c r="AF26" s="102">
        <v>1594286</v>
      </c>
      <c r="AG26" s="124">
        <v>1594286</v>
      </c>
      <c r="AH26" s="107" t="s">
        <v>166</v>
      </c>
      <c r="AI26" s="102">
        <v>1860000</v>
      </c>
      <c r="AJ26" s="102">
        <v>531428</v>
      </c>
      <c r="AK26" s="124">
        <v>531428</v>
      </c>
      <c r="AL26" s="107"/>
      <c r="AM26" s="102"/>
      <c r="AN26" s="102"/>
      <c r="AO26" s="124"/>
      <c r="AP26" s="107"/>
      <c r="AQ26" s="102"/>
      <c r="AR26" s="102"/>
      <c r="AS26" s="124"/>
      <c r="AT26" s="107"/>
      <c r="AU26" s="102"/>
      <c r="AV26" s="102"/>
      <c r="AW26" s="124"/>
      <c r="AX26" s="107"/>
      <c r="AY26" s="102"/>
      <c r="AZ26" s="102"/>
      <c r="BA26" s="124"/>
      <c r="BB26" s="107"/>
      <c r="BC26" s="102"/>
      <c r="BD26" s="102"/>
      <c r="BE26" s="102"/>
      <c r="BF26" s="107"/>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22"/>
      <c r="CD26" s="123">
        <f t="shared" si="8"/>
        <v>9300000</v>
      </c>
      <c r="CE26" s="102">
        <f t="shared" si="9"/>
        <v>2125714</v>
      </c>
      <c r="CF26" s="102">
        <f t="shared" si="10"/>
        <v>2125714</v>
      </c>
      <c r="CG26" s="102">
        <f t="shared" si="11"/>
        <v>0</v>
      </c>
      <c r="CH26" s="124">
        <f t="shared" si="12"/>
        <v>7174286</v>
      </c>
      <c r="CI26" s="125">
        <f t="shared" si="13"/>
        <v>0.228571397849462</v>
      </c>
      <c r="CJ26" s="126" t="str">
        <f t="shared" si="14"/>
        <v>数据正确</v>
      </c>
    </row>
    <row r="27" s="60" customFormat="1" ht="15" customHeight="1" spans="1:88">
      <c r="A27" s="60" t="s">
        <v>36</v>
      </c>
      <c r="B27" s="70" t="str">
        <f t="shared" si="17"/>
        <v>-</v>
      </c>
      <c r="C27" s="71" t="str">
        <f t="shared" si="18"/>
        <v>-</v>
      </c>
      <c r="D27" s="181">
        <f t="shared" si="19"/>
        <v>722057</v>
      </c>
      <c r="E27" s="181">
        <v>0</v>
      </c>
      <c r="F27" s="181">
        <v>0</v>
      </c>
      <c r="G27" s="181">
        <v>0</v>
      </c>
      <c r="H27" s="181">
        <v>0</v>
      </c>
      <c r="I27" s="181">
        <f t="shared" si="20"/>
        <v>0</v>
      </c>
      <c r="J27" s="237" t="s">
        <v>98</v>
      </c>
      <c r="K27" s="87"/>
      <c r="L27" s="141" t="s">
        <v>181</v>
      </c>
      <c r="M27" s="191" t="s">
        <v>134</v>
      </c>
      <c r="N27" s="148" t="s">
        <v>28</v>
      </c>
      <c r="O27" s="241" t="s">
        <v>135</v>
      </c>
      <c r="P27" s="238">
        <v>42805</v>
      </c>
      <c r="Q27" s="124">
        <v>3159000</v>
      </c>
      <c r="R27" s="89" t="s">
        <v>182</v>
      </c>
      <c r="S27" s="148" t="s">
        <v>137</v>
      </c>
      <c r="T27" s="148" t="s">
        <v>138</v>
      </c>
      <c r="U27" s="148" t="s">
        <v>139</v>
      </c>
      <c r="V27" s="102">
        <v>0</v>
      </c>
      <c r="W27" s="102">
        <v>0</v>
      </c>
      <c r="X27" s="102">
        <v>0</v>
      </c>
      <c r="Y27" s="102">
        <v>0</v>
      </c>
      <c r="Z27" s="102">
        <v>0</v>
      </c>
      <c r="AA27" s="102">
        <v>0</v>
      </c>
      <c r="AB27" s="102">
        <v>0</v>
      </c>
      <c r="AC27" s="102">
        <v>0</v>
      </c>
      <c r="AD27" s="244" t="s">
        <v>165</v>
      </c>
      <c r="AE27" s="102">
        <v>2527200</v>
      </c>
      <c r="AF27" s="102">
        <v>541543</v>
      </c>
      <c r="AG27" s="124">
        <v>541543</v>
      </c>
      <c r="AH27" s="107" t="s">
        <v>166</v>
      </c>
      <c r="AI27" s="102">
        <v>631800</v>
      </c>
      <c r="AJ27" s="102">
        <v>180514</v>
      </c>
      <c r="AK27" s="124">
        <v>180514</v>
      </c>
      <c r="AL27" s="107"/>
      <c r="AM27" s="102"/>
      <c r="AN27" s="102"/>
      <c r="AO27" s="124"/>
      <c r="AP27" s="107"/>
      <c r="AQ27" s="102"/>
      <c r="AR27" s="102"/>
      <c r="AS27" s="124"/>
      <c r="AT27" s="107"/>
      <c r="AU27" s="102"/>
      <c r="AV27" s="102"/>
      <c r="AW27" s="124"/>
      <c r="AX27" s="107"/>
      <c r="AY27" s="102"/>
      <c r="AZ27" s="102"/>
      <c r="BA27" s="124"/>
      <c r="BB27" s="107"/>
      <c r="BC27" s="102"/>
      <c r="BD27" s="102"/>
      <c r="BE27" s="102"/>
      <c r="BF27" s="107"/>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22"/>
      <c r="CD27" s="123">
        <f t="shared" si="8"/>
        <v>3159000</v>
      </c>
      <c r="CE27" s="102">
        <f t="shared" si="9"/>
        <v>722057</v>
      </c>
      <c r="CF27" s="102">
        <f t="shared" si="10"/>
        <v>722057</v>
      </c>
      <c r="CG27" s="102">
        <f t="shared" si="11"/>
        <v>0</v>
      </c>
      <c r="CH27" s="124">
        <f t="shared" si="12"/>
        <v>2436943</v>
      </c>
      <c r="CI27" s="125">
        <f t="shared" si="13"/>
        <v>0.228571383349161</v>
      </c>
      <c r="CJ27" s="126" t="str">
        <f t="shared" si="14"/>
        <v>数据正确</v>
      </c>
    </row>
    <row r="28" s="60" customFormat="1" ht="15" customHeight="1" spans="1:88">
      <c r="A28" s="60" t="s">
        <v>36</v>
      </c>
      <c r="B28" s="70" t="str">
        <f t="shared" si="17"/>
        <v>-</v>
      </c>
      <c r="C28" s="71" t="str">
        <f t="shared" si="18"/>
        <v>-</v>
      </c>
      <c r="D28" s="181">
        <f t="shared" si="19"/>
        <v>13998</v>
      </c>
      <c r="E28" s="181">
        <v>0</v>
      </c>
      <c r="F28" s="181">
        <v>0</v>
      </c>
      <c r="G28" s="181">
        <v>0</v>
      </c>
      <c r="H28" s="181">
        <v>0</v>
      </c>
      <c r="I28" s="181">
        <f t="shared" si="20"/>
        <v>0</v>
      </c>
      <c r="J28" s="237" t="s">
        <v>98</v>
      </c>
      <c r="K28" s="87"/>
      <c r="L28" s="141" t="s">
        <v>183</v>
      </c>
      <c r="M28" s="191" t="s">
        <v>134</v>
      </c>
      <c r="N28" s="148" t="s">
        <v>28</v>
      </c>
      <c r="O28" s="241" t="s">
        <v>135</v>
      </c>
      <c r="P28" s="238">
        <v>42805</v>
      </c>
      <c r="Q28" s="124">
        <v>70000</v>
      </c>
      <c r="R28" s="89" t="s">
        <v>184</v>
      </c>
      <c r="S28" s="148" t="s">
        <v>137</v>
      </c>
      <c r="T28" s="148" t="s">
        <v>138</v>
      </c>
      <c r="U28" s="148" t="s">
        <v>139</v>
      </c>
      <c r="V28" s="102">
        <v>0</v>
      </c>
      <c r="W28" s="102">
        <v>0</v>
      </c>
      <c r="X28" s="102">
        <v>0</v>
      </c>
      <c r="Y28" s="102">
        <v>0</v>
      </c>
      <c r="Z28" s="102">
        <v>0</v>
      </c>
      <c r="AA28" s="102">
        <v>0</v>
      </c>
      <c r="AB28" s="102">
        <v>0</v>
      </c>
      <c r="AC28" s="102">
        <v>0</v>
      </c>
      <c r="AD28" s="244" t="s">
        <v>185</v>
      </c>
      <c r="AE28" s="102">
        <v>70000</v>
      </c>
      <c r="AF28" s="102">
        <v>9332</v>
      </c>
      <c r="AG28" s="124">
        <v>9332</v>
      </c>
      <c r="AH28" s="107" t="s">
        <v>185</v>
      </c>
      <c r="AI28" s="102">
        <v>0</v>
      </c>
      <c r="AJ28" s="102">
        <v>4666</v>
      </c>
      <c r="AK28" s="124">
        <v>4666</v>
      </c>
      <c r="AL28" s="107"/>
      <c r="AM28" s="102"/>
      <c r="AN28" s="102"/>
      <c r="AO28" s="124"/>
      <c r="AP28" s="107"/>
      <c r="AQ28" s="102"/>
      <c r="AR28" s="102"/>
      <c r="AS28" s="124"/>
      <c r="AT28" s="107"/>
      <c r="AU28" s="102"/>
      <c r="AV28" s="102"/>
      <c r="AW28" s="124"/>
      <c r="AX28" s="107"/>
      <c r="AY28" s="102"/>
      <c r="AZ28" s="102"/>
      <c r="BA28" s="124"/>
      <c r="BB28" s="107"/>
      <c r="BC28" s="102"/>
      <c r="BD28" s="102"/>
      <c r="BE28" s="102"/>
      <c r="BF28" s="107"/>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22"/>
      <c r="CD28" s="123">
        <f t="shared" si="8"/>
        <v>70000</v>
      </c>
      <c r="CE28" s="102">
        <f t="shared" si="9"/>
        <v>13998</v>
      </c>
      <c r="CF28" s="102">
        <f t="shared" si="10"/>
        <v>13998</v>
      </c>
      <c r="CG28" s="102">
        <f t="shared" si="11"/>
        <v>0</v>
      </c>
      <c r="CH28" s="124">
        <f t="shared" si="12"/>
        <v>56002</v>
      </c>
      <c r="CI28" s="125">
        <f t="shared" si="13"/>
        <v>0.199971428571429</v>
      </c>
      <c r="CJ28" s="126" t="str">
        <f t="shared" si="14"/>
        <v>数据正确</v>
      </c>
    </row>
    <row r="29" s="60" customFormat="1" ht="15" customHeight="1" spans="1:88">
      <c r="A29" s="60" t="s">
        <v>36</v>
      </c>
      <c r="B29" s="70" t="str">
        <f t="shared" si="17"/>
        <v>-</v>
      </c>
      <c r="C29" s="71" t="str">
        <f t="shared" si="18"/>
        <v>-</v>
      </c>
      <c r="D29" s="181">
        <f t="shared" si="19"/>
        <v>24000</v>
      </c>
      <c r="E29" s="181">
        <v>0</v>
      </c>
      <c r="F29" s="181">
        <v>0</v>
      </c>
      <c r="G29" s="181">
        <v>0</v>
      </c>
      <c r="H29" s="181">
        <v>0</v>
      </c>
      <c r="I29" s="181">
        <f t="shared" si="20"/>
        <v>0</v>
      </c>
      <c r="J29" s="237" t="s">
        <v>98</v>
      </c>
      <c r="K29" s="87"/>
      <c r="L29" s="141" t="s">
        <v>186</v>
      </c>
      <c r="M29" s="191" t="s">
        <v>134</v>
      </c>
      <c r="N29" s="148" t="s">
        <v>28</v>
      </c>
      <c r="O29" s="241" t="s">
        <v>135</v>
      </c>
      <c r="P29" s="238">
        <v>42805</v>
      </c>
      <c r="Q29" s="124">
        <v>120000</v>
      </c>
      <c r="R29" s="89" t="s">
        <v>187</v>
      </c>
      <c r="S29" s="148" t="s">
        <v>137</v>
      </c>
      <c r="T29" s="148" t="s">
        <v>138</v>
      </c>
      <c r="U29" s="148" t="s">
        <v>139</v>
      </c>
      <c r="V29" s="102">
        <v>0</v>
      </c>
      <c r="W29" s="102">
        <v>0</v>
      </c>
      <c r="X29" s="102">
        <v>0</v>
      </c>
      <c r="Y29" s="102">
        <v>0</v>
      </c>
      <c r="Z29" s="102">
        <v>0</v>
      </c>
      <c r="AA29" s="102">
        <v>0</v>
      </c>
      <c r="AB29" s="102">
        <v>0</v>
      </c>
      <c r="AC29" s="102">
        <v>0</v>
      </c>
      <c r="AD29" s="244" t="s">
        <v>185</v>
      </c>
      <c r="AE29" s="102">
        <v>120000</v>
      </c>
      <c r="AF29" s="102">
        <v>16000</v>
      </c>
      <c r="AG29" s="124">
        <v>16000</v>
      </c>
      <c r="AH29" s="107" t="s">
        <v>185</v>
      </c>
      <c r="AI29" s="102">
        <v>0</v>
      </c>
      <c r="AJ29" s="102">
        <v>8000</v>
      </c>
      <c r="AK29" s="124">
        <v>8000</v>
      </c>
      <c r="AL29" s="107"/>
      <c r="AM29" s="102"/>
      <c r="AN29" s="102"/>
      <c r="AO29" s="124"/>
      <c r="AP29" s="107"/>
      <c r="AQ29" s="102"/>
      <c r="AR29" s="102"/>
      <c r="AS29" s="124"/>
      <c r="AT29" s="107"/>
      <c r="AU29" s="102"/>
      <c r="AV29" s="102"/>
      <c r="AW29" s="124"/>
      <c r="AX29" s="107"/>
      <c r="AY29" s="102"/>
      <c r="AZ29" s="102"/>
      <c r="BA29" s="124"/>
      <c r="BB29" s="107"/>
      <c r="BC29" s="102"/>
      <c r="BD29" s="102"/>
      <c r="BE29" s="102"/>
      <c r="BF29" s="107"/>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22"/>
      <c r="CD29" s="123">
        <f t="shared" si="8"/>
        <v>120000</v>
      </c>
      <c r="CE29" s="102">
        <f t="shared" si="9"/>
        <v>24000</v>
      </c>
      <c r="CF29" s="102">
        <f t="shared" si="10"/>
        <v>24000</v>
      </c>
      <c r="CG29" s="102">
        <f t="shared" si="11"/>
        <v>0</v>
      </c>
      <c r="CH29" s="124">
        <f t="shared" si="12"/>
        <v>96000</v>
      </c>
      <c r="CI29" s="125">
        <f t="shared" si="13"/>
        <v>0.2</v>
      </c>
      <c r="CJ29" s="126" t="str">
        <f t="shared" si="14"/>
        <v>数据正确</v>
      </c>
    </row>
    <row r="30" s="60" customFormat="1" ht="15" customHeight="1" spans="1:88">
      <c r="A30" s="60" t="s">
        <v>36</v>
      </c>
      <c r="B30" s="70" t="str">
        <f t="shared" si="17"/>
        <v>-</v>
      </c>
      <c r="C30" s="71" t="str">
        <f t="shared" si="18"/>
        <v>-</v>
      </c>
      <c r="D30" s="181">
        <f t="shared" si="19"/>
        <v>13998</v>
      </c>
      <c r="E30" s="181">
        <v>0</v>
      </c>
      <c r="F30" s="181">
        <v>0</v>
      </c>
      <c r="G30" s="181">
        <v>0</v>
      </c>
      <c r="H30" s="181">
        <v>0</v>
      </c>
      <c r="I30" s="181">
        <f t="shared" si="20"/>
        <v>0</v>
      </c>
      <c r="J30" s="237" t="s">
        <v>98</v>
      </c>
      <c r="K30" s="87"/>
      <c r="L30" s="141" t="s">
        <v>188</v>
      </c>
      <c r="M30" s="191" t="s">
        <v>134</v>
      </c>
      <c r="N30" s="148" t="s">
        <v>28</v>
      </c>
      <c r="O30" s="241" t="s">
        <v>135</v>
      </c>
      <c r="P30" s="238">
        <v>42805</v>
      </c>
      <c r="Q30" s="124">
        <v>70000</v>
      </c>
      <c r="R30" s="89" t="s">
        <v>189</v>
      </c>
      <c r="S30" s="148" t="s">
        <v>137</v>
      </c>
      <c r="T30" s="148" t="s">
        <v>138</v>
      </c>
      <c r="U30" s="148" t="s">
        <v>139</v>
      </c>
      <c r="V30" s="102">
        <v>0</v>
      </c>
      <c r="W30" s="102">
        <v>0</v>
      </c>
      <c r="X30" s="102">
        <v>0</v>
      </c>
      <c r="Y30" s="102">
        <v>0</v>
      </c>
      <c r="Z30" s="102">
        <v>0</v>
      </c>
      <c r="AA30" s="102">
        <v>0</v>
      </c>
      <c r="AB30" s="102">
        <v>0</v>
      </c>
      <c r="AC30" s="102">
        <v>0</v>
      </c>
      <c r="AD30" s="244" t="s">
        <v>185</v>
      </c>
      <c r="AE30" s="102">
        <v>70000</v>
      </c>
      <c r="AF30" s="102">
        <v>9332</v>
      </c>
      <c r="AG30" s="124">
        <v>9332</v>
      </c>
      <c r="AH30" s="107" t="s">
        <v>185</v>
      </c>
      <c r="AI30" s="102">
        <v>0</v>
      </c>
      <c r="AJ30" s="102">
        <v>4666</v>
      </c>
      <c r="AK30" s="124">
        <v>4666</v>
      </c>
      <c r="AL30" s="107"/>
      <c r="AM30" s="102"/>
      <c r="AN30" s="102"/>
      <c r="AO30" s="124"/>
      <c r="AP30" s="107"/>
      <c r="AQ30" s="102"/>
      <c r="AR30" s="102"/>
      <c r="AS30" s="124"/>
      <c r="AT30" s="107"/>
      <c r="AU30" s="102"/>
      <c r="AV30" s="102"/>
      <c r="AW30" s="124"/>
      <c r="AX30" s="107"/>
      <c r="AY30" s="102"/>
      <c r="AZ30" s="102"/>
      <c r="BA30" s="124"/>
      <c r="BB30" s="107"/>
      <c r="BC30" s="102"/>
      <c r="BD30" s="102"/>
      <c r="BE30" s="102"/>
      <c r="BF30" s="107"/>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22"/>
      <c r="CD30" s="123">
        <f t="shared" si="8"/>
        <v>70000</v>
      </c>
      <c r="CE30" s="102">
        <f t="shared" si="9"/>
        <v>13998</v>
      </c>
      <c r="CF30" s="102">
        <f t="shared" si="10"/>
        <v>13998</v>
      </c>
      <c r="CG30" s="102">
        <f t="shared" si="11"/>
        <v>0</v>
      </c>
      <c r="CH30" s="124">
        <f t="shared" si="12"/>
        <v>56002</v>
      </c>
      <c r="CI30" s="125">
        <f t="shared" si="13"/>
        <v>0.199971428571429</v>
      </c>
      <c r="CJ30" s="126" t="str">
        <f t="shared" si="14"/>
        <v>数据正确</v>
      </c>
    </row>
    <row r="31" s="60" customFormat="1" ht="15" customHeight="1" spans="1:88">
      <c r="A31" s="60" t="s">
        <v>36</v>
      </c>
      <c r="B31" s="70" t="str">
        <f t="shared" si="17"/>
        <v>-</v>
      </c>
      <c r="C31" s="71" t="str">
        <f t="shared" si="18"/>
        <v>-</v>
      </c>
      <c r="D31" s="181">
        <f t="shared" si="19"/>
        <v>10001</v>
      </c>
      <c r="E31" s="181">
        <v>0</v>
      </c>
      <c r="F31" s="181">
        <v>0</v>
      </c>
      <c r="G31" s="181">
        <v>0</v>
      </c>
      <c r="H31" s="181">
        <v>0</v>
      </c>
      <c r="I31" s="181">
        <f t="shared" si="20"/>
        <v>0</v>
      </c>
      <c r="J31" s="237" t="s">
        <v>98</v>
      </c>
      <c r="K31" s="87"/>
      <c r="L31" s="141" t="s">
        <v>190</v>
      </c>
      <c r="M31" s="191" t="s">
        <v>134</v>
      </c>
      <c r="N31" s="148" t="s">
        <v>28</v>
      </c>
      <c r="O31" s="241" t="s">
        <v>135</v>
      </c>
      <c r="P31" s="238">
        <v>42805</v>
      </c>
      <c r="Q31" s="124">
        <v>50000</v>
      </c>
      <c r="R31" s="89" t="s">
        <v>191</v>
      </c>
      <c r="S31" s="148" t="s">
        <v>137</v>
      </c>
      <c r="T31" s="148" t="s">
        <v>138</v>
      </c>
      <c r="U31" s="148" t="s">
        <v>139</v>
      </c>
      <c r="V31" s="102">
        <v>0</v>
      </c>
      <c r="W31" s="102">
        <v>0</v>
      </c>
      <c r="X31" s="102">
        <v>0</v>
      </c>
      <c r="Y31" s="102">
        <v>0</v>
      </c>
      <c r="Z31" s="102">
        <v>0</v>
      </c>
      <c r="AA31" s="102">
        <v>0</v>
      </c>
      <c r="AB31" s="102">
        <v>0</v>
      </c>
      <c r="AC31" s="102">
        <v>0</v>
      </c>
      <c r="AD31" s="244" t="s">
        <v>185</v>
      </c>
      <c r="AE31" s="102">
        <v>50000</v>
      </c>
      <c r="AF31" s="102">
        <v>6668</v>
      </c>
      <c r="AG31" s="124">
        <v>6668</v>
      </c>
      <c r="AH31" s="107" t="s">
        <v>185</v>
      </c>
      <c r="AI31" s="102">
        <v>0</v>
      </c>
      <c r="AJ31" s="102">
        <v>3333</v>
      </c>
      <c r="AK31" s="124">
        <v>3333</v>
      </c>
      <c r="AL31" s="107"/>
      <c r="AM31" s="102"/>
      <c r="AN31" s="102"/>
      <c r="AO31" s="124"/>
      <c r="AP31" s="107"/>
      <c r="AQ31" s="102"/>
      <c r="AR31" s="102"/>
      <c r="AS31" s="124"/>
      <c r="AT31" s="107"/>
      <c r="AU31" s="102"/>
      <c r="AV31" s="102"/>
      <c r="AW31" s="124"/>
      <c r="AX31" s="107"/>
      <c r="AY31" s="102"/>
      <c r="AZ31" s="102"/>
      <c r="BA31" s="124"/>
      <c r="BB31" s="107"/>
      <c r="BC31" s="102"/>
      <c r="BD31" s="102"/>
      <c r="BE31" s="102"/>
      <c r="BF31" s="107"/>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22"/>
      <c r="CD31" s="123">
        <f t="shared" si="8"/>
        <v>50000</v>
      </c>
      <c r="CE31" s="102">
        <f t="shared" si="9"/>
        <v>10001</v>
      </c>
      <c r="CF31" s="102">
        <f t="shared" si="10"/>
        <v>10001</v>
      </c>
      <c r="CG31" s="102">
        <f t="shared" si="11"/>
        <v>0</v>
      </c>
      <c r="CH31" s="124">
        <f t="shared" si="12"/>
        <v>39999</v>
      </c>
      <c r="CI31" s="125">
        <f t="shared" si="13"/>
        <v>0.20002</v>
      </c>
      <c r="CJ31" s="126" t="str">
        <f t="shared" si="14"/>
        <v>数据正确</v>
      </c>
    </row>
    <row r="32" s="60" customFormat="1" ht="15" customHeight="1" spans="1:88">
      <c r="A32" s="60" t="s">
        <v>36</v>
      </c>
      <c r="B32" s="70" t="str">
        <f t="shared" si="17"/>
        <v>-</v>
      </c>
      <c r="C32" s="71" t="str">
        <f t="shared" si="18"/>
        <v>-</v>
      </c>
      <c r="D32" s="181">
        <f t="shared" si="19"/>
        <v>665000</v>
      </c>
      <c r="E32" s="181">
        <v>0</v>
      </c>
      <c r="F32" s="181">
        <v>0</v>
      </c>
      <c r="G32" s="181">
        <v>0</v>
      </c>
      <c r="H32" s="181">
        <v>0</v>
      </c>
      <c r="I32" s="181">
        <f t="shared" si="20"/>
        <v>0</v>
      </c>
      <c r="J32" s="237" t="s">
        <v>98</v>
      </c>
      <c r="K32" s="87"/>
      <c r="L32" s="141" t="s">
        <v>192</v>
      </c>
      <c r="M32" s="191" t="s">
        <v>134</v>
      </c>
      <c r="N32" s="148" t="s">
        <v>28</v>
      </c>
      <c r="O32" s="241" t="s">
        <v>135</v>
      </c>
      <c r="P32" s="238">
        <v>42805</v>
      </c>
      <c r="Q32" s="124">
        <v>800000</v>
      </c>
      <c r="R32" s="89" t="s">
        <v>193</v>
      </c>
      <c r="S32" s="148" t="s">
        <v>137</v>
      </c>
      <c r="T32" s="148" t="s">
        <v>138</v>
      </c>
      <c r="U32" s="148" t="s">
        <v>139</v>
      </c>
      <c r="V32" s="102">
        <v>0</v>
      </c>
      <c r="W32" s="102">
        <v>0</v>
      </c>
      <c r="X32" s="102">
        <v>0</v>
      </c>
      <c r="Y32" s="102">
        <v>0</v>
      </c>
      <c r="Z32" s="102">
        <v>0</v>
      </c>
      <c r="AA32" s="102">
        <v>0</v>
      </c>
      <c r="AB32" s="102">
        <v>0</v>
      </c>
      <c r="AC32" s="102">
        <v>0</v>
      </c>
      <c r="AD32" s="244" t="s">
        <v>165</v>
      </c>
      <c r="AE32" s="102">
        <v>640000</v>
      </c>
      <c r="AF32" s="102">
        <v>665000</v>
      </c>
      <c r="AG32" s="124">
        <v>665000</v>
      </c>
      <c r="AH32" s="102" t="s">
        <v>165</v>
      </c>
      <c r="AI32" s="102">
        <v>0</v>
      </c>
      <c r="AJ32" s="102">
        <v>0</v>
      </c>
      <c r="AK32" s="102">
        <v>0</v>
      </c>
      <c r="AL32" s="107" t="s">
        <v>166</v>
      </c>
      <c r="AM32" s="102">
        <v>160000</v>
      </c>
      <c r="AN32" s="102"/>
      <c r="AO32" s="124"/>
      <c r="AP32" s="107"/>
      <c r="AQ32" s="102"/>
      <c r="AR32" s="102"/>
      <c r="AS32" s="124"/>
      <c r="AT32" s="107"/>
      <c r="AU32" s="102"/>
      <c r="AV32" s="102"/>
      <c r="AW32" s="124"/>
      <c r="AX32" s="107"/>
      <c r="AY32" s="102"/>
      <c r="AZ32" s="102"/>
      <c r="BA32" s="124"/>
      <c r="BB32" s="107"/>
      <c r="BC32" s="102"/>
      <c r="BD32" s="102"/>
      <c r="BE32" s="102"/>
      <c r="BF32" s="107"/>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22"/>
      <c r="CD32" s="123">
        <f t="shared" si="8"/>
        <v>800000</v>
      </c>
      <c r="CE32" s="102">
        <f t="shared" si="9"/>
        <v>665000</v>
      </c>
      <c r="CF32" s="102">
        <f t="shared" si="10"/>
        <v>665000</v>
      </c>
      <c r="CG32" s="102">
        <f t="shared" si="11"/>
        <v>0</v>
      </c>
      <c r="CH32" s="124">
        <f t="shared" si="12"/>
        <v>135000</v>
      </c>
      <c r="CI32" s="125">
        <f t="shared" si="13"/>
        <v>0.83125</v>
      </c>
      <c r="CJ32" s="126" t="str">
        <f t="shared" si="14"/>
        <v>数据正确</v>
      </c>
    </row>
    <row r="33" s="60" customFormat="1" ht="15" customHeight="1" spans="1:88">
      <c r="A33" s="60" t="s">
        <v>36</v>
      </c>
      <c r="B33" s="70" t="str">
        <f t="shared" si="17"/>
        <v>-</v>
      </c>
      <c r="C33" s="71" t="str">
        <f t="shared" si="18"/>
        <v>-</v>
      </c>
      <c r="D33" s="181">
        <f t="shared" si="19"/>
        <v>47502</v>
      </c>
      <c r="E33" s="181">
        <v>0</v>
      </c>
      <c r="F33" s="181">
        <v>0</v>
      </c>
      <c r="G33" s="181">
        <v>0</v>
      </c>
      <c r="H33" s="181">
        <v>0</v>
      </c>
      <c r="I33" s="181">
        <f t="shared" si="20"/>
        <v>0</v>
      </c>
      <c r="J33" s="237" t="s">
        <v>98</v>
      </c>
      <c r="K33" s="87"/>
      <c r="L33" s="141" t="s">
        <v>194</v>
      </c>
      <c r="M33" s="191" t="s">
        <v>134</v>
      </c>
      <c r="N33" s="148" t="s">
        <v>28</v>
      </c>
      <c r="O33" s="241" t="s">
        <v>135</v>
      </c>
      <c r="P33" s="238">
        <v>42805</v>
      </c>
      <c r="Q33" s="124">
        <v>200000</v>
      </c>
      <c r="R33" s="89" t="s">
        <v>195</v>
      </c>
      <c r="S33" s="148" t="s">
        <v>137</v>
      </c>
      <c r="T33" s="148" t="s">
        <v>138</v>
      </c>
      <c r="U33" s="148" t="s">
        <v>139</v>
      </c>
      <c r="V33" s="102">
        <v>0</v>
      </c>
      <c r="W33" s="102">
        <v>0</v>
      </c>
      <c r="X33" s="102">
        <v>0</v>
      </c>
      <c r="Y33" s="102">
        <v>0</v>
      </c>
      <c r="Z33" s="102">
        <v>0</v>
      </c>
      <c r="AA33" s="102">
        <v>0</v>
      </c>
      <c r="AB33" s="102">
        <v>0</v>
      </c>
      <c r="AC33" s="102">
        <v>0</v>
      </c>
      <c r="AD33" s="244" t="s">
        <v>185</v>
      </c>
      <c r="AE33" s="102">
        <v>200000</v>
      </c>
      <c r="AF33" s="102">
        <v>31668</v>
      </c>
      <c r="AG33" s="124">
        <v>31668</v>
      </c>
      <c r="AH33" s="107" t="s">
        <v>185</v>
      </c>
      <c r="AI33" s="102">
        <v>0</v>
      </c>
      <c r="AJ33" s="102">
        <v>15834</v>
      </c>
      <c r="AK33" s="124">
        <v>15834</v>
      </c>
      <c r="AL33" s="107"/>
      <c r="AM33" s="102"/>
      <c r="AN33" s="102"/>
      <c r="AO33" s="124"/>
      <c r="AP33" s="107"/>
      <c r="AQ33" s="102"/>
      <c r="AR33" s="102"/>
      <c r="AS33" s="124"/>
      <c r="AT33" s="107"/>
      <c r="AU33" s="102"/>
      <c r="AV33" s="102"/>
      <c r="AW33" s="124"/>
      <c r="AX33" s="107"/>
      <c r="AY33" s="102"/>
      <c r="AZ33" s="102"/>
      <c r="BA33" s="124"/>
      <c r="BB33" s="107"/>
      <c r="BC33" s="102"/>
      <c r="BD33" s="102"/>
      <c r="BE33" s="102"/>
      <c r="BF33" s="107"/>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22"/>
      <c r="CD33" s="123">
        <f t="shared" si="8"/>
        <v>200000</v>
      </c>
      <c r="CE33" s="102">
        <f t="shared" si="9"/>
        <v>47502</v>
      </c>
      <c r="CF33" s="102">
        <f t="shared" si="10"/>
        <v>47502</v>
      </c>
      <c r="CG33" s="102">
        <f t="shared" si="11"/>
        <v>0</v>
      </c>
      <c r="CH33" s="124">
        <f t="shared" si="12"/>
        <v>152498</v>
      </c>
      <c r="CI33" s="125">
        <f t="shared" si="13"/>
        <v>0.23751</v>
      </c>
      <c r="CJ33" s="126" t="str">
        <f t="shared" si="14"/>
        <v>数据正确</v>
      </c>
    </row>
    <row r="34" s="130" customFormat="1" customHeight="1" spans="1:88">
      <c r="A34" s="130" t="s">
        <v>36</v>
      </c>
      <c r="B34" s="132" t="str">
        <f t="shared" si="17"/>
        <v>申请中</v>
      </c>
      <c r="C34" s="133" t="str">
        <f t="shared" si="18"/>
        <v>-</v>
      </c>
      <c r="D34" s="235">
        <f t="shared" si="19"/>
        <v>26916515.45</v>
      </c>
      <c r="E34" s="235">
        <f>SUM(E13:E33)</f>
        <v>400000</v>
      </c>
      <c r="F34" s="235">
        <f>SUM(F13:F33)</f>
        <v>0</v>
      </c>
      <c r="G34" s="235">
        <f>SUM(G13:G33)</f>
        <v>86985.75</v>
      </c>
      <c r="H34" s="235">
        <f>SUM(H13:H33)</f>
        <v>0</v>
      </c>
      <c r="I34" s="235">
        <f t="shared" si="20"/>
        <v>-3.72529029846191e-9</v>
      </c>
      <c r="J34" s="239" t="s">
        <v>98</v>
      </c>
      <c r="K34" s="172"/>
      <c r="L34" s="240">
        <v>2</v>
      </c>
      <c r="M34" s="199" t="s">
        <v>134</v>
      </c>
      <c r="N34" s="150" t="s">
        <v>28</v>
      </c>
      <c r="O34" s="145" t="s">
        <v>135</v>
      </c>
      <c r="P34" s="151">
        <v>42805</v>
      </c>
      <c r="Q34" s="163">
        <f>SUM(Q13:Q33)</f>
        <v>150000000</v>
      </c>
      <c r="R34" s="144" t="s">
        <v>196</v>
      </c>
      <c r="S34" s="150" t="s">
        <v>137</v>
      </c>
      <c r="T34" s="150" t="s">
        <v>138</v>
      </c>
      <c r="U34" s="150" t="s">
        <v>139</v>
      </c>
      <c r="V34" s="243" t="s">
        <v>97</v>
      </c>
      <c r="W34" s="158">
        <f>SUM(W13:W33)</f>
        <v>10298100</v>
      </c>
      <c r="X34" s="158">
        <f t="shared" ref="X34:BC34" si="21">SUM(X13:X33)</f>
        <v>5799050</v>
      </c>
      <c r="Y34" s="158">
        <f t="shared" si="21"/>
        <v>5799050</v>
      </c>
      <c r="Z34" s="158">
        <f t="shared" si="21"/>
        <v>0</v>
      </c>
      <c r="AA34" s="158">
        <f t="shared" si="21"/>
        <v>3900000</v>
      </c>
      <c r="AB34" s="158">
        <f t="shared" si="21"/>
        <v>3900000</v>
      </c>
      <c r="AC34" s="158">
        <f t="shared" si="21"/>
        <v>3413014.25</v>
      </c>
      <c r="AD34" s="158">
        <f t="shared" si="21"/>
        <v>0</v>
      </c>
      <c r="AE34" s="158">
        <f t="shared" si="21"/>
        <v>21327200</v>
      </c>
      <c r="AF34" s="158">
        <f t="shared" si="21"/>
        <v>3667702.6</v>
      </c>
      <c r="AG34" s="158">
        <f t="shared" si="21"/>
        <v>3610300.5</v>
      </c>
      <c r="AH34" s="158">
        <f t="shared" si="21"/>
        <v>0</v>
      </c>
      <c r="AI34" s="158">
        <f t="shared" si="21"/>
        <v>29606100</v>
      </c>
      <c r="AJ34" s="158">
        <f t="shared" si="21"/>
        <v>6550308</v>
      </c>
      <c r="AK34" s="158">
        <f t="shared" si="21"/>
        <v>6607710.1</v>
      </c>
      <c r="AL34" s="158">
        <f t="shared" si="21"/>
        <v>0</v>
      </c>
      <c r="AM34" s="158">
        <f t="shared" si="21"/>
        <v>36997750</v>
      </c>
      <c r="AN34" s="158">
        <f t="shared" si="21"/>
        <v>7486440.6</v>
      </c>
      <c r="AO34" s="158">
        <f t="shared" si="21"/>
        <v>7486440.6</v>
      </c>
      <c r="AP34" s="158">
        <f t="shared" si="21"/>
        <v>0</v>
      </c>
      <c r="AQ34" s="158">
        <f t="shared" si="21"/>
        <v>6046550</v>
      </c>
      <c r="AR34" s="158">
        <f t="shared" si="21"/>
        <v>0</v>
      </c>
      <c r="AS34" s="158">
        <f t="shared" si="21"/>
        <v>0</v>
      </c>
      <c r="AT34" s="158">
        <f t="shared" si="21"/>
        <v>0</v>
      </c>
      <c r="AU34" s="158">
        <f t="shared" si="21"/>
        <v>12658100</v>
      </c>
      <c r="AV34" s="158">
        <f t="shared" si="21"/>
        <v>0</v>
      </c>
      <c r="AW34" s="158">
        <f t="shared" si="21"/>
        <v>0</v>
      </c>
      <c r="AX34" s="158">
        <f t="shared" si="21"/>
        <v>0</v>
      </c>
      <c r="AY34" s="158">
        <f t="shared" si="21"/>
        <v>12658100</v>
      </c>
      <c r="AZ34" s="158">
        <f t="shared" si="21"/>
        <v>0</v>
      </c>
      <c r="BA34" s="158">
        <f t="shared" si="21"/>
        <v>0</v>
      </c>
      <c r="BB34" s="158">
        <f t="shared" si="21"/>
        <v>0</v>
      </c>
      <c r="BC34" s="158">
        <f t="shared" si="21"/>
        <v>7484050</v>
      </c>
      <c r="BD34" s="158">
        <f t="shared" ref="BD34:CC34" si="22">SUM(BD13:BD33)</f>
        <v>0</v>
      </c>
      <c r="BE34" s="158">
        <f t="shared" si="22"/>
        <v>0</v>
      </c>
      <c r="BF34" s="158">
        <f t="shared" si="22"/>
        <v>0</v>
      </c>
      <c r="BG34" s="158">
        <f t="shared" si="22"/>
        <v>7484050</v>
      </c>
      <c r="BH34" s="158">
        <f t="shared" si="22"/>
        <v>0</v>
      </c>
      <c r="BI34" s="158">
        <f t="shared" si="22"/>
        <v>0</v>
      </c>
      <c r="BJ34" s="158">
        <f t="shared" si="22"/>
        <v>0</v>
      </c>
      <c r="BK34" s="158">
        <f t="shared" si="22"/>
        <v>770000</v>
      </c>
      <c r="BL34" s="158">
        <f t="shared" si="22"/>
        <v>0</v>
      </c>
      <c r="BM34" s="158">
        <f t="shared" si="22"/>
        <v>0</v>
      </c>
      <c r="BN34" s="158">
        <f t="shared" si="22"/>
        <v>0</v>
      </c>
      <c r="BO34" s="158">
        <f t="shared" si="22"/>
        <v>770000</v>
      </c>
      <c r="BP34" s="158">
        <f t="shared" si="22"/>
        <v>0</v>
      </c>
      <c r="BQ34" s="158">
        <f t="shared" si="22"/>
        <v>0</v>
      </c>
      <c r="BR34" s="158">
        <f t="shared" si="22"/>
        <v>0</v>
      </c>
      <c r="BS34" s="158">
        <f t="shared" si="22"/>
        <v>0</v>
      </c>
      <c r="BT34" s="158">
        <f t="shared" si="22"/>
        <v>0</v>
      </c>
      <c r="BU34" s="158">
        <f t="shared" si="22"/>
        <v>0</v>
      </c>
      <c r="BV34" s="158">
        <f t="shared" si="22"/>
        <v>0</v>
      </c>
      <c r="BW34" s="158">
        <f t="shared" si="22"/>
        <v>0</v>
      </c>
      <c r="BX34" s="158">
        <f t="shared" si="22"/>
        <v>0</v>
      </c>
      <c r="BY34" s="158">
        <f t="shared" si="22"/>
        <v>0</v>
      </c>
      <c r="BZ34" s="158">
        <f t="shared" si="22"/>
        <v>0</v>
      </c>
      <c r="CA34" s="158">
        <f t="shared" si="22"/>
        <v>0</v>
      </c>
      <c r="CB34" s="158">
        <f t="shared" si="22"/>
        <v>0</v>
      </c>
      <c r="CC34" s="158">
        <f t="shared" si="22"/>
        <v>0</v>
      </c>
      <c r="CD34" s="123">
        <f t="shared" si="8"/>
        <v>150000000</v>
      </c>
      <c r="CE34" s="102">
        <f t="shared" si="9"/>
        <v>27403501.2</v>
      </c>
      <c r="CF34" s="102">
        <f t="shared" si="10"/>
        <v>26916515.45</v>
      </c>
      <c r="CG34" s="102">
        <f t="shared" si="11"/>
        <v>486985.75</v>
      </c>
      <c r="CH34" s="124">
        <f t="shared" si="12"/>
        <v>122596498.8</v>
      </c>
      <c r="CI34" s="125">
        <f t="shared" si="13"/>
        <v>0.182690008</v>
      </c>
      <c r="CJ34" s="126" t="str">
        <f t="shared" si="14"/>
        <v>数据正确</v>
      </c>
    </row>
    <row r="35" s="60" customFormat="1" customHeight="1" spans="1:88">
      <c r="A35" s="60" t="s">
        <v>36</v>
      </c>
      <c r="B35" s="70" t="str">
        <f t="shared" si="17"/>
        <v>-</v>
      </c>
      <c r="C35" s="71" t="str">
        <f t="shared" si="18"/>
        <v>-</v>
      </c>
      <c r="D35" s="181">
        <f t="shared" si="19"/>
        <v>340558</v>
      </c>
      <c r="E35" s="181">
        <f>253800</f>
        <v>253800</v>
      </c>
      <c r="F35" s="181">
        <f>6242</f>
        <v>6242</v>
      </c>
      <c r="G35" s="181">
        <f>119400</f>
        <v>119400</v>
      </c>
      <c r="H35" s="181">
        <v>0</v>
      </c>
      <c r="I35" s="181">
        <f t="shared" si="20"/>
        <v>0</v>
      </c>
      <c r="J35" s="237" t="s">
        <v>98</v>
      </c>
      <c r="K35" s="87"/>
      <c r="L35" s="141" t="s">
        <v>197</v>
      </c>
      <c r="M35" s="191" t="s">
        <v>198</v>
      </c>
      <c r="N35" s="148" t="s">
        <v>28</v>
      </c>
      <c r="O35" s="197" t="s">
        <v>199</v>
      </c>
      <c r="P35" s="238">
        <v>42806</v>
      </c>
      <c r="Q35" s="124">
        <v>1800000</v>
      </c>
      <c r="R35" s="148" t="s">
        <v>200</v>
      </c>
      <c r="S35" s="162" t="s">
        <v>201</v>
      </c>
      <c r="T35" s="162" t="s">
        <v>202</v>
      </c>
      <c r="U35" s="162" t="s">
        <v>203</v>
      </c>
      <c r="V35" s="244" t="s">
        <v>204</v>
      </c>
      <c r="W35" s="102">
        <v>180000</v>
      </c>
      <c r="X35" s="102">
        <v>180000</v>
      </c>
      <c r="Y35" s="124">
        <f>180000-119400</f>
        <v>60600</v>
      </c>
      <c r="Z35" s="107" t="s">
        <v>205</v>
      </c>
      <c r="AA35" s="102">
        <v>540000</v>
      </c>
      <c r="AB35" s="102">
        <v>540000</v>
      </c>
      <c r="AC35" s="124">
        <f>AB35-253800-6242</f>
        <v>279958</v>
      </c>
      <c r="AD35" s="107" t="s">
        <v>122</v>
      </c>
      <c r="AE35" s="102">
        <v>0</v>
      </c>
      <c r="AF35" s="102"/>
      <c r="AG35" s="124"/>
      <c r="AH35" s="107" t="s">
        <v>206</v>
      </c>
      <c r="AI35" s="102">
        <v>720000</v>
      </c>
      <c r="AJ35" s="102"/>
      <c r="AK35" s="124"/>
      <c r="AL35" s="107" t="s">
        <v>207</v>
      </c>
      <c r="AM35" s="102">
        <v>90000</v>
      </c>
      <c r="AN35" s="102"/>
      <c r="AO35" s="124"/>
      <c r="AP35" s="107" t="s">
        <v>208</v>
      </c>
      <c r="AQ35" s="102">
        <v>90000</v>
      </c>
      <c r="AR35" s="102"/>
      <c r="AS35" s="124"/>
      <c r="AT35" s="107" t="s">
        <v>209</v>
      </c>
      <c r="AU35" s="102">
        <v>90000</v>
      </c>
      <c r="AV35" s="102"/>
      <c r="AW35" s="102"/>
      <c r="AX35" s="107" t="s">
        <v>210</v>
      </c>
      <c r="AY35" s="102">
        <v>90000</v>
      </c>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22"/>
      <c r="CD35" s="123">
        <f t="shared" si="8"/>
        <v>1800000</v>
      </c>
      <c r="CE35" s="102">
        <f t="shared" si="9"/>
        <v>720000</v>
      </c>
      <c r="CF35" s="102">
        <f t="shared" si="10"/>
        <v>340558</v>
      </c>
      <c r="CG35" s="102">
        <f t="shared" si="11"/>
        <v>379442</v>
      </c>
      <c r="CH35" s="124">
        <f t="shared" si="12"/>
        <v>1080000</v>
      </c>
      <c r="CI35" s="125">
        <f t="shared" si="13"/>
        <v>0.4</v>
      </c>
      <c r="CJ35" s="126" t="str">
        <f t="shared" si="14"/>
        <v>数据正确</v>
      </c>
    </row>
    <row r="36" s="60" customFormat="1" customHeight="1" spans="1:88">
      <c r="A36" s="60" t="s">
        <v>36</v>
      </c>
      <c r="B36" s="70" t="str">
        <f t="shared" si="17"/>
        <v>-</v>
      </c>
      <c r="C36" s="71" t="str">
        <f t="shared" si="18"/>
        <v>-</v>
      </c>
      <c r="D36" s="181">
        <f t="shared" si="19"/>
        <v>11094265.4</v>
      </c>
      <c r="E36" s="181">
        <v>0</v>
      </c>
      <c r="F36" s="181">
        <v>0</v>
      </c>
      <c r="G36" s="181">
        <v>0</v>
      </c>
      <c r="H36" s="181">
        <v>0</v>
      </c>
      <c r="I36" s="181">
        <f t="shared" si="20"/>
        <v>0</v>
      </c>
      <c r="J36" s="237" t="s">
        <v>98</v>
      </c>
      <c r="K36" s="87"/>
      <c r="L36" s="141" t="s">
        <v>211</v>
      </c>
      <c r="M36" s="191" t="s">
        <v>198</v>
      </c>
      <c r="N36" s="148" t="s">
        <v>28</v>
      </c>
      <c r="O36" s="197" t="s">
        <v>199</v>
      </c>
      <c r="P36" s="238">
        <v>42806</v>
      </c>
      <c r="Q36" s="124">
        <v>55471327</v>
      </c>
      <c r="R36" s="148" t="s">
        <v>212</v>
      </c>
      <c r="S36" s="162" t="s">
        <v>201</v>
      </c>
      <c r="T36" s="162" t="s">
        <v>202</v>
      </c>
      <c r="U36" s="162" t="s">
        <v>203</v>
      </c>
      <c r="V36" s="244" t="s">
        <v>204</v>
      </c>
      <c r="W36" s="102">
        <v>5547132.7</v>
      </c>
      <c r="X36" s="102">
        <v>5547132.7</v>
      </c>
      <c r="Y36" s="124">
        <v>5547132.7</v>
      </c>
      <c r="Z36" s="107" t="s">
        <v>213</v>
      </c>
      <c r="AA36" s="102">
        <v>22188530.8</v>
      </c>
      <c r="AB36" s="102">
        <v>5547132.7</v>
      </c>
      <c r="AC36" s="124">
        <f>AB36</f>
        <v>5547132.7</v>
      </c>
      <c r="AD36" s="107" t="s">
        <v>214</v>
      </c>
      <c r="AE36" s="102">
        <v>11094265.4</v>
      </c>
      <c r="AF36" s="102"/>
      <c r="AG36" s="124"/>
      <c r="AH36" s="107" t="s">
        <v>215</v>
      </c>
      <c r="AI36" s="102">
        <v>5547132.7</v>
      </c>
      <c r="AJ36" s="102"/>
      <c r="AK36" s="124"/>
      <c r="AL36" s="107" t="s">
        <v>207</v>
      </c>
      <c r="AM36" s="102">
        <v>2773566.35</v>
      </c>
      <c r="AN36" s="102"/>
      <c r="AO36" s="124"/>
      <c r="AP36" s="107" t="s">
        <v>208</v>
      </c>
      <c r="AQ36" s="102">
        <v>2773566.35</v>
      </c>
      <c r="AR36" s="102"/>
      <c r="AS36" s="124"/>
      <c r="AT36" s="107" t="s">
        <v>209</v>
      </c>
      <c r="AU36" s="102">
        <v>2773566.35</v>
      </c>
      <c r="AV36" s="102"/>
      <c r="AW36" s="102"/>
      <c r="AX36" s="107" t="s">
        <v>210</v>
      </c>
      <c r="AY36" s="102">
        <v>2773566.35</v>
      </c>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22"/>
      <c r="CD36" s="123">
        <f t="shared" si="8"/>
        <v>55471327</v>
      </c>
      <c r="CE36" s="102">
        <f t="shared" si="9"/>
        <v>11094265.4</v>
      </c>
      <c r="CF36" s="102">
        <f t="shared" si="10"/>
        <v>11094265.4</v>
      </c>
      <c r="CG36" s="102">
        <f t="shared" si="11"/>
        <v>0</v>
      </c>
      <c r="CH36" s="124">
        <f t="shared" si="12"/>
        <v>44377061.6</v>
      </c>
      <c r="CI36" s="125">
        <f t="shared" si="13"/>
        <v>0.2</v>
      </c>
      <c r="CJ36" s="126" t="str">
        <f t="shared" si="14"/>
        <v>数据正确</v>
      </c>
    </row>
    <row r="37" s="60" customFormat="1" customHeight="1" spans="1:88">
      <c r="A37" s="60" t="s">
        <v>36</v>
      </c>
      <c r="B37" s="70" t="str">
        <f t="shared" si="17"/>
        <v>-</v>
      </c>
      <c r="C37" s="71" t="str">
        <f t="shared" si="18"/>
        <v>-</v>
      </c>
      <c r="D37" s="181">
        <f t="shared" si="19"/>
        <v>485734.6</v>
      </c>
      <c r="E37" s="181">
        <v>0</v>
      </c>
      <c r="F37" s="181">
        <v>0</v>
      </c>
      <c r="G37" s="181">
        <v>0</v>
      </c>
      <c r="H37" s="181">
        <v>0</v>
      </c>
      <c r="I37" s="181">
        <f t="shared" si="20"/>
        <v>0</v>
      </c>
      <c r="J37" s="237" t="s">
        <v>98</v>
      </c>
      <c r="K37" s="87"/>
      <c r="L37" s="141" t="s">
        <v>216</v>
      </c>
      <c r="M37" s="191" t="s">
        <v>198</v>
      </c>
      <c r="N37" s="148" t="s">
        <v>28</v>
      </c>
      <c r="O37" s="197" t="s">
        <v>199</v>
      </c>
      <c r="P37" s="238">
        <v>42806</v>
      </c>
      <c r="Q37" s="124">
        <v>2428673</v>
      </c>
      <c r="R37" s="148" t="s">
        <v>217</v>
      </c>
      <c r="S37" s="162" t="s">
        <v>201</v>
      </c>
      <c r="T37" s="162" t="s">
        <v>202</v>
      </c>
      <c r="U37" s="162" t="s">
        <v>203</v>
      </c>
      <c r="V37" s="244" t="s">
        <v>204</v>
      </c>
      <c r="W37" s="102">
        <v>242867.3</v>
      </c>
      <c r="X37" s="102">
        <v>242867.3</v>
      </c>
      <c r="Y37" s="124">
        <v>242867.3</v>
      </c>
      <c r="Z37" s="107" t="s">
        <v>213</v>
      </c>
      <c r="AA37" s="102">
        <v>971469.2</v>
      </c>
      <c r="AB37" s="102">
        <v>242867.3</v>
      </c>
      <c r="AC37" s="124">
        <f>AB37</f>
        <v>242867.3</v>
      </c>
      <c r="AD37" s="107" t="s">
        <v>214</v>
      </c>
      <c r="AE37" s="102">
        <v>485734.6</v>
      </c>
      <c r="AF37" s="102"/>
      <c r="AG37" s="124"/>
      <c r="AH37" s="107" t="s">
        <v>215</v>
      </c>
      <c r="AI37" s="102">
        <v>242867.3</v>
      </c>
      <c r="AJ37" s="102"/>
      <c r="AK37" s="124"/>
      <c r="AL37" s="107" t="s">
        <v>207</v>
      </c>
      <c r="AM37" s="102">
        <v>121433.65</v>
      </c>
      <c r="AN37" s="102"/>
      <c r="AO37" s="124"/>
      <c r="AP37" s="107" t="s">
        <v>208</v>
      </c>
      <c r="AQ37" s="102">
        <v>121433.65</v>
      </c>
      <c r="AR37" s="102"/>
      <c r="AS37" s="124"/>
      <c r="AT37" s="107" t="s">
        <v>209</v>
      </c>
      <c r="AU37" s="102">
        <v>121433.65</v>
      </c>
      <c r="AV37" s="102"/>
      <c r="AW37" s="102"/>
      <c r="AX37" s="107" t="s">
        <v>210</v>
      </c>
      <c r="AY37" s="102">
        <v>121433.65</v>
      </c>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22"/>
      <c r="CD37" s="123">
        <f t="shared" si="8"/>
        <v>2428673</v>
      </c>
      <c r="CE37" s="102">
        <f t="shared" si="9"/>
        <v>485734.6</v>
      </c>
      <c r="CF37" s="102">
        <f t="shared" si="10"/>
        <v>485734.6</v>
      </c>
      <c r="CG37" s="102">
        <f t="shared" si="11"/>
        <v>0</v>
      </c>
      <c r="CH37" s="124">
        <f t="shared" si="12"/>
        <v>1942938.4</v>
      </c>
      <c r="CI37" s="125">
        <f t="shared" si="13"/>
        <v>0.2</v>
      </c>
      <c r="CJ37" s="126" t="str">
        <f t="shared" si="14"/>
        <v>数据正确</v>
      </c>
    </row>
    <row r="38" s="60" customFormat="1" customHeight="1" spans="1:88">
      <c r="A38" s="60" t="s">
        <v>36</v>
      </c>
      <c r="B38" s="70" t="str">
        <f t="shared" si="17"/>
        <v>-</v>
      </c>
      <c r="C38" s="71" t="str">
        <f t="shared" si="18"/>
        <v>-</v>
      </c>
      <c r="D38" s="181">
        <f t="shared" si="19"/>
        <v>1585588.683</v>
      </c>
      <c r="E38" s="181">
        <v>0</v>
      </c>
      <c r="F38" s="181">
        <v>0</v>
      </c>
      <c r="G38" s="181">
        <v>0</v>
      </c>
      <c r="H38" s="181">
        <v>0</v>
      </c>
      <c r="I38" s="181">
        <f t="shared" si="20"/>
        <v>0</v>
      </c>
      <c r="J38" s="237" t="s">
        <v>98</v>
      </c>
      <c r="K38" s="87"/>
      <c r="L38" s="141" t="s">
        <v>218</v>
      </c>
      <c r="M38" s="191" t="s">
        <v>198</v>
      </c>
      <c r="N38" s="148" t="s">
        <v>28</v>
      </c>
      <c r="O38" s="197" t="s">
        <v>199</v>
      </c>
      <c r="P38" s="238">
        <v>42806</v>
      </c>
      <c r="Q38" s="124">
        <v>11000000</v>
      </c>
      <c r="R38" s="148" t="s">
        <v>219</v>
      </c>
      <c r="S38" s="162" t="s">
        <v>201</v>
      </c>
      <c r="T38" s="162" t="s">
        <v>202</v>
      </c>
      <c r="U38" s="162" t="s">
        <v>203</v>
      </c>
      <c r="V38" s="244" t="s">
        <v>122</v>
      </c>
      <c r="W38" s="102">
        <v>0</v>
      </c>
      <c r="X38" s="102">
        <v>0</v>
      </c>
      <c r="Y38" s="124">
        <v>0</v>
      </c>
      <c r="Z38" s="107" t="s">
        <v>220</v>
      </c>
      <c r="AA38" s="102">
        <v>7700000</v>
      </c>
      <c r="AB38" s="102">
        <v>1585588.683</v>
      </c>
      <c r="AC38" s="124">
        <f>AB38</f>
        <v>1585588.683</v>
      </c>
      <c r="AD38" s="107" t="s">
        <v>97</v>
      </c>
      <c r="AE38" s="102">
        <v>0</v>
      </c>
      <c r="AF38" s="102"/>
      <c r="AG38" s="124"/>
      <c r="AH38" s="107" t="s">
        <v>215</v>
      </c>
      <c r="AI38" s="102">
        <v>1100000</v>
      </c>
      <c r="AJ38" s="102"/>
      <c r="AK38" s="124"/>
      <c r="AL38" s="107" t="s">
        <v>207</v>
      </c>
      <c r="AM38" s="102">
        <v>550000</v>
      </c>
      <c r="AN38" s="102"/>
      <c r="AO38" s="124"/>
      <c r="AP38" s="107" t="s">
        <v>208</v>
      </c>
      <c r="AQ38" s="102">
        <v>550000</v>
      </c>
      <c r="AR38" s="102"/>
      <c r="AS38" s="124"/>
      <c r="AT38" s="107" t="s">
        <v>209</v>
      </c>
      <c r="AU38" s="102">
        <v>550000</v>
      </c>
      <c r="AV38" s="102"/>
      <c r="AW38" s="102"/>
      <c r="AX38" s="107" t="s">
        <v>210</v>
      </c>
      <c r="AY38" s="102">
        <v>550000</v>
      </c>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22"/>
      <c r="CD38" s="123">
        <f t="shared" si="8"/>
        <v>11000000</v>
      </c>
      <c r="CE38" s="102">
        <f t="shared" si="9"/>
        <v>1585588.683</v>
      </c>
      <c r="CF38" s="102">
        <f t="shared" si="10"/>
        <v>1585588.683</v>
      </c>
      <c r="CG38" s="102">
        <f t="shared" si="11"/>
        <v>0</v>
      </c>
      <c r="CH38" s="124">
        <f t="shared" si="12"/>
        <v>9414411.317</v>
      </c>
      <c r="CI38" s="125">
        <f t="shared" si="13"/>
        <v>0.144144425727273</v>
      </c>
      <c r="CJ38" s="126" t="str">
        <f t="shared" si="14"/>
        <v>数据正确</v>
      </c>
    </row>
    <row r="39" s="60" customFormat="1" customHeight="1" spans="1:88">
      <c r="A39" s="60" t="s">
        <v>36</v>
      </c>
      <c r="B39" s="70" t="str">
        <f t="shared" si="17"/>
        <v>-</v>
      </c>
      <c r="C39" s="71" t="str">
        <f t="shared" si="18"/>
        <v>-</v>
      </c>
      <c r="D39" s="181">
        <f t="shared" si="19"/>
        <v>0</v>
      </c>
      <c r="E39" s="181">
        <v>0</v>
      </c>
      <c r="F39" s="181">
        <v>0</v>
      </c>
      <c r="G39" s="181">
        <v>0</v>
      </c>
      <c r="H39" s="181">
        <v>0</v>
      </c>
      <c r="I39" s="181">
        <f t="shared" si="20"/>
        <v>0</v>
      </c>
      <c r="J39" s="237" t="s">
        <v>98</v>
      </c>
      <c r="K39" s="87"/>
      <c r="L39" s="141" t="s">
        <v>221</v>
      </c>
      <c r="M39" s="191" t="s">
        <v>198</v>
      </c>
      <c r="N39" s="148" t="s">
        <v>28</v>
      </c>
      <c r="O39" s="197" t="s">
        <v>199</v>
      </c>
      <c r="P39" s="238">
        <v>42806</v>
      </c>
      <c r="Q39" s="124">
        <v>13900000</v>
      </c>
      <c r="R39" s="148" t="s">
        <v>222</v>
      </c>
      <c r="S39" s="162" t="s">
        <v>201</v>
      </c>
      <c r="T39" s="162" t="s">
        <v>202</v>
      </c>
      <c r="U39" s="162" t="s">
        <v>203</v>
      </c>
      <c r="V39" s="244" t="s">
        <v>122</v>
      </c>
      <c r="W39" s="102">
        <v>0</v>
      </c>
      <c r="X39" s="102">
        <v>0</v>
      </c>
      <c r="Y39" s="124">
        <v>0</v>
      </c>
      <c r="Z39" s="107">
        <v>0</v>
      </c>
      <c r="AA39" s="102">
        <v>0</v>
      </c>
      <c r="AB39" s="102">
        <v>0</v>
      </c>
      <c r="AC39" s="124">
        <f>AB39</f>
        <v>0</v>
      </c>
      <c r="AD39" s="107" t="s">
        <v>223</v>
      </c>
      <c r="AE39" s="102">
        <v>9730000</v>
      </c>
      <c r="AF39" s="102"/>
      <c r="AG39" s="124"/>
      <c r="AH39" s="107" t="s">
        <v>215</v>
      </c>
      <c r="AI39" s="102">
        <v>1390000</v>
      </c>
      <c r="AJ39" s="102"/>
      <c r="AK39" s="124"/>
      <c r="AL39" s="107" t="s">
        <v>207</v>
      </c>
      <c r="AM39" s="102">
        <v>695000</v>
      </c>
      <c r="AN39" s="102"/>
      <c r="AO39" s="124"/>
      <c r="AP39" s="107" t="s">
        <v>208</v>
      </c>
      <c r="AQ39" s="102">
        <v>695000</v>
      </c>
      <c r="AR39" s="102"/>
      <c r="AS39" s="124"/>
      <c r="AT39" s="107" t="s">
        <v>209</v>
      </c>
      <c r="AU39" s="102">
        <v>695000</v>
      </c>
      <c r="AV39" s="102"/>
      <c r="AW39" s="102"/>
      <c r="AX39" s="107" t="s">
        <v>210</v>
      </c>
      <c r="AY39" s="102">
        <v>695000</v>
      </c>
      <c r="AZ39" s="102"/>
      <c r="BA39" s="102"/>
      <c r="BB39" s="102"/>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22"/>
      <c r="CD39" s="123">
        <f t="shared" si="8"/>
        <v>13900000</v>
      </c>
      <c r="CE39" s="102">
        <f t="shared" si="9"/>
        <v>0</v>
      </c>
      <c r="CF39" s="102">
        <f t="shared" si="10"/>
        <v>0</v>
      </c>
      <c r="CG39" s="102">
        <f t="shared" si="11"/>
        <v>0</v>
      </c>
      <c r="CH39" s="124">
        <f t="shared" si="12"/>
        <v>13900000</v>
      </c>
      <c r="CI39" s="125">
        <f t="shared" si="13"/>
        <v>0</v>
      </c>
      <c r="CJ39" s="126" t="str">
        <f t="shared" si="14"/>
        <v>数据正确</v>
      </c>
    </row>
    <row r="40" s="130" customFormat="1" customHeight="1" spans="1:88">
      <c r="A40" s="130" t="s">
        <v>36</v>
      </c>
      <c r="B40" s="132" t="str">
        <f t="shared" si="17"/>
        <v>-</v>
      </c>
      <c r="C40" s="133" t="str">
        <f t="shared" si="18"/>
        <v>-</v>
      </c>
      <c r="D40" s="235">
        <f t="shared" si="19"/>
        <v>13506146.683</v>
      </c>
      <c r="E40" s="235">
        <f>SUM(E35:E39)</f>
        <v>253800</v>
      </c>
      <c r="F40" s="235">
        <f>SUM(F35:F39)</f>
        <v>6242</v>
      </c>
      <c r="G40" s="235">
        <f>SUM(G35:G39)</f>
        <v>119400</v>
      </c>
      <c r="H40" s="235">
        <f>SUM(H35:H39)</f>
        <v>0</v>
      </c>
      <c r="I40" s="235">
        <f t="shared" si="20"/>
        <v>0</v>
      </c>
      <c r="J40" s="239" t="s">
        <v>98</v>
      </c>
      <c r="K40" s="172"/>
      <c r="L40" s="240">
        <v>3</v>
      </c>
      <c r="M40" s="199" t="s">
        <v>198</v>
      </c>
      <c r="N40" s="150" t="s">
        <v>28</v>
      </c>
      <c r="O40" s="200" t="s">
        <v>199</v>
      </c>
      <c r="P40" s="151">
        <v>42806</v>
      </c>
      <c r="Q40" s="163">
        <f>SUM(Q35:Q39)</f>
        <v>84600000</v>
      </c>
      <c r="R40" s="150" t="s">
        <v>224</v>
      </c>
      <c r="S40" s="245" t="s">
        <v>201</v>
      </c>
      <c r="T40" s="245" t="s">
        <v>202</v>
      </c>
      <c r="U40" s="150" t="s">
        <v>203</v>
      </c>
      <c r="V40" s="243" t="s">
        <v>97</v>
      </c>
      <c r="W40" s="158">
        <f>SUM(W35:W39)</f>
        <v>5970000</v>
      </c>
      <c r="X40" s="158">
        <f t="shared" ref="X40:BC40" si="23">SUM(X35:X39)</f>
        <v>5970000</v>
      </c>
      <c r="Y40" s="158">
        <f t="shared" si="23"/>
        <v>5850600</v>
      </c>
      <c r="Z40" s="158">
        <f t="shared" si="23"/>
        <v>0</v>
      </c>
      <c r="AA40" s="158">
        <f t="shared" si="23"/>
        <v>31400000</v>
      </c>
      <c r="AB40" s="158">
        <f t="shared" si="23"/>
        <v>7915588.683</v>
      </c>
      <c r="AC40" s="158">
        <f t="shared" si="23"/>
        <v>7655546.683</v>
      </c>
      <c r="AD40" s="158">
        <f t="shared" si="23"/>
        <v>0</v>
      </c>
      <c r="AE40" s="158">
        <f t="shared" si="23"/>
        <v>21310000</v>
      </c>
      <c r="AF40" s="158">
        <f t="shared" si="23"/>
        <v>0</v>
      </c>
      <c r="AG40" s="158">
        <f t="shared" si="23"/>
        <v>0</v>
      </c>
      <c r="AH40" s="158">
        <f t="shared" si="23"/>
        <v>0</v>
      </c>
      <c r="AI40" s="158">
        <f t="shared" si="23"/>
        <v>9000000</v>
      </c>
      <c r="AJ40" s="158">
        <f t="shared" si="23"/>
        <v>0</v>
      </c>
      <c r="AK40" s="158">
        <f t="shared" si="23"/>
        <v>0</v>
      </c>
      <c r="AL40" s="158">
        <f t="shared" si="23"/>
        <v>0</v>
      </c>
      <c r="AM40" s="158">
        <f t="shared" si="23"/>
        <v>4230000</v>
      </c>
      <c r="AN40" s="158">
        <f t="shared" si="23"/>
        <v>0</v>
      </c>
      <c r="AO40" s="158">
        <f t="shared" si="23"/>
        <v>0</v>
      </c>
      <c r="AP40" s="158">
        <f t="shared" si="23"/>
        <v>0</v>
      </c>
      <c r="AQ40" s="158">
        <f t="shared" si="23"/>
        <v>4230000</v>
      </c>
      <c r="AR40" s="158">
        <f t="shared" si="23"/>
        <v>0</v>
      </c>
      <c r="AS40" s="158">
        <f t="shared" si="23"/>
        <v>0</v>
      </c>
      <c r="AT40" s="158">
        <f t="shared" si="23"/>
        <v>0</v>
      </c>
      <c r="AU40" s="158">
        <f t="shared" si="23"/>
        <v>4230000</v>
      </c>
      <c r="AV40" s="158">
        <f t="shared" si="23"/>
        <v>0</v>
      </c>
      <c r="AW40" s="158">
        <f t="shared" si="23"/>
        <v>0</v>
      </c>
      <c r="AX40" s="158">
        <f t="shared" si="23"/>
        <v>0</v>
      </c>
      <c r="AY40" s="158">
        <f t="shared" si="23"/>
        <v>4230000</v>
      </c>
      <c r="AZ40" s="158">
        <f t="shared" si="23"/>
        <v>0</v>
      </c>
      <c r="BA40" s="158">
        <f t="shared" si="23"/>
        <v>0</v>
      </c>
      <c r="BB40" s="158">
        <f t="shared" si="23"/>
        <v>0</v>
      </c>
      <c r="BC40" s="158">
        <f t="shared" si="23"/>
        <v>0</v>
      </c>
      <c r="BD40" s="158">
        <f t="shared" ref="BD40:CC40" si="24">SUM(BD35:BD39)</f>
        <v>0</v>
      </c>
      <c r="BE40" s="158">
        <f t="shared" si="24"/>
        <v>0</v>
      </c>
      <c r="BF40" s="158">
        <f t="shared" si="24"/>
        <v>0</v>
      </c>
      <c r="BG40" s="158">
        <f t="shared" si="24"/>
        <v>0</v>
      </c>
      <c r="BH40" s="158">
        <f t="shared" si="24"/>
        <v>0</v>
      </c>
      <c r="BI40" s="158">
        <f t="shared" si="24"/>
        <v>0</v>
      </c>
      <c r="BJ40" s="158">
        <f t="shared" si="24"/>
        <v>0</v>
      </c>
      <c r="BK40" s="158">
        <f t="shared" si="24"/>
        <v>0</v>
      </c>
      <c r="BL40" s="158">
        <f t="shared" si="24"/>
        <v>0</v>
      </c>
      <c r="BM40" s="158">
        <f t="shared" si="24"/>
        <v>0</v>
      </c>
      <c r="BN40" s="158">
        <f t="shared" si="24"/>
        <v>0</v>
      </c>
      <c r="BO40" s="158">
        <f t="shared" si="24"/>
        <v>0</v>
      </c>
      <c r="BP40" s="158">
        <f t="shared" si="24"/>
        <v>0</v>
      </c>
      <c r="BQ40" s="158">
        <f t="shared" si="24"/>
        <v>0</v>
      </c>
      <c r="BR40" s="158">
        <f t="shared" si="24"/>
        <v>0</v>
      </c>
      <c r="BS40" s="158">
        <f t="shared" si="24"/>
        <v>0</v>
      </c>
      <c r="BT40" s="158">
        <f t="shared" si="24"/>
        <v>0</v>
      </c>
      <c r="BU40" s="158">
        <f t="shared" si="24"/>
        <v>0</v>
      </c>
      <c r="BV40" s="158">
        <f t="shared" si="24"/>
        <v>0</v>
      </c>
      <c r="BW40" s="158">
        <f t="shared" si="24"/>
        <v>0</v>
      </c>
      <c r="BX40" s="158">
        <f t="shared" si="24"/>
        <v>0</v>
      </c>
      <c r="BY40" s="158">
        <f t="shared" si="24"/>
        <v>0</v>
      </c>
      <c r="BZ40" s="158">
        <f t="shared" si="24"/>
        <v>0</v>
      </c>
      <c r="CA40" s="158">
        <f t="shared" si="24"/>
        <v>0</v>
      </c>
      <c r="CB40" s="158">
        <f t="shared" si="24"/>
        <v>0</v>
      </c>
      <c r="CC40" s="158">
        <f t="shared" si="24"/>
        <v>0</v>
      </c>
      <c r="CD40" s="123">
        <f t="shared" si="8"/>
        <v>84600000</v>
      </c>
      <c r="CE40" s="102">
        <f t="shared" si="9"/>
        <v>13885588.683</v>
      </c>
      <c r="CF40" s="102">
        <f t="shared" si="10"/>
        <v>13506146.683</v>
      </c>
      <c r="CG40" s="102">
        <f t="shared" si="11"/>
        <v>379442</v>
      </c>
      <c r="CH40" s="124">
        <f t="shared" si="12"/>
        <v>70714411.317</v>
      </c>
      <c r="CI40" s="125">
        <f t="shared" si="13"/>
        <v>0.16413225393617</v>
      </c>
      <c r="CJ40" s="126" t="str">
        <f t="shared" si="14"/>
        <v>数据正确</v>
      </c>
    </row>
    <row r="41" s="60" customFormat="1" customHeight="1" spans="1:88">
      <c r="A41" s="60" t="s">
        <v>36</v>
      </c>
      <c r="B41" s="70" t="str">
        <f t="shared" si="17"/>
        <v>-</v>
      </c>
      <c r="C41" s="71" t="str">
        <f t="shared" si="18"/>
        <v>-</v>
      </c>
      <c r="D41" s="181">
        <f t="shared" si="19"/>
        <v>12000</v>
      </c>
      <c r="E41" s="181">
        <v>0</v>
      </c>
      <c r="F41" s="181">
        <v>0</v>
      </c>
      <c r="G41" s="181">
        <v>0</v>
      </c>
      <c r="H41" s="181">
        <v>0</v>
      </c>
      <c r="I41" s="181">
        <f t="shared" si="20"/>
        <v>0</v>
      </c>
      <c r="J41" s="237" t="s">
        <v>98</v>
      </c>
      <c r="K41" s="87"/>
      <c r="L41" s="141" t="s">
        <v>225</v>
      </c>
      <c r="M41" s="191" t="s">
        <v>226</v>
      </c>
      <c r="N41" s="148" t="s">
        <v>28</v>
      </c>
      <c r="O41" s="192" t="s">
        <v>227</v>
      </c>
      <c r="P41" s="149">
        <v>42816</v>
      </c>
      <c r="Q41" s="124">
        <v>80000</v>
      </c>
      <c r="R41" s="148" t="s">
        <v>228</v>
      </c>
      <c r="S41" s="148" t="s">
        <v>229</v>
      </c>
      <c r="T41" s="148" t="s">
        <v>230</v>
      </c>
      <c r="U41" s="148" t="s">
        <v>231</v>
      </c>
      <c r="V41" s="244" t="s">
        <v>232</v>
      </c>
      <c r="W41" s="102">
        <v>12000</v>
      </c>
      <c r="X41" s="102">
        <v>12000</v>
      </c>
      <c r="Y41" s="124">
        <v>12000</v>
      </c>
      <c r="Z41" s="107" t="s">
        <v>233</v>
      </c>
      <c r="AA41" s="102">
        <v>28000</v>
      </c>
      <c r="AB41" s="102"/>
      <c r="AC41" s="124"/>
      <c r="AD41" s="107" t="s">
        <v>234</v>
      </c>
      <c r="AE41" s="102">
        <v>16000</v>
      </c>
      <c r="AF41" s="102"/>
      <c r="AG41" s="124"/>
      <c r="AH41" s="107" t="s">
        <v>235</v>
      </c>
      <c r="AI41" s="102">
        <v>8000</v>
      </c>
      <c r="AJ41" s="102"/>
      <c r="AK41" s="124"/>
      <c r="AL41" s="107" t="s">
        <v>236</v>
      </c>
      <c r="AM41" s="102">
        <v>8000</v>
      </c>
      <c r="AN41" s="102"/>
      <c r="AO41" s="124"/>
      <c r="AP41" s="107" t="s">
        <v>237</v>
      </c>
      <c r="AQ41" s="102">
        <v>4000</v>
      </c>
      <c r="AR41" s="102"/>
      <c r="AS41" s="124"/>
      <c r="AT41" s="107" t="s">
        <v>238</v>
      </c>
      <c r="AU41" s="102">
        <v>4000</v>
      </c>
      <c r="AV41" s="102"/>
      <c r="AW41" s="102"/>
      <c r="AX41" s="107"/>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22"/>
      <c r="CD41" s="123">
        <f t="shared" si="8"/>
        <v>80000</v>
      </c>
      <c r="CE41" s="102">
        <f t="shared" si="9"/>
        <v>12000</v>
      </c>
      <c r="CF41" s="102">
        <f t="shared" si="10"/>
        <v>12000</v>
      </c>
      <c r="CG41" s="102">
        <f t="shared" si="11"/>
        <v>0</v>
      </c>
      <c r="CH41" s="124">
        <f t="shared" si="12"/>
        <v>68000</v>
      </c>
      <c r="CI41" s="125">
        <f t="shared" si="13"/>
        <v>0.15</v>
      </c>
      <c r="CJ41" s="126" t="str">
        <f t="shared" si="14"/>
        <v>数据正确</v>
      </c>
    </row>
    <row r="42" s="60" customFormat="1" customHeight="1" spans="1:88">
      <c r="A42" s="60" t="s">
        <v>36</v>
      </c>
      <c r="B42" s="70" t="str">
        <f t="shared" si="17"/>
        <v>-</v>
      </c>
      <c r="C42" s="71" t="str">
        <f t="shared" si="18"/>
        <v>-</v>
      </c>
      <c r="D42" s="181">
        <f t="shared" si="19"/>
        <v>1423500</v>
      </c>
      <c r="E42" s="181">
        <v>0</v>
      </c>
      <c r="F42" s="181">
        <v>0</v>
      </c>
      <c r="G42" s="181">
        <v>0</v>
      </c>
      <c r="H42" s="181">
        <v>0</v>
      </c>
      <c r="I42" s="181">
        <f t="shared" si="20"/>
        <v>0</v>
      </c>
      <c r="J42" s="237" t="s">
        <v>98</v>
      </c>
      <c r="K42" s="87"/>
      <c r="L42" s="141" t="s">
        <v>239</v>
      </c>
      <c r="M42" s="191" t="s">
        <v>226</v>
      </c>
      <c r="N42" s="148" t="s">
        <v>28</v>
      </c>
      <c r="O42" s="192" t="s">
        <v>227</v>
      </c>
      <c r="P42" s="149">
        <v>42816</v>
      </c>
      <c r="Q42" s="124">
        <v>9490000</v>
      </c>
      <c r="R42" s="148" t="s">
        <v>240</v>
      </c>
      <c r="S42" s="148" t="s">
        <v>229</v>
      </c>
      <c r="T42" s="148" t="s">
        <v>230</v>
      </c>
      <c r="U42" s="148" t="s">
        <v>231</v>
      </c>
      <c r="V42" s="244" t="s">
        <v>232</v>
      </c>
      <c r="W42" s="102">
        <v>1423500</v>
      </c>
      <c r="X42" s="102">
        <v>1423500</v>
      </c>
      <c r="Y42" s="124">
        <v>1423500</v>
      </c>
      <c r="Z42" s="107" t="s">
        <v>233</v>
      </c>
      <c r="AA42" s="102">
        <v>3321500</v>
      </c>
      <c r="AB42" s="102"/>
      <c r="AC42" s="124"/>
      <c r="AD42" s="107" t="s">
        <v>234</v>
      </c>
      <c r="AE42" s="102">
        <v>1898000</v>
      </c>
      <c r="AF42" s="102"/>
      <c r="AG42" s="124"/>
      <c r="AH42" s="107" t="s">
        <v>235</v>
      </c>
      <c r="AI42" s="102">
        <v>949000</v>
      </c>
      <c r="AJ42" s="102"/>
      <c r="AK42" s="124"/>
      <c r="AL42" s="107" t="s">
        <v>241</v>
      </c>
      <c r="AM42" s="102">
        <v>949000</v>
      </c>
      <c r="AN42" s="102"/>
      <c r="AO42" s="124"/>
      <c r="AP42" s="107" t="s">
        <v>242</v>
      </c>
      <c r="AQ42" s="102">
        <v>474500</v>
      </c>
      <c r="AR42" s="102"/>
      <c r="AS42" s="124"/>
      <c r="AT42" s="107" t="s">
        <v>238</v>
      </c>
      <c r="AU42" s="102">
        <v>474500</v>
      </c>
      <c r="AV42" s="102"/>
      <c r="AW42" s="102"/>
      <c r="AX42" s="107"/>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22"/>
      <c r="CD42" s="123">
        <f t="shared" ref="CD42:CD79" si="25">W42+AA42+AE42+AI42+AM42+AQ42+AU42+AY42+BC42+BG42+BK42+BO42+BS42+BW42+CA42</f>
        <v>9490000</v>
      </c>
      <c r="CE42" s="102">
        <f t="shared" ref="CE42:CE79" si="26">X42+AB42+AF42+AJ42+AN42+AR42+AV42+AZ42+BD42+BH42+BL42+BP42+BT42+BX42+CB42</f>
        <v>1423500</v>
      </c>
      <c r="CF42" s="102">
        <f t="shared" ref="CF42:CF79" si="27">Y42+AC42+AG42+AK42+AO42+AS42+AW42+BA42+BE42+BI42+BM42+BQ42+BU42+BY42+CC42</f>
        <v>1423500</v>
      </c>
      <c r="CG42" s="102">
        <f t="shared" ref="CG42:CG79" si="28">E42+F42+G42+H42</f>
        <v>0</v>
      </c>
      <c r="CH42" s="124">
        <f t="shared" ref="CH42:CH79" si="29">Q42-CF42-CG42</f>
        <v>8066500</v>
      </c>
      <c r="CI42" s="125">
        <f t="shared" ref="CI42:CI79" si="30">IF(ISERROR((CF42+CG42)/Q42),"-",(CF42+CG42)/Q42)</f>
        <v>0.15</v>
      </c>
      <c r="CJ42" s="126" t="str">
        <f t="shared" ref="CJ42:CJ79" si="31">IF(Q42-CD42=0,"数据正确","数据错误")</f>
        <v>数据正确</v>
      </c>
    </row>
    <row r="43" s="60" customFormat="1" customHeight="1" spans="1:88">
      <c r="A43" s="60" t="s">
        <v>36</v>
      </c>
      <c r="B43" s="70" t="str">
        <f t="shared" si="17"/>
        <v>-</v>
      </c>
      <c r="C43" s="71" t="str">
        <f t="shared" si="18"/>
        <v>-</v>
      </c>
      <c r="D43" s="181">
        <f t="shared" si="19"/>
        <v>10500</v>
      </c>
      <c r="E43" s="181">
        <v>0</v>
      </c>
      <c r="F43" s="181">
        <v>0</v>
      </c>
      <c r="G43" s="181">
        <v>0</v>
      </c>
      <c r="H43" s="181">
        <v>0</v>
      </c>
      <c r="I43" s="181">
        <f t="shared" si="20"/>
        <v>0</v>
      </c>
      <c r="J43" s="237" t="s">
        <v>98</v>
      </c>
      <c r="K43" s="87"/>
      <c r="L43" s="141" t="s">
        <v>243</v>
      </c>
      <c r="M43" s="191" t="s">
        <v>226</v>
      </c>
      <c r="N43" s="148" t="s">
        <v>28</v>
      </c>
      <c r="O43" s="192" t="s">
        <v>227</v>
      </c>
      <c r="P43" s="149">
        <v>42816</v>
      </c>
      <c r="Q43" s="124">
        <v>70000</v>
      </c>
      <c r="R43" s="148" t="s">
        <v>244</v>
      </c>
      <c r="S43" s="148" t="s">
        <v>229</v>
      </c>
      <c r="T43" s="148" t="s">
        <v>230</v>
      </c>
      <c r="U43" s="148" t="s">
        <v>231</v>
      </c>
      <c r="V43" s="244" t="s">
        <v>232</v>
      </c>
      <c r="W43" s="102">
        <v>10500</v>
      </c>
      <c r="X43" s="102">
        <v>10500</v>
      </c>
      <c r="Y43" s="124">
        <v>10500</v>
      </c>
      <c r="Z43" s="107" t="s">
        <v>233</v>
      </c>
      <c r="AA43" s="102">
        <v>24500</v>
      </c>
      <c r="AB43" s="102"/>
      <c r="AC43" s="124"/>
      <c r="AD43" s="107" t="s">
        <v>234</v>
      </c>
      <c r="AE43" s="102">
        <v>14000</v>
      </c>
      <c r="AF43" s="102"/>
      <c r="AG43" s="124"/>
      <c r="AH43" s="107" t="s">
        <v>235</v>
      </c>
      <c r="AI43" s="102">
        <v>7000</v>
      </c>
      <c r="AJ43" s="102"/>
      <c r="AK43" s="124"/>
      <c r="AL43" s="107" t="s">
        <v>245</v>
      </c>
      <c r="AM43" s="102">
        <v>7000</v>
      </c>
      <c r="AN43" s="102"/>
      <c r="AO43" s="124"/>
      <c r="AP43" s="107" t="s">
        <v>246</v>
      </c>
      <c r="AQ43" s="102">
        <v>3500</v>
      </c>
      <c r="AR43" s="102"/>
      <c r="AS43" s="124"/>
      <c r="AT43" s="107" t="s">
        <v>238</v>
      </c>
      <c r="AU43" s="102">
        <v>3500</v>
      </c>
      <c r="AV43" s="102"/>
      <c r="AW43" s="102"/>
      <c r="AX43" s="107"/>
      <c r="AY43" s="102"/>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22"/>
      <c r="CD43" s="123">
        <f t="shared" si="25"/>
        <v>70000</v>
      </c>
      <c r="CE43" s="102">
        <f t="shared" si="26"/>
        <v>10500</v>
      </c>
      <c r="CF43" s="102">
        <f t="shared" si="27"/>
        <v>10500</v>
      </c>
      <c r="CG43" s="102">
        <f t="shared" si="28"/>
        <v>0</v>
      </c>
      <c r="CH43" s="124">
        <f t="shared" si="29"/>
        <v>59500</v>
      </c>
      <c r="CI43" s="125">
        <f t="shared" si="30"/>
        <v>0.15</v>
      </c>
      <c r="CJ43" s="126" t="str">
        <f t="shared" si="31"/>
        <v>数据正确</v>
      </c>
    </row>
    <row r="44" s="60" customFormat="1" customHeight="1" spans="1:88">
      <c r="A44" s="60" t="s">
        <v>36</v>
      </c>
      <c r="B44" s="70" t="str">
        <f t="shared" si="17"/>
        <v>-</v>
      </c>
      <c r="C44" s="71" t="str">
        <f t="shared" si="18"/>
        <v>-</v>
      </c>
      <c r="D44" s="181">
        <f t="shared" si="19"/>
        <v>30000</v>
      </c>
      <c r="E44" s="181">
        <v>0</v>
      </c>
      <c r="F44" s="181">
        <v>0</v>
      </c>
      <c r="G44" s="181">
        <v>0</v>
      </c>
      <c r="H44" s="181">
        <v>0</v>
      </c>
      <c r="I44" s="181">
        <f t="shared" si="20"/>
        <v>0</v>
      </c>
      <c r="J44" s="237" t="s">
        <v>98</v>
      </c>
      <c r="K44" s="87"/>
      <c r="L44" s="141" t="s">
        <v>247</v>
      </c>
      <c r="M44" s="191" t="s">
        <v>226</v>
      </c>
      <c r="N44" s="148" t="s">
        <v>28</v>
      </c>
      <c r="O44" s="192" t="s">
        <v>227</v>
      </c>
      <c r="P44" s="149">
        <v>42816</v>
      </c>
      <c r="Q44" s="124">
        <v>200000</v>
      </c>
      <c r="R44" s="148" t="s">
        <v>248</v>
      </c>
      <c r="S44" s="148" t="s">
        <v>229</v>
      </c>
      <c r="T44" s="148" t="s">
        <v>230</v>
      </c>
      <c r="U44" s="148" t="s">
        <v>231</v>
      </c>
      <c r="V44" s="244" t="s">
        <v>232</v>
      </c>
      <c r="W44" s="102">
        <v>30000</v>
      </c>
      <c r="X44" s="102">
        <v>30000</v>
      </c>
      <c r="Y44" s="124">
        <v>30000</v>
      </c>
      <c r="Z44" s="107" t="s">
        <v>233</v>
      </c>
      <c r="AA44" s="102">
        <v>70000</v>
      </c>
      <c r="AB44" s="102"/>
      <c r="AC44" s="124"/>
      <c r="AD44" s="107" t="s">
        <v>234</v>
      </c>
      <c r="AE44" s="102">
        <v>40000</v>
      </c>
      <c r="AF44" s="102"/>
      <c r="AG44" s="124"/>
      <c r="AH44" s="107" t="s">
        <v>235</v>
      </c>
      <c r="AI44" s="102">
        <v>20000</v>
      </c>
      <c r="AJ44" s="102"/>
      <c r="AK44" s="124"/>
      <c r="AL44" s="107" t="s">
        <v>249</v>
      </c>
      <c r="AM44" s="102">
        <v>20000</v>
      </c>
      <c r="AN44" s="102"/>
      <c r="AO44" s="124"/>
      <c r="AP44" s="107" t="s">
        <v>250</v>
      </c>
      <c r="AQ44" s="102">
        <v>10000</v>
      </c>
      <c r="AR44" s="102"/>
      <c r="AS44" s="124"/>
      <c r="AT44" s="107" t="s">
        <v>238</v>
      </c>
      <c r="AU44" s="102">
        <v>10000</v>
      </c>
      <c r="AV44" s="102"/>
      <c r="AW44" s="102"/>
      <c r="AX44" s="107"/>
      <c r="AY44" s="102"/>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22"/>
      <c r="CD44" s="123">
        <f t="shared" si="25"/>
        <v>200000</v>
      </c>
      <c r="CE44" s="102">
        <f t="shared" si="26"/>
        <v>30000</v>
      </c>
      <c r="CF44" s="102">
        <f t="shared" si="27"/>
        <v>30000</v>
      </c>
      <c r="CG44" s="102">
        <f t="shared" si="28"/>
        <v>0</v>
      </c>
      <c r="CH44" s="124">
        <f t="shared" si="29"/>
        <v>170000</v>
      </c>
      <c r="CI44" s="125">
        <f t="shared" si="30"/>
        <v>0.15</v>
      </c>
      <c r="CJ44" s="126" t="str">
        <f t="shared" si="31"/>
        <v>数据正确</v>
      </c>
    </row>
    <row r="45" s="60" customFormat="1" customHeight="1" spans="1:88">
      <c r="A45" s="60" t="s">
        <v>36</v>
      </c>
      <c r="B45" s="70" t="str">
        <f t="shared" si="17"/>
        <v>-</v>
      </c>
      <c r="C45" s="71" t="str">
        <f t="shared" si="18"/>
        <v>-</v>
      </c>
      <c r="D45" s="181">
        <f t="shared" si="19"/>
        <v>37500</v>
      </c>
      <c r="E45" s="181">
        <v>0</v>
      </c>
      <c r="F45" s="181">
        <v>0</v>
      </c>
      <c r="G45" s="181">
        <v>0</v>
      </c>
      <c r="H45" s="181">
        <v>0</v>
      </c>
      <c r="I45" s="181">
        <f t="shared" si="20"/>
        <v>0</v>
      </c>
      <c r="J45" s="237" t="s">
        <v>98</v>
      </c>
      <c r="K45" s="87"/>
      <c r="L45" s="141" t="s">
        <v>251</v>
      </c>
      <c r="M45" s="191" t="s">
        <v>226</v>
      </c>
      <c r="N45" s="148" t="s">
        <v>28</v>
      </c>
      <c r="O45" s="192" t="s">
        <v>227</v>
      </c>
      <c r="P45" s="149">
        <v>42816</v>
      </c>
      <c r="Q45" s="124">
        <v>250000</v>
      </c>
      <c r="R45" s="148" t="s">
        <v>252</v>
      </c>
      <c r="S45" s="148" t="s">
        <v>229</v>
      </c>
      <c r="T45" s="148" t="s">
        <v>230</v>
      </c>
      <c r="U45" s="148" t="s">
        <v>231</v>
      </c>
      <c r="V45" s="244" t="s">
        <v>232</v>
      </c>
      <c r="W45" s="102">
        <v>37500</v>
      </c>
      <c r="X45" s="102">
        <v>37500</v>
      </c>
      <c r="Y45" s="124">
        <v>37500</v>
      </c>
      <c r="Z45" s="107" t="s">
        <v>233</v>
      </c>
      <c r="AA45" s="102">
        <v>87500</v>
      </c>
      <c r="AB45" s="102"/>
      <c r="AC45" s="124"/>
      <c r="AD45" s="107" t="s">
        <v>234</v>
      </c>
      <c r="AE45" s="102">
        <v>50000</v>
      </c>
      <c r="AF45" s="102"/>
      <c r="AG45" s="124"/>
      <c r="AH45" s="107" t="s">
        <v>235</v>
      </c>
      <c r="AI45" s="102">
        <v>25000</v>
      </c>
      <c r="AJ45" s="102"/>
      <c r="AK45" s="124"/>
      <c r="AL45" s="107" t="s">
        <v>253</v>
      </c>
      <c r="AM45" s="102">
        <v>25000</v>
      </c>
      <c r="AN45" s="102"/>
      <c r="AO45" s="124"/>
      <c r="AP45" s="107" t="s">
        <v>254</v>
      </c>
      <c r="AQ45" s="102">
        <v>12500</v>
      </c>
      <c r="AR45" s="102"/>
      <c r="AS45" s="124"/>
      <c r="AT45" s="107" t="s">
        <v>238</v>
      </c>
      <c r="AU45" s="102">
        <v>12500</v>
      </c>
      <c r="AV45" s="102"/>
      <c r="AW45" s="102"/>
      <c r="AX45" s="107"/>
      <c r="AY45" s="102"/>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22"/>
      <c r="CD45" s="123">
        <f t="shared" si="25"/>
        <v>250000</v>
      </c>
      <c r="CE45" s="102">
        <f t="shared" si="26"/>
        <v>37500</v>
      </c>
      <c r="CF45" s="102">
        <f t="shared" si="27"/>
        <v>37500</v>
      </c>
      <c r="CG45" s="102">
        <f t="shared" si="28"/>
        <v>0</v>
      </c>
      <c r="CH45" s="124">
        <f t="shared" si="29"/>
        <v>212500</v>
      </c>
      <c r="CI45" s="125">
        <f t="shared" si="30"/>
        <v>0.15</v>
      </c>
      <c r="CJ45" s="126" t="str">
        <f t="shared" si="31"/>
        <v>数据正确</v>
      </c>
    </row>
    <row r="46" s="60" customFormat="1" customHeight="1" spans="1:88">
      <c r="A46" s="60" t="s">
        <v>36</v>
      </c>
      <c r="B46" s="70" t="str">
        <f t="shared" si="17"/>
        <v>-</v>
      </c>
      <c r="C46" s="71" t="str">
        <f t="shared" si="18"/>
        <v>-</v>
      </c>
      <c r="D46" s="181">
        <f t="shared" si="19"/>
        <v>106500</v>
      </c>
      <c r="E46" s="181">
        <v>0</v>
      </c>
      <c r="F46" s="181">
        <v>0</v>
      </c>
      <c r="G46" s="181">
        <v>0</v>
      </c>
      <c r="H46" s="181">
        <v>0</v>
      </c>
      <c r="I46" s="181">
        <f t="shared" si="20"/>
        <v>0</v>
      </c>
      <c r="J46" s="237" t="s">
        <v>98</v>
      </c>
      <c r="K46" s="87"/>
      <c r="L46" s="141" t="s">
        <v>255</v>
      </c>
      <c r="M46" s="191" t="s">
        <v>226</v>
      </c>
      <c r="N46" s="148" t="s">
        <v>28</v>
      </c>
      <c r="O46" s="192" t="s">
        <v>227</v>
      </c>
      <c r="P46" s="149">
        <v>42816</v>
      </c>
      <c r="Q46" s="124">
        <v>710000</v>
      </c>
      <c r="R46" s="148" t="s">
        <v>256</v>
      </c>
      <c r="S46" s="148" t="s">
        <v>229</v>
      </c>
      <c r="T46" s="148" t="s">
        <v>230</v>
      </c>
      <c r="U46" s="148" t="s">
        <v>231</v>
      </c>
      <c r="V46" s="244" t="s">
        <v>232</v>
      </c>
      <c r="W46" s="102">
        <v>106500</v>
      </c>
      <c r="X46" s="102">
        <v>106500</v>
      </c>
      <c r="Y46" s="124">
        <v>106500</v>
      </c>
      <c r="Z46" s="107" t="s">
        <v>233</v>
      </c>
      <c r="AA46" s="102">
        <v>248500</v>
      </c>
      <c r="AB46" s="102"/>
      <c r="AC46" s="124"/>
      <c r="AD46" s="107" t="s">
        <v>234</v>
      </c>
      <c r="AE46" s="102">
        <v>142000</v>
      </c>
      <c r="AF46" s="102"/>
      <c r="AG46" s="124"/>
      <c r="AH46" s="107" t="s">
        <v>235</v>
      </c>
      <c r="AI46" s="102">
        <v>71000</v>
      </c>
      <c r="AJ46" s="102"/>
      <c r="AK46" s="124"/>
      <c r="AL46" s="107" t="s">
        <v>257</v>
      </c>
      <c r="AM46" s="102">
        <v>71000</v>
      </c>
      <c r="AN46" s="102"/>
      <c r="AO46" s="124"/>
      <c r="AP46" s="107" t="s">
        <v>258</v>
      </c>
      <c r="AQ46" s="102">
        <v>35500</v>
      </c>
      <c r="AR46" s="102"/>
      <c r="AS46" s="124"/>
      <c r="AT46" s="107" t="s">
        <v>238</v>
      </c>
      <c r="AU46" s="102">
        <v>35500</v>
      </c>
      <c r="AV46" s="102"/>
      <c r="AW46" s="102"/>
      <c r="AX46" s="107"/>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22"/>
      <c r="CD46" s="123">
        <f t="shared" si="25"/>
        <v>710000</v>
      </c>
      <c r="CE46" s="102">
        <f t="shared" si="26"/>
        <v>106500</v>
      </c>
      <c r="CF46" s="102">
        <f t="shared" si="27"/>
        <v>106500</v>
      </c>
      <c r="CG46" s="102">
        <f t="shared" si="28"/>
        <v>0</v>
      </c>
      <c r="CH46" s="124">
        <f t="shared" si="29"/>
        <v>603500</v>
      </c>
      <c r="CI46" s="125">
        <f t="shared" si="30"/>
        <v>0.15</v>
      </c>
      <c r="CJ46" s="126" t="str">
        <f t="shared" si="31"/>
        <v>数据正确</v>
      </c>
    </row>
    <row r="47" s="60" customFormat="1" customHeight="1" spans="1:88">
      <c r="A47" s="60" t="s">
        <v>36</v>
      </c>
      <c r="B47" s="70" t="str">
        <f t="shared" si="17"/>
        <v>-</v>
      </c>
      <c r="C47" s="71" t="str">
        <f t="shared" si="18"/>
        <v>-</v>
      </c>
      <c r="D47" s="181">
        <f t="shared" si="19"/>
        <v>15000</v>
      </c>
      <c r="E47" s="181">
        <v>0</v>
      </c>
      <c r="F47" s="181">
        <v>0</v>
      </c>
      <c r="G47" s="181">
        <v>0</v>
      </c>
      <c r="H47" s="181">
        <v>0</v>
      </c>
      <c r="I47" s="181">
        <f t="shared" si="20"/>
        <v>0</v>
      </c>
      <c r="J47" s="237" t="s">
        <v>98</v>
      </c>
      <c r="K47" s="87"/>
      <c r="L47" s="141" t="s">
        <v>259</v>
      </c>
      <c r="M47" s="191" t="s">
        <v>226</v>
      </c>
      <c r="N47" s="148" t="s">
        <v>28</v>
      </c>
      <c r="O47" s="192" t="s">
        <v>227</v>
      </c>
      <c r="P47" s="149">
        <v>42816</v>
      </c>
      <c r="Q47" s="124">
        <v>100000</v>
      </c>
      <c r="R47" s="148" t="s">
        <v>260</v>
      </c>
      <c r="S47" s="148" t="s">
        <v>229</v>
      </c>
      <c r="T47" s="148" t="s">
        <v>230</v>
      </c>
      <c r="U47" s="148" t="s">
        <v>231</v>
      </c>
      <c r="V47" s="244" t="s">
        <v>232</v>
      </c>
      <c r="W47" s="102">
        <v>15000</v>
      </c>
      <c r="X47" s="102">
        <v>15000</v>
      </c>
      <c r="Y47" s="124">
        <v>15000</v>
      </c>
      <c r="Z47" s="107" t="s">
        <v>233</v>
      </c>
      <c r="AA47" s="102">
        <v>35000</v>
      </c>
      <c r="AB47" s="102"/>
      <c r="AC47" s="124"/>
      <c r="AD47" s="107" t="s">
        <v>234</v>
      </c>
      <c r="AE47" s="102">
        <v>20000</v>
      </c>
      <c r="AF47" s="102"/>
      <c r="AG47" s="124"/>
      <c r="AH47" s="107" t="s">
        <v>235</v>
      </c>
      <c r="AI47" s="102">
        <v>10000</v>
      </c>
      <c r="AJ47" s="102"/>
      <c r="AK47" s="124"/>
      <c r="AL47" s="107" t="s">
        <v>261</v>
      </c>
      <c r="AM47" s="102">
        <v>10000</v>
      </c>
      <c r="AN47" s="102"/>
      <c r="AO47" s="124"/>
      <c r="AP47" s="107" t="s">
        <v>262</v>
      </c>
      <c r="AQ47" s="102">
        <v>5000</v>
      </c>
      <c r="AR47" s="102"/>
      <c r="AS47" s="124"/>
      <c r="AT47" s="107" t="s">
        <v>238</v>
      </c>
      <c r="AU47" s="102">
        <v>5000</v>
      </c>
      <c r="AV47" s="102"/>
      <c r="AW47" s="102"/>
      <c r="AX47" s="107"/>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22"/>
      <c r="CD47" s="123">
        <f t="shared" si="25"/>
        <v>100000</v>
      </c>
      <c r="CE47" s="102">
        <f t="shared" si="26"/>
        <v>15000</v>
      </c>
      <c r="CF47" s="102">
        <f t="shared" si="27"/>
        <v>15000</v>
      </c>
      <c r="CG47" s="102">
        <f t="shared" si="28"/>
        <v>0</v>
      </c>
      <c r="CH47" s="124">
        <f t="shared" si="29"/>
        <v>85000</v>
      </c>
      <c r="CI47" s="125">
        <f t="shared" si="30"/>
        <v>0.15</v>
      </c>
      <c r="CJ47" s="126" t="str">
        <f t="shared" si="31"/>
        <v>数据正确</v>
      </c>
    </row>
    <row r="48" s="130" customFormat="1" customHeight="1" spans="1:88">
      <c r="A48" s="130" t="s">
        <v>36</v>
      </c>
      <c r="B48" s="132" t="str">
        <f t="shared" si="17"/>
        <v>-</v>
      </c>
      <c r="C48" s="133" t="str">
        <f t="shared" si="18"/>
        <v>-</v>
      </c>
      <c r="D48" s="235">
        <f t="shared" si="19"/>
        <v>1635000</v>
      </c>
      <c r="E48" s="235">
        <f>SUM(E41:E47)</f>
        <v>0</v>
      </c>
      <c r="F48" s="235">
        <f>SUM(F41:F47)</f>
        <v>0</v>
      </c>
      <c r="G48" s="235">
        <f>SUM(G41:G47)</f>
        <v>0</v>
      </c>
      <c r="H48" s="235">
        <f>SUM(H41:H47)</f>
        <v>0</v>
      </c>
      <c r="I48" s="235">
        <f t="shared" si="20"/>
        <v>0</v>
      </c>
      <c r="J48" s="239" t="s">
        <v>98</v>
      </c>
      <c r="K48" s="172"/>
      <c r="L48" s="240">
        <v>4</v>
      </c>
      <c r="M48" s="199" t="s">
        <v>226</v>
      </c>
      <c r="N48" s="150" t="s">
        <v>28</v>
      </c>
      <c r="O48" s="145" t="s">
        <v>227</v>
      </c>
      <c r="P48" s="151">
        <v>42816</v>
      </c>
      <c r="Q48" s="163">
        <f>SUM(Q41:Q47)</f>
        <v>10900000</v>
      </c>
      <c r="R48" s="144" t="s">
        <v>263</v>
      </c>
      <c r="S48" s="150" t="s">
        <v>229</v>
      </c>
      <c r="T48" s="150" t="s">
        <v>230</v>
      </c>
      <c r="U48" s="150" t="s">
        <v>231</v>
      </c>
      <c r="V48" s="246" t="s">
        <v>97</v>
      </c>
      <c r="W48" s="158">
        <f>SUM(W41:W47)</f>
        <v>1635000</v>
      </c>
      <c r="X48" s="158">
        <f t="shared" ref="X48:BC48" si="32">SUM(X41:X47)</f>
        <v>1635000</v>
      </c>
      <c r="Y48" s="158">
        <f t="shared" si="32"/>
        <v>1635000</v>
      </c>
      <c r="Z48" s="158">
        <f t="shared" si="32"/>
        <v>0</v>
      </c>
      <c r="AA48" s="158">
        <f t="shared" si="32"/>
        <v>3815000</v>
      </c>
      <c r="AB48" s="158">
        <f t="shared" si="32"/>
        <v>0</v>
      </c>
      <c r="AC48" s="158">
        <f t="shared" si="32"/>
        <v>0</v>
      </c>
      <c r="AD48" s="158">
        <f t="shared" si="32"/>
        <v>0</v>
      </c>
      <c r="AE48" s="158">
        <f t="shared" si="32"/>
        <v>2180000</v>
      </c>
      <c r="AF48" s="158">
        <f t="shared" si="32"/>
        <v>0</v>
      </c>
      <c r="AG48" s="158">
        <f t="shared" si="32"/>
        <v>0</v>
      </c>
      <c r="AH48" s="158">
        <f t="shared" si="32"/>
        <v>0</v>
      </c>
      <c r="AI48" s="158">
        <f t="shared" si="32"/>
        <v>1090000</v>
      </c>
      <c r="AJ48" s="158">
        <f t="shared" si="32"/>
        <v>0</v>
      </c>
      <c r="AK48" s="158">
        <f t="shared" si="32"/>
        <v>0</v>
      </c>
      <c r="AL48" s="158">
        <f t="shared" si="32"/>
        <v>0</v>
      </c>
      <c r="AM48" s="158">
        <f t="shared" si="32"/>
        <v>1090000</v>
      </c>
      <c r="AN48" s="158">
        <f t="shared" si="32"/>
        <v>0</v>
      </c>
      <c r="AO48" s="158">
        <f t="shared" si="32"/>
        <v>0</v>
      </c>
      <c r="AP48" s="158">
        <f t="shared" si="32"/>
        <v>0</v>
      </c>
      <c r="AQ48" s="158">
        <f t="shared" si="32"/>
        <v>545000</v>
      </c>
      <c r="AR48" s="158">
        <f t="shared" si="32"/>
        <v>0</v>
      </c>
      <c r="AS48" s="158">
        <f t="shared" si="32"/>
        <v>0</v>
      </c>
      <c r="AT48" s="158">
        <f t="shared" si="32"/>
        <v>0</v>
      </c>
      <c r="AU48" s="158">
        <f t="shared" si="32"/>
        <v>545000</v>
      </c>
      <c r="AV48" s="158">
        <f t="shared" si="32"/>
        <v>0</v>
      </c>
      <c r="AW48" s="158">
        <f t="shared" si="32"/>
        <v>0</v>
      </c>
      <c r="AX48" s="158">
        <f t="shared" si="32"/>
        <v>0</v>
      </c>
      <c r="AY48" s="158">
        <f t="shared" si="32"/>
        <v>0</v>
      </c>
      <c r="AZ48" s="158">
        <f t="shared" si="32"/>
        <v>0</v>
      </c>
      <c r="BA48" s="158">
        <f t="shared" si="32"/>
        <v>0</v>
      </c>
      <c r="BB48" s="158">
        <f t="shared" si="32"/>
        <v>0</v>
      </c>
      <c r="BC48" s="158">
        <f t="shared" si="32"/>
        <v>0</v>
      </c>
      <c r="BD48" s="158">
        <f t="shared" ref="BD48:CC48" si="33">SUM(BD41:BD47)</f>
        <v>0</v>
      </c>
      <c r="BE48" s="158">
        <f t="shared" si="33"/>
        <v>0</v>
      </c>
      <c r="BF48" s="158">
        <f t="shared" si="33"/>
        <v>0</v>
      </c>
      <c r="BG48" s="158">
        <f t="shared" si="33"/>
        <v>0</v>
      </c>
      <c r="BH48" s="158">
        <f t="shared" si="33"/>
        <v>0</v>
      </c>
      <c r="BI48" s="158">
        <f t="shared" si="33"/>
        <v>0</v>
      </c>
      <c r="BJ48" s="158">
        <f t="shared" si="33"/>
        <v>0</v>
      </c>
      <c r="BK48" s="158">
        <f t="shared" si="33"/>
        <v>0</v>
      </c>
      <c r="BL48" s="158">
        <f t="shared" si="33"/>
        <v>0</v>
      </c>
      <c r="BM48" s="158">
        <f t="shared" si="33"/>
        <v>0</v>
      </c>
      <c r="BN48" s="158">
        <f t="shared" si="33"/>
        <v>0</v>
      </c>
      <c r="BO48" s="158">
        <f t="shared" si="33"/>
        <v>0</v>
      </c>
      <c r="BP48" s="158">
        <f t="shared" si="33"/>
        <v>0</v>
      </c>
      <c r="BQ48" s="158">
        <f t="shared" si="33"/>
        <v>0</v>
      </c>
      <c r="BR48" s="158">
        <f t="shared" si="33"/>
        <v>0</v>
      </c>
      <c r="BS48" s="158">
        <f t="shared" si="33"/>
        <v>0</v>
      </c>
      <c r="BT48" s="158">
        <f t="shared" si="33"/>
        <v>0</v>
      </c>
      <c r="BU48" s="158">
        <f t="shared" si="33"/>
        <v>0</v>
      </c>
      <c r="BV48" s="158">
        <f t="shared" si="33"/>
        <v>0</v>
      </c>
      <c r="BW48" s="158">
        <f t="shared" si="33"/>
        <v>0</v>
      </c>
      <c r="BX48" s="158">
        <f t="shared" si="33"/>
        <v>0</v>
      </c>
      <c r="BY48" s="158">
        <f t="shared" si="33"/>
        <v>0</v>
      </c>
      <c r="BZ48" s="158">
        <f t="shared" si="33"/>
        <v>0</v>
      </c>
      <c r="CA48" s="158">
        <f t="shared" si="33"/>
        <v>0</v>
      </c>
      <c r="CB48" s="158">
        <f t="shared" si="33"/>
        <v>0</v>
      </c>
      <c r="CC48" s="158">
        <f t="shared" si="33"/>
        <v>0</v>
      </c>
      <c r="CD48" s="123">
        <f t="shared" si="25"/>
        <v>10900000</v>
      </c>
      <c r="CE48" s="102">
        <f t="shared" si="26"/>
        <v>1635000</v>
      </c>
      <c r="CF48" s="102">
        <f t="shared" si="27"/>
        <v>1635000</v>
      </c>
      <c r="CG48" s="102">
        <f t="shared" si="28"/>
        <v>0</v>
      </c>
      <c r="CH48" s="124">
        <f t="shared" si="29"/>
        <v>9265000</v>
      </c>
      <c r="CI48" s="125">
        <f t="shared" si="30"/>
        <v>0.15</v>
      </c>
      <c r="CJ48" s="126" t="str">
        <f t="shared" si="31"/>
        <v>数据正确</v>
      </c>
    </row>
    <row r="49" s="60" customFormat="1" customHeight="1" spans="1:88">
      <c r="A49" s="60" t="s">
        <v>36</v>
      </c>
      <c r="B49" s="70" t="str">
        <f t="shared" si="17"/>
        <v>-</v>
      </c>
      <c r="C49" s="71" t="str">
        <f t="shared" si="18"/>
        <v>-</v>
      </c>
      <c r="D49" s="181">
        <f t="shared" si="19"/>
        <v>0</v>
      </c>
      <c r="E49" s="181">
        <v>0</v>
      </c>
      <c r="F49" s="181">
        <v>0</v>
      </c>
      <c r="G49" s="181">
        <v>0</v>
      </c>
      <c r="H49" s="181">
        <v>0</v>
      </c>
      <c r="I49" s="181">
        <f t="shared" si="20"/>
        <v>0</v>
      </c>
      <c r="J49" s="237" t="s">
        <v>98</v>
      </c>
      <c r="K49" s="87"/>
      <c r="L49" s="141" t="s">
        <v>264</v>
      </c>
      <c r="M49" s="191" t="s">
        <v>265</v>
      </c>
      <c r="N49" s="148" t="s">
        <v>28</v>
      </c>
      <c r="O49" s="90">
        <v>2017010039</v>
      </c>
      <c r="P49" s="91">
        <v>42849</v>
      </c>
      <c r="Q49" s="102">
        <v>1300000</v>
      </c>
      <c r="R49" s="89" t="s">
        <v>266</v>
      </c>
      <c r="S49" s="89" t="s">
        <v>267</v>
      </c>
      <c r="T49" s="89" t="s">
        <v>268</v>
      </c>
      <c r="U49" s="148" t="s">
        <v>269</v>
      </c>
      <c r="V49" s="185" t="s">
        <v>270</v>
      </c>
      <c r="W49" s="102">
        <v>130000</v>
      </c>
      <c r="X49" s="102"/>
      <c r="Y49" s="102"/>
      <c r="Z49" s="107" t="s">
        <v>271</v>
      </c>
      <c r="AA49" s="102">
        <v>390000</v>
      </c>
      <c r="AB49" s="102"/>
      <c r="AC49" s="102"/>
      <c r="AD49" s="107" t="s">
        <v>141</v>
      </c>
      <c r="AE49" s="102">
        <v>325000</v>
      </c>
      <c r="AF49" s="102"/>
      <c r="AG49" s="102"/>
      <c r="AH49" s="107" t="s">
        <v>272</v>
      </c>
      <c r="AI49" s="102">
        <v>65000</v>
      </c>
      <c r="AJ49" s="102"/>
      <c r="AK49" s="102"/>
      <c r="AL49" s="107" t="s">
        <v>273</v>
      </c>
      <c r="AM49" s="102">
        <v>130000</v>
      </c>
      <c r="AN49" s="102"/>
      <c r="AO49" s="102"/>
      <c r="AP49" s="107" t="s">
        <v>144</v>
      </c>
      <c r="AQ49" s="102">
        <v>130000</v>
      </c>
      <c r="AR49" s="102"/>
      <c r="AS49" s="102"/>
      <c r="AT49" s="107" t="s">
        <v>274</v>
      </c>
      <c r="AU49" s="102">
        <v>65000</v>
      </c>
      <c r="AV49" s="102"/>
      <c r="AW49" s="102"/>
      <c r="AX49" s="107" t="s">
        <v>275</v>
      </c>
      <c r="AY49" s="102">
        <v>65000</v>
      </c>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22"/>
      <c r="CD49" s="123">
        <f t="shared" si="25"/>
        <v>1300000</v>
      </c>
      <c r="CE49" s="102">
        <f t="shared" si="26"/>
        <v>0</v>
      </c>
      <c r="CF49" s="102">
        <f t="shared" si="27"/>
        <v>0</v>
      </c>
      <c r="CG49" s="102">
        <f t="shared" si="28"/>
        <v>0</v>
      </c>
      <c r="CH49" s="124">
        <f t="shared" si="29"/>
        <v>1300000</v>
      </c>
      <c r="CI49" s="125">
        <f t="shared" si="30"/>
        <v>0</v>
      </c>
      <c r="CJ49" s="126" t="str">
        <f t="shared" si="31"/>
        <v>数据正确</v>
      </c>
    </row>
    <row r="50" s="60" customFormat="1" customHeight="1" spans="1:88">
      <c r="A50" s="60" t="s">
        <v>36</v>
      </c>
      <c r="B50" s="70" t="str">
        <f t="shared" si="17"/>
        <v>-</v>
      </c>
      <c r="C50" s="71" t="str">
        <f t="shared" si="18"/>
        <v>-</v>
      </c>
      <c r="D50" s="181">
        <f t="shared" si="19"/>
        <v>0</v>
      </c>
      <c r="E50" s="181">
        <v>0</v>
      </c>
      <c r="F50" s="181">
        <v>0</v>
      </c>
      <c r="G50" s="181">
        <v>0</v>
      </c>
      <c r="H50" s="181">
        <v>0</v>
      </c>
      <c r="I50" s="181">
        <f t="shared" si="20"/>
        <v>0</v>
      </c>
      <c r="J50" s="237" t="s">
        <v>98</v>
      </c>
      <c r="K50" s="87"/>
      <c r="L50" s="141" t="s">
        <v>276</v>
      </c>
      <c r="M50" s="191" t="s">
        <v>265</v>
      </c>
      <c r="N50" s="148" t="s">
        <v>28</v>
      </c>
      <c r="O50" s="90">
        <v>2017010039</v>
      </c>
      <c r="P50" s="91">
        <v>42849</v>
      </c>
      <c r="Q50" s="102">
        <v>22613423</v>
      </c>
      <c r="R50" s="89" t="s">
        <v>277</v>
      </c>
      <c r="S50" s="89" t="s">
        <v>267</v>
      </c>
      <c r="T50" s="89" t="s">
        <v>268</v>
      </c>
      <c r="U50" s="148" t="s">
        <v>269</v>
      </c>
      <c r="V50" s="185" t="s">
        <v>278</v>
      </c>
      <c r="W50" s="102">
        <v>2261342.3</v>
      </c>
      <c r="X50" s="102"/>
      <c r="Y50" s="102"/>
      <c r="Z50" s="107" t="s">
        <v>279</v>
      </c>
      <c r="AA50" s="102">
        <v>6784026.9</v>
      </c>
      <c r="AB50" s="102"/>
      <c r="AC50" s="102"/>
      <c r="AD50" s="107" t="s">
        <v>280</v>
      </c>
      <c r="AE50" s="102">
        <v>5653355.75</v>
      </c>
      <c r="AF50" s="102"/>
      <c r="AG50" s="102"/>
      <c r="AH50" s="107" t="s">
        <v>272</v>
      </c>
      <c r="AI50" s="102">
        <v>1130671.15</v>
      </c>
      <c r="AJ50" s="102"/>
      <c r="AK50" s="102"/>
      <c r="AL50" s="107" t="s">
        <v>273</v>
      </c>
      <c r="AM50" s="102">
        <v>2261342.3</v>
      </c>
      <c r="AN50" s="102"/>
      <c r="AO50" s="102"/>
      <c r="AP50" s="107" t="s">
        <v>144</v>
      </c>
      <c r="AQ50" s="102">
        <v>2261342.3</v>
      </c>
      <c r="AR50" s="102"/>
      <c r="AS50" s="102"/>
      <c r="AT50" s="107" t="s">
        <v>274</v>
      </c>
      <c r="AU50" s="102">
        <v>1130671.15</v>
      </c>
      <c r="AV50" s="102"/>
      <c r="AW50" s="102"/>
      <c r="AX50" s="107" t="s">
        <v>275</v>
      </c>
      <c r="AY50" s="102">
        <v>1130671.15</v>
      </c>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22"/>
      <c r="CD50" s="123">
        <f t="shared" si="25"/>
        <v>22613423</v>
      </c>
      <c r="CE50" s="102">
        <f t="shared" si="26"/>
        <v>0</v>
      </c>
      <c r="CF50" s="102">
        <f t="shared" si="27"/>
        <v>0</v>
      </c>
      <c r="CG50" s="102">
        <f t="shared" si="28"/>
        <v>0</v>
      </c>
      <c r="CH50" s="124">
        <f t="shared" si="29"/>
        <v>22613423</v>
      </c>
      <c r="CI50" s="125">
        <f t="shared" si="30"/>
        <v>0</v>
      </c>
      <c r="CJ50" s="126" t="str">
        <f t="shared" si="31"/>
        <v>数据正确</v>
      </c>
    </row>
    <row r="51" s="60" customFormat="1" customHeight="1" spans="1:88">
      <c r="A51" s="60" t="s">
        <v>36</v>
      </c>
      <c r="B51" s="70" t="str">
        <f t="shared" si="17"/>
        <v>-</v>
      </c>
      <c r="C51" s="71" t="str">
        <f t="shared" si="18"/>
        <v>-</v>
      </c>
      <c r="D51" s="181">
        <f t="shared" si="19"/>
        <v>0</v>
      </c>
      <c r="E51" s="181">
        <v>0</v>
      </c>
      <c r="F51" s="181">
        <v>0</v>
      </c>
      <c r="G51" s="181">
        <v>0</v>
      </c>
      <c r="H51" s="181">
        <v>0</v>
      </c>
      <c r="I51" s="181">
        <f t="shared" si="20"/>
        <v>0</v>
      </c>
      <c r="J51" s="237" t="s">
        <v>98</v>
      </c>
      <c r="K51" s="87"/>
      <c r="L51" s="141" t="s">
        <v>281</v>
      </c>
      <c r="M51" s="191" t="s">
        <v>265</v>
      </c>
      <c r="N51" s="148" t="s">
        <v>28</v>
      </c>
      <c r="O51" s="90">
        <v>2017010039</v>
      </c>
      <c r="P51" s="91">
        <v>42849</v>
      </c>
      <c r="Q51" s="102">
        <v>5897337</v>
      </c>
      <c r="R51" s="89" t="s">
        <v>282</v>
      </c>
      <c r="S51" s="89" t="s">
        <v>267</v>
      </c>
      <c r="T51" s="89" t="s">
        <v>268</v>
      </c>
      <c r="U51" s="148" t="s">
        <v>269</v>
      </c>
      <c r="V51" s="185" t="s">
        <v>122</v>
      </c>
      <c r="W51" s="102">
        <v>0</v>
      </c>
      <c r="X51" s="102"/>
      <c r="Y51" s="102"/>
      <c r="Z51" s="107" t="s">
        <v>122</v>
      </c>
      <c r="AA51" s="102">
        <v>0</v>
      </c>
      <c r="AB51" s="102"/>
      <c r="AC51" s="102"/>
      <c r="AD51" s="107" t="s">
        <v>283</v>
      </c>
      <c r="AE51" s="102">
        <v>3538402.2</v>
      </c>
      <c r="AF51" s="102"/>
      <c r="AG51" s="102"/>
      <c r="AH51" s="107" t="s">
        <v>272</v>
      </c>
      <c r="AI51" s="102">
        <v>589733.7</v>
      </c>
      <c r="AJ51" s="102"/>
      <c r="AK51" s="102"/>
      <c r="AL51" s="107" t="s">
        <v>273</v>
      </c>
      <c r="AM51" s="102">
        <v>589733.7</v>
      </c>
      <c r="AN51" s="102"/>
      <c r="AO51" s="102"/>
      <c r="AP51" s="107" t="s">
        <v>144</v>
      </c>
      <c r="AQ51" s="102">
        <v>589733.7</v>
      </c>
      <c r="AR51" s="102"/>
      <c r="AS51" s="102"/>
      <c r="AT51" s="107" t="s">
        <v>274</v>
      </c>
      <c r="AU51" s="102">
        <v>294866.85</v>
      </c>
      <c r="AV51" s="102"/>
      <c r="AW51" s="102"/>
      <c r="AX51" s="107" t="s">
        <v>275</v>
      </c>
      <c r="AY51" s="102">
        <v>294866.85</v>
      </c>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22"/>
      <c r="CD51" s="123">
        <f t="shared" si="25"/>
        <v>5897337</v>
      </c>
      <c r="CE51" s="102">
        <f t="shared" si="26"/>
        <v>0</v>
      </c>
      <c r="CF51" s="102">
        <f t="shared" si="27"/>
        <v>0</v>
      </c>
      <c r="CG51" s="102">
        <f t="shared" si="28"/>
        <v>0</v>
      </c>
      <c r="CH51" s="124">
        <f t="shared" si="29"/>
        <v>5897337</v>
      </c>
      <c r="CI51" s="125">
        <f t="shared" si="30"/>
        <v>0</v>
      </c>
      <c r="CJ51" s="126" t="str">
        <f t="shared" si="31"/>
        <v>数据正确</v>
      </c>
    </row>
    <row r="52" s="60" customFormat="1" customHeight="1" spans="1:88">
      <c r="A52" s="60" t="s">
        <v>36</v>
      </c>
      <c r="B52" s="70" t="str">
        <f t="shared" si="17"/>
        <v>-</v>
      </c>
      <c r="C52" s="71" t="str">
        <f t="shared" si="18"/>
        <v>-</v>
      </c>
      <c r="D52" s="181">
        <f t="shared" si="19"/>
        <v>0</v>
      </c>
      <c r="E52" s="181">
        <v>0</v>
      </c>
      <c r="F52" s="181">
        <v>0</v>
      </c>
      <c r="G52" s="181">
        <v>0</v>
      </c>
      <c r="H52" s="181">
        <v>0</v>
      </c>
      <c r="I52" s="181">
        <f t="shared" si="20"/>
        <v>0</v>
      </c>
      <c r="J52" s="237" t="s">
        <v>98</v>
      </c>
      <c r="K52" s="87"/>
      <c r="L52" s="141" t="s">
        <v>284</v>
      </c>
      <c r="M52" s="191" t="s">
        <v>265</v>
      </c>
      <c r="N52" s="148" t="s">
        <v>28</v>
      </c>
      <c r="O52" s="90">
        <v>2017010039</v>
      </c>
      <c r="P52" s="91">
        <v>42849</v>
      </c>
      <c r="Q52" s="102">
        <v>5634040</v>
      </c>
      <c r="R52" s="89" t="s">
        <v>285</v>
      </c>
      <c r="S52" s="89" t="s">
        <v>267</v>
      </c>
      <c r="T52" s="89" t="s">
        <v>268</v>
      </c>
      <c r="U52" s="148" t="s">
        <v>269</v>
      </c>
      <c r="V52" s="185" t="s">
        <v>278</v>
      </c>
      <c r="W52" s="102">
        <v>563404</v>
      </c>
      <c r="X52" s="102"/>
      <c r="Y52" s="102"/>
      <c r="Z52" s="107" t="s">
        <v>279</v>
      </c>
      <c r="AA52" s="102">
        <v>1690212</v>
      </c>
      <c r="AB52" s="102"/>
      <c r="AC52" s="102"/>
      <c r="AD52" s="107" t="s">
        <v>280</v>
      </c>
      <c r="AE52" s="102">
        <v>1408510</v>
      </c>
      <c r="AF52" s="102"/>
      <c r="AG52" s="102"/>
      <c r="AH52" s="107" t="s">
        <v>272</v>
      </c>
      <c r="AI52" s="102">
        <v>281702</v>
      </c>
      <c r="AJ52" s="102"/>
      <c r="AK52" s="102"/>
      <c r="AL52" s="107" t="s">
        <v>273</v>
      </c>
      <c r="AM52" s="102">
        <v>563404</v>
      </c>
      <c r="AN52" s="102"/>
      <c r="AO52" s="102"/>
      <c r="AP52" s="107" t="s">
        <v>144</v>
      </c>
      <c r="AQ52" s="102">
        <v>563404</v>
      </c>
      <c r="AR52" s="102"/>
      <c r="AS52" s="102"/>
      <c r="AT52" s="107" t="s">
        <v>274</v>
      </c>
      <c r="AU52" s="102">
        <v>281702</v>
      </c>
      <c r="AV52" s="102"/>
      <c r="AW52" s="102"/>
      <c r="AX52" s="107" t="s">
        <v>275</v>
      </c>
      <c r="AY52" s="102">
        <v>281702</v>
      </c>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22"/>
      <c r="CD52" s="123">
        <f t="shared" si="25"/>
        <v>5634040</v>
      </c>
      <c r="CE52" s="102">
        <f t="shared" si="26"/>
        <v>0</v>
      </c>
      <c r="CF52" s="102">
        <f t="shared" si="27"/>
        <v>0</v>
      </c>
      <c r="CG52" s="102">
        <f t="shared" si="28"/>
        <v>0</v>
      </c>
      <c r="CH52" s="124">
        <f t="shared" si="29"/>
        <v>5634040</v>
      </c>
      <c r="CI52" s="125">
        <f t="shared" si="30"/>
        <v>0</v>
      </c>
      <c r="CJ52" s="126" t="str">
        <f t="shared" si="31"/>
        <v>数据正确</v>
      </c>
    </row>
    <row r="53" s="60" customFormat="1" customHeight="1" spans="1:88">
      <c r="A53" s="60" t="s">
        <v>36</v>
      </c>
      <c r="B53" s="70" t="str">
        <f t="shared" si="17"/>
        <v>-</v>
      </c>
      <c r="C53" s="71" t="str">
        <f t="shared" si="18"/>
        <v>-</v>
      </c>
      <c r="D53" s="181">
        <f t="shared" si="19"/>
        <v>0</v>
      </c>
      <c r="E53" s="181">
        <v>0</v>
      </c>
      <c r="F53" s="181">
        <v>0</v>
      </c>
      <c r="G53" s="181">
        <v>0</v>
      </c>
      <c r="H53" s="181">
        <v>0</v>
      </c>
      <c r="I53" s="181">
        <f t="shared" si="20"/>
        <v>0</v>
      </c>
      <c r="J53" s="237" t="s">
        <v>98</v>
      </c>
      <c r="K53" s="87"/>
      <c r="L53" s="141" t="s">
        <v>286</v>
      </c>
      <c r="M53" s="191" t="s">
        <v>265</v>
      </c>
      <c r="N53" s="148" t="s">
        <v>28</v>
      </c>
      <c r="O53" s="90">
        <v>2017010039</v>
      </c>
      <c r="P53" s="91">
        <v>42849</v>
      </c>
      <c r="Q53" s="102">
        <v>400000</v>
      </c>
      <c r="R53" s="89" t="s">
        <v>287</v>
      </c>
      <c r="S53" s="89" t="s">
        <v>267</v>
      </c>
      <c r="T53" s="89" t="s">
        <v>268</v>
      </c>
      <c r="U53" s="148" t="s">
        <v>269</v>
      </c>
      <c r="V53" s="185" t="s">
        <v>122</v>
      </c>
      <c r="W53" s="102">
        <v>0</v>
      </c>
      <c r="X53" s="102"/>
      <c r="Y53" s="102"/>
      <c r="Z53" s="107" t="s">
        <v>122</v>
      </c>
      <c r="AA53" s="102">
        <v>0</v>
      </c>
      <c r="AB53" s="102"/>
      <c r="AC53" s="102"/>
      <c r="AD53" s="107" t="s">
        <v>283</v>
      </c>
      <c r="AE53" s="102">
        <v>240000</v>
      </c>
      <c r="AF53" s="102"/>
      <c r="AG53" s="102"/>
      <c r="AH53" s="107" t="s">
        <v>272</v>
      </c>
      <c r="AI53" s="102">
        <v>40000</v>
      </c>
      <c r="AJ53" s="102"/>
      <c r="AK53" s="102"/>
      <c r="AL53" s="107" t="s">
        <v>273</v>
      </c>
      <c r="AM53" s="102">
        <v>40000</v>
      </c>
      <c r="AN53" s="102"/>
      <c r="AO53" s="102"/>
      <c r="AP53" s="107" t="s">
        <v>144</v>
      </c>
      <c r="AQ53" s="102">
        <v>40000</v>
      </c>
      <c r="AR53" s="102"/>
      <c r="AS53" s="102"/>
      <c r="AT53" s="107" t="s">
        <v>274</v>
      </c>
      <c r="AU53" s="102">
        <v>20000</v>
      </c>
      <c r="AV53" s="102"/>
      <c r="AW53" s="102"/>
      <c r="AX53" s="107" t="s">
        <v>275</v>
      </c>
      <c r="AY53" s="102">
        <v>20000</v>
      </c>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22"/>
      <c r="CD53" s="123">
        <f t="shared" si="25"/>
        <v>400000</v>
      </c>
      <c r="CE53" s="102">
        <f t="shared" si="26"/>
        <v>0</v>
      </c>
      <c r="CF53" s="102">
        <f t="shared" si="27"/>
        <v>0</v>
      </c>
      <c r="CG53" s="102">
        <f t="shared" si="28"/>
        <v>0</v>
      </c>
      <c r="CH53" s="124">
        <f t="shared" si="29"/>
        <v>400000</v>
      </c>
      <c r="CI53" s="125">
        <f t="shared" si="30"/>
        <v>0</v>
      </c>
      <c r="CJ53" s="126" t="str">
        <f t="shared" si="31"/>
        <v>数据正确</v>
      </c>
    </row>
    <row r="54" s="60" customFormat="1" customHeight="1" spans="1:88">
      <c r="A54" s="60" t="s">
        <v>36</v>
      </c>
      <c r="B54" s="70" t="str">
        <f t="shared" si="17"/>
        <v>-</v>
      </c>
      <c r="C54" s="71" t="str">
        <f t="shared" si="18"/>
        <v>-</v>
      </c>
      <c r="D54" s="181">
        <f t="shared" si="19"/>
        <v>0</v>
      </c>
      <c r="E54" s="181">
        <v>0</v>
      </c>
      <c r="F54" s="181">
        <v>0</v>
      </c>
      <c r="G54" s="181">
        <v>0</v>
      </c>
      <c r="H54" s="181">
        <v>0</v>
      </c>
      <c r="I54" s="181">
        <f t="shared" si="20"/>
        <v>0</v>
      </c>
      <c r="J54" s="237" t="s">
        <v>98</v>
      </c>
      <c r="K54" s="87"/>
      <c r="L54" s="141" t="s">
        <v>288</v>
      </c>
      <c r="M54" s="191" t="s">
        <v>265</v>
      </c>
      <c r="N54" s="148" t="s">
        <v>28</v>
      </c>
      <c r="O54" s="90">
        <v>2017010039</v>
      </c>
      <c r="P54" s="91">
        <v>42849</v>
      </c>
      <c r="Q54" s="102">
        <v>55200</v>
      </c>
      <c r="R54" s="89" t="s">
        <v>289</v>
      </c>
      <c r="S54" s="89" t="s">
        <v>267</v>
      </c>
      <c r="T54" s="89" t="s">
        <v>268</v>
      </c>
      <c r="U54" s="148" t="s">
        <v>269</v>
      </c>
      <c r="V54" s="185" t="s">
        <v>122</v>
      </c>
      <c r="W54" s="102">
        <v>0</v>
      </c>
      <c r="X54" s="102"/>
      <c r="Y54" s="102"/>
      <c r="Z54" s="107" t="s">
        <v>122</v>
      </c>
      <c r="AA54" s="102">
        <v>0</v>
      </c>
      <c r="AB54" s="102"/>
      <c r="AC54" s="102"/>
      <c r="AD54" s="107" t="s">
        <v>122</v>
      </c>
      <c r="AE54" s="102">
        <v>0</v>
      </c>
      <c r="AF54" s="102"/>
      <c r="AG54" s="102"/>
      <c r="AH54" s="107" t="s">
        <v>272</v>
      </c>
      <c r="AI54" s="102">
        <v>38640</v>
      </c>
      <c r="AJ54" s="102"/>
      <c r="AK54" s="102"/>
      <c r="AL54" s="107" t="s">
        <v>273</v>
      </c>
      <c r="AM54" s="102">
        <v>5520</v>
      </c>
      <c r="AN54" s="102"/>
      <c r="AO54" s="102"/>
      <c r="AP54" s="107" t="s">
        <v>144</v>
      </c>
      <c r="AQ54" s="102">
        <v>5520</v>
      </c>
      <c r="AR54" s="102"/>
      <c r="AS54" s="102"/>
      <c r="AT54" s="107" t="s">
        <v>274</v>
      </c>
      <c r="AU54" s="102">
        <v>2760</v>
      </c>
      <c r="AV54" s="102"/>
      <c r="AW54" s="102"/>
      <c r="AX54" s="107" t="s">
        <v>275</v>
      </c>
      <c r="AY54" s="102">
        <v>2760</v>
      </c>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22"/>
      <c r="CD54" s="123">
        <f t="shared" si="25"/>
        <v>55200</v>
      </c>
      <c r="CE54" s="102">
        <f t="shared" si="26"/>
        <v>0</v>
      </c>
      <c r="CF54" s="102">
        <f t="shared" si="27"/>
        <v>0</v>
      </c>
      <c r="CG54" s="102">
        <f t="shared" si="28"/>
        <v>0</v>
      </c>
      <c r="CH54" s="124">
        <f t="shared" si="29"/>
        <v>55200</v>
      </c>
      <c r="CI54" s="125">
        <f t="shared" si="30"/>
        <v>0</v>
      </c>
      <c r="CJ54" s="126" t="str">
        <f t="shared" si="31"/>
        <v>数据正确</v>
      </c>
    </row>
    <row r="55" s="130" customFormat="1" customHeight="1" spans="1:88">
      <c r="A55" s="130" t="s">
        <v>36</v>
      </c>
      <c r="B55" s="132" t="str">
        <f t="shared" si="17"/>
        <v>-</v>
      </c>
      <c r="C55" s="133" t="str">
        <f t="shared" si="18"/>
        <v>-</v>
      </c>
      <c r="D55" s="235">
        <f t="shared" si="19"/>
        <v>0</v>
      </c>
      <c r="E55" s="235">
        <f>SUM(E49:E54)</f>
        <v>0</v>
      </c>
      <c r="F55" s="235">
        <f>SUM(F49:F54)</f>
        <v>0</v>
      </c>
      <c r="G55" s="235">
        <f>SUM(G49:G54)</f>
        <v>0</v>
      </c>
      <c r="H55" s="235">
        <f>SUM(H49:H54)</f>
        <v>0</v>
      </c>
      <c r="I55" s="235">
        <f t="shared" si="20"/>
        <v>0</v>
      </c>
      <c r="J55" s="239" t="s">
        <v>98</v>
      </c>
      <c r="K55" s="172"/>
      <c r="L55" s="240">
        <v>163</v>
      </c>
      <c r="M55" s="199" t="s">
        <v>265</v>
      </c>
      <c r="N55" s="150" t="s">
        <v>28</v>
      </c>
      <c r="O55" s="145">
        <v>2017010039</v>
      </c>
      <c r="P55" s="146">
        <v>42849</v>
      </c>
      <c r="Q55" s="158">
        <f>SUM(Q49:Q54)</f>
        <v>35900000</v>
      </c>
      <c r="R55" s="144" t="s">
        <v>290</v>
      </c>
      <c r="S55" s="144" t="s">
        <v>267</v>
      </c>
      <c r="T55" s="144" t="s">
        <v>268</v>
      </c>
      <c r="U55" s="150" t="s">
        <v>269</v>
      </c>
      <c r="V55" s="246" t="s">
        <v>97</v>
      </c>
      <c r="W55" s="158">
        <f>SUM(W49:W54)</f>
        <v>2954746.3</v>
      </c>
      <c r="X55" s="158">
        <f t="shared" ref="X55:BC55" si="34">SUM(X49:X54)</f>
        <v>0</v>
      </c>
      <c r="Y55" s="158">
        <f t="shared" si="34"/>
        <v>0</v>
      </c>
      <c r="Z55" s="158">
        <f t="shared" si="34"/>
        <v>0</v>
      </c>
      <c r="AA55" s="158">
        <f t="shared" si="34"/>
        <v>8864238.9</v>
      </c>
      <c r="AB55" s="158">
        <f t="shared" si="34"/>
        <v>0</v>
      </c>
      <c r="AC55" s="158">
        <f t="shared" si="34"/>
        <v>0</v>
      </c>
      <c r="AD55" s="158">
        <f t="shared" si="34"/>
        <v>0</v>
      </c>
      <c r="AE55" s="158">
        <f t="shared" si="34"/>
        <v>11165267.95</v>
      </c>
      <c r="AF55" s="158">
        <f t="shared" si="34"/>
        <v>0</v>
      </c>
      <c r="AG55" s="158">
        <f t="shared" si="34"/>
        <v>0</v>
      </c>
      <c r="AH55" s="158">
        <f t="shared" si="34"/>
        <v>0</v>
      </c>
      <c r="AI55" s="158">
        <f t="shared" si="34"/>
        <v>2145746.85</v>
      </c>
      <c r="AJ55" s="158">
        <f t="shared" si="34"/>
        <v>0</v>
      </c>
      <c r="AK55" s="158">
        <f t="shared" si="34"/>
        <v>0</v>
      </c>
      <c r="AL55" s="158">
        <f t="shared" si="34"/>
        <v>0</v>
      </c>
      <c r="AM55" s="158">
        <f t="shared" si="34"/>
        <v>3590000</v>
      </c>
      <c r="AN55" s="158">
        <f t="shared" si="34"/>
        <v>0</v>
      </c>
      <c r="AO55" s="158">
        <f t="shared" si="34"/>
        <v>0</v>
      </c>
      <c r="AP55" s="158">
        <f t="shared" si="34"/>
        <v>0</v>
      </c>
      <c r="AQ55" s="158">
        <f t="shared" si="34"/>
        <v>3590000</v>
      </c>
      <c r="AR55" s="158">
        <f t="shared" si="34"/>
        <v>0</v>
      </c>
      <c r="AS55" s="158">
        <f t="shared" si="34"/>
        <v>0</v>
      </c>
      <c r="AT55" s="158">
        <f t="shared" si="34"/>
        <v>0</v>
      </c>
      <c r="AU55" s="158">
        <f t="shared" si="34"/>
        <v>1795000</v>
      </c>
      <c r="AV55" s="158">
        <f t="shared" si="34"/>
        <v>0</v>
      </c>
      <c r="AW55" s="158">
        <f t="shared" si="34"/>
        <v>0</v>
      </c>
      <c r="AX55" s="158">
        <f t="shared" si="34"/>
        <v>0</v>
      </c>
      <c r="AY55" s="158">
        <f t="shared" si="34"/>
        <v>1795000</v>
      </c>
      <c r="AZ55" s="158">
        <f t="shared" si="34"/>
        <v>0</v>
      </c>
      <c r="BA55" s="158">
        <f t="shared" si="34"/>
        <v>0</v>
      </c>
      <c r="BB55" s="158">
        <f t="shared" si="34"/>
        <v>0</v>
      </c>
      <c r="BC55" s="158">
        <f t="shared" si="34"/>
        <v>0</v>
      </c>
      <c r="BD55" s="158">
        <f t="shared" ref="BD55:CC55" si="35">SUM(BD49:BD54)</f>
        <v>0</v>
      </c>
      <c r="BE55" s="158">
        <f t="shared" si="35"/>
        <v>0</v>
      </c>
      <c r="BF55" s="158">
        <f t="shared" si="35"/>
        <v>0</v>
      </c>
      <c r="BG55" s="158">
        <f t="shared" si="35"/>
        <v>0</v>
      </c>
      <c r="BH55" s="158">
        <f t="shared" si="35"/>
        <v>0</v>
      </c>
      <c r="BI55" s="158">
        <f t="shared" si="35"/>
        <v>0</v>
      </c>
      <c r="BJ55" s="158">
        <f t="shared" si="35"/>
        <v>0</v>
      </c>
      <c r="BK55" s="158">
        <f t="shared" si="35"/>
        <v>0</v>
      </c>
      <c r="BL55" s="158">
        <f t="shared" si="35"/>
        <v>0</v>
      </c>
      <c r="BM55" s="158">
        <f t="shared" si="35"/>
        <v>0</v>
      </c>
      <c r="BN55" s="158">
        <f t="shared" si="35"/>
        <v>0</v>
      </c>
      <c r="BO55" s="158">
        <f t="shared" si="35"/>
        <v>0</v>
      </c>
      <c r="BP55" s="158">
        <f t="shared" si="35"/>
        <v>0</v>
      </c>
      <c r="BQ55" s="158">
        <f t="shared" si="35"/>
        <v>0</v>
      </c>
      <c r="BR55" s="158">
        <f t="shared" si="35"/>
        <v>0</v>
      </c>
      <c r="BS55" s="158">
        <f t="shared" si="35"/>
        <v>0</v>
      </c>
      <c r="BT55" s="158">
        <f t="shared" si="35"/>
        <v>0</v>
      </c>
      <c r="BU55" s="158">
        <f t="shared" si="35"/>
        <v>0</v>
      </c>
      <c r="BV55" s="158">
        <f t="shared" si="35"/>
        <v>0</v>
      </c>
      <c r="BW55" s="158">
        <f t="shared" si="35"/>
        <v>0</v>
      </c>
      <c r="BX55" s="158">
        <f t="shared" si="35"/>
        <v>0</v>
      </c>
      <c r="BY55" s="158">
        <f t="shared" si="35"/>
        <v>0</v>
      </c>
      <c r="BZ55" s="158">
        <f t="shared" si="35"/>
        <v>0</v>
      </c>
      <c r="CA55" s="158">
        <f t="shared" si="35"/>
        <v>0</v>
      </c>
      <c r="CB55" s="158">
        <f t="shared" si="35"/>
        <v>0</v>
      </c>
      <c r="CC55" s="158">
        <f t="shared" si="35"/>
        <v>0</v>
      </c>
      <c r="CD55" s="123">
        <f t="shared" si="25"/>
        <v>35900000</v>
      </c>
      <c r="CE55" s="102">
        <f t="shared" si="26"/>
        <v>0</v>
      </c>
      <c r="CF55" s="102">
        <f t="shared" si="27"/>
        <v>0</v>
      </c>
      <c r="CG55" s="102">
        <f t="shared" si="28"/>
        <v>0</v>
      </c>
      <c r="CH55" s="124">
        <f t="shared" si="29"/>
        <v>35900000</v>
      </c>
      <c r="CI55" s="125">
        <f t="shared" si="30"/>
        <v>0</v>
      </c>
      <c r="CJ55" s="126" t="str">
        <f t="shared" si="31"/>
        <v>数据正确</v>
      </c>
    </row>
    <row r="56" s="60" customFormat="1" customHeight="1" spans="1:88">
      <c r="A56" s="60" t="s">
        <v>36</v>
      </c>
      <c r="B56" s="70" t="str">
        <f t="shared" si="17"/>
        <v>申请中</v>
      </c>
      <c r="C56" s="71" t="str">
        <f t="shared" si="18"/>
        <v>-</v>
      </c>
      <c r="D56" s="181">
        <f t="shared" si="19"/>
        <v>0</v>
      </c>
      <c r="E56" s="181">
        <v>0</v>
      </c>
      <c r="F56" s="181">
        <v>0</v>
      </c>
      <c r="G56" s="181">
        <v>0</v>
      </c>
      <c r="H56" s="181">
        <v>0</v>
      </c>
      <c r="I56" s="181">
        <f t="shared" si="20"/>
        <v>4834000</v>
      </c>
      <c r="J56" s="237" t="s">
        <v>98</v>
      </c>
      <c r="K56" s="87"/>
      <c r="L56" s="141" t="s">
        <v>291</v>
      </c>
      <c r="M56" s="90" t="s">
        <v>292</v>
      </c>
      <c r="N56" s="148" t="s">
        <v>28</v>
      </c>
      <c r="O56" s="90" t="s">
        <v>97</v>
      </c>
      <c r="P56" s="91">
        <v>42987</v>
      </c>
      <c r="Q56" s="102">
        <v>65730000</v>
      </c>
      <c r="R56" s="89" t="s">
        <v>293</v>
      </c>
      <c r="S56" s="89" t="s">
        <v>294</v>
      </c>
      <c r="T56" s="89" t="s">
        <v>295</v>
      </c>
      <c r="U56" s="148" t="s">
        <v>296</v>
      </c>
      <c r="V56" s="185" t="s">
        <v>293</v>
      </c>
      <c r="W56" s="102">
        <v>65730000</v>
      </c>
      <c r="X56" s="102">
        <v>4834000</v>
      </c>
      <c r="Y56" s="102"/>
      <c r="Z56" s="107"/>
      <c r="AA56" s="102"/>
      <c r="AB56" s="102"/>
      <c r="AC56" s="102"/>
      <c r="AD56" s="107"/>
      <c r="AE56" s="102"/>
      <c r="AF56" s="102"/>
      <c r="AG56" s="102"/>
      <c r="AH56" s="107"/>
      <c r="AI56" s="102"/>
      <c r="AJ56" s="102"/>
      <c r="AK56" s="102"/>
      <c r="AL56" s="107"/>
      <c r="AM56" s="102"/>
      <c r="AN56" s="102"/>
      <c r="AO56" s="102"/>
      <c r="AP56" s="107"/>
      <c r="AQ56" s="102"/>
      <c r="AR56" s="102"/>
      <c r="AS56" s="102"/>
      <c r="AT56" s="107"/>
      <c r="AU56" s="102"/>
      <c r="AV56" s="102"/>
      <c r="AW56" s="102"/>
      <c r="AX56" s="107"/>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22"/>
      <c r="CD56" s="123">
        <f t="shared" si="25"/>
        <v>65730000</v>
      </c>
      <c r="CE56" s="102">
        <f t="shared" si="26"/>
        <v>4834000</v>
      </c>
      <c r="CF56" s="102">
        <f t="shared" si="27"/>
        <v>0</v>
      </c>
      <c r="CG56" s="102">
        <f t="shared" si="28"/>
        <v>0</v>
      </c>
      <c r="CH56" s="124">
        <f t="shared" si="29"/>
        <v>65730000</v>
      </c>
      <c r="CI56" s="125">
        <f t="shared" si="30"/>
        <v>0</v>
      </c>
      <c r="CJ56" s="126" t="str">
        <f t="shared" si="31"/>
        <v>数据正确</v>
      </c>
    </row>
    <row r="57" s="60" customFormat="1" customHeight="1" spans="1:88">
      <c r="A57" s="60" t="s">
        <v>36</v>
      </c>
      <c r="B57" s="70" t="str">
        <f t="shared" si="17"/>
        <v>-</v>
      </c>
      <c r="C57" s="71" t="str">
        <f t="shared" si="18"/>
        <v>-</v>
      </c>
      <c r="D57" s="181">
        <f t="shared" si="19"/>
        <v>0</v>
      </c>
      <c r="E57" s="181">
        <v>0</v>
      </c>
      <c r="F57" s="181">
        <v>0</v>
      </c>
      <c r="G57" s="181">
        <v>0</v>
      </c>
      <c r="H57" s="181">
        <v>0</v>
      </c>
      <c r="I57" s="181">
        <f t="shared" si="20"/>
        <v>0</v>
      </c>
      <c r="J57" s="237" t="s">
        <v>98</v>
      </c>
      <c r="K57" s="87"/>
      <c r="L57" s="141" t="s">
        <v>297</v>
      </c>
      <c r="M57" s="90" t="s">
        <v>292</v>
      </c>
      <c r="N57" s="148" t="s">
        <v>28</v>
      </c>
      <c r="O57" s="90" t="s">
        <v>97</v>
      </c>
      <c r="P57" s="91">
        <v>42987</v>
      </c>
      <c r="Q57" s="102">
        <v>6470000</v>
      </c>
      <c r="R57" s="89" t="s">
        <v>298</v>
      </c>
      <c r="S57" s="89" t="s">
        <v>294</v>
      </c>
      <c r="T57" s="89" t="s">
        <v>295</v>
      </c>
      <c r="U57" s="148" t="s">
        <v>299</v>
      </c>
      <c r="V57" s="185" t="s">
        <v>298</v>
      </c>
      <c r="W57" s="102">
        <v>6470000</v>
      </c>
      <c r="X57" s="102"/>
      <c r="Y57" s="102"/>
      <c r="Z57" s="107"/>
      <c r="AA57" s="102"/>
      <c r="AB57" s="102"/>
      <c r="AC57" s="102"/>
      <c r="AD57" s="107"/>
      <c r="AE57" s="102"/>
      <c r="AF57" s="102"/>
      <c r="AG57" s="102"/>
      <c r="AH57" s="107"/>
      <c r="AI57" s="102"/>
      <c r="AJ57" s="102"/>
      <c r="AK57" s="102"/>
      <c r="AL57" s="107"/>
      <c r="AM57" s="102"/>
      <c r="AN57" s="102"/>
      <c r="AO57" s="102"/>
      <c r="AP57" s="107"/>
      <c r="AQ57" s="102"/>
      <c r="AR57" s="102"/>
      <c r="AS57" s="102"/>
      <c r="AT57" s="107"/>
      <c r="AU57" s="102"/>
      <c r="AV57" s="102"/>
      <c r="AW57" s="102"/>
      <c r="AX57" s="107"/>
      <c r="AY57" s="102"/>
      <c r="AZ57" s="102"/>
      <c r="BA57" s="102"/>
      <c r="BB57" s="102"/>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22"/>
      <c r="CD57" s="123">
        <f t="shared" si="25"/>
        <v>6470000</v>
      </c>
      <c r="CE57" s="102">
        <f t="shared" si="26"/>
        <v>0</v>
      </c>
      <c r="CF57" s="102">
        <f t="shared" si="27"/>
        <v>0</v>
      </c>
      <c r="CG57" s="102">
        <f t="shared" si="28"/>
        <v>0</v>
      </c>
      <c r="CH57" s="124">
        <f t="shared" si="29"/>
        <v>6470000</v>
      </c>
      <c r="CI57" s="125">
        <f t="shared" si="30"/>
        <v>0</v>
      </c>
      <c r="CJ57" s="126" t="str">
        <f t="shared" si="31"/>
        <v>数据正确</v>
      </c>
    </row>
    <row r="58" s="60" customFormat="1" customHeight="1" spans="1:88">
      <c r="A58" s="60" t="s">
        <v>36</v>
      </c>
      <c r="B58" s="70" t="str">
        <f t="shared" si="17"/>
        <v>-</v>
      </c>
      <c r="C58" s="71" t="str">
        <f t="shared" si="18"/>
        <v>-</v>
      </c>
      <c r="D58" s="181">
        <f t="shared" si="19"/>
        <v>0</v>
      </c>
      <c r="E58" s="181">
        <v>0</v>
      </c>
      <c r="F58" s="181">
        <v>0</v>
      </c>
      <c r="G58" s="181">
        <v>0</v>
      </c>
      <c r="H58" s="181">
        <v>0</v>
      </c>
      <c r="I58" s="181">
        <f t="shared" si="20"/>
        <v>0</v>
      </c>
      <c r="J58" s="237" t="s">
        <v>98</v>
      </c>
      <c r="K58" s="87"/>
      <c r="L58" s="141" t="s">
        <v>300</v>
      </c>
      <c r="M58" s="90" t="s">
        <v>292</v>
      </c>
      <c r="N58" s="148" t="s">
        <v>28</v>
      </c>
      <c r="O58" s="90" t="s">
        <v>97</v>
      </c>
      <c r="P58" s="91">
        <v>42987</v>
      </c>
      <c r="Q58" s="102">
        <v>45000000</v>
      </c>
      <c r="R58" s="89" t="s">
        <v>301</v>
      </c>
      <c r="S58" s="89" t="s">
        <v>294</v>
      </c>
      <c r="T58" s="89" t="s">
        <v>295</v>
      </c>
      <c r="U58" s="148" t="s">
        <v>302</v>
      </c>
      <c r="V58" s="185" t="s">
        <v>301</v>
      </c>
      <c r="W58" s="102">
        <v>45000000</v>
      </c>
      <c r="X58" s="102"/>
      <c r="Y58" s="102"/>
      <c r="Z58" s="107"/>
      <c r="AA58" s="102"/>
      <c r="AB58" s="102"/>
      <c r="AC58" s="102"/>
      <c r="AD58" s="107"/>
      <c r="AE58" s="102"/>
      <c r="AF58" s="102"/>
      <c r="AG58" s="102"/>
      <c r="AH58" s="107"/>
      <c r="AI58" s="102"/>
      <c r="AJ58" s="102"/>
      <c r="AK58" s="102"/>
      <c r="AL58" s="107"/>
      <c r="AM58" s="102"/>
      <c r="AN58" s="102"/>
      <c r="AO58" s="102"/>
      <c r="AP58" s="107"/>
      <c r="AQ58" s="102"/>
      <c r="AR58" s="102"/>
      <c r="AS58" s="102"/>
      <c r="AT58" s="107"/>
      <c r="AU58" s="102"/>
      <c r="AV58" s="102"/>
      <c r="AW58" s="102"/>
      <c r="AX58" s="107"/>
      <c r="AY58" s="102"/>
      <c r="AZ58" s="102"/>
      <c r="BA58" s="102"/>
      <c r="BB58" s="102"/>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22"/>
      <c r="CD58" s="123">
        <f t="shared" si="25"/>
        <v>45000000</v>
      </c>
      <c r="CE58" s="102">
        <f t="shared" si="26"/>
        <v>0</v>
      </c>
      <c r="CF58" s="102">
        <f t="shared" si="27"/>
        <v>0</v>
      </c>
      <c r="CG58" s="102">
        <f t="shared" si="28"/>
        <v>0</v>
      </c>
      <c r="CH58" s="124">
        <f t="shared" si="29"/>
        <v>45000000</v>
      </c>
      <c r="CI58" s="125">
        <f t="shared" si="30"/>
        <v>0</v>
      </c>
      <c r="CJ58" s="126" t="str">
        <f t="shared" si="31"/>
        <v>数据正确</v>
      </c>
    </row>
    <row r="59" s="60" customFormat="1" customHeight="1" spans="1:88">
      <c r="A59" s="60" t="s">
        <v>36</v>
      </c>
      <c r="B59" s="70" t="str">
        <f t="shared" si="17"/>
        <v>-</v>
      </c>
      <c r="C59" s="71" t="str">
        <f t="shared" si="18"/>
        <v>-</v>
      </c>
      <c r="D59" s="181">
        <f t="shared" si="19"/>
        <v>0</v>
      </c>
      <c r="E59" s="181">
        <v>0</v>
      </c>
      <c r="F59" s="181">
        <v>0</v>
      </c>
      <c r="G59" s="181">
        <v>0</v>
      </c>
      <c r="H59" s="181">
        <v>0</v>
      </c>
      <c r="I59" s="181">
        <f t="shared" si="20"/>
        <v>0</v>
      </c>
      <c r="J59" s="237" t="s">
        <v>98</v>
      </c>
      <c r="K59" s="87"/>
      <c r="L59" s="141" t="s">
        <v>303</v>
      </c>
      <c r="M59" s="90" t="s">
        <v>292</v>
      </c>
      <c r="N59" s="148" t="s">
        <v>28</v>
      </c>
      <c r="O59" s="90" t="s">
        <v>97</v>
      </c>
      <c r="P59" s="91">
        <v>42987</v>
      </c>
      <c r="Q59" s="102">
        <v>420000</v>
      </c>
      <c r="R59" s="89" t="s">
        <v>304</v>
      </c>
      <c r="S59" s="89" t="s">
        <v>294</v>
      </c>
      <c r="T59" s="89" t="s">
        <v>295</v>
      </c>
      <c r="U59" s="148" t="s">
        <v>305</v>
      </c>
      <c r="V59" s="185" t="s">
        <v>304</v>
      </c>
      <c r="W59" s="102">
        <v>420000</v>
      </c>
      <c r="X59" s="102"/>
      <c r="Y59" s="102"/>
      <c r="Z59" s="107"/>
      <c r="AA59" s="102"/>
      <c r="AB59" s="102"/>
      <c r="AC59" s="102"/>
      <c r="AD59" s="107"/>
      <c r="AE59" s="102"/>
      <c r="AF59" s="102"/>
      <c r="AG59" s="102"/>
      <c r="AH59" s="107"/>
      <c r="AI59" s="102"/>
      <c r="AJ59" s="102"/>
      <c r="AK59" s="102"/>
      <c r="AL59" s="107"/>
      <c r="AM59" s="102"/>
      <c r="AN59" s="102"/>
      <c r="AO59" s="102"/>
      <c r="AP59" s="107"/>
      <c r="AQ59" s="102"/>
      <c r="AR59" s="102"/>
      <c r="AS59" s="102"/>
      <c r="AT59" s="107"/>
      <c r="AU59" s="102"/>
      <c r="AV59" s="102"/>
      <c r="AW59" s="102"/>
      <c r="AX59" s="107"/>
      <c r="AY59" s="102"/>
      <c r="AZ59" s="102"/>
      <c r="BA59" s="102"/>
      <c r="BB59" s="102"/>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22"/>
      <c r="CD59" s="123">
        <f t="shared" si="25"/>
        <v>420000</v>
      </c>
      <c r="CE59" s="102">
        <f t="shared" si="26"/>
        <v>0</v>
      </c>
      <c r="CF59" s="102">
        <f t="shared" si="27"/>
        <v>0</v>
      </c>
      <c r="CG59" s="102">
        <f t="shared" si="28"/>
        <v>0</v>
      </c>
      <c r="CH59" s="124">
        <f t="shared" si="29"/>
        <v>420000</v>
      </c>
      <c r="CI59" s="125">
        <f t="shared" si="30"/>
        <v>0</v>
      </c>
      <c r="CJ59" s="126" t="str">
        <f t="shared" si="31"/>
        <v>数据正确</v>
      </c>
    </row>
    <row r="60" s="60" customFormat="1" customHeight="1" spans="1:88">
      <c r="A60" s="60" t="s">
        <v>36</v>
      </c>
      <c r="B60" s="70" t="str">
        <f t="shared" si="17"/>
        <v>-</v>
      </c>
      <c r="C60" s="71" t="str">
        <f t="shared" si="18"/>
        <v>-</v>
      </c>
      <c r="D60" s="181">
        <f t="shared" si="19"/>
        <v>0</v>
      </c>
      <c r="E60" s="181">
        <v>0</v>
      </c>
      <c r="F60" s="181">
        <v>0</v>
      </c>
      <c r="G60" s="181">
        <v>0</v>
      </c>
      <c r="H60" s="181">
        <v>0</v>
      </c>
      <c r="I60" s="181">
        <f t="shared" si="20"/>
        <v>0</v>
      </c>
      <c r="J60" s="237" t="s">
        <v>98</v>
      </c>
      <c r="K60" s="87"/>
      <c r="L60" s="141" t="s">
        <v>306</v>
      </c>
      <c r="M60" s="90" t="s">
        <v>292</v>
      </c>
      <c r="N60" s="148" t="s">
        <v>28</v>
      </c>
      <c r="O60" s="90" t="s">
        <v>97</v>
      </c>
      <c r="P60" s="91">
        <v>42987</v>
      </c>
      <c r="Q60" s="102">
        <v>600000</v>
      </c>
      <c r="R60" s="89" t="s">
        <v>307</v>
      </c>
      <c r="S60" s="89" t="s">
        <v>294</v>
      </c>
      <c r="T60" s="89" t="s">
        <v>295</v>
      </c>
      <c r="U60" s="148" t="s">
        <v>308</v>
      </c>
      <c r="V60" s="185" t="s">
        <v>307</v>
      </c>
      <c r="W60" s="102">
        <v>600000</v>
      </c>
      <c r="X60" s="102"/>
      <c r="Y60" s="102"/>
      <c r="Z60" s="107"/>
      <c r="AA60" s="102"/>
      <c r="AB60" s="102"/>
      <c r="AC60" s="102"/>
      <c r="AD60" s="107"/>
      <c r="AE60" s="102"/>
      <c r="AF60" s="102"/>
      <c r="AG60" s="102"/>
      <c r="AH60" s="107"/>
      <c r="AI60" s="102"/>
      <c r="AJ60" s="102"/>
      <c r="AK60" s="102"/>
      <c r="AL60" s="107"/>
      <c r="AM60" s="102"/>
      <c r="AN60" s="102"/>
      <c r="AO60" s="102"/>
      <c r="AP60" s="107"/>
      <c r="AQ60" s="102"/>
      <c r="AR60" s="102"/>
      <c r="AS60" s="102"/>
      <c r="AT60" s="107"/>
      <c r="AU60" s="102"/>
      <c r="AV60" s="102"/>
      <c r="AW60" s="102"/>
      <c r="AX60" s="107"/>
      <c r="AY60" s="102"/>
      <c r="AZ60" s="102"/>
      <c r="BA60" s="102"/>
      <c r="BB60" s="102"/>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22"/>
      <c r="CD60" s="123">
        <f t="shared" si="25"/>
        <v>600000</v>
      </c>
      <c r="CE60" s="102">
        <f t="shared" si="26"/>
        <v>0</v>
      </c>
      <c r="CF60" s="102">
        <f t="shared" si="27"/>
        <v>0</v>
      </c>
      <c r="CG60" s="102">
        <f t="shared" si="28"/>
        <v>0</v>
      </c>
      <c r="CH60" s="124">
        <f t="shared" si="29"/>
        <v>600000</v>
      </c>
      <c r="CI60" s="125">
        <f t="shared" si="30"/>
        <v>0</v>
      </c>
      <c r="CJ60" s="126" t="str">
        <f t="shared" si="31"/>
        <v>数据正确</v>
      </c>
    </row>
    <row r="61" s="60" customFormat="1" customHeight="1" spans="1:88">
      <c r="A61" s="60" t="s">
        <v>36</v>
      </c>
      <c r="B61" s="70" t="str">
        <f t="shared" si="17"/>
        <v>-</v>
      </c>
      <c r="C61" s="71" t="str">
        <f t="shared" si="18"/>
        <v>-</v>
      </c>
      <c r="D61" s="181">
        <f t="shared" si="19"/>
        <v>0</v>
      </c>
      <c r="E61" s="181">
        <v>0</v>
      </c>
      <c r="F61" s="181">
        <v>0</v>
      </c>
      <c r="G61" s="181">
        <v>0</v>
      </c>
      <c r="H61" s="181">
        <v>0</v>
      </c>
      <c r="I61" s="181">
        <f t="shared" si="20"/>
        <v>0</v>
      </c>
      <c r="J61" s="237" t="s">
        <v>98</v>
      </c>
      <c r="K61" s="87"/>
      <c r="L61" s="141" t="s">
        <v>309</v>
      </c>
      <c r="M61" s="90" t="s">
        <v>292</v>
      </c>
      <c r="N61" s="148" t="s">
        <v>28</v>
      </c>
      <c r="O61" s="90" t="s">
        <v>97</v>
      </c>
      <c r="P61" s="91">
        <v>42987</v>
      </c>
      <c r="Q61" s="102">
        <v>780000</v>
      </c>
      <c r="R61" s="89" t="s">
        <v>310</v>
      </c>
      <c r="S61" s="89" t="s">
        <v>294</v>
      </c>
      <c r="T61" s="89" t="s">
        <v>295</v>
      </c>
      <c r="U61" s="148" t="s">
        <v>311</v>
      </c>
      <c r="V61" s="185" t="s">
        <v>310</v>
      </c>
      <c r="W61" s="102">
        <v>780000</v>
      </c>
      <c r="X61" s="102"/>
      <c r="Y61" s="102"/>
      <c r="Z61" s="107"/>
      <c r="AA61" s="102"/>
      <c r="AB61" s="102"/>
      <c r="AC61" s="102"/>
      <c r="AD61" s="107"/>
      <c r="AE61" s="102"/>
      <c r="AF61" s="102"/>
      <c r="AG61" s="102"/>
      <c r="AH61" s="107"/>
      <c r="AI61" s="102"/>
      <c r="AJ61" s="102"/>
      <c r="AK61" s="102"/>
      <c r="AL61" s="107"/>
      <c r="AM61" s="102"/>
      <c r="AN61" s="102"/>
      <c r="AO61" s="102"/>
      <c r="AP61" s="107"/>
      <c r="AQ61" s="102"/>
      <c r="AR61" s="102"/>
      <c r="AS61" s="102"/>
      <c r="AT61" s="107"/>
      <c r="AU61" s="102"/>
      <c r="AV61" s="102"/>
      <c r="AW61" s="102"/>
      <c r="AX61" s="107"/>
      <c r="AY61" s="102"/>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22"/>
      <c r="CD61" s="123">
        <f t="shared" si="25"/>
        <v>780000</v>
      </c>
      <c r="CE61" s="102">
        <f t="shared" si="26"/>
        <v>0</v>
      </c>
      <c r="CF61" s="102">
        <f t="shared" si="27"/>
        <v>0</v>
      </c>
      <c r="CG61" s="102">
        <f t="shared" si="28"/>
        <v>0</v>
      </c>
      <c r="CH61" s="124">
        <f t="shared" si="29"/>
        <v>780000</v>
      </c>
      <c r="CI61" s="125">
        <f t="shared" si="30"/>
        <v>0</v>
      </c>
      <c r="CJ61" s="126" t="str">
        <f t="shared" si="31"/>
        <v>数据正确</v>
      </c>
    </row>
    <row r="62" s="130" customFormat="1" customHeight="1" spans="1:88">
      <c r="A62" s="130" t="s">
        <v>36</v>
      </c>
      <c r="B62" s="132" t="str">
        <f t="shared" si="17"/>
        <v>申请中</v>
      </c>
      <c r="C62" s="133" t="str">
        <f t="shared" si="18"/>
        <v>-</v>
      </c>
      <c r="D62" s="235">
        <f t="shared" si="19"/>
        <v>0</v>
      </c>
      <c r="E62" s="235">
        <f>SUM(E56:E61)</f>
        <v>0</v>
      </c>
      <c r="F62" s="235">
        <f>SUM(F56:F61)</f>
        <v>0</v>
      </c>
      <c r="G62" s="235">
        <f>SUM(G56:G61)</f>
        <v>0</v>
      </c>
      <c r="H62" s="235">
        <f>SUM(H56:H61)</f>
        <v>0</v>
      </c>
      <c r="I62" s="235">
        <f t="shared" si="20"/>
        <v>4834000</v>
      </c>
      <c r="J62" s="239" t="s">
        <v>98</v>
      </c>
      <c r="K62" s="172"/>
      <c r="L62" s="240">
        <v>205</v>
      </c>
      <c r="M62" s="145" t="s">
        <v>97</v>
      </c>
      <c r="N62" s="150" t="s">
        <v>28</v>
      </c>
      <c r="O62" s="145" t="s">
        <v>97</v>
      </c>
      <c r="P62" s="146" t="s">
        <v>97</v>
      </c>
      <c r="Q62" s="158">
        <f>SUM(Q56:Q61)</f>
        <v>119000000</v>
      </c>
      <c r="R62" s="144" t="s">
        <v>312</v>
      </c>
      <c r="S62" s="144" t="s">
        <v>294</v>
      </c>
      <c r="T62" s="144" t="s">
        <v>295</v>
      </c>
      <c r="U62" s="150" t="s">
        <v>313</v>
      </c>
      <c r="V62" s="246"/>
      <c r="W62" s="158">
        <f>SUM(W56:W61)</f>
        <v>119000000</v>
      </c>
      <c r="X62" s="158">
        <f t="shared" ref="X62:BC62" si="36">SUM(X56:X61)</f>
        <v>4834000</v>
      </c>
      <c r="Y62" s="158">
        <f t="shared" si="36"/>
        <v>0</v>
      </c>
      <c r="Z62" s="158">
        <f t="shared" si="36"/>
        <v>0</v>
      </c>
      <c r="AA62" s="158">
        <f t="shared" si="36"/>
        <v>0</v>
      </c>
      <c r="AB62" s="158">
        <f t="shared" si="36"/>
        <v>0</v>
      </c>
      <c r="AC62" s="158">
        <f t="shared" si="36"/>
        <v>0</v>
      </c>
      <c r="AD62" s="158">
        <f t="shared" si="36"/>
        <v>0</v>
      </c>
      <c r="AE62" s="158">
        <f t="shared" si="36"/>
        <v>0</v>
      </c>
      <c r="AF62" s="158">
        <f t="shared" si="36"/>
        <v>0</v>
      </c>
      <c r="AG62" s="158">
        <f t="shared" si="36"/>
        <v>0</v>
      </c>
      <c r="AH62" s="158">
        <f t="shared" si="36"/>
        <v>0</v>
      </c>
      <c r="AI62" s="158">
        <f t="shared" si="36"/>
        <v>0</v>
      </c>
      <c r="AJ62" s="158">
        <f t="shared" si="36"/>
        <v>0</v>
      </c>
      <c r="AK62" s="158">
        <f t="shared" si="36"/>
        <v>0</v>
      </c>
      <c r="AL62" s="158">
        <f t="shared" si="36"/>
        <v>0</v>
      </c>
      <c r="AM62" s="158">
        <f t="shared" si="36"/>
        <v>0</v>
      </c>
      <c r="AN62" s="158">
        <f t="shared" si="36"/>
        <v>0</v>
      </c>
      <c r="AO62" s="158">
        <f t="shared" si="36"/>
        <v>0</v>
      </c>
      <c r="AP62" s="158">
        <f t="shared" si="36"/>
        <v>0</v>
      </c>
      <c r="AQ62" s="158">
        <f t="shared" si="36"/>
        <v>0</v>
      </c>
      <c r="AR62" s="158">
        <f t="shared" si="36"/>
        <v>0</v>
      </c>
      <c r="AS62" s="158">
        <f t="shared" si="36"/>
        <v>0</v>
      </c>
      <c r="AT62" s="158">
        <f t="shared" si="36"/>
        <v>0</v>
      </c>
      <c r="AU62" s="158">
        <f t="shared" si="36"/>
        <v>0</v>
      </c>
      <c r="AV62" s="158">
        <f t="shared" si="36"/>
        <v>0</v>
      </c>
      <c r="AW62" s="158">
        <f t="shared" si="36"/>
        <v>0</v>
      </c>
      <c r="AX62" s="158">
        <f t="shared" si="36"/>
        <v>0</v>
      </c>
      <c r="AY62" s="158">
        <f t="shared" si="36"/>
        <v>0</v>
      </c>
      <c r="AZ62" s="158">
        <f t="shared" si="36"/>
        <v>0</v>
      </c>
      <c r="BA62" s="158">
        <f t="shared" si="36"/>
        <v>0</v>
      </c>
      <c r="BB62" s="158">
        <f t="shared" si="36"/>
        <v>0</v>
      </c>
      <c r="BC62" s="158">
        <f t="shared" si="36"/>
        <v>0</v>
      </c>
      <c r="BD62" s="158">
        <f t="shared" ref="BD62:CC62" si="37">SUM(BD56:BD61)</f>
        <v>0</v>
      </c>
      <c r="BE62" s="158">
        <f t="shared" si="37"/>
        <v>0</v>
      </c>
      <c r="BF62" s="158">
        <f t="shared" si="37"/>
        <v>0</v>
      </c>
      <c r="BG62" s="158">
        <f t="shared" si="37"/>
        <v>0</v>
      </c>
      <c r="BH62" s="158">
        <f t="shared" si="37"/>
        <v>0</v>
      </c>
      <c r="BI62" s="158">
        <f t="shared" si="37"/>
        <v>0</v>
      </c>
      <c r="BJ62" s="158">
        <f t="shared" si="37"/>
        <v>0</v>
      </c>
      <c r="BK62" s="158">
        <f t="shared" si="37"/>
        <v>0</v>
      </c>
      <c r="BL62" s="158">
        <f t="shared" si="37"/>
        <v>0</v>
      </c>
      <c r="BM62" s="158">
        <f t="shared" si="37"/>
        <v>0</v>
      </c>
      <c r="BN62" s="158">
        <f t="shared" si="37"/>
        <v>0</v>
      </c>
      <c r="BO62" s="158">
        <f t="shared" si="37"/>
        <v>0</v>
      </c>
      <c r="BP62" s="158">
        <f t="shared" si="37"/>
        <v>0</v>
      </c>
      <c r="BQ62" s="158">
        <f t="shared" si="37"/>
        <v>0</v>
      </c>
      <c r="BR62" s="158">
        <f t="shared" si="37"/>
        <v>0</v>
      </c>
      <c r="BS62" s="158">
        <f t="shared" si="37"/>
        <v>0</v>
      </c>
      <c r="BT62" s="158">
        <f t="shared" si="37"/>
        <v>0</v>
      </c>
      <c r="BU62" s="158">
        <f t="shared" si="37"/>
        <v>0</v>
      </c>
      <c r="BV62" s="158">
        <f t="shared" si="37"/>
        <v>0</v>
      </c>
      <c r="BW62" s="158">
        <f t="shared" si="37"/>
        <v>0</v>
      </c>
      <c r="BX62" s="158">
        <f t="shared" si="37"/>
        <v>0</v>
      </c>
      <c r="BY62" s="158">
        <f t="shared" si="37"/>
        <v>0</v>
      </c>
      <c r="BZ62" s="158">
        <f t="shared" si="37"/>
        <v>0</v>
      </c>
      <c r="CA62" s="158">
        <f t="shared" si="37"/>
        <v>0</v>
      </c>
      <c r="CB62" s="158">
        <f t="shared" si="37"/>
        <v>0</v>
      </c>
      <c r="CC62" s="158">
        <f t="shared" si="37"/>
        <v>0</v>
      </c>
      <c r="CD62" s="123">
        <f t="shared" si="25"/>
        <v>119000000</v>
      </c>
      <c r="CE62" s="102">
        <f t="shared" si="26"/>
        <v>4834000</v>
      </c>
      <c r="CF62" s="102">
        <f t="shared" si="27"/>
        <v>0</v>
      </c>
      <c r="CG62" s="102">
        <f t="shared" si="28"/>
        <v>0</v>
      </c>
      <c r="CH62" s="124">
        <f t="shared" si="29"/>
        <v>119000000</v>
      </c>
      <c r="CI62" s="125">
        <f t="shared" si="30"/>
        <v>0</v>
      </c>
      <c r="CJ62" s="126" t="str">
        <f t="shared" si="31"/>
        <v>数据正确</v>
      </c>
    </row>
    <row r="63" s="60" customFormat="1" customHeight="1" spans="1:88">
      <c r="A63" s="60" t="s">
        <v>36</v>
      </c>
      <c r="B63" s="70" t="str">
        <f t="shared" si="17"/>
        <v>-</v>
      </c>
      <c r="C63" s="71" t="str">
        <f t="shared" si="18"/>
        <v>-</v>
      </c>
      <c r="D63" s="181">
        <f t="shared" si="19"/>
        <v>0</v>
      </c>
      <c r="E63" s="181">
        <v>0</v>
      </c>
      <c r="F63" s="181">
        <v>0</v>
      </c>
      <c r="G63" s="181">
        <v>0</v>
      </c>
      <c r="H63" s="181">
        <v>0</v>
      </c>
      <c r="I63" s="181">
        <f t="shared" si="20"/>
        <v>0</v>
      </c>
      <c r="J63" s="237" t="s">
        <v>98</v>
      </c>
      <c r="K63" s="87"/>
      <c r="L63" s="242" t="s">
        <v>314</v>
      </c>
      <c r="M63" s="90" t="s">
        <v>315</v>
      </c>
      <c r="N63" s="148" t="s">
        <v>28</v>
      </c>
      <c r="O63" s="148" t="s">
        <v>97</v>
      </c>
      <c r="P63" s="91">
        <v>43008</v>
      </c>
      <c r="Q63" s="102">
        <v>3980000</v>
      </c>
      <c r="R63" s="89" t="s">
        <v>316</v>
      </c>
      <c r="S63" s="89" t="s">
        <v>317</v>
      </c>
      <c r="T63" s="89"/>
      <c r="U63" s="89"/>
      <c r="V63" s="185" t="s">
        <v>318</v>
      </c>
      <c r="W63" s="102">
        <v>3184000</v>
      </c>
      <c r="X63" s="102"/>
      <c r="Y63" s="102"/>
      <c r="Z63" s="107" t="s">
        <v>319</v>
      </c>
      <c r="AA63" s="102">
        <v>398000</v>
      </c>
      <c r="AB63" s="102"/>
      <c r="AC63" s="102"/>
      <c r="AD63" s="107" t="s">
        <v>320</v>
      </c>
      <c r="AE63" s="102">
        <v>398000</v>
      </c>
      <c r="AF63" s="102"/>
      <c r="AG63" s="102"/>
      <c r="AH63" s="107"/>
      <c r="AI63" s="102"/>
      <c r="AJ63" s="102"/>
      <c r="AK63" s="102"/>
      <c r="AL63" s="107"/>
      <c r="AM63" s="102"/>
      <c r="AN63" s="102"/>
      <c r="AO63" s="102"/>
      <c r="AP63" s="107"/>
      <c r="AQ63" s="102"/>
      <c r="AR63" s="102"/>
      <c r="AS63" s="102"/>
      <c r="AT63" s="107"/>
      <c r="AU63" s="102"/>
      <c r="AV63" s="102"/>
      <c r="AW63" s="102"/>
      <c r="AX63" s="107"/>
      <c r="AY63" s="102"/>
      <c r="AZ63" s="102"/>
      <c r="BA63" s="102"/>
      <c r="BB63" s="102"/>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22"/>
      <c r="CD63" s="123">
        <f t="shared" si="25"/>
        <v>3980000</v>
      </c>
      <c r="CE63" s="102">
        <f t="shared" si="26"/>
        <v>0</v>
      </c>
      <c r="CF63" s="102">
        <f t="shared" si="27"/>
        <v>0</v>
      </c>
      <c r="CG63" s="102">
        <f t="shared" si="28"/>
        <v>0</v>
      </c>
      <c r="CH63" s="124">
        <f t="shared" si="29"/>
        <v>3980000</v>
      </c>
      <c r="CI63" s="125">
        <f t="shared" si="30"/>
        <v>0</v>
      </c>
      <c r="CJ63" s="126" t="str">
        <f t="shared" si="31"/>
        <v>数据正确</v>
      </c>
    </row>
    <row r="64" s="130" customFormat="1" customHeight="1" spans="1:88">
      <c r="A64" s="130" t="s">
        <v>36</v>
      </c>
      <c r="B64" s="132" t="str">
        <f t="shared" si="17"/>
        <v>-</v>
      </c>
      <c r="C64" s="133" t="str">
        <f t="shared" si="18"/>
        <v>-</v>
      </c>
      <c r="D64" s="235">
        <f t="shared" si="19"/>
        <v>0</v>
      </c>
      <c r="E64" s="235">
        <f>SUM(E63:E63)</f>
        <v>0</v>
      </c>
      <c r="F64" s="235">
        <f>SUM(F63:F63)</f>
        <v>0</v>
      </c>
      <c r="G64" s="235">
        <f>SUM(G63:G63)</f>
        <v>0</v>
      </c>
      <c r="H64" s="235">
        <f>SUM(H63:H63)</f>
        <v>0</v>
      </c>
      <c r="I64" s="235">
        <f t="shared" si="20"/>
        <v>0</v>
      </c>
      <c r="J64" s="239" t="s">
        <v>98</v>
      </c>
      <c r="K64" s="172"/>
      <c r="L64" s="240">
        <v>298</v>
      </c>
      <c r="M64" s="145" t="s">
        <v>315</v>
      </c>
      <c r="N64" s="150" t="s">
        <v>28</v>
      </c>
      <c r="O64" s="150" t="s">
        <v>97</v>
      </c>
      <c r="P64" s="146">
        <v>43008</v>
      </c>
      <c r="Q64" s="158">
        <f>SUM(Q63:Q63)</f>
        <v>3980000</v>
      </c>
      <c r="R64" s="144" t="s">
        <v>316</v>
      </c>
      <c r="S64" s="144" t="s">
        <v>317</v>
      </c>
      <c r="T64" s="144"/>
      <c r="U64" s="144"/>
      <c r="V64" s="246" t="s">
        <v>318</v>
      </c>
      <c r="W64" s="158">
        <f>SUM(W63:W63)</f>
        <v>3184000</v>
      </c>
      <c r="X64" s="158">
        <f t="shared" ref="X64:BC64" si="38">SUM(X63:X63)</f>
        <v>0</v>
      </c>
      <c r="Y64" s="158">
        <f t="shared" si="38"/>
        <v>0</v>
      </c>
      <c r="Z64" s="158">
        <f t="shared" si="38"/>
        <v>0</v>
      </c>
      <c r="AA64" s="158">
        <f t="shared" si="38"/>
        <v>398000</v>
      </c>
      <c r="AB64" s="158">
        <f t="shared" si="38"/>
        <v>0</v>
      </c>
      <c r="AC64" s="158">
        <f t="shared" si="38"/>
        <v>0</v>
      </c>
      <c r="AD64" s="158">
        <f t="shared" si="38"/>
        <v>0</v>
      </c>
      <c r="AE64" s="158">
        <f t="shared" si="38"/>
        <v>398000</v>
      </c>
      <c r="AF64" s="158">
        <f t="shared" si="38"/>
        <v>0</v>
      </c>
      <c r="AG64" s="158">
        <f t="shared" si="38"/>
        <v>0</v>
      </c>
      <c r="AH64" s="158">
        <f t="shared" si="38"/>
        <v>0</v>
      </c>
      <c r="AI64" s="158">
        <f t="shared" si="38"/>
        <v>0</v>
      </c>
      <c r="AJ64" s="158">
        <f t="shared" si="38"/>
        <v>0</v>
      </c>
      <c r="AK64" s="158">
        <f t="shared" si="38"/>
        <v>0</v>
      </c>
      <c r="AL64" s="158">
        <f t="shared" si="38"/>
        <v>0</v>
      </c>
      <c r="AM64" s="158">
        <f t="shared" si="38"/>
        <v>0</v>
      </c>
      <c r="AN64" s="158">
        <f t="shared" si="38"/>
        <v>0</v>
      </c>
      <c r="AO64" s="158">
        <f t="shared" si="38"/>
        <v>0</v>
      </c>
      <c r="AP64" s="158">
        <f t="shared" si="38"/>
        <v>0</v>
      </c>
      <c r="AQ64" s="158">
        <f t="shared" si="38"/>
        <v>0</v>
      </c>
      <c r="AR64" s="158">
        <f t="shared" si="38"/>
        <v>0</v>
      </c>
      <c r="AS64" s="158">
        <f t="shared" si="38"/>
        <v>0</v>
      </c>
      <c r="AT64" s="158">
        <f t="shared" si="38"/>
        <v>0</v>
      </c>
      <c r="AU64" s="158">
        <f t="shared" si="38"/>
        <v>0</v>
      </c>
      <c r="AV64" s="158">
        <f t="shared" si="38"/>
        <v>0</v>
      </c>
      <c r="AW64" s="158">
        <f t="shared" si="38"/>
        <v>0</v>
      </c>
      <c r="AX64" s="158">
        <f t="shared" si="38"/>
        <v>0</v>
      </c>
      <c r="AY64" s="158">
        <f t="shared" si="38"/>
        <v>0</v>
      </c>
      <c r="AZ64" s="158">
        <f t="shared" si="38"/>
        <v>0</v>
      </c>
      <c r="BA64" s="158">
        <f t="shared" si="38"/>
        <v>0</v>
      </c>
      <c r="BB64" s="158">
        <f t="shared" si="38"/>
        <v>0</v>
      </c>
      <c r="BC64" s="158">
        <f t="shared" si="38"/>
        <v>0</v>
      </c>
      <c r="BD64" s="158">
        <f t="shared" ref="BD64:CC64" si="39">SUM(BD63:BD63)</f>
        <v>0</v>
      </c>
      <c r="BE64" s="158">
        <f t="shared" si="39"/>
        <v>0</v>
      </c>
      <c r="BF64" s="158">
        <f t="shared" si="39"/>
        <v>0</v>
      </c>
      <c r="BG64" s="158">
        <f t="shared" si="39"/>
        <v>0</v>
      </c>
      <c r="BH64" s="158">
        <f t="shared" si="39"/>
        <v>0</v>
      </c>
      <c r="BI64" s="158">
        <f t="shared" si="39"/>
        <v>0</v>
      </c>
      <c r="BJ64" s="158">
        <f t="shared" si="39"/>
        <v>0</v>
      </c>
      <c r="BK64" s="158">
        <f t="shared" si="39"/>
        <v>0</v>
      </c>
      <c r="BL64" s="158">
        <f t="shared" si="39"/>
        <v>0</v>
      </c>
      <c r="BM64" s="158">
        <f t="shared" si="39"/>
        <v>0</v>
      </c>
      <c r="BN64" s="158">
        <f t="shared" si="39"/>
        <v>0</v>
      </c>
      <c r="BO64" s="158">
        <f t="shared" si="39"/>
        <v>0</v>
      </c>
      <c r="BP64" s="158">
        <f t="shared" si="39"/>
        <v>0</v>
      </c>
      <c r="BQ64" s="158">
        <f t="shared" si="39"/>
        <v>0</v>
      </c>
      <c r="BR64" s="158">
        <f t="shared" si="39"/>
        <v>0</v>
      </c>
      <c r="BS64" s="158">
        <f t="shared" si="39"/>
        <v>0</v>
      </c>
      <c r="BT64" s="158">
        <f t="shared" si="39"/>
        <v>0</v>
      </c>
      <c r="BU64" s="158">
        <f t="shared" si="39"/>
        <v>0</v>
      </c>
      <c r="BV64" s="158">
        <f t="shared" si="39"/>
        <v>0</v>
      </c>
      <c r="BW64" s="158">
        <f t="shared" si="39"/>
        <v>0</v>
      </c>
      <c r="BX64" s="158">
        <f t="shared" si="39"/>
        <v>0</v>
      </c>
      <c r="BY64" s="158">
        <f t="shared" si="39"/>
        <v>0</v>
      </c>
      <c r="BZ64" s="158">
        <f t="shared" si="39"/>
        <v>0</v>
      </c>
      <c r="CA64" s="158">
        <f t="shared" si="39"/>
        <v>0</v>
      </c>
      <c r="CB64" s="158">
        <f t="shared" si="39"/>
        <v>0</v>
      </c>
      <c r="CC64" s="158">
        <f t="shared" si="39"/>
        <v>0</v>
      </c>
      <c r="CD64" s="123">
        <f t="shared" si="25"/>
        <v>3980000</v>
      </c>
      <c r="CE64" s="102">
        <f t="shared" si="26"/>
        <v>0</v>
      </c>
      <c r="CF64" s="102">
        <f t="shared" si="27"/>
        <v>0</v>
      </c>
      <c r="CG64" s="102">
        <f t="shared" si="28"/>
        <v>0</v>
      </c>
      <c r="CH64" s="124">
        <f t="shared" si="29"/>
        <v>3980000</v>
      </c>
      <c r="CI64" s="125">
        <f t="shared" si="30"/>
        <v>0</v>
      </c>
      <c r="CJ64" s="126" t="str">
        <f t="shared" si="31"/>
        <v>数据正确</v>
      </c>
    </row>
    <row r="65" s="60" customFormat="1" customHeight="1" spans="2:88">
      <c r="B65" s="70"/>
      <c r="C65" s="71"/>
      <c r="D65" s="181"/>
      <c r="E65" s="181"/>
      <c r="F65" s="181"/>
      <c r="G65" s="181"/>
      <c r="H65" s="181"/>
      <c r="I65" s="181"/>
      <c r="J65" s="239"/>
      <c r="K65" s="87"/>
      <c r="L65" s="88"/>
      <c r="M65" s="89"/>
      <c r="N65" s="90"/>
      <c r="O65" s="90"/>
      <c r="P65" s="91"/>
      <c r="Q65" s="102"/>
      <c r="R65" s="89"/>
      <c r="S65" s="89"/>
      <c r="T65" s="89"/>
      <c r="U65" s="103"/>
      <c r="V65" s="104"/>
      <c r="W65" s="102"/>
      <c r="X65" s="102"/>
      <c r="Y65" s="102"/>
      <c r="Z65" s="107"/>
      <c r="AA65" s="102"/>
      <c r="AB65" s="102"/>
      <c r="AC65" s="102"/>
      <c r="AD65" s="107"/>
      <c r="AE65" s="102"/>
      <c r="AF65" s="102"/>
      <c r="AG65" s="102"/>
      <c r="AH65" s="107"/>
      <c r="AI65" s="102"/>
      <c r="AJ65" s="102"/>
      <c r="AK65" s="102"/>
      <c r="AL65" s="107"/>
      <c r="AM65" s="102"/>
      <c r="AN65" s="102"/>
      <c r="AO65" s="102"/>
      <c r="AP65" s="107"/>
      <c r="AQ65" s="102"/>
      <c r="AR65" s="102"/>
      <c r="AS65" s="102"/>
      <c r="AT65" s="107"/>
      <c r="AU65" s="102"/>
      <c r="AV65" s="102"/>
      <c r="AW65" s="102"/>
      <c r="AX65" s="107"/>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c r="CB65" s="102"/>
      <c r="CC65" s="122"/>
      <c r="CD65" s="123">
        <f t="shared" si="25"/>
        <v>0</v>
      </c>
      <c r="CE65" s="102">
        <f t="shared" si="26"/>
        <v>0</v>
      </c>
      <c r="CF65" s="102">
        <f t="shared" si="27"/>
        <v>0</v>
      </c>
      <c r="CG65" s="102">
        <f t="shared" si="28"/>
        <v>0</v>
      </c>
      <c r="CH65" s="124">
        <f t="shared" si="29"/>
        <v>0</v>
      </c>
      <c r="CI65" s="125" t="str">
        <f t="shared" si="30"/>
        <v>-</v>
      </c>
      <c r="CJ65" s="126" t="str">
        <f t="shared" si="31"/>
        <v>数据正确</v>
      </c>
    </row>
    <row r="66" s="60" customFormat="1" customHeight="1" spans="2:88">
      <c r="B66" s="70"/>
      <c r="C66" s="71"/>
      <c r="D66" s="181"/>
      <c r="E66" s="181"/>
      <c r="F66" s="181"/>
      <c r="G66" s="181"/>
      <c r="H66" s="181"/>
      <c r="I66" s="181"/>
      <c r="J66" s="237"/>
      <c r="K66" s="87"/>
      <c r="L66" s="88"/>
      <c r="M66" s="89"/>
      <c r="N66" s="90"/>
      <c r="O66" s="90"/>
      <c r="P66" s="91"/>
      <c r="Q66" s="102"/>
      <c r="R66" s="89"/>
      <c r="S66" s="89"/>
      <c r="T66" s="89"/>
      <c r="U66" s="103"/>
      <c r="V66" s="104"/>
      <c r="W66" s="102"/>
      <c r="X66" s="102"/>
      <c r="Y66" s="102"/>
      <c r="Z66" s="107"/>
      <c r="AA66" s="102"/>
      <c r="AB66" s="102"/>
      <c r="AC66" s="102"/>
      <c r="AD66" s="107"/>
      <c r="AE66" s="102"/>
      <c r="AF66" s="102"/>
      <c r="AG66" s="102"/>
      <c r="AH66" s="107"/>
      <c r="AI66" s="102"/>
      <c r="AJ66" s="102"/>
      <c r="AK66" s="102"/>
      <c r="AL66" s="107"/>
      <c r="AM66" s="102"/>
      <c r="AN66" s="102"/>
      <c r="AO66" s="102"/>
      <c r="AP66" s="107"/>
      <c r="AQ66" s="102"/>
      <c r="AR66" s="102"/>
      <c r="AS66" s="102"/>
      <c r="AT66" s="107"/>
      <c r="AU66" s="102"/>
      <c r="AV66" s="102"/>
      <c r="AW66" s="102"/>
      <c r="AX66" s="107"/>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c r="CB66" s="102"/>
      <c r="CC66" s="122"/>
      <c r="CD66" s="123">
        <f t="shared" si="25"/>
        <v>0</v>
      </c>
      <c r="CE66" s="102">
        <f t="shared" si="26"/>
        <v>0</v>
      </c>
      <c r="CF66" s="102">
        <f t="shared" si="27"/>
        <v>0</v>
      </c>
      <c r="CG66" s="102">
        <f t="shared" si="28"/>
        <v>0</v>
      </c>
      <c r="CH66" s="124">
        <f t="shared" si="29"/>
        <v>0</v>
      </c>
      <c r="CI66" s="125" t="str">
        <f t="shared" si="30"/>
        <v>-</v>
      </c>
      <c r="CJ66" s="126" t="str">
        <f t="shared" si="31"/>
        <v>数据正确</v>
      </c>
    </row>
    <row r="67" s="60" customFormat="1" customHeight="1" spans="2:88">
      <c r="B67" s="70"/>
      <c r="C67" s="71"/>
      <c r="D67" s="181"/>
      <c r="E67" s="181"/>
      <c r="F67" s="181"/>
      <c r="G67" s="181"/>
      <c r="H67" s="181"/>
      <c r="I67" s="181"/>
      <c r="J67" s="237"/>
      <c r="K67" s="87"/>
      <c r="L67" s="88"/>
      <c r="M67" s="89"/>
      <c r="N67" s="90"/>
      <c r="O67" s="90"/>
      <c r="P67" s="91"/>
      <c r="Q67" s="102"/>
      <c r="R67" s="89"/>
      <c r="S67" s="89"/>
      <c r="T67" s="89"/>
      <c r="U67" s="103"/>
      <c r="V67" s="104"/>
      <c r="W67" s="102"/>
      <c r="X67" s="102"/>
      <c r="Y67" s="102"/>
      <c r="Z67" s="107"/>
      <c r="AA67" s="102"/>
      <c r="AB67" s="102"/>
      <c r="AC67" s="102"/>
      <c r="AD67" s="107"/>
      <c r="AE67" s="102"/>
      <c r="AF67" s="102"/>
      <c r="AG67" s="102"/>
      <c r="AH67" s="107"/>
      <c r="AI67" s="102"/>
      <c r="AJ67" s="102"/>
      <c r="AK67" s="102"/>
      <c r="AL67" s="107"/>
      <c r="AM67" s="102"/>
      <c r="AN67" s="102"/>
      <c r="AO67" s="102"/>
      <c r="AP67" s="107"/>
      <c r="AQ67" s="102"/>
      <c r="AR67" s="102"/>
      <c r="AS67" s="102"/>
      <c r="AT67" s="107"/>
      <c r="AU67" s="102"/>
      <c r="AV67" s="102"/>
      <c r="AW67" s="102"/>
      <c r="AX67" s="107"/>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c r="CB67" s="102"/>
      <c r="CC67" s="122"/>
      <c r="CD67" s="123">
        <f t="shared" si="25"/>
        <v>0</v>
      </c>
      <c r="CE67" s="102">
        <f t="shared" si="26"/>
        <v>0</v>
      </c>
      <c r="CF67" s="102">
        <f t="shared" si="27"/>
        <v>0</v>
      </c>
      <c r="CG67" s="102">
        <f t="shared" si="28"/>
        <v>0</v>
      </c>
      <c r="CH67" s="124">
        <f t="shared" si="29"/>
        <v>0</v>
      </c>
      <c r="CI67" s="125" t="str">
        <f t="shared" si="30"/>
        <v>-</v>
      </c>
      <c r="CJ67" s="126" t="str">
        <f t="shared" si="31"/>
        <v>数据正确</v>
      </c>
    </row>
    <row r="68" s="60" customFormat="1" customHeight="1" spans="2:88">
      <c r="B68" s="70"/>
      <c r="C68" s="71"/>
      <c r="D68" s="181"/>
      <c r="E68" s="181"/>
      <c r="F68" s="181"/>
      <c r="G68" s="181"/>
      <c r="H68" s="181"/>
      <c r="I68" s="181"/>
      <c r="J68" s="237"/>
      <c r="K68" s="87"/>
      <c r="L68" s="88"/>
      <c r="M68" s="89"/>
      <c r="N68" s="90"/>
      <c r="O68" s="90"/>
      <c r="P68" s="91"/>
      <c r="Q68" s="102"/>
      <c r="R68" s="89"/>
      <c r="S68" s="89"/>
      <c r="T68" s="89"/>
      <c r="U68" s="103"/>
      <c r="V68" s="104"/>
      <c r="W68" s="102"/>
      <c r="X68" s="102"/>
      <c r="Y68" s="102"/>
      <c r="Z68" s="107"/>
      <c r="AA68" s="102"/>
      <c r="AB68" s="102"/>
      <c r="AC68" s="102"/>
      <c r="AD68" s="107"/>
      <c r="AE68" s="102"/>
      <c r="AF68" s="102"/>
      <c r="AG68" s="102"/>
      <c r="AH68" s="107"/>
      <c r="AI68" s="102"/>
      <c r="AJ68" s="102"/>
      <c r="AK68" s="102"/>
      <c r="AL68" s="107"/>
      <c r="AM68" s="102"/>
      <c r="AN68" s="102"/>
      <c r="AO68" s="102"/>
      <c r="AP68" s="107"/>
      <c r="AQ68" s="102"/>
      <c r="AR68" s="102"/>
      <c r="AS68" s="102"/>
      <c r="AT68" s="107"/>
      <c r="AU68" s="102"/>
      <c r="AV68" s="102"/>
      <c r="AW68" s="102"/>
      <c r="AX68" s="107"/>
      <c r="AY68" s="102"/>
      <c r="AZ68" s="102"/>
      <c r="BA68" s="102"/>
      <c r="BB68" s="102"/>
      <c r="BC68" s="102"/>
      <c r="BD68" s="102"/>
      <c r="BE68" s="102"/>
      <c r="BF68" s="102"/>
      <c r="BG68" s="102"/>
      <c r="BH68" s="102"/>
      <c r="BI68" s="102"/>
      <c r="BJ68" s="102"/>
      <c r="BK68" s="102"/>
      <c r="BL68" s="102"/>
      <c r="BM68" s="102"/>
      <c r="BN68" s="102"/>
      <c r="BO68" s="102"/>
      <c r="BP68" s="102"/>
      <c r="BQ68" s="102"/>
      <c r="BR68" s="102"/>
      <c r="BS68" s="102"/>
      <c r="BT68" s="102"/>
      <c r="BU68" s="102"/>
      <c r="BV68" s="102"/>
      <c r="BW68" s="102"/>
      <c r="BX68" s="102"/>
      <c r="BY68" s="102"/>
      <c r="BZ68" s="102"/>
      <c r="CA68" s="102"/>
      <c r="CB68" s="102"/>
      <c r="CC68" s="122"/>
      <c r="CD68" s="123">
        <f t="shared" si="25"/>
        <v>0</v>
      </c>
      <c r="CE68" s="102">
        <f t="shared" si="26"/>
        <v>0</v>
      </c>
      <c r="CF68" s="102">
        <f t="shared" si="27"/>
        <v>0</v>
      </c>
      <c r="CG68" s="102">
        <f t="shared" si="28"/>
        <v>0</v>
      </c>
      <c r="CH68" s="124">
        <f t="shared" si="29"/>
        <v>0</v>
      </c>
      <c r="CI68" s="125" t="str">
        <f t="shared" si="30"/>
        <v>-</v>
      </c>
      <c r="CJ68" s="126" t="str">
        <f t="shared" si="31"/>
        <v>数据正确</v>
      </c>
    </row>
    <row r="69" s="60" customFormat="1" customHeight="1" spans="2:88">
      <c r="B69" s="70"/>
      <c r="C69" s="71"/>
      <c r="D69" s="181"/>
      <c r="E69" s="181"/>
      <c r="F69" s="181"/>
      <c r="G69" s="181"/>
      <c r="H69" s="181"/>
      <c r="I69" s="181"/>
      <c r="J69" s="237"/>
      <c r="K69" s="87"/>
      <c r="L69" s="88"/>
      <c r="M69" s="89"/>
      <c r="N69" s="90"/>
      <c r="O69" s="90"/>
      <c r="P69" s="91"/>
      <c r="Q69" s="102"/>
      <c r="R69" s="89"/>
      <c r="S69" s="89"/>
      <c r="T69" s="89"/>
      <c r="U69" s="103"/>
      <c r="V69" s="104"/>
      <c r="W69" s="102"/>
      <c r="X69" s="102"/>
      <c r="Y69" s="102"/>
      <c r="Z69" s="107"/>
      <c r="AA69" s="102"/>
      <c r="AB69" s="102"/>
      <c r="AC69" s="102"/>
      <c r="AD69" s="107"/>
      <c r="AE69" s="102"/>
      <c r="AF69" s="102"/>
      <c r="AG69" s="102"/>
      <c r="AH69" s="107"/>
      <c r="AI69" s="102"/>
      <c r="AJ69" s="102"/>
      <c r="AK69" s="102"/>
      <c r="AL69" s="107"/>
      <c r="AM69" s="102"/>
      <c r="AN69" s="102"/>
      <c r="AO69" s="102"/>
      <c r="AP69" s="107"/>
      <c r="AQ69" s="102"/>
      <c r="AR69" s="102"/>
      <c r="AS69" s="102"/>
      <c r="AT69" s="107"/>
      <c r="AU69" s="102"/>
      <c r="AV69" s="102"/>
      <c r="AW69" s="102"/>
      <c r="AX69" s="107"/>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c r="CB69" s="102"/>
      <c r="CC69" s="122"/>
      <c r="CD69" s="123">
        <f t="shared" si="25"/>
        <v>0</v>
      </c>
      <c r="CE69" s="102">
        <f t="shared" si="26"/>
        <v>0</v>
      </c>
      <c r="CF69" s="102">
        <f t="shared" si="27"/>
        <v>0</v>
      </c>
      <c r="CG69" s="102">
        <f t="shared" si="28"/>
        <v>0</v>
      </c>
      <c r="CH69" s="124">
        <f t="shared" si="29"/>
        <v>0</v>
      </c>
      <c r="CI69" s="125" t="str">
        <f t="shared" si="30"/>
        <v>-</v>
      </c>
      <c r="CJ69" s="126" t="str">
        <f t="shared" si="31"/>
        <v>数据正确</v>
      </c>
    </row>
    <row r="70" s="60" customFormat="1" customHeight="1" spans="2:88">
      <c r="B70" s="70"/>
      <c r="C70" s="71"/>
      <c r="D70" s="181"/>
      <c r="E70" s="181"/>
      <c r="F70" s="181"/>
      <c r="G70" s="181"/>
      <c r="H70" s="181"/>
      <c r="I70" s="181"/>
      <c r="J70" s="237"/>
      <c r="K70" s="87"/>
      <c r="L70" s="88"/>
      <c r="M70" s="89"/>
      <c r="N70" s="90"/>
      <c r="O70" s="90"/>
      <c r="P70" s="91"/>
      <c r="Q70" s="102"/>
      <c r="R70" s="89"/>
      <c r="S70" s="89"/>
      <c r="T70" s="89"/>
      <c r="U70" s="103"/>
      <c r="V70" s="104"/>
      <c r="W70" s="102"/>
      <c r="X70" s="102"/>
      <c r="Y70" s="102"/>
      <c r="Z70" s="107"/>
      <c r="AA70" s="102"/>
      <c r="AB70" s="102"/>
      <c r="AC70" s="102"/>
      <c r="AD70" s="107"/>
      <c r="AE70" s="102"/>
      <c r="AF70" s="102"/>
      <c r="AG70" s="102"/>
      <c r="AH70" s="107"/>
      <c r="AI70" s="102"/>
      <c r="AJ70" s="102"/>
      <c r="AK70" s="102"/>
      <c r="AL70" s="107"/>
      <c r="AM70" s="102"/>
      <c r="AN70" s="102"/>
      <c r="AO70" s="102"/>
      <c r="AP70" s="107"/>
      <c r="AQ70" s="102"/>
      <c r="AR70" s="102"/>
      <c r="AS70" s="102"/>
      <c r="AT70" s="107"/>
      <c r="AU70" s="102"/>
      <c r="AV70" s="102"/>
      <c r="AW70" s="102"/>
      <c r="AX70" s="107"/>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c r="CB70" s="102"/>
      <c r="CC70" s="122"/>
      <c r="CD70" s="123">
        <f t="shared" si="25"/>
        <v>0</v>
      </c>
      <c r="CE70" s="102">
        <f t="shared" si="26"/>
        <v>0</v>
      </c>
      <c r="CF70" s="102">
        <f t="shared" si="27"/>
        <v>0</v>
      </c>
      <c r="CG70" s="102">
        <f t="shared" si="28"/>
        <v>0</v>
      </c>
      <c r="CH70" s="124">
        <f t="shared" si="29"/>
        <v>0</v>
      </c>
      <c r="CI70" s="125" t="str">
        <f t="shared" si="30"/>
        <v>-</v>
      </c>
      <c r="CJ70" s="126" t="str">
        <f t="shared" si="31"/>
        <v>数据正确</v>
      </c>
    </row>
    <row r="71" s="60" customFormat="1" customHeight="1" spans="2:88">
      <c r="B71" s="70"/>
      <c r="C71" s="71"/>
      <c r="D71" s="181"/>
      <c r="E71" s="181"/>
      <c r="F71" s="181"/>
      <c r="G71" s="181"/>
      <c r="H71" s="181"/>
      <c r="I71" s="181"/>
      <c r="J71" s="237"/>
      <c r="K71" s="87"/>
      <c r="L71" s="88"/>
      <c r="M71" s="89"/>
      <c r="N71" s="90"/>
      <c r="O71" s="90"/>
      <c r="P71" s="91"/>
      <c r="Q71" s="102"/>
      <c r="R71" s="89"/>
      <c r="S71" s="89"/>
      <c r="T71" s="89"/>
      <c r="U71" s="103"/>
      <c r="V71" s="104"/>
      <c r="W71" s="102"/>
      <c r="X71" s="102"/>
      <c r="Y71" s="102"/>
      <c r="Z71" s="107"/>
      <c r="AA71" s="102"/>
      <c r="AB71" s="102"/>
      <c r="AC71" s="102"/>
      <c r="AD71" s="107"/>
      <c r="AE71" s="102"/>
      <c r="AF71" s="102"/>
      <c r="AG71" s="102"/>
      <c r="AH71" s="107"/>
      <c r="AI71" s="102"/>
      <c r="AJ71" s="102"/>
      <c r="AK71" s="102"/>
      <c r="AL71" s="107"/>
      <c r="AM71" s="102"/>
      <c r="AN71" s="102"/>
      <c r="AO71" s="102"/>
      <c r="AP71" s="107"/>
      <c r="AQ71" s="102"/>
      <c r="AR71" s="102"/>
      <c r="AS71" s="102"/>
      <c r="AT71" s="107"/>
      <c r="AU71" s="102"/>
      <c r="AV71" s="102"/>
      <c r="AW71" s="102"/>
      <c r="AX71" s="107"/>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c r="CB71" s="102"/>
      <c r="CC71" s="122"/>
      <c r="CD71" s="123">
        <f t="shared" si="25"/>
        <v>0</v>
      </c>
      <c r="CE71" s="102">
        <f t="shared" si="26"/>
        <v>0</v>
      </c>
      <c r="CF71" s="102">
        <f t="shared" si="27"/>
        <v>0</v>
      </c>
      <c r="CG71" s="102">
        <f t="shared" si="28"/>
        <v>0</v>
      </c>
      <c r="CH71" s="124">
        <f t="shared" si="29"/>
        <v>0</v>
      </c>
      <c r="CI71" s="125" t="str">
        <f t="shared" si="30"/>
        <v>-</v>
      </c>
      <c r="CJ71" s="126" t="str">
        <f t="shared" si="31"/>
        <v>数据正确</v>
      </c>
    </row>
    <row r="72" s="60" customFormat="1" customHeight="1" spans="2:88">
      <c r="B72" s="70"/>
      <c r="C72" s="71"/>
      <c r="D72" s="181"/>
      <c r="E72" s="181"/>
      <c r="F72" s="181"/>
      <c r="G72" s="181"/>
      <c r="H72" s="181"/>
      <c r="I72" s="181"/>
      <c r="J72" s="239"/>
      <c r="K72" s="87"/>
      <c r="L72" s="88"/>
      <c r="M72" s="89"/>
      <c r="N72" s="90"/>
      <c r="O72" s="90"/>
      <c r="P72" s="91"/>
      <c r="Q72" s="102"/>
      <c r="R72" s="89"/>
      <c r="S72" s="89"/>
      <c r="T72" s="89"/>
      <c r="U72" s="103"/>
      <c r="V72" s="104"/>
      <c r="W72" s="102"/>
      <c r="X72" s="102"/>
      <c r="Y72" s="102"/>
      <c r="Z72" s="107"/>
      <c r="AA72" s="102"/>
      <c r="AB72" s="102"/>
      <c r="AC72" s="102"/>
      <c r="AD72" s="107"/>
      <c r="AE72" s="102"/>
      <c r="AF72" s="102"/>
      <c r="AG72" s="102"/>
      <c r="AH72" s="107"/>
      <c r="AI72" s="102"/>
      <c r="AJ72" s="102"/>
      <c r="AK72" s="102"/>
      <c r="AL72" s="107"/>
      <c r="AM72" s="102"/>
      <c r="AN72" s="102"/>
      <c r="AO72" s="102"/>
      <c r="AP72" s="107"/>
      <c r="AQ72" s="102"/>
      <c r="AR72" s="102"/>
      <c r="AS72" s="102"/>
      <c r="AT72" s="107"/>
      <c r="AU72" s="102"/>
      <c r="AV72" s="102"/>
      <c r="AW72" s="102"/>
      <c r="AX72" s="107"/>
      <c r="AY72" s="102"/>
      <c r="AZ72" s="102"/>
      <c r="BA72" s="102"/>
      <c r="BB72" s="102"/>
      <c r="BC72" s="102"/>
      <c r="BD72" s="102"/>
      <c r="BE72" s="102"/>
      <c r="BF72" s="102"/>
      <c r="BG72" s="102"/>
      <c r="BH72" s="102"/>
      <c r="BI72" s="102"/>
      <c r="BJ72" s="102"/>
      <c r="BK72" s="102"/>
      <c r="BL72" s="102"/>
      <c r="BM72" s="102"/>
      <c r="BN72" s="102"/>
      <c r="BO72" s="102"/>
      <c r="BP72" s="102"/>
      <c r="BQ72" s="102"/>
      <c r="BR72" s="102"/>
      <c r="BS72" s="102"/>
      <c r="BT72" s="102"/>
      <c r="BU72" s="102"/>
      <c r="BV72" s="102"/>
      <c r="BW72" s="102"/>
      <c r="BX72" s="102"/>
      <c r="BY72" s="102"/>
      <c r="BZ72" s="102"/>
      <c r="CA72" s="102"/>
      <c r="CB72" s="102"/>
      <c r="CC72" s="122"/>
      <c r="CD72" s="123">
        <f t="shared" si="25"/>
        <v>0</v>
      </c>
      <c r="CE72" s="102">
        <f t="shared" si="26"/>
        <v>0</v>
      </c>
      <c r="CF72" s="102">
        <f t="shared" si="27"/>
        <v>0</v>
      </c>
      <c r="CG72" s="102">
        <f t="shared" si="28"/>
        <v>0</v>
      </c>
      <c r="CH72" s="124">
        <f t="shared" si="29"/>
        <v>0</v>
      </c>
      <c r="CI72" s="125" t="str">
        <f t="shared" si="30"/>
        <v>-</v>
      </c>
      <c r="CJ72" s="126" t="str">
        <f t="shared" si="31"/>
        <v>数据正确</v>
      </c>
    </row>
    <row r="73" s="60" customFormat="1" customHeight="1" spans="2:88">
      <c r="B73" s="70"/>
      <c r="C73" s="71"/>
      <c r="D73" s="181"/>
      <c r="E73" s="181"/>
      <c r="F73" s="181"/>
      <c r="G73" s="181"/>
      <c r="H73" s="181"/>
      <c r="I73" s="181"/>
      <c r="J73" s="237"/>
      <c r="K73" s="87"/>
      <c r="L73" s="88"/>
      <c r="M73" s="89"/>
      <c r="N73" s="90"/>
      <c r="O73" s="90"/>
      <c r="P73" s="91"/>
      <c r="Q73" s="102"/>
      <c r="R73" s="89"/>
      <c r="S73" s="89"/>
      <c r="T73" s="89"/>
      <c r="U73" s="103"/>
      <c r="V73" s="104"/>
      <c r="W73" s="102"/>
      <c r="X73" s="102"/>
      <c r="Y73" s="102"/>
      <c r="Z73" s="107"/>
      <c r="AA73" s="102"/>
      <c r="AB73" s="102"/>
      <c r="AC73" s="102"/>
      <c r="AD73" s="107"/>
      <c r="AE73" s="102"/>
      <c r="AF73" s="102"/>
      <c r="AG73" s="102"/>
      <c r="AH73" s="107"/>
      <c r="AI73" s="102"/>
      <c r="AJ73" s="102"/>
      <c r="AK73" s="102"/>
      <c r="AL73" s="107"/>
      <c r="AM73" s="102"/>
      <c r="AN73" s="102"/>
      <c r="AO73" s="102"/>
      <c r="AP73" s="107"/>
      <c r="AQ73" s="102"/>
      <c r="AR73" s="102"/>
      <c r="AS73" s="102"/>
      <c r="AT73" s="107"/>
      <c r="AU73" s="102"/>
      <c r="AV73" s="102"/>
      <c r="AW73" s="102"/>
      <c r="AX73" s="107"/>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22"/>
      <c r="CD73" s="123">
        <f t="shared" si="25"/>
        <v>0</v>
      </c>
      <c r="CE73" s="102">
        <f t="shared" si="26"/>
        <v>0</v>
      </c>
      <c r="CF73" s="102">
        <f t="shared" si="27"/>
        <v>0</v>
      </c>
      <c r="CG73" s="102">
        <f t="shared" si="28"/>
        <v>0</v>
      </c>
      <c r="CH73" s="124">
        <f t="shared" si="29"/>
        <v>0</v>
      </c>
      <c r="CI73" s="125" t="str">
        <f t="shared" si="30"/>
        <v>-</v>
      </c>
      <c r="CJ73" s="126" t="str">
        <f t="shared" si="31"/>
        <v>数据正确</v>
      </c>
    </row>
    <row r="74" s="60" customFormat="1" customHeight="1" spans="2:88">
      <c r="B74" s="70"/>
      <c r="C74" s="71"/>
      <c r="D74" s="181"/>
      <c r="E74" s="181"/>
      <c r="F74" s="181"/>
      <c r="G74" s="181"/>
      <c r="H74" s="181"/>
      <c r="I74" s="181"/>
      <c r="J74" s="239"/>
      <c r="K74" s="87"/>
      <c r="L74" s="88"/>
      <c r="M74" s="89"/>
      <c r="N74" s="90"/>
      <c r="O74" s="90"/>
      <c r="P74" s="91"/>
      <c r="Q74" s="102"/>
      <c r="R74" s="89"/>
      <c r="S74" s="89"/>
      <c r="T74" s="89"/>
      <c r="U74" s="103"/>
      <c r="V74" s="104"/>
      <c r="W74" s="102"/>
      <c r="X74" s="102"/>
      <c r="Y74" s="102"/>
      <c r="Z74" s="107"/>
      <c r="AA74" s="102"/>
      <c r="AB74" s="102"/>
      <c r="AC74" s="102"/>
      <c r="AD74" s="107"/>
      <c r="AE74" s="102"/>
      <c r="AF74" s="102"/>
      <c r="AG74" s="102"/>
      <c r="AH74" s="107"/>
      <c r="AI74" s="102"/>
      <c r="AJ74" s="102"/>
      <c r="AK74" s="102"/>
      <c r="AL74" s="107"/>
      <c r="AM74" s="102"/>
      <c r="AN74" s="102"/>
      <c r="AO74" s="102"/>
      <c r="AP74" s="107"/>
      <c r="AQ74" s="102"/>
      <c r="AR74" s="102"/>
      <c r="AS74" s="102"/>
      <c r="AT74" s="107"/>
      <c r="AU74" s="102"/>
      <c r="AV74" s="102"/>
      <c r="AW74" s="102"/>
      <c r="AX74" s="107"/>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c r="CB74" s="102"/>
      <c r="CC74" s="122"/>
      <c r="CD74" s="123">
        <f t="shared" si="25"/>
        <v>0</v>
      </c>
      <c r="CE74" s="102">
        <f t="shared" si="26"/>
        <v>0</v>
      </c>
      <c r="CF74" s="102">
        <f t="shared" si="27"/>
        <v>0</v>
      </c>
      <c r="CG74" s="102">
        <f t="shared" si="28"/>
        <v>0</v>
      </c>
      <c r="CH74" s="124">
        <f t="shared" si="29"/>
        <v>0</v>
      </c>
      <c r="CI74" s="125" t="str">
        <f t="shared" si="30"/>
        <v>-</v>
      </c>
      <c r="CJ74" s="126" t="str">
        <f t="shared" si="31"/>
        <v>数据正确</v>
      </c>
    </row>
    <row r="75" s="60" customFormat="1" customHeight="1" spans="2:88">
      <c r="B75" s="70"/>
      <c r="C75" s="71"/>
      <c r="D75" s="181"/>
      <c r="E75" s="181"/>
      <c r="F75" s="181"/>
      <c r="G75" s="181"/>
      <c r="H75" s="181"/>
      <c r="I75" s="181"/>
      <c r="J75" s="86"/>
      <c r="K75" s="87"/>
      <c r="L75" s="88"/>
      <c r="M75" s="89"/>
      <c r="N75" s="90"/>
      <c r="O75" s="90"/>
      <c r="P75" s="91"/>
      <c r="Q75" s="102"/>
      <c r="R75" s="89"/>
      <c r="S75" s="89"/>
      <c r="T75" s="89"/>
      <c r="U75" s="103"/>
      <c r="V75" s="104"/>
      <c r="W75" s="102"/>
      <c r="X75" s="102"/>
      <c r="Y75" s="102"/>
      <c r="Z75" s="107"/>
      <c r="AA75" s="102"/>
      <c r="AB75" s="102"/>
      <c r="AC75" s="102"/>
      <c r="AD75" s="107"/>
      <c r="AE75" s="102"/>
      <c r="AF75" s="102"/>
      <c r="AG75" s="102"/>
      <c r="AH75" s="107"/>
      <c r="AI75" s="102"/>
      <c r="AJ75" s="102"/>
      <c r="AK75" s="102"/>
      <c r="AL75" s="107"/>
      <c r="AM75" s="102"/>
      <c r="AN75" s="102"/>
      <c r="AO75" s="102"/>
      <c r="AP75" s="107"/>
      <c r="AQ75" s="102"/>
      <c r="AR75" s="102"/>
      <c r="AS75" s="102"/>
      <c r="AT75" s="107"/>
      <c r="AU75" s="102"/>
      <c r="AV75" s="102"/>
      <c r="AW75" s="102"/>
      <c r="AX75" s="107"/>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c r="CB75" s="102"/>
      <c r="CC75" s="122"/>
      <c r="CD75" s="123">
        <f t="shared" si="25"/>
        <v>0</v>
      </c>
      <c r="CE75" s="102">
        <f t="shared" si="26"/>
        <v>0</v>
      </c>
      <c r="CF75" s="102">
        <f t="shared" si="27"/>
        <v>0</v>
      </c>
      <c r="CG75" s="102">
        <f t="shared" si="28"/>
        <v>0</v>
      </c>
      <c r="CH75" s="124">
        <f t="shared" si="29"/>
        <v>0</v>
      </c>
      <c r="CI75" s="125" t="str">
        <f t="shared" si="30"/>
        <v>-</v>
      </c>
      <c r="CJ75" s="126" t="str">
        <f t="shared" si="31"/>
        <v>数据正确</v>
      </c>
    </row>
    <row r="76" s="60" customFormat="1" customHeight="1" spans="2:88">
      <c r="B76" s="70"/>
      <c r="C76" s="71"/>
      <c r="D76" s="181"/>
      <c r="E76" s="181"/>
      <c r="F76" s="181"/>
      <c r="G76" s="181"/>
      <c r="H76" s="181"/>
      <c r="I76" s="181"/>
      <c r="J76" s="86"/>
      <c r="K76" s="87"/>
      <c r="L76" s="88"/>
      <c r="M76" s="89"/>
      <c r="N76" s="90"/>
      <c r="O76" s="90"/>
      <c r="P76" s="91"/>
      <c r="Q76" s="102"/>
      <c r="R76" s="89"/>
      <c r="S76" s="89"/>
      <c r="T76" s="89"/>
      <c r="U76" s="103"/>
      <c r="V76" s="104"/>
      <c r="W76" s="102"/>
      <c r="X76" s="102"/>
      <c r="Y76" s="102"/>
      <c r="Z76" s="107"/>
      <c r="AA76" s="102"/>
      <c r="AB76" s="102"/>
      <c r="AC76" s="102"/>
      <c r="AD76" s="107"/>
      <c r="AE76" s="102"/>
      <c r="AF76" s="102"/>
      <c r="AG76" s="102"/>
      <c r="AH76" s="107"/>
      <c r="AI76" s="102"/>
      <c r="AJ76" s="102"/>
      <c r="AK76" s="102"/>
      <c r="AL76" s="107"/>
      <c r="AM76" s="102"/>
      <c r="AN76" s="102"/>
      <c r="AO76" s="102"/>
      <c r="AP76" s="107"/>
      <c r="AQ76" s="102"/>
      <c r="AR76" s="102"/>
      <c r="AS76" s="102"/>
      <c r="AT76" s="107"/>
      <c r="AU76" s="102"/>
      <c r="AV76" s="102"/>
      <c r="AW76" s="102"/>
      <c r="AX76" s="107"/>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c r="CB76" s="102"/>
      <c r="CC76" s="122"/>
      <c r="CD76" s="123">
        <f t="shared" si="25"/>
        <v>0</v>
      </c>
      <c r="CE76" s="102">
        <f t="shared" si="26"/>
        <v>0</v>
      </c>
      <c r="CF76" s="102">
        <f t="shared" si="27"/>
        <v>0</v>
      </c>
      <c r="CG76" s="102">
        <f t="shared" si="28"/>
        <v>0</v>
      </c>
      <c r="CH76" s="124">
        <f t="shared" si="29"/>
        <v>0</v>
      </c>
      <c r="CI76" s="125" t="str">
        <f t="shared" si="30"/>
        <v>-</v>
      </c>
      <c r="CJ76" s="126" t="str">
        <f t="shared" si="31"/>
        <v>数据正确</v>
      </c>
    </row>
    <row r="77" s="60" customFormat="1" customHeight="1" spans="2:88">
      <c r="B77" s="70"/>
      <c r="C77" s="71"/>
      <c r="D77" s="181"/>
      <c r="E77" s="181"/>
      <c r="F77" s="181"/>
      <c r="G77" s="181"/>
      <c r="H77" s="181"/>
      <c r="I77" s="181"/>
      <c r="J77" s="86"/>
      <c r="K77" s="87"/>
      <c r="L77" s="88"/>
      <c r="M77" s="89"/>
      <c r="N77" s="90"/>
      <c r="O77" s="90"/>
      <c r="P77" s="91"/>
      <c r="Q77" s="102"/>
      <c r="R77" s="89"/>
      <c r="S77" s="89"/>
      <c r="T77" s="89"/>
      <c r="U77" s="103"/>
      <c r="V77" s="104"/>
      <c r="W77" s="102"/>
      <c r="X77" s="102"/>
      <c r="Y77" s="102"/>
      <c r="Z77" s="107"/>
      <c r="AA77" s="102"/>
      <c r="AB77" s="102"/>
      <c r="AC77" s="102"/>
      <c r="AD77" s="107"/>
      <c r="AE77" s="102"/>
      <c r="AF77" s="102"/>
      <c r="AG77" s="102"/>
      <c r="AH77" s="107"/>
      <c r="AI77" s="102"/>
      <c r="AJ77" s="102"/>
      <c r="AK77" s="102"/>
      <c r="AL77" s="107"/>
      <c r="AM77" s="102"/>
      <c r="AN77" s="102"/>
      <c r="AO77" s="102"/>
      <c r="AP77" s="107"/>
      <c r="AQ77" s="102"/>
      <c r="AR77" s="102"/>
      <c r="AS77" s="102"/>
      <c r="AT77" s="107"/>
      <c r="AU77" s="102"/>
      <c r="AV77" s="102"/>
      <c r="AW77" s="102"/>
      <c r="AX77" s="107"/>
      <c r="AY77" s="102"/>
      <c r="AZ77" s="102"/>
      <c r="BA77" s="102"/>
      <c r="BB77" s="102"/>
      <c r="BC77" s="102"/>
      <c r="BD77" s="102"/>
      <c r="BE77" s="102"/>
      <c r="BF77" s="102"/>
      <c r="BG77" s="102"/>
      <c r="BH77" s="102"/>
      <c r="BI77" s="102"/>
      <c r="BJ77" s="102"/>
      <c r="BK77" s="102"/>
      <c r="BL77" s="102"/>
      <c r="BM77" s="102"/>
      <c r="BN77" s="102"/>
      <c r="BO77" s="102"/>
      <c r="BP77" s="102"/>
      <c r="BQ77" s="102"/>
      <c r="BR77" s="102"/>
      <c r="BS77" s="102"/>
      <c r="BT77" s="102"/>
      <c r="BU77" s="102"/>
      <c r="BV77" s="102"/>
      <c r="BW77" s="102"/>
      <c r="BX77" s="102"/>
      <c r="BY77" s="102"/>
      <c r="BZ77" s="102"/>
      <c r="CA77" s="102"/>
      <c r="CB77" s="102"/>
      <c r="CC77" s="122"/>
      <c r="CD77" s="123">
        <f t="shared" si="25"/>
        <v>0</v>
      </c>
      <c r="CE77" s="102">
        <f t="shared" si="26"/>
        <v>0</v>
      </c>
      <c r="CF77" s="102">
        <f t="shared" si="27"/>
        <v>0</v>
      </c>
      <c r="CG77" s="102">
        <f t="shared" si="28"/>
        <v>0</v>
      </c>
      <c r="CH77" s="124">
        <f t="shared" si="29"/>
        <v>0</v>
      </c>
      <c r="CI77" s="125" t="str">
        <f t="shared" si="30"/>
        <v>-</v>
      </c>
      <c r="CJ77" s="126" t="str">
        <f t="shared" si="31"/>
        <v>数据正确</v>
      </c>
    </row>
    <row r="78" s="60" customFormat="1" customHeight="1" spans="2:88">
      <c r="B78" s="70"/>
      <c r="C78" s="71"/>
      <c r="D78" s="181"/>
      <c r="E78" s="181"/>
      <c r="F78" s="181"/>
      <c r="G78" s="181"/>
      <c r="H78" s="181"/>
      <c r="I78" s="181"/>
      <c r="J78" s="86"/>
      <c r="K78" s="87"/>
      <c r="L78" s="88"/>
      <c r="M78" s="89"/>
      <c r="N78" s="90"/>
      <c r="O78" s="90"/>
      <c r="P78" s="91"/>
      <c r="Q78" s="102"/>
      <c r="R78" s="89"/>
      <c r="S78" s="89"/>
      <c r="T78" s="89"/>
      <c r="U78" s="103"/>
      <c r="V78" s="104"/>
      <c r="W78" s="102"/>
      <c r="X78" s="102"/>
      <c r="Y78" s="102"/>
      <c r="Z78" s="107"/>
      <c r="AA78" s="102"/>
      <c r="AB78" s="102"/>
      <c r="AC78" s="102"/>
      <c r="AD78" s="107"/>
      <c r="AE78" s="102"/>
      <c r="AF78" s="102"/>
      <c r="AG78" s="102"/>
      <c r="AH78" s="107"/>
      <c r="AI78" s="102"/>
      <c r="AJ78" s="102"/>
      <c r="AK78" s="102"/>
      <c r="AL78" s="107"/>
      <c r="AM78" s="102"/>
      <c r="AN78" s="102"/>
      <c r="AO78" s="102"/>
      <c r="AP78" s="107"/>
      <c r="AQ78" s="102"/>
      <c r="AR78" s="102"/>
      <c r="AS78" s="102"/>
      <c r="AT78" s="107"/>
      <c r="AU78" s="102"/>
      <c r="AV78" s="102"/>
      <c r="AW78" s="102"/>
      <c r="AX78" s="107"/>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c r="CB78" s="102"/>
      <c r="CC78" s="122"/>
      <c r="CD78" s="123">
        <f t="shared" si="25"/>
        <v>0</v>
      </c>
      <c r="CE78" s="102">
        <f t="shared" si="26"/>
        <v>0</v>
      </c>
      <c r="CF78" s="102">
        <f t="shared" si="27"/>
        <v>0</v>
      </c>
      <c r="CG78" s="102">
        <f t="shared" si="28"/>
        <v>0</v>
      </c>
      <c r="CH78" s="124">
        <f t="shared" si="29"/>
        <v>0</v>
      </c>
      <c r="CI78" s="125" t="str">
        <f t="shared" si="30"/>
        <v>-</v>
      </c>
      <c r="CJ78" s="126" t="str">
        <f t="shared" si="31"/>
        <v>数据正确</v>
      </c>
    </row>
    <row r="79" s="60" customFormat="1" customHeight="1" spans="2:88">
      <c r="B79" s="70"/>
      <c r="C79" s="71"/>
      <c r="D79" s="181"/>
      <c r="E79" s="181"/>
      <c r="F79" s="181"/>
      <c r="G79" s="181"/>
      <c r="H79" s="181"/>
      <c r="I79" s="181"/>
      <c r="J79" s="86"/>
      <c r="K79" s="87"/>
      <c r="L79" s="88"/>
      <c r="M79" s="89"/>
      <c r="N79" s="90"/>
      <c r="O79" s="90"/>
      <c r="P79" s="91"/>
      <c r="Q79" s="102"/>
      <c r="R79" s="89"/>
      <c r="S79" s="89"/>
      <c r="T79" s="89"/>
      <c r="U79" s="103"/>
      <c r="V79" s="104"/>
      <c r="W79" s="102"/>
      <c r="X79" s="102"/>
      <c r="Y79" s="102"/>
      <c r="Z79" s="107"/>
      <c r="AA79" s="102"/>
      <c r="AB79" s="102"/>
      <c r="AC79" s="102"/>
      <c r="AD79" s="107"/>
      <c r="AE79" s="102"/>
      <c r="AF79" s="102"/>
      <c r="AG79" s="102"/>
      <c r="AH79" s="107"/>
      <c r="AI79" s="102"/>
      <c r="AJ79" s="102"/>
      <c r="AK79" s="102"/>
      <c r="AL79" s="107"/>
      <c r="AM79" s="102"/>
      <c r="AN79" s="102"/>
      <c r="AO79" s="102"/>
      <c r="AP79" s="107"/>
      <c r="AQ79" s="102"/>
      <c r="AR79" s="102"/>
      <c r="AS79" s="102"/>
      <c r="AT79" s="107"/>
      <c r="AU79" s="102"/>
      <c r="AV79" s="102"/>
      <c r="AW79" s="102"/>
      <c r="AX79" s="107"/>
      <c r="AY79" s="102"/>
      <c r="AZ79" s="102"/>
      <c r="BA79" s="102"/>
      <c r="BB79" s="102"/>
      <c r="BC79" s="102"/>
      <c r="BD79" s="102"/>
      <c r="BE79" s="102"/>
      <c r="BF79" s="102"/>
      <c r="BG79" s="102"/>
      <c r="BH79" s="102"/>
      <c r="BI79" s="102"/>
      <c r="BJ79" s="102"/>
      <c r="BK79" s="102"/>
      <c r="BL79" s="102"/>
      <c r="BM79" s="102"/>
      <c r="BN79" s="102"/>
      <c r="BO79" s="102"/>
      <c r="BP79" s="102"/>
      <c r="BQ79" s="102"/>
      <c r="BR79" s="102"/>
      <c r="BS79" s="102"/>
      <c r="BT79" s="102"/>
      <c r="BU79" s="102"/>
      <c r="BV79" s="102"/>
      <c r="BW79" s="102"/>
      <c r="BX79" s="102"/>
      <c r="BY79" s="102"/>
      <c r="BZ79" s="102"/>
      <c r="CA79" s="102"/>
      <c r="CB79" s="102"/>
      <c r="CC79" s="122"/>
      <c r="CD79" s="123">
        <f t="shared" si="25"/>
        <v>0</v>
      </c>
      <c r="CE79" s="102">
        <f t="shared" si="26"/>
        <v>0</v>
      </c>
      <c r="CF79" s="102">
        <f t="shared" si="27"/>
        <v>0</v>
      </c>
      <c r="CG79" s="102">
        <f t="shared" si="28"/>
        <v>0</v>
      </c>
      <c r="CH79" s="124">
        <f t="shared" si="29"/>
        <v>0</v>
      </c>
      <c r="CI79" s="125" t="str">
        <f t="shared" si="30"/>
        <v>-</v>
      </c>
      <c r="CJ79" s="126" t="str">
        <f t="shared" si="31"/>
        <v>数据正确</v>
      </c>
    </row>
    <row r="80" s="60" customFormat="1" customHeight="1" spans="2:9">
      <c r="B80" s="127"/>
      <c r="D80" s="248"/>
      <c r="E80" s="248"/>
      <c r="F80" s="248"/>
      <c r="G80" s="248"/>
      <c r="H80" s="248"/>
      <c r="I80" s="248"/>
    </row>
    <row r="81" s="60" customFormat="1" customHeight="1" spans="2:9">
      <c r="B81" s="127"/>
      <c r="D81" s="248"/>
      <c r="E81" s="248"/>
      <c r="F81" s="248"/>
      <c r="G81" s="248"/>
      <c r="H81" s="248"/>
      <c r="I81" s="248"/>
    </row>
    <row r="82" s="60" customFormat="1" customHeight="1" spans="2:9">
      <c r="B82" s="127"/>
      <c r="D82" s="248"/>
      <c r="E82" s="248"/>
      <c r="F82" s="248"/>
      <c r="G82" s="248"/>
      <c r="H82" s="248"/>
      <c r="I82" s="248"/>
    </row>
    <row r="83" s="60" customFormat="1" customHeight="1" spans="2:9">
      <c r="B83" s="127"/>
      <c r="D83" s="248"/>
      <c r="E83" s="248"/>
      <c r="F83" s="248"/>
      <c r="G83" s="248"/>
      <c r="H83" s="248"/>
      <c r="I83" s="248"/>
    </row>
    <row r="84" s="60" customFormat="1" customHeight="1" spans="2:9">
      <c r="B84" s="127"/>
      <c r="D84" s="248"/>
      <c r="E84" s="248"/>
      <c r="F84" s="248"/>
      <c r="G84" s="248"/>
      <c r="H84" s="248"/>
      <c r="I84" s="248"/>
    </row>
    <row r="85" s="60" customFormat="1" customHeight="1" spans="2:9">
      <c r="B85" s="127"/>
      <c r="D85" s="248"/>
      <c r="E85" s="248"/>
      <c r="F85" s="248"/>
      <c r="G85" s="248"/>
      <c r="H85" s="248"/>
      <c r="I85" s="248"/>
    </row>
    <row r="86" s="60" customFormat="1" customHeight="1" spans="2:9">
      <c r="B86" s="127"/>
      <c r="D86" s="249"/>
      <c r="E86" s="249"/>
      <c r="F86" s="249"/>
      <c r="G86" s="249"/>
      <c r="H86" s="249"/>
      <c r="I86" s="249"/>
    </row>
  </sheetData>
  <autoFilter ref="A5:CJ79"/>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75" right="0.75" top="1" bottom="1" header="0.511805555555556" footer="0.511805555555556"/>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159"/>
  <sheetViews>
    <sheetView topLeftCell="Y1" workbookViewId="0">
      <pane ySplit="5" topLeftCell="A27" activePane="bottomLeft" state="frozen"/>
      <selection/>
      <selection pane="bottomLeft" activeCell="P76" sqref="P76"/>
    </sheetView>
  </sheetViews>
  <sheetFormatPr defaultColWidth="9" defaultRowHeight="18" customHeight="1"/>
  <cols>
    <col min="1" max="1" width="4.25" customWidth="1"/>
    <col min="2" max="2" width="5" style="61" customWidth="1"/>
    <col min="3" max="3" width="5.25" customWidth="1"/>
    <col min="4" max="4" width="14.5" customWidth="1"/>
    <col min="5" max="5" width="9.375" customWidth="1"/>
    <col min="6" max="6" width="8.875" customWidth="1"/>
    <col min="7" max="7" width="12.125" customWidth="1"/>
    <col min="8" max="8" width="7.875" customWidth="1"/>
    <col min="9" max="9" width="13.875" customWidth="1"/>
    <col min="10" max="10" width="5.875" customWidth="1"/>
    <col min="11" max="11" width="0.75" style="60" customWidth="1"/>
    <col min="12" max="12" width="5.25" customWidth="1"/>
    <col min="13" max="13" width="12" customWidth="1"/>
    <col min="14" max="14" width="11.125"/>
    <col min="15" max="15" width="10.125"/>
    <col min="16" max="16" width="11.25" customWidth="1"/>
    <col min="17" max="17" width="14.625" customWidth="1"/>
    <col min="18" max="18" width="14.125" customWidth="1"/>
    <col min="19" max="19" width="21.375" customWidth="1"/>
    <col min="20" max="21" width="11.125"/>
    <col min="22" max="81" width="16.375" customWidth="1"/>
    <col min="82" max="84" width="16" customWidth="1"/>
    <col min="85" max="85" width="11.25" customWidth="1"/>
    <col min="86" max="86" width="16" customWidth="1"/>
    <col min="87" max="87" width="9.25"/>
  </cols>
  <sheetData>
    <row r="1" customFormat="1" ht="8" customHeight="1" spans="2:11">
      <c r="B1" s="61"/>
      <c r="K1" s="60"/>
    </row>
    <row r="2" s="57" customFormat="1" customHeight="1" spans="2:88">
      <c r="B2" s="62" t="s">
        <v>321</v>
      </c>
      <c r="C2" s="63"/>
      <c r="D2" s="63"/>
      <c r="E2" s="63"/>
      <c r="F2" s="63"/>
      <c r="G2" s="63"/>
      <c r="H2" s="63"/>
      <c r="I2" s="63"/>
      <c r="J2" s="73"/>
      <c r="K2" s="74"/>
      <c r="L2" s="75" t="s">
        <v>322</v>
      </c>
      <c r="M2" s="76"/>
      <c r="N2" s="76"/>
      <c r="O2" s="76"/>
      <c r="P2" s="76"/>
      <c r="Q2" s="76"/>
      <c r="R2" s="76"/>
      <c r="S2" s="76"/>
      <c r="T2" s="76"/>
      <c r="U2" s="92"/>
      <c r="V2" s="93" t="s">
        <v>323</v>
      </c>
      <c r="W2" s="94"/>
      <c r="X2" s="94"/>
      <c r="Y2" s="94"/>
      <c r="Z2" s="93" t="s">
        <v>323</v>
      </c>
      <c r="AA2" s="94"/>
      <c r="AB2" s="94"/>
      <c r="AC2" s="94"/>
      <c r="AD2" s="93" t="s">
        <v>323</v>
      </c>
      <c r="AE2" s="94"/>
      <c r="AF2" s="94"/>
      <c r="AG2" s="94"/>
      <c r="AH2" s="93" t="s">
        <v>323</v>
      </c>
      <c r="AI2" s="94"/>
      <c r="AJ2" s="94"/>
      <c r="AK2" s="94"/>
      <c r="AL2" s="93" t="s">
        <v>323</v>
      </c>
      <c r="AM2" s="94"/>
      <c r="AN2" s="94"/>
      <c r="AO2" s="94"/>
      <c r="AP2" s="93" t="s">
        <v>323</v>
      </c>
      <c r="AQ2" s="94"/>
      <c r="AR2" s="94"/>
      <c r="AS2" s="94"/>
      <c r="AT2" s="93" t="s">
        <v>323</v>
      </c>
      <c r="AU2" s="94"/>
      <c r="AV2" s="94"/>
      <c r="AW2" s="94"/>
      <c r="AX2" s="93" t="s">
        <v>323</v>
      </c>
      <c r="AY2" s="94"/>
      <c r="AZ2" s="94"/>
      <c r="BA2" s="94"/>
      <c r="BB2" s="93" t="s">
        <v>323</v>
      </c>
      <c r="BC2" s="94"/>
      <c r="BD2" s="94"/>
      <c r="BE2" s="94"/>
      <c r="BF2" s="93" t="s">
        <v>323</v>
      </c>
      <c r="BG2" s="94"/>
      <c r="BH2" s="94"/>
      <c r="BI2" s="94"/>
      <c r="BJ2" s="93" t="s">
        <v>323</v>
      </c>
      <c r="BK2" s="94"/>
      <c r="BL2" s="94"/>
      <c r="BM2" s="94"/>
      <c r="BN2" s="93" t="s">
        <v>323</v>
      </c>
      <c r="BO2" s="94"/>
      <c r="BP2" s="94"/>
      <c r="BQ2" s="94"/>
      <c r="BR2" s="93" t="s">
        <v>323</v>
      </c>
      <c r="BS2" s="94"/>
      <c r="BT2" s="94"/>
      <c r="BU2" s="94"/>
      <c r="BV2" s="93" t="s">
        <v>323</v>
      </c>
      <c r="BW2" s="94"/>
      <c r="BX2" s="94"/>
      <c r="BY2" s="94"/>
      <c r="BZ2" s="93" t="s">
        <v>323</v>
      </c>
      <c r="CA2" s="94"/>
      <c r="CB2" s="94"/>
      <c r="CC2" s="94"/>
      <c r="CD2" s="109" t="s">
        <v>56</v>
      </c>
      <c r="CE2" s="110"/>
      <c r="CF2" s="110"/>
      <c r="CG2" s="110"/>
      <c r="CH2" s="110"/>
      <c r="CI2" s="110"/>
      <c r="CJ2" s="111"/>
    </row>
    <row r="3" s="58" customFormat="1" ht="20" customHeight="1" spans="2:88">
      <c r="B3" s="64" t="s">
        <v>57</v>
      </c>
      <c r="C3" s="65" t="s">
        <v>58</v>
      </c>
      <c r="D3" s="66" t="s">
        <v>17</v>
      </c>
      <c r="E3" s="66" t="s">
        <v>59</v>
      </c>
      <c r="F3" s="66" t="s">
        <v>60</v>
      </c>
      <c r="G3" s="66" t="s">
        <v>324</v>
      </c>
      <c r="H3" s="66" t="s">
        <v>62</v>
      </c>
      <c r="I3" s="66" t="s">
        <v>325</v>
      </c>
      <c r="J3" s="77" t="s">
        <v>64</v>
      </c>
      <c r="K3" s="78"/>
      <c r="L3" s="79" t="s">
        <v>65</v>
      </c>
      <c r="M3" s="80" t="s">
        <v>65</v>
      </c>
      <c r="N3" s="80" t="s">
        <v>14</v>
      </c>
      <c r="O3" s="80" t="s">
        <v>66</v>
      </c>
      <c r="P3" s="81" t="s">
        <v>67</v>
      </c>
      <c r="Q3" s="85" t="s">
        <v>44</v>
      </c>
      <c r="R3" s="80" t="s">
        <v>68</v>
      </c>
      <c r="S3" s="80" t="s">
        <v>69</v>
      </c>
      <c r="T3" s="80" t="s">
        <v>70</v>
      </c>
      <c r="U3" s="95" t="s">
        <v>71</v>
      </c>
      <c r="V3" s="96" t="s">
        <v>72</v>
      </c>
      <c r="W3" s="97"/>
      <c r="X3" s="97"/>
      <c r="Y3" s="97"/>
      <c r="Z3" s="97" t="s">
        <v>73</v>
      </c>
      <c r="AA3" s="97"/>
      <c r="AB3" s="97"/>
      <c r="AC3" s="97"/>
      <c r="AD3" s="97" t="s">
        <v>74</v>
      </c>
      <c r="AE3" s="97"/>
      <c r="AF3" s="97"/>
      <c r="AG3" s="97"/>
      <c r="AH3" s="97" t="s">
        <v>75</v>
      </c>
      <c r="AI3" s="97"/>
      <c r="AJ3" s="97"/>
      <c r="AK3" s="97"/>
      <c r="AL3" s="97" t="s">
        <v>76</v>
      </c>
      <c r="AM3" s="97"/>
      <c r="AN3" s="97"/>
      <c r="AO3" s="97"/>
      <c r="AP3" s="97" t="s">
        <v>77</v>
      </c>
      <c r="AQ3" s="97"/>
      <c r="AR3" s="97"/>
      <c r="AS3" s="97"/>
      <c r="AT3" s="97" t="s">
        <v>78</v>
      </c>
      <c r="AU3" s="97"/>
      <c r="AV3" s="97"/>
      <c r="AW3" s="97"/>
      <c r="AX3" s="97" t="s">
        <v>79</v>
      </c>
      <c r="AY3" s="97"/>
      <c r="AZ3" s="97"/>
      <c r="BA3" s="97"/>
      <c r="BB3" s="97" t="s">
        <v>80</v>
      </c>
      <c r="BC3" s="97"/>
      <c r="BD3" s="97"/>
      <c r="BE3" s="97"/>
      <c r="BF3" s="97" t="s">
        <v>81</v>
      </c>
      <c r="BG3" s="97"/>
      <c r="BH3" s="97"/>
      <c r="BI3" s="97"/>
      <c r="BJ3" s="97" t="s">
        <v>82</v>
      </c>
      <c r="BK3" s="97"/>
      <c r="BL3" s="97"/>
      <c r="BM3" s="97"/>
      <c r="BN3" s="97" t="s">
        <v>83</v>
      </c>
      <c r="BO3" s="97"/>
      <c r="BP3" s="97"/>
      <c r="BQ3" s="97"/>
      <c r="BR3" s="97" t="s">
        <v>84</v>
      </c>
      <c r="BS3" s="97"/>
      <c r="BT3" s="97"/>
      <c r="BU3" s="97"/>
      <c r="BV3" s="97" t="s">
        <v>85</v>
      </c>
      <c r="BW3" s="97"/>
      <c r="BX3" s="97"/>
      <c r="BY3" s="97"/>
      <c r="BZ3" s="97" t="s">
        <v>86</v>
      </c>
      <c r="CA3" s="97"/>
      <c r="CB3" s="97"/>
      <c r="CC3" s="112"/>
      <c r="CD3" s="113" t="s">
        <v>87</v>
      </c>
      <c r="CE3" s="114" t="s">
        <v>88</v>
      </c>
      <c r="CF3" s="85" t="s">
        <v>17</v>
      </c>
      <c r="CG3" s="85" t="s">
        <v>90</v>
      </c>
      <c r="CH3" s="85" t="s">
        <v>91</v>
      </c>
      <c r="CI3" s="114" t="s">
        <v>24</v>
      </c>
      <c r="CJ3" s="115" t="s">
        <v>92</v>
      </c>
    </row>
    <row r="4" s="58" customFormat="1" ht="20" customHeight="1" spans="2:88">
      <c r="B4" s="64"/>
      <c r="C4" s="65"/>
      <c r="D4" s="66"/>
      <c r="E4" s="66"/>
      <c r="F4" s="66"/>
      <c r="G4" s="66"/>
      <c r="H4" s="66"/>
      <c r="I4" s="66"/>
      <c r="J4" s="77"/>
      <c r="K4" s="78"/>
      <c r="L4" s="79"/>
      <c r="M4" s="80"/>
      <c r="N4" s="80"/>
      <c r="O4" s="80"/>
      <c r="P4" s="81"/>
      <c r="Q4" s="85"/>
      <c r="R4" s="80"/>
      <c r="S4" s="80"/>
      <c r="T4" s="80"/>
      <c r="U4" s="95"/>
      <c r="V4" s="98" t="s">
        <v>93</v>
      </c>
      <c r="W4" s="99" t="s">
        <v>94</v>
      </c>
      <c r="X4" s="99" t="s">
        <v>95</v>
      </c>
      <c r="Y4" s="99" t="s">
        <v>96</v>
      </c>
      <c r="Z4" s="106" t="s">
        <v>93</v>
      </c>
      <c r="AA4" s="99" t="s">
        <v>94</v>
      </c>
      <c r="AB4" s="99" t="s">
        <v>95</v>
      </c>
      <c r="AC4" s="99" t="s">
        <v>96</v>
      </c>
      <c r="AD4" s="106" t="s">
        <v>93</v>
      </c>
      <c r="AE4" s="99" t="s">
        <v>94</v>
      </c>
      <c r="AF4" s="99" t="s">
        <v>95</v>
      </c>
      <c r="AG4" s="99" t="s">
        <v>96</v>
      </c>
      <c r="AH4" s="106" t="s">
        <v>93</v>
      </c>
      <c r="AI4" s="99" t="s">
        <v>94</v>
      </c>
      <c r="AJ4" s="99" t="s">
        <v>95</v>
      </c>
      <c r="AK4" s="99" t="s">
        <v>96</v>
      </c>
      <c r="AL4" s="106" t="s">
        <v>93</v>
      </c>
      <c r="AM4" s="99" t="s">
        <v>94</v>
      </c>
      <c r="AN4" s="99" t="s">
        <v>95</v>
      </c>
      <c r="AO4" s="99" t="s">
        <v>96</v>
      </c>
      <c r="AP4" s="106" t="s">
        <v>93</v>
      </c>
      <c r="AQ4" s="99" t="s">
        <v>94</v>
      </c>
      <c r="AR4" s="99" t="s">
        <v>95</v>
      </c>
      <c r="AS4" s="99" t="s">
        <v>96</v>
      </c>
      <c r="AT4" s="106" t="s">
        <v>93</v>
      </c>
      <c r="AU4" s="99" t="s">
        <v>94</v>
      </c>
      <c r="AV4" s="99" t="s">
        <v>95</v>
      </c>
      <c r="AW4" s="99" t="s">
        <v>96</v>
      </c>
      <c r="AX4" s="106" t="s">
        <v>93</v>
      </c>
      <c r="AY4" s="99" t="s">
        <v>94</v>
      </c>
      <c r="AZ4" s="99" t="s">
        <v>95</v>
      </c>
      <c r="BA4" s="99" t="s">
        <v>96</v>
      </c>
      <c r="BB4" s="106" t="s">
        <v>93</v>
      </c>
      <c r="BC4" s="99" t="s">
        <v>94</v>
      </c>
      <c r="BD4" s="99" t="s">
        <v>95</v>
      </c>
      <c r="BE4" s="99" t="s">
        <v>96</v>
      </c>
      <c r="BF4" s="106" t="s">
        <v>93</v>
      </c>
      <c r="BG4" s="99" t="s">
        <v>94</v>
      </c>
      <c r="BH4" s="99" t="s">
        <v>95</v>
      </c>
      <c r="BI4" s="99" t="s">
        <v>96</v>
      </c>
      <c r="BJ4" s="106" t="s">
        <v>93</v>
      </c>
      <c r="BK4" s="99" t="s">
        <v>94</v>
      </c>
      <c r="BL4" s="99" t="s">
        <v>95</v>
      </c>
      <c r="BM4" s="99" t="s">
        <v>96</v>
      </c>
      <c r="BN4" s="106" t="s">
        <v>93</v>
      </c>
      <c r="BO4" s="99" t="s">
        <v>94</v>
      </c>
      <c r="BP4" s="99" t="s">
        <v>95</v>
      </c>
      <c r="BQ4" s="99" t="s">
        <v>96</v>
      </c>
      <c r="BR4" s="106" t="s">
        <v>93</v>
      </c>
      <c r="BS4" s="99" t="s">
        <v>94</v>
      </c>
      <c r="BT4" s="99" t="s">
        <v>95</v>
      </c>
      <c r="BU4" s="99" t="s">
        <v>96</v>
      </c>
      <c r="BV4" s="106" t="s">
        <v>93</v>
      </c>
      <c r="BW4" s="99" t="s">
        <v>94</v>
      </c>
      <c r="BX4" s="99" t="s">
        <v>95</v>
      </c>
      <c r="BY4" s="99" t="s">
        <v>96</v>
      </c>
      <c r="BZ4" s="106" t="s">
        <v>93</v>
      </c>
      <c r="CA4" s="99" t="s">
        <v>94</v>
      </c>
      <c r="CB4" s="99" t="s">
        <v>95</v>
      </c>
      <c r="CC4" s="116" t="s">
        <v>96</v>
      </c>
      <c r="CD4" s="113"/>
      <c r="CE4" s="114"/>
      <c r="CF4" s="85"/>
      <c r="CG4" s="85"/>
      <c r="CH4" s="85"/>
      <c r="CI4" s="114"/>
      <c r="CJ4" s="115"/>
    </row>
    <row r="5" s="59" customFormat="1" customHeight="1" spans="2:88">
      <c r="B5" s="67" t="s">
        <v>97</v>
      </c>
      <c r="C5" s="68" t="s">
        <v>35</v>
      </c>
      <c r="D5" s="69">
        <f t="shared" ref="D5:I5" si="0">IF(ISERROR(SUM(D6:D302)-D26-D47-D67-D80-D83-D105-D60),"-",SUM(D6:D302)-D26-D47-D67-D80-D83-D105-D60)</f>
        <v>135599510.421</v>
      </c>
      <c r="E5" s="69">
        <f t="shared" si="0"/>
        <v>0</v>
      </c>
      <c r="F5" s="69">
        <f t="shared" si="0"/>
        <v>0</v>
      </c>
      <c r="G5" s="69">
        <f t="shared" si="0"/>
        <v>123580</v>
      </c>
      <c r="H5" s="69">
        <f t="shared" si="0"/>
        <v>0</v>
      </c>
      <c r="I5" s="69">
        <f t="shared" si="0"/>
        <v>8479588.7384</v>
      </c>
      <c r="J5" s="82" t="s">
        <v>97</v>
      </c>
      <c r="K5" s="83"/>
      <c r="L5" s="84" t="s">
        <v>35</v>
      </c>
      <c r="M5" s="85"/>
      <c r="N5" s="85">
        <v>0</v>
      </c>
      <c r="O5" s="85">
        <v>0</v>
      </c>
      <c r="P5" s="85">
        <v>0</v>
      </c>
      <c r="Q5" s="85">
        <f>IF(ISERROR(SUM(Q6:Q302)-Q26-Q47-Q67-Q80-Q83-Q105-Q60),"-",SUM(Q6:Q302)-Q26-Q47-Q67-Q80-Q83-Q105-Q60)</f>
        <v>599416094.499</v>
      </c>
      <c r="R5" s="85" t="str">
        <f t="shared" ref="R5:AW5" si="1">IF(ISERROR(SUM(R6:R302)-R26-R47-R67-R80-R83-R105-R60),"-",SUM(R6:R302)-R26-R47-R67-R80-R83-R105-R60)</f>
        <v>-</v>
      </c>
      <c r="S5" s="85" t="str">
        <f t="shared" si="1"/>
        <v>-</v>
      </c>
      <c r="T5" s="85" t="str">
        <f t="shared" si="1"/>
        <v>-</v>
      </c>
      <c r="U5" s="100" t="str">
        <f t="shared" si="1"/>
        <v>-</v>
      </c>
      <c r="V5" s="128" t="str">
        <f t="shared" si="1"/>
        <v>-</v>
      </c>
      <c r="W5" s="85">
        <f t="shared" si="1"/>
        <v>133149761.1206</v>
      </c>
      <c r="X5" s="85">
        <f t="shared" si="1"/>
        <v>87461933.371</v>
      </c>
      <c r="Y5" s="85">
        <f t="shared" si="1"/>
        <v>81889621.271</v>
      </c>
      <c r="Z5" s="85" t="str">
        <f t="shared" si="1"/>
        <v>-</v>
      </c>
      <c r="AA5" s="85">
        <f t="shared" si="1"/>
        <v>289805270.3784</v>
      </c>
      <c r="AB5" s="85">
        <f t="shared" si="1"/>
        <v>56740745.7884</v>
      </c>
      <c r="AC5" s="85">
        <f t="shared" si="1"/>
        <v>53709889.15</v>
      </c>
      <c r="AD5" s="85" t="str">
        <f t="shared" si="1"/>
        <v>-</v>
      </c>
      <c r="AE5" s="85">
        <f t="shared" si="1"/>
        <v>115358916.6</v>
      </c>
      <c r="AF5" s="85">
        <f t="shared" si="1"/>
        <v>0</v>
      </c>
      <c r="AG5" s="85">
        <f t="shared" si="1"/>
        <v>0</v>
      </c>
      <c r="AH5" s="85">
        <f t="shared" si="1"/>
        <v>0</v>
      </c>
      <c r="AI5" s="85">
        <f t="shared" si="1"/>
        <v>43913003.6</v>
      </c>
      <c r="AJ5" s="85">
        <f t="shared" si="1"/>
        <v>0</v>
      </c>
      <c r="AK5" s="85">
        <f t="shared" si="1"/>
        <v>0</v>
      </c>
      <c r="AL5" s="85">
        <f t="shared" si="1"/>
        <v>0</v>
      </c>
      <c r="AM5" s="85">
        <f t="shared" si="1"/>
        <v>11141142.8</v>
      </c>
      <c r="AN5" s="85">
        <f t="shared" si="1"/>
        <v>0</v>
      </c>
      <c r="AO5" s="85">
        <f t="shared" si="1"/>
        <v>0</v>
      </c>
      <c r="AP5" s="85">
        <f t="shared" si="1"/>
        <v>0</v>
      </c>
      <c r="AQ5" s="85">
        <f t="shared" si="1"/>
        <v>6048000</v>
      </c>
      <c r="AR5" s="85">
        <f t="shared" si="1"/>
        <v>0</v>
      </c>
      <c r="AS5" s="85">
        <f t="shared" si="1"/>
        <v>0</v>
      </c>
      <c r="AT5" s="85">
        <f t="shared" si="1"/>
        <v>0</v>
      </c>
      <c r="AU5" s="85">
        <f t="shared" si="1"/>
        <v>0</v>
      </c>
      <c r="AV5" s="85">
        <f t="shared" si="1"/>
        <v>0</v>
      </c>
      <c r="AW5" s="85">
        <f t="shared" si="1"/>
        <v>0</v>
      </c>
      <c r="AX5" s="85">
        <f t="shared" ref="AX5:CC5" si="2">IF(ISERROR(SUM(AX6:AX302)-AX26-AX47-AX67-AX80-AX83-AX105-AX60),"-",SUM(AX6:AX302)-AX26-AX47-AX67-AX80-AX83-AX105-AX60)</f>
        <v>0</v>
      </c>
      <c r="AY5" s="85">
        <f t="shared" si="2"/>
        <v>0</v>
      </c>
      <c r="AZ5" s="85">
        <f t="shared" si="2"/>
        <v>0</v>
      </c>
      <c r="BA5" s="85">
        <f t="shared" si="2"/>
        <v>0</v>
      </c>
      <c r="BB5" s="85">
        <f t="shared" si="2"/>
        <v>0</v>
      </c>
      <c r="BC5" s="85">
        <f t="shared" si="2"/>
        <v>0</v>
      </c>
      <c r="BD5" s="85">
        <f t="shared" si="2"/>
        <v>0</v>
      </c>
      <c r="BE5" s="85">
        <f t="shared" si="2"/>
        <v>0</v>
      </c>
      <c r="BF5" s="85">
        <f t="shared" si="2"/>
        <v>0</v>
      </c>
      <c r="BG5" s="85">
        <f t="shared" si="2"/>
        <v>0</v>
      </c>
      <c r="BH5" s="85">
        <f t="shared" si="2"/>
        <v>0</v>
      </c>
      <c r="BI5" s="85">
        <f t="shared" si="2"/>
        <v>0</v>
      </c>
      <c r="BJ5" s="85">
        <f t="shared" si="2"/>
        <v>0</v>
      </c>
      <c r="BK5" s="85">
        <f t="shared" si="2"/>
        <v>0</v>
      </c>
      <c r="BL5" s="85">
        <f t="shared" si="2"/>
        <v>0</v>
      </c>
      <c r="BM5" s="85">
        <f t="shared" si="2"/>
        <v>0</v>
      </c>
      <c r="BN5" s="85">
        <f t="shared" si="2"/>
        <v>0</v>
      </c>
      <c r="BO5" s="85">
        <f t="shared" si="2"/>
        <v>0</v>
      </c>
      <c r="BP5" s="85">
        <f t="shared" si="2"/>
        <v>0</v>
      </c>
      <c r="BQ5" s="85">
        <f t="shared" si="2"/>
        <v>0</v>
      </c>
      <c r="BR5" s="85">
        <f t="shared" si="2"/>
        <v>0</v>
      </c>
      <c r="BS5" s="85">
        <f t="shared" si="2"/>
        <v>0</v>
      </c>
      <c r="BT5" s="85">
        <f t="shared" si="2"/>
        <v>0</v>
      </c>
      <c r="BU5" s="85">
        <f t="shared" si="2"/>
        <v>0</v>
      </c>
      <c r="BV5" s="85">
        <f t="shared" si="2"/>
        <v>0</v>
      </c>
      <c r="BW5" s="85">
        <f t="shared" si="2"/>
        <v>0</v>
      </c>
      <c r="BX5" s="85">
        <f t="shared" si="2"/>
        <v>0</v>
      </c>
      <c r="BY5" s="85">
        <f t="shared" si="2"/>
        <v>0</v>
      </c>
      <c r="BZ5" s="85">
        <f t="shared" si="2"/>
        <v>0</v>
      </c>
      <c r="CA5" s="85">
        <f t="shared" si="2"/>
        <v>0</v>
      </c>
      <c r="CB5" s="85">
        <f t="shared" si="2"/>
        <v>0</v>
      </c>
      <c r="CC5" s="85">
        <f t="shared" si="2"/>
        <v>0</v>
      </c>
      <c r="CD5" s="117">
        <f t="shared" ref="CD5:CF5" si="3">W5+AA5+AE5+AI5+AM5+AQ5+AU5+AY5+BC5+BG5+BK5+BO5+BS5+BW5+CA5</f>
        <v>599416094.499</v>
      </c>
      <c r="CE5" s="118">
        <f t="shared" si="3"/>
        <v>144202679.1594</v>
      </c>
      <c r="CF5" s="118">
        <f t="shared" si="3"/>
        <v>135599510.421</v>
      </c>
      <c r="CG5" s="118">
        <f t="shared" ref="CG5:CG56" si="4">E5+F5+G5+H5</f>
        <v>123580</v>
      </c>
      <c r="CH5" s="119">
        <f t="shared" ref="CH5:CH56" si="5">Q5-CF5-CG5</f>
        <v>463693004.078</v>
      </c>
      <c r="CI5" s="120">
        <f t="shared" ref="CI5:CI56" si="6">IF(ISERROR((CF5+CG5)/Q5),"-",(CF5+CG5)/Q5)</f>
        <v>0.226425502529156</v>
      </c>
      <c r="CJ5" s="121" t="str">
        <f t="shared" ref="CJ5:CJ56" si="7">IF(Q5-CD5=0,"数据正确","数据错误")</f>
        <v>数据正确</v>
      </c>
    </row>
    <row r="6" s="60" customFormat="1" customHeight="1" spans="1:88">
      <c r="A6" s="60" t="s">
        <v>36</v>
      </c>
      <c r="B6" s="70" t="str">
        <f t="shared" ref="B6:B48" si="8">IF(I6=0,"-","申请中")</f>
        <v>-</v>
      </c>
      <c r="C6" s="71" t="str">
        <f t="shared" ref="C6:C48" si="9">IF(CI6=100%,"已付清","-")</f>
        <v>-</v>
      </c>
      <c r="D6" s="72">
        <f t="shared" ref="D6:D48" si="10">CF6</f>
        <v>108735</v>
      </c>
      <c r="E6" s="72">
        <v>0</v>
      </c>
      <c r="F6" s="72">
        <v>0</v>
      </c>
      <c r="G6" s="72">
        <v>0</v>
      </c>
      <c r="H6" s="72">
        <v>0</v>
      </c>
      <c r="I6" s="72">
        <f t="shared" ref="I6:I48" si="11">CE6-CF6-CG6</f>
        <v>0</v>
      </c>
      <c r="J6" s="190" t="s">
        <v>98</v>
      </c>
      <c r="K6" s="87"/>
      <c r="L6" s="88">
        <v>109</v>
      </c>
      <c r="M6" s="89" t="s">
        <v>326</v>
      </c>
      <c r="N6" s="191" t="s">
        <v>29</v>
      </c>
      <c r="O6" s="90" t="s">
        <v>97</v>
      </c>
      <c r="P6" s="91">
        <v>42091</v>
      </c>
      <c r="Q6" s="173">
        <v>144980</v>
      </c>
      <c r="R6" s="89" t="s">
        <v>327</v>
      </c>
      <c r="S6" s="89" t="s">
        <v>328</v>
      </c>
      <c r="T6" s="89"/>
      <c r="U6" s="103" t="s">
        <v>329</v>
      </c>
      <c r="V6" s="203" t="s">
        <v>330</v>
      </c>
      <c r="W6" s="102">
        <v>137731</v>
      </c>
      <c r="X6" s="102">
        <v>108735</v>
      </c>
      <c r="Y6" s="129">
        <v>108735</v>
      </c>
      <c r="Z6" s="107" t="s">
        <v>331</v>
      </c>
      <c r="AA6" s="102">
        <v>7249</v>
      </c>
      <c r="AB6" s="102"/>
      <c r="AC6" s="129"/>
      <c r="AD6" s="107"/>
      <c r="AE6" s="102"/>
      <c r="AF6" s="102"/>
      <c r="AG6" s="102"/>
      <c r="AH6" s="107"/>
      <c r="AI6" s="102"/>
      <c r="AJ6" s="102"/>
      <c r="AK6" s="102"/>
      <c r="AL6" s="107"/>
      <c r="AM6" s="102"/>
      <c r="AN6" s="102"/>
      <c r="AO6" s="102"/>
      <c r="AP6" s="107"/>
      <c r="AQ6" s="102"/>
      <c r="AR6" s="102"/>
      <c r="AS6" s="102"/>
      <c r="AT6" s="107"/>
      <c r="AU6" s="102"/>
      <c r="AV6" s="102"/>
      <c r="AW6" s="102"/>
      <c r="AX6" s="107"/>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22"/>
      <c r="CD6" s="123">
        <f t="shared" ref="CD6:CF6" si="12">W6+AA6+AE6+AI6+AM6+AQ6+AU6+AY6+BC6+BG6+BK6+BO6+BS6+BW6+CA6</f>
        <v>144980</v>
      </c>
      <c r="CE6" s="102">
        <f t="shared" si="12"/>
        <v>108735</v>
      </c>
      <c r="CF6" s="102">
        <f t="shared" si="12"/>
        <v>108735</v>
      </c>
      <c r="CG6" s="102">
        <f t="shared" si="4"/>
        <v>0</v>
      </c>
      <c r="CH6" s="124">
        <f t="shared" si="5"/>
        <v>36245</v>
      </c>
      <c r="CI6" s="125">
        <f t="shared" si="6"/>
        <v>0.75</v>
      </c>
      <c r="CJ6" s="126" t="str">
        <f t="shared" si="7"/>
        <v>数据正确</v>
      </c>
    </row>
    <row r="7" s="60" customFormat="1" customHeight="1" spans="1:88">
      <c r="A7" s="60" t="s">
        <v>36</v>
      </c>
      <c r="B7" s="70" t="str">
        <f t="shared" si="8"/>
        <v>-</v>
      </c>
      <c r="C7" s="71" t="str">
        <f t="shared" si="9"/>
        <v>-</v>
      </c>
      <c r="D7" s="72">
        <f t="shared" si="10"/>
        <v>388835</v>
      </c>
      <c r="E7" s="72">
        <v>0</v>
      </c>
      <c r="F7" s="72">
        <v>0</v>
      </c>
      <c r="G7" s="72">
        <v>0</v>
      </c>
      <c r="H7" s="72">
        <v>0</v>
      </c>
      <c r="I7" s="72">
        <f t="shared" si="11"/>
        <v>0</v>
      </c>
      <c r="J7" s="190" t="s">
        <v>98</v>
      </c>
      <c r="K7" s="87"/>
      <c r="L7" s="88">
        <v>110</v>
      </c>
      <c r="M7" s="89" t="s">
        <v>332</v>
      </c>
      <c r="N7" s="191" t="s">
        <v>29</v>
      </c>
      <c r="O7" s="90" t="s">
        <v>97</v>
      </c>
      <c r="P7" s="91">
        <v>42240</v>
      </c>
      <c r="Q7" s="173">
        <v>409300</v>
      </c>
      <c r="R7" s="89" t="s">
        <v>333</v>
      </c>
      <c r="S7" s="89" t="s">
        <v>334</v>
      </c>
      <c r="T7" s="89"/>
      <c r="U7" s="103" t="s">
        <v>329</v>
      </c>
      <c r="V7" s="105" t="s">
        <v>330</v>
      </c>
      <c r="W7" s="102">
        <v>388835</v>
      </c>
      <c r="X7" s="102">
        <v>388835</v>
      </c>
      <c r="Y7" s="102">
        <v>388835</v>
      </c>
      <c r="Z7" s="107" t="s">
        <v>335</v>
      </c>
      <c r="AA7" s="102">
        <v>20465</v>
      </c>
      <c r="AB7" s="102"/>
      <c r="AC7" s="102"/>
      <c r="AD7" s="107"/>
      <c r="AE7" s="102"/>
      <c r="AF7" s="102"/>
      <c r="AG7" s="102"/>
      <c r="AH7" s="107"/>
      <c r="AI7" s="102"/>
      <c r="AJ7" s="102"/>
      <c r="AK7" s="102"/>
      <c r="AL7" s="107"/>
      <c r="AM7" s="102"/>
      <c r="AN7" s="102"/>
      <c r="AO7" s="102"/>
      <c r="AP7" s="107"/>
      <c r="AQ7" s="102"/>
      <c r="AR7" s="102"/>
      <c r="AS7" s="102"/>
      <c r="AT7" s="107"/>
      <c r="AU7" s="102"/>
      <c r="AV7" s="102"/>
      <c r="AW7" s="102"/>
      <c r="AX7" s="107"/>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22"/>
      <c r="CD7" s="123">
        <f t="shared" ref="CD7:CF7" si="13">W7+AA7+AE7+AI7+AM7+AQ7+AU7+AY7+BC7+BG7+BK7+BO7+BS7+BW7+CA7</f>
        <v>409300</v>
      </c>
      <c r="CE7" s="102">
        <f t="shared" si="13"/>
        <v>388835</v>
      </c>
      <c r="CF7" s="102">
        <f t="shared" si="13"/>
        <v>388835</v>
      </c>
      <c r="CG7" s="102">
        <f t="shared" si="4"/>
        <v>0</v>
      </c>
      <c r="CH7" s="124">
        <f t="shared" si="5"/>
        <v>20465</v>
      </c>
      <c r="CI7" s="125">
        <f t="shared" si="6"/>
        <v>0.95</v>
      </c>
      <c r="CJ7" s="126" t="str">
        <f t="shared" si="7"/>
        <v>数据正确</v>
      </c>
    </row>
    <row r="8" s="60" customFormat="1" customHeight="1" spans="1:88">
      <c r="A8" s="60" t="s">
        <v>36</v>
      </c>
      <c r="B8" s="70" t="str">
        <f t="shared" si="8"/>
        <v>-</v>
      </c>
      <c r="C8" s="71" t="str">
        <f t="shared" si="9"/>
        <v>-</v>
      </c>
      <c r="D8" s="72">
        <f t="shared" si="10"/>
        <v>46569</v>
      </c>
      <c r="E8" s="72">
        <v>0</v>
      </c>
      <c r="F8" s="72">
        <v>0</v>
      </c>
      <c r="G8" s="72">
        <v>0</v>
      </c>
      <c r="H8" s="72">
        <v>0</v>
      </c>
      <c r="I8" s="72">
        <f t="shared" si="11"/>
        <v>0</v>
      </c>
      <c r="J8" s="190" t="s">
        <v>98</v>
      </c>
      <c r="K8" s="87"/>
      <c r="L8" s="88">
        <v>111</v>
      </c>
      <c r="M8" s="89" t="s">
        <v>336</v>
      </c>
      <c r="N8" s="191" t="s">
        <v>29</v>
      </c>
      <c r="O8" s="90" t="s">
        <v>97</v>
      </c>
      <c r="P8" s="91">
        <v>42240</v>
      </c>
      <c r="Q8" s="173">
        <v>49020</v>
      </c>
      <c r="R8" s="89" t="s">
        <v>337</v>
      </c>
      <c r="S8" s="89" t="s">
        <v>338</v>
      </c>
      <c r="T8" s="89"/>
      <c r="U8" s="103" t="s">
        <v>329</v>
      </c>
      <c r="V8" s="105" t="s">
        <v>330</v>
      </c>
      <c r="W8" s="102">
        <v>46569</v>
      </c>
      <c r="X8" s="102">
        <v>46569</v>
      </c>
      <c r="Y8" s="102">
        <v>46569</v>
      </c>
      <c r="Z8" s="107" t="s">
        <v>331</v>
      </c>
      <c r="AA8" s="102">
        <v>2451</v>
      </c>
      <c r="AB8" s="102"/>
      <c r="AC8" s="102"/>
      <c r="AD8" s="107"/>
      <c r="AE8" s="102"/>
      <c r="AF8" s="102"/>
      <c r="AG8" s="102"/>
      <c r="AH8" s="107"/>
      <c r="AI8" s="102"/>
      <c r="AJ8" s="102"/>
      <c r="AK8" s="102"/>
      <c r="AL8" s="107"/>
      <c r="AM8" s="102"/>
      <c r="AN8" s="102"/>
      <c r="AO8" s="102"/>
      <c r="AP8" s="107"/>
      <c r="AQ8" s="102"/>
      <c r="AR8" s="102"/>
      <c r="AS8" s="102"/>
      <c r="AT8" s="107"/>
      <c r="AU8" s="102"/>
      <c r="AV8" s="102"/>
      <c r="AW8" s="102"/>
      <c r="AX8" s="107"/>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22"/>
      <c r="CD8" s="123">
        <f t="shared" ref="CD8:CF8" si="14">W8+AA8+AE8+AI8+AM8+AQ8+AU8+AY8+BC8+BG8+BK8+BO8+BS8+BW8+CA8</f>
        <v>49020</v>
      </c>
      <c r="CE8" s="102">
        <f t="shared" si="14"/>
        <v>46569</v>
      </c>
      <c r="CF8" s="102">
        <f t="shared" si="14"/>
        <v>46569</v>
      </c>
      <c r="CG8" s="102">
        <f t="shared" si="4"/>
        <v>0</v>
      </c>
      <c r="CH8" s="124">
        <f t="shared" si="5"/>
        <v>2451</v>
      </c>
      <c r="CI8" s="125">
        <f t="shared" si="6"/>
        <v>0.95</v>
      </c>
      <c r="CJ8" s="126" t="str">
        <f t="shared" si="7"/>
        <v>数据正确</v>
      </c>
    </row>
    <row r="9" s="60" customFormat="1" customHeight="1" spans="1:88">
      <c r="A9" s="60" t="s">
        <v>36</v>
      </c>
      <c r="B9" s="70" t="str">
        <f t="shared" si="8"/>
        <v>-</v>
      </c>
      <c r="C9" s="71" t="str">
        <f t="shared" si="9"/>
        <v>-</v>
      </c>
      <c r="D9" s="72">
        <f t="shared" si="10"/>
        <v>0</v>
      </c>
      <c r="E9" s="72">
        <v>0</v>
      </c>
      <c r="F9" s="72">
        <v>0</v>
      </c>
      <c r="G9" s="72">
        <v>0</v>
      </c>
      <c r="H9" s="72">
        <v>0</v>
      </c>
      <c r="I9" s="72">
        <f t="shared" si="11"/>
        <v>0</v>
      </c>
      <c r="J9" s="190" t="s">
        <v>98</v>
      </c>
      <c r="K9" s="87"/>
      <c r="L9" s="88">
        <v>112</v>
      </c>
      <c r="M9" s="89" t="s">
        <v>339</v>
      </c>
      <c r="N9" s="191" t="s">
        <v>29</v>
      </c>
      <c r="O9" s="90" t="s">
        <v>97</v>
      </c>
      <c r="P9" s="91">
        <v>42324</v>
      </c>
      <c r="Q9" s="173">
        <v>76312</v>
      </c>
      <c r="R9" s="89" t="s">
        <v>340</v>
      </c>
      <c r="S9" s="89" t="s">
        <v>334</v>
      </c>
      <c r="T9" s="89"/>
      <c r="U9" s="103" t="s">
        <v>329</v>
      </c>
      <c r="V9" s="105" t="s">
        <v>330</v>
      </c>
      <c r="W9" s="102">
        <v>72496.4</v>
      </c>
      <c r="X9" s="102"/>
      <c r="Y9" s="102"/>
      <c r="Z9" s="107" t="s">
        <v>335</v>
      </c>
      <c r="AA9" s="102">
        <v>3815.6</v>
      </c>
      <c r="AB9" s="102"/>
      <c r="AC9" s="102"/>
      <c r="AD9" s="107"/>
      <c r="AE9" s="102"/>
      <c r="AF9" s="102"/>
      <c r="AG9" s="102"/>
      <c r="AH9" s="107"/>
      <c r="AI9" s="102"/>
      <c r="AJ9" s="102"/>
      <c r="AK9" s="102"/>
      <c r="AL9" s="107"/>
      <c r="AM9" s="102"/>
      <c r="AN9" s="102"/>
      <c r="AO9" s="102"/>
      <c r="AP9" s="107"/>
      <c r="AQ9" s="102"/>
      <c r="AR9" s="102"/>
      <c r="AS9" s="102"/>
      <c r="AT9" s="107"/>
      <c r="AU9" s="102"/>
      <c r="AV9" s="102"/>
      <c r="AW9" s="102"/>
      <c r="AX9" s="107"/>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22"/>
      <c r="CD9" s="123">
        <f t="shared" ref="CD9:CF9" si="15">W9+AA9+AE9+AI9+AM9+AQ9+AU9+AY9+BC9+BG9+BK9+BO9+BS9+BW9+CA9</f>
        <v>76312</v>
      </c>
      <c r="CE9" s="102">
        <f t="shared" si="15"/>
        <v>0</v>
      </c>
      <c r="CF9" s="102">
        <f t="shared" si="15"/>
        <v>0</v>
      </c>
      <c r="CG9" s="102">
        <f t="shared" si="4"/>
        <v>0</v>
      </c>
      <c r="CH9" s="124">
        <f t="shared" si="5"/>
        <v>76312</v>
      </c>
      <c r="CI9" s="125">
        <f t="shared" si="6"/>
        <v>0</v>
      </c>
      <c r="CJ9" s="126" t="str">
        <f t="shared" si="7"/>
        <v>数据正确</v>
      </c>
    </row>
    <row r="10" s="60" customFormat="1" customHeight="1" spans="1:88">
      <c r="A10" s="60" t="s">
        <v>36</v>
      </c>
      <c r="B10" s="70" t="str">
        <f t="shared" si="8"/>
        <v>-</v>
      </c>
      <c r="C10" s="71" t="str">
        <f t="shared" si="9"/>
        <v>-</v>
      </c>
      <c r="D10" s="72">
        <f t="shared" si="10"/>
        <v>31709</v>
      </c>
      <c r="E10" s="72">
        <v>0</v>
      </c>
      <c r="F10" s="72">
        <v>0</v>
      </c>
      <c r="G10" s="72">
        <v>0</v>
      </c>
      <c r="H10" s="72">
        <v>0</v>
      </c>
      <c r="I10" s="72">
        <f t="shared" si="11"/>
        <v>0</v>
      </c>
      <c r="J10" s="190" t="s">
        <v>98</v>
      </c>
      <c r="K10" s="87"/>
      <c r="L10" s="88">
        <v>113</v>
      </c>
      <c r="M10" s="89" t="s">
        <v>126</v>
      </c>
      <c r="N10" s="191" t="s">
        <v>29</v>
      </c>
      <c r="O10" s="90" t="s">
        <v>97</v>
      </c>
      <c r="P10" s="91">
        <v>42460</v>
      </c>
      <c r="Q10" s="173">
        <v>24780</v>
      </c>
      <c r="R10" s="89" t="s">
        <v>341</v>
      </c>
      <c r="S10" s="89" t="s">
        <v>342</v>
      </c>
      <c r="T10" s="89"/>
      <c r="U10" s="103" t="s">
        <v>343</v>
      </c>
      <c r="V10" s="105" t="s">
        <v>344</v>
      </c>
      <c r="W10" s="102">
        <v>24780</v>
      </c>
      <c r="X10" s="102">
        <v>31709</v>
      </c>
      <c r="Y10" s="102">
        <v>31709</v>
      </c>
      <c r="Z10" s="107"/>
      <c r="AA10" s="102"/>
      <c r="AB10" s="102"/>
      <c r="AC10" s="102"/>
      <c r="AD10" s="107"/>
      <c r="AE10" s="102"/>
      <c r="AF10" s="102"/>
      <c r="AG10" s="102"/>
      <c r="AH10" s="107"/>
      <c r="AI10" s="102"/>
      <c r="AJ10" s="102"/>
      <c r="AK10" s="102"/>
      <c r="AL10" s="107"/>
      <c r="AM10" s="102"/>
      <c r="AN10" s="102"/>
      <c r="AO10" s="102"/>
      <c r="AP10" s="107"/>
      <c r="AQ10" s="102"/>
      <c r="AR10" s="102"/>
      <c r="AS10" s="102"/>
      <c r="AT10" s="107"/>
      <c r="AU10" s="102"/>
      <c r="AV10" s="102"/>
      <c r="AW10" s="102"/>
      <c r="AX10" s="107"/>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22"/>
      <c r="CD10" s="123">
        <f t="shared" ref="CD10:CF10" si="16">W10+AA10+AE10+AI10+AM10+AQ10+AU10+AY10+BC10+BG10+BK10+BO10+BS10+BW10+CA10</f>
        <v>24780</v>
      </c>
      <c r="CE10" s="102">
        <f t="shared" si="16"/>
        <v>31709</v>
      </c>
      <c r="CF10" s="102">
        <f t="shared" si="16"/>
        <v>31709</v>
      </c>
      <c r="CG10" s="102">
        <f t="shared" si="4"/>
        <v>0</v>
      </c>
      <c r="CH10" s="124">
        <f t="shared" si="5"/>
        <v>-6929</v>
      </c>
      <c r="CI10" s="125">
        <f t="shared" si="6"/>
        <v>1.27962066182405</v>
      </c>
      <c r="CJ10" s="126" t="str">
        <f t="shared" si="7"/>
        <v>数据正确</v>
      </c>
    </row>
    <row r="11" s="60" customFormat="1" customHeight="1" spans="1:88">
      <c r="A11" s="60" t="s">
        <v>36</v>
      </c>
      <c r="B11" s="70" t="str">
        <f t="shared" si="8"/>
        <v>-</v>
      </c>
      <c r="C11" s="71" t="str">
        <f t="shared" si="9"/>
        <v>已付清</v>
      </c>
      <c r="D11" s="72">
        <f t="shared" si="10"/>
        <v>0.001</v>
      </c>
      <c r="E11" s="72">
        <v>0</v>
      </c>
      <c r="F11" s="72">
        <v>0</v>
      </c>
      <c r="G11" s="72">
        <v>0</v>
      </c>
      <c r="H11" s="72">
        <v>0</v>
      </c>
      <c r="I11" s="72">
        <f t="shared" si="11"/>
        <v>0</v>
      </c>
      <c r="J11" s="190" t="s">
        <v>98</v>
      </c>
      <c r="K11" s="87"/>
      <c r="L11" s="88">
        <v>6</v>
      </c>
      <c r="M11" s="148" t="s">
        <v>345</v>
      </c>
      <c r="N11" s="191" t="s">
        <v>29</v>
      </c>
      <c r="O11" s="192">
        <v>2016070031</v>
      </c>
      <c r="P11" s="149">
        <v>42750</v>
      </c>
      <c r="Q11" s="204">
        <v>0.001</v>
      </c>
      <c r="R11" s="89" t="s">
        <v>346</v>
      </c>
      <c r="S11" s="148" t="s">
        <v>347</v>
      </c>
      <c r="T11" s="89"/>
      <c r="U11" s="103" t="s">
        <v>348</v>
      </c>
      <c r="V11" s="105" t="s">
        <v>348</v>
      </c>
      <c r="W11" s="102">
        <v>0.001</v>
      </c>
      <c r="X11" s="102">
        <v>0.001</v>
      </c>
      <c r="Y11" s="102">
        <v>0.001</v>
      </c>
      <c r="Z11" s="107"/>
      <c r="AA11" s="102"/>
      <c r="AB11" s="102"/>
      <c r="AC11" s="102"/>
      <c r="AD11" s="107"/>
      <c r="AE11" s="102"/>
      <c r="AF11" s="102"/>
      <c r="AG11" s="102"/>
      <c r="AH11" s="107"/>
      <c r="AI11" s="102"/>
      <c r="AJ11" s="102"/>
      <c r="AK11" s="102"/>
      <c r="AL11" s="107"/>
      <c r="AM11" s="102"/>
      <c r="AN11" s="102"/>
      <c r="AO11" s="102"/>
      <c r="AP11" s="107"/>
      <c r="AQ11" s="102"/>
      <c r="AR11" s="102"/>
      <c r="AS11" s="102"/>
      <c r="AT11" s="107"/>
      <c r="AU11" s="102"/>
      <c r="AV11" s="102"/>
      <c r="AW11" s="102"/>
      <c r="AX11" s="107"/>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22"/>
      <c r="CD11" s="123">
        <f t="shared" ref="CD11:CF11" si="17">W11+AA11+AE11+AI11+AM11+AQ11+AU11+AY11+BC11+BG11+BK11+BO11+BS11+BW11+CA11</f>
        <v>0.001</v>
      </c>
      <c r="CE11" s="102">
        <f t="shared" si="17"/>
        <v>0.001</v>
      </c>
      <c r="CF11" s="102">
        <f t="shared" si="17"/>
        <v>0.001</v>
      </c>
      <c r="CG11" s="102">
        <f t="shared" si="4"/>
        <v>0</v>
      </c>
      <c r="CH11" s="124">
        <f t="shared" si="5"/>
        <v>0</v>
      </c>
      <c r="CI11" s="125">
        <f t="shared" si="6"/>
        <v>1</v>
      </c>
      <c r="CJ11" s="126" t="str">
        <f t="shared" si="7"/>
        <v>数据正确</v>
      </c>
    </row>
    <row r="12" s="60" customFormat="1" customHeight="1" spans="1:88">
      <c r="A12" s="60" t="s">
        <v>36</v>
      </c>
      <c r="B12" s="70" t="str">
        <f t="shared" ref="B12:B52" si="18">IF(I12=0,"-","申请中")</f>
        <v>-</v>
      </c>
      <c r="C12" s="71" t="str">
        <f t="shared" ref="C12:C52" si="19">IF(CI12=100%,"已付清","-")</f>
        <v>-</v>
      </c>
      <c r="D12" s="72">
        <f t="shared" ref="D12:D52" si="20">CF12</f>
        <v>1152000</v>
      </c>
      <c r="E12" s="72">
        <v>0</v>
      </c>
      <c r="F12" s="72">
        <v>0</v>
      </c>
      <c r="G12" s="72">
        <v>0</v>
      </c>
      <c r="H12" s="72">
        <v>0</v>
      </c>
      <c r="I12" s="72">
        <f t="shared" ref="I12:I52" si="21">CE12-CF12-CG12</f>
        <v>0</v>
      </c>
      <c r="J12" s="190" t="s">
        <v>98</v>
      </c>
      <c r="K12" s="87"/>
      <c r="L12" s="88">
        <v>7</v>
      </c>
      <c r="M12" s="148" t="s">
        <v>349</v>
      </c>
      <c r="N12" s="191" t="s">
        <v>29</v>
      </c>
      <c r="O12" s="90" t="s">
        <v>350</v>
      </c>
      <c r="P12" s="149">
        <v>42758</v>
      </c>
      <c r="Q12" s="204">
        <v>1280000</v>
      </c>
      <c r="R12" s="89" t="s">
        <v>351</v>
      </c>
      <c r="S12" s="148" t="s">
        <v>352</v>
      </c>
      <c r="T12" s="89" t="s">
        <v>353</v>
      </c>
      <c r="U12" s="103" t="s">
        <v>354</v>
      </c>
      <c r="V12" s="105" t="s">
        <v>355</v>
      </c>
      <c r="W12" s="102">
        <v>1152000</v>
      </c>
      <c r="X12" s="102">
        <v>1152000</v>
      </c>
      <c r="Y12" s="102">
        <v>1152000</v>
      </c>
      <c r="Z12" s="107" t="s">
        <v>356</v>
      </c>
      <c r="AA12" s="102">
        <v>128000</v>
      </c>
      <c r="AB12" s="102"/>
      <c r="AC12" s="102"/>
      <c r="AD12" s="107"/>
      <c r="AE12" s="102"/>
      <c r="AF12" s="102"/>
      <c r="AG12" s="102"/>
      <c r="AH12" s="107"/>
      <c r="AI12" s="102"/>
      <c r="AJ12" s="102"/>
      <c r="AK12" s="102"/>
      <c r="AL12" s="107"/>
      <c r="AM12" s="102"/>
      <c r="AN12" s="102"/>
      <c r="AO12" s="102"/>
      <c r="AP12" s="107"/>
      <c r="AQ12" s="102"/>
      <c r="AR12" s="102"/>
      <c r="AS12" s="102"/>
      <c r="AT12" s="107"/>
      <c r="AU12" s="102"/>
      <c r="AV12" s="102"/>
      <c r="AW12" s="102"/>
      <c r="AX12" s="107"/>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22"/>
      <c r="CD12" s="123">
        <f t="shared" ref="CD12:CD52" si="22">W12+AA12+AE12+AI12+AM12+AQ12+AU12+AY12+BC12+BG12+BK12+BO12+BS12+BW12+CA12</f>
        <v>1280000</v>
      </c>
      <c r="CE12" s="102">
        <f t="shared" ref="CE12:CE52" si="23">X12+AB12+AF12+AJ12+AN12+AR12+AV12+AZ12+BD12+BH12+BL12+BP12+BT12+BX12+CB12</f>
        <v>1152000</v>
      </c>
      <c r="CF12" s="102">
        <f t="shared" ref="CF12:CF52" si="24">Y12+AC12+AG12+AK12+AO12+AS12+AW12+BA12+BE12+BI12+BM12+BQ12+BU12+BY12+CC12</f>
        <v>1152000</v>
      </c>
      <c r="CG12" s="102">
        <f t="shared" ref="CG12:CG52" si="25">E12+F12+G12+H12</f>
        <v>0</v>
      </c>
      <c r="CH12" s="124">
        <f t="shared" ref="CH12:CH52" si="26">Q12-CF12-CG12</f>
        <v>128000</v>
      </c>
      <c r="CI12" s="125">
        <f t="shared" ref="CI12:CI52" si="27">IF(ISERROR((CF12+CG12)/Q12),"-",(CF12+CG12)/Q12)</f>
        <v>0.9</v>
      </c>
      <c r="CJ12" s="126" t="str">
        <f t="shared" ref="CJ12:CJ52" si="28">IF(Q12-CD12=0,"数据正确","数据错误")</f>
        <v>数据正确</v>
      </c>
    </row>
    <row r="13" s="60" customFormat="1" customHeight="1" spans="1:88">
      <c r="A13" s="60" t="s">
        <v>36</v>
      </c>
      <c r="B13" s="70" t="str">
        <f t="shared" si="18"/>
        <v>-</v>
      </c>
      <c r="C13" s="71" t="str">
        <f t="shared" si="19"/>
        <v>-</v>
      </c>
      <c r="D13" s="72">
        <f t="shared" si="20"/>
        <v>7910000</v>
      </c>
      <c r="E13" s="72">
        <v>0</v>
      </c>
      <c r="F13" s="72">
        <v>0</v>
      </c>
      <c r="G13" s="72">
        <v>0</v>
      </c>
      <c r="H13" s="72">
        <v>0</v>
      </c>
      <c r="I13" s="72">
        <f t="shared" si="21"/>
        <v>0</v>
      </c>
      <c r="J13" s="190" t="s">
        <v>98</v>
      </c>
      <c r="K13" s="87"/>
      <c r="L13" s="88">
        <v>5</v>
      </c>
      <c r="M13" s="148" t="s">
        <v>357</v>
      </c>
      <c r="N13" s="191" t="s">
        <v>29</v>
      </c>
      <c r="O13" s="90" t="s">
        <v>358</v>
      </c>
      <c r="P13" s="149">
        <v>42772</v>
      </c>
      <c r="Q13" s="204">
        <v>11300000</v>
      </c>
      <c r="R13" s="89" t="s">
        <v>359</v>
      </c>
      <c r="S13" s="148" t="s">
        <v>360</v>
      </c>
      <c r="T13" s="89" t="s">
        <v>361</v>
      </c>
      <c r="U13" s="103" t="s">
        <v>354</v>
      </c>
      <c r="V13" s="105" t="s">
        <v>362</v>
      </c>
      <c r="W13" s="102">
        <v>2260000</v>
      </c>
      <c r="X13" s="102">
        <v>2260000</v>
      </c>
      <c r="Y13" s="102">
        <v>2260000</v>
      </c>
      <c r="Z13" s="107" t="s">
        <v>363</v>
      </c>
      <c r="AA13" s="102">
        <v>5650000</v>
      </c>
      <c r="AB13" s="102">
        <v>5650000</v>
      </c>
      <c r="AC13" s="102">
        <v>5650000</v>
      </c>
      <c r="AD13" s="107" t="s">
        <v>364</v>
      </c>
      <c r="AE13" s="102">
        <v>3390000</v>
      </c>
      <c r="AF13" s="102"/>
      <c r="AG13" s="102"/>
      <c r="AH13" s="107"/>
      <c r="AI13" s="102"/>
      <c r="AJ13" s="102"/>
      <c r="AK13" s="102"/>
      <c r="AL13" s="107"/>
      <c r="AM13" s="102"/>
      <c r="AN13" s="102"/>
      <c r="AO13" s="102"/>
      <c r="AP13" s="107"/>
      <c r="AQ13" s="102"/>
      <c r="AR13" s="102"/>
      <c r="AS13" s="102"/>
      <c r="AT13" s="107"/>
      <c r="AU13" s="102"/>
      <c r="AV13" s="102"/>
      <c r="AW13" s="102"/>
      <c r="AX13" s="107"/>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22"/>
      <c r="CD13" s="123">
        <f t="shared" si="22"/>
        <v>11300000</v>
      </c>
      <c r="CE13" s="102">
        <f t="shared" si="23"/>
        <v>7910000</v>
      </c>
      <c r="CF13" s="102">
        <f t="shared" si="24"/>
        <v>7910000</v>
      </c>
      <c r="CG13" s="102">
        <f t="shared" si="25"/>
        <v>0</v>
      </c>
      <c r="CH13" s="124">
        <f t="shared" si="26"/>
        <v>3390000</v>
      </c>
      <c r="CI13" s="125">
        <f t="shared" si="27"/>
        <v>0.7</v>
      </c>
      <c r="CJ13" s="126" t="str">
        <f t="shared" si="28"/>
        <v>数据正确</v>
      </c>
    </row>
    <row r="14" s="60" customFormat="1" customHeight="1" spans="1:88">
      <c r="A14" s="60" t="s">
        <v>36</v>
      </c>
      <c r="B14" s="70" t="str">
        <f t="shared" si="18"/>
        <v>-</v>
      </c>
      <c r="C14" s="71" t="str">
        <f t="shared" si="19"/>
        <v>-</v>
      </c>
      <c r="D14" s="72">
        <f t="shared" si="20"/>
        <v>824000</v>
      </c>
      <c r="E14" s="72">
        <v>0</v>
      </c>
      <c r="F14" s="72">
        <v>0</v>
      </c>
      <c r="G14" s="72">
        <v>0</v>
      </c>
      <c r="H14" s="72">
        <v>0</v>
      </c>
      <c r="I14" s="72">
        <f t="shared" si="21"/>
        <v>0</v>
      </c>
      <c r="J14" s="190" t="s">
        <v>98</v>
      </c>
      <c r="K14" s="87"/>
      <c r="L14" s="88">
        <v>11</v>
      </c>
      <c r="M14" s="148" t="s">
        <v>365</v>
      </c>
      <c r="N14" s="191" t="s">
        <v>29</v>
      </c>
      <c r="O14" s="192" t="s">
        <v>366</v>
      </c>
      <c r="P14" s="149">
        <v>42788</v>
      </c>
      <c r="Q14" s="204">
        <v>4120000</v>
      </c>
      <c r="R14" s="89" t="s">
        <v>367</v>
      </c>
      <c r="S14" s="148" t="s">
        <v>368</v>
      </c>
      <c r="T14" s="89"/>
      <c r="U14" s="103" t="s">
        <v>354</v>
      </c>
      <c r="V14" s="105" t="s">
        <v>369</v>
      </c>
      <c r="W14" s="102">
        <v>824000</v>
      </c>
      <c r="X14" s="102">
        <v>824000</v>
      </c>
      <c r="Y14" s="102">
        <v>824000</v>
      </c>
      <c r="Z14" s="107" t="s">
        <v>370</v>
      </c>
      <c r="AA14" s="102">
        <v>2472000</v>
      </c>
      <c r="AB14" s="102"/>
      <c r="AC14" s="102"/>
      <c r="AD14" s="107" t="s">
        <v>371</v>
      </c>
      <c r="AE14" s="102">
        <v>412000</v>
      </c>
      <c r="AF14" s="102"/>
      <c r="AG14" s="102"/>
      <c r="AH14" s="107" t="s">
        <v>372</v>
      </c>
      <c r="AI14" s="102">
        <v>412000</v>
      </c>
      <c r="AJ14" s="102"/>
      <c r="AK14" s="102"/>
      <c r="AL14" s="107"/>
      <c r="AM14" s="102"/>
      <c r="AN14" s="102"/>
      <c r="AO14" s="102"/>
      <c r="AP14" s="107"/>
      <c r="AQ14" s="102"/>
      <c r="AR14" s="102"/>
      <c r="AS14" s="102"/>
      <c r="AT14" s="107"/>
      <c r="AU14" s="102"/>
      <c r="AV14" s="102"/>
      <c r="AW14" s="102"/>
      <c r="AX14" s="107"/>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22"/>
      <c r="CD14" s="123">
        <f t="shared" si="22"/>
        <v>4120000</v>
      </c>
      <c r="CE14" s="102">
        <f t="shared" si="23"/>
        <v>824000</v>
      </c>
      <c r="CF14" s="102">
        <f t="shared" si="24"/>
        <v>824000</v>
      </c>
      <c r="CG14" s="102">
        <f t="shared" si="25"/>
        <v>0</v>
      </c>
      <c r="CH14" s="124">
        <f t="shared" si="26"/>
        <v>3296000</v>
      </c>
      <c r="CI14" s="125">
        <f t="shared" si="27"/>
        <v>0.2</v>
      </c>
      <c r="CJ14" s="126" t="str">
        <f t="shared" si="28"/>
        <v>数据正确</v>
      </c>
    </row>
    <row r="15" s="60" customFormat="1" customHeight="1" spans="1:88">
      <c r="A15" s="60" t="s">
        <v>36</v>
      </c>
      <c r="B15" s="70" t="str">
        <f t="shared" si="18"/>
        <v>-</v>
      </c>
      <c r="C15" s="71" t="str">
        <f t="shared" si="19"/>
        <v>-</v>
      </c>
      <c r="D15" s="72">
        <f t="shared" si="20"/>
        <v>0</v>
      </c>
      <c r="E15" s="72">
        <v>0</v>
      </c>
      <c r="F15" s="72">
        <v>0</v>
      </c>
      <c r="G15" s="72">
        <v>0</v>
      </c>
      <c r="H15" s="72">
        <v>0</v>
      </c>
      <c r="I15" s="72">
        <f t="shared" si="21"/>
        <v>0</v>
      </c>
      <c r="J15" s="190" t="s">
        <v>98</v>
      </c>
      <c r="K15" s="87"/>
      <c r="L15" s="88">
        <v>12</v>
      </c>
      <c r="M15" s="148" t="s">
        <v>373</v>
      </c>
      <c r="N15" s="191" t="s">
        <v>29</v>
      </c>
      <c r="O15" s="90" t="s">
        <v>374</v>
      </c>
      <c r="P15" s="149">
        <v>42788</v>
      </c>
      <c r="Q15" s="204">
        <v>500000</v>
      </c>
      <c r="R15" s="89" t="s">
        <v>375</v>
      </c>
      <c r="S15" s="148" t="s">
        <v>376</v>
      </c>
      <c r="T15" s="89"/>
      <c r="U15" s="103" t="s">
        <v>354</v>
      </c>
      <c r="V15" s="105" t="s">
        <v>377</v>
      </c>
      <c r="W15" s="102">
        <v>400000</v>
      </c>
      <c r="X15" s="102"/>
      <c r="Y15" s="102"/>
      <c r="Z15" s="107" t="s">
        <v>378</v>
      </c>
      <c r="AA15" s="102">
        <v>50000</v>
      </c>
      <c r="AB15" s="102"/>
      <c r="AC15" s="102"/>
      <c r="AD15" s="107" t="s">
        <v>379</v>
      </c>
      <c r="AE15" s="102">
        <v>25000</v>
      </c>
      <c r="AF15" s="102"/>
      <c r="AG15" s="102"/>
      <c r="AH15" s="107" t="s">
        <v>380</v>
      </c>
      <c r="AI15" s="102">
        <v>25000</v>
      </c>
      <c r="AJ15" s="102"/>
      <c r="AK15" s="102"/>
      <c r="AL15" s="107"/>
      <c r="AM15" s="102"/>
      <c r="AN15" s="102"/>
      <c r="AO15" s="102"/>
      <c r="AP15" s="107"/>
      <c r="AQ15" s="102"/>
      <c r="AR15" s="102"/>
      <c r="AS15" s="102"/>
      <c r="AT15" s="107"/>
      <c r="AU15" s="102"/>
      <c r="AV15" s="102"/>
      <c r="AW15" s="102"/>
      <c r="AX15" s="107"/>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22"/>
      <c r="CD15" s="123">
        <f t="shared" si="22"/>
        <v>500000</v>
      </c>
      <c r="CE15" s="102">
        <f t="shared" si="23"/>
        <v>0</v>
      </c>
      <c r="CF15" s="102">
        <f t="shared" si="24"/>
        <v>0</v>
      </c>
      <c r="CG15" s="102">
        <f t="shared" si="25"/>
        <v>0</v>
      </c>
      <c r="CH15" s="124">
        <f t="shared" si="26"/>
        <v>500000</v>
      </c>
      <c r="CI15" s="125">
        <f t="shared" si="27"/>
        <v>0</v>
      </c>
      <c r="CJ15" s="126" t="str">
        <f t="shared" si="28"/>
        <v>数据正确</v>
      </c>
    </row>
    <row r="16" s="60" customFormat="1" customHeight="1" spans="1:88">
      <c r="A16" s="60" t="s">
        <v>36</v>
      </c>
      <c r="B16" s="70" t="str">
        <f t="shared" si="18"/>
        <v>-</v>
      </c>
      <c r="C16" s="71" t="str">
        <f t="shared" si="19"/>
        <v>-</v>
      </c>
      <c r="D16" s="72">
        <f t="shared" si="20"/>
        <v>1258200</v>
      </c>
      <c r="E16" s="72">
        <v>0</v>
      </c>
      <c r="F16" s="72">
        <v>0</v>
      </c>
      <c r="G16" s="72">
        <v>0</v>
      </c>
      <c r="H16" s="72">
        <v>0</v>
      </c>
      <c r="I16" s="72">
        <f t="shared" si="21"/>
        <v>0</v>
      </c>
      <c r="J16" s="190" t="s">
        <v>98</v>
      </c>
      <c r="K16" s="87"/>
      <c r="L16" s="88">
        <v>9</v>
      </c>
      <c r="M16" s="148" t="s">
        <v>381</v>
      </c>
      <c r="N16" s="191" t="s">
        <v>29</v>
      </c>
      <c r="O16" s="90" t="s">
        <v>382</v>
      </c>
      <c r="P16" s="149">
        <v>42793</v>
      </c>
      <c r="Q16" s="204">
        <v>1398000</v>
      </c>
      <c r="R16" s="89" t="s">
        <v>383</v>
      </c>
      <c r="S16" s="148" t="s">
        <v>384</v>
      </c>
      <c r="T16" s="89" t="s">
        <v>385</v>
      </c>
      <c r="U16" s="103" t="s">
        <v>343</v>
      </c>
      <c r="V16" s="105" t="s">
        <v>386</v>
      </c>
      <c r="W16" s="102">
        <v>279600</v>
      </c>
      <c r="X16" s="102">
        <v>279600</v>
      </c>
      <c r="Y16" s="102">
        <v>279600</v>
      </c>
      <c r="Z16" s="107" t="s">
        <v>387</v>
      </c>
      <c r="AA16" s="102">
        <v>978600</v>
      </c>
      <c r="AB16" s="102">
        <v>978600</v>
      </c>
      <c r="AC16" s="102">
        <v>978600</v>
      </c>
      <c r="AD16" s="107" t="s">
        <v>41</v>
      </c>
      <c r="AE16" s="102">
        <v>139800</v>
      </c>
      <c r="AF16" s="102"/>
      <c r="AG16" s="102"/>
      <c r="AH16" s="107"/>
      <c r="AI16" s="102"/>
      <c r="AJ16" s="102"/>
      <c r="AK16" s="102"/>
      <c r="AL16" s="107"/>
      <c r="AM16" s="102"/>
      <c r="AN16" s="102"/>
      <c r="AO16" s="102"/>
      <c r="AP16" s="107"/>
      <c r="AQ16" s="102"/>
      <c r="AR16" s="102"/>
      <c r="AS16" s="102"/>
      <c r="AT16" s="107"/>
      <c r="AU16" s="102"/>
      <c r="AV16" s="102"/>
      <c r="AW16" s="102"/>
      <c r="AX16" s="107"/>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22"/>
      <c r="CD16" s="123">
        <f t="shared" si="22"/>
        <v>1398000</v>
      </c>
      <c r="CE16" s="102">
        <f t="shared" si="23"/>
        <v>1258200</v>
      </c>
      <c r="CF16" s="102">
        <f t="shared" si="24"/>
        <v>1258200</v>
      </c>
      <c r="CG16" s="102">
        <f t="shared" si="25"/>
        <v>0</v>
      </c>
      <c r="CH16" s="124">
        <f t="shared" si="26"/>
        <v>139800</v>
      </c>
      <c r="CI16" s="125">
        <f t="shared" si="27"/>
        <v>0.9</v>
      </c>
      <c r="CJ16" s="126" t="str">
        <f t="shared" si="28"/>
        <v>数据正确</v>
      </c>
    </row>
    <row r="17" s="60" customFormat="1" customHeight="1" spans="1:88">
      <c r="A17" s="60" t="s">
        <v>36</v>
      </c>
      <c r="B17" s="70" t="str">
        <f t="shared" si="18"/>
        <v>-</v>
      </c>
      <c r="C17" s="71" t="str">
        <f t="shared" si="19"/>
        <v>-</v>
      </c>
      <c r="D17" s="72">
        <f t="shared" si="20"/>
        <v>89900</v>
      </c>
      <c r="E17" s="72">
        <v>0</v>
      </c>
      <c r="F17" s="72">
        <v>0</v>
      </c>
      <c r="G17" s="72">
        <v>0</v>
      </c>
      <c r="H17" s="72">
        <v>0</v>
      </c>
      <c r="I17" s="72">
        <f t="shared" si="21"/>
        <v>0</v>
      </c>
      <c r="J17" s="190" t="s">
        <v>98</v>
      </c>
      <c r="K17" s="87"/>
      <c r="L17" s="88">
        <v>13</v>
      </c>
      <c r="M17" s="148" t="s">
        <v>388</v>
      </c>
      <c r="N17" s="191" t="s">
        <v>29</v>
      </c>
      <c r="O17" s="90" t="s">
        <v>389</v>
      </c>
      <c r="P17" s="149">
        <v>42800</v>
      </c>
      <c r="Q17" s="204">
        <v>899000</v>
      </c>
      <c r="R17" s="89" t="s">
        <v>390</v>
      </c>
      <c r="S17" s="148" t="s">
        <v>391</v>
      </c>
      <c r="T17" s="89" t="s">
        <v>392</v>
      </c>
      <c r="U17" s="103" t="s">
        <v>354</v>
      </c>
      <c r="V17" s="105" t="s">
        <v>393</v>
      </c>
      <c r="W17" s="102">
        <v>89900</v>
      </c>
      <c r="X17" s="102">
        <v>89900</v>
      </c>
      <c r="Y17" s="102">
        <v>89900</v>
      </c>
      <c r="Z17" s="107" t="s">
        <v>394</v>
      </c>
      <c r="AA17" s="102">
        <v>629300</v>
      </c>
      <c r="AB17" s="102"/>
      <c r="AC17" s="102"/>
      <c r="AD17" s="107" t="s">
        <v>395</v>
      </c>
      <c r="AE17" s="102">
        <v>179800</v>
      </c>
      <c r="AF17" s="102"/>
      <c r="AG17" s="102"/>
      <c r="AH17" s="107"/>
      <c r="AI17" s="102"/>
      <c r="AJ17" s="102"/>
      <c r="AK17" s="102"/>
      <c r="AL17" s="107"/>
      <c r="AM17" s="102"/>
      <c r="AN17" s="102"/>
      <c r="AO17" s="102"/>
      <c r="AP17" s="107"/>
      <c r="AQ17" s="102"/>
      <c r="AR17" s="102"/>
      <c r="AS17" s="102"/>
      <c r="AT17" s="107"/>
      <c r="AU17" s="102"/>
      <c r="AV17" s="102"/>
      <c r="AW17" s="102"/>
      <c r="AX17" s="107"/>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22"/>
      <c r="CD17" s="123">
        <f t="shared" si="22"/>
        <v>899000</v>
      </c>
      <c r="CE17" s="102">
        <f t="shared" si="23"/>
        <v>89900</v>
      </c>
      <c r="CF17" s="102">
        <f t="shared" si="24"/>
        <v>89900</v>
      </c>
      <c r="CG17" s="102">
        <f t="shared" si="25"/>
        <v>0</v>
      </c>
      <c r="CH17" s="124">
        <f t="shared" si="26"/>
        <v>809100</v>
      </c>
      <c r="CI17" s="125">
        <f t="shared" si="27"/>
        <v>0.1</v>
      </c>
      <c r="CJ17" s="126" t="str">
        <f t="shared" si="28"/>
        <v>数据正确</v>
      </c>
    </row>
    <row r="18" s="60" customFormat="1" customHeight="1" spans="1:88">
      <c r="A18" s="60" t="s">
        <v>36</v>
      </c>
      <c r="B18" s="70" t="str">
        <f t="shared" si="18"/>
        <v>-</v>
      </c>
      <c r="C18" s="71" t="str">
        <f t="shared" si="19"/>
        <v>-</v>
      </c>
      <c r="D18" s="72">
        <f t="shared" si="20"/>
        <v>390000</v>
      </c>
      <c r="E18" s="72">
        <v>0</v>
      </c>
      <c r="F18" s="72">
        <v>0</v>
      </c>
      <c r="G18" s="72">
        <v>0</v>
      </c>
      <c r="H18" s="72">
        <v>0</v>
      </c>
      <c r="I18" s="72">
        <f t="shared" si="21"/>
        <v>0</v>
      </c>
      <c r="J18" s="190" t="s">
        <v>98</v>
      </c>
      <c r="K18" s="87"/>
      <c r="L18" s="88">
        <v>14</v>
      </c>
      <c r="M18" s="148" t="s">
        <v>396</v>
      </c>
      <c r="N18" s="191" t="s">
        <v>29</v>
      </c>
      <c r="O18" s="90">
        <v>2017020054</v>
      </c>
      <c r="P18" s="91">
        <v>42807</v>
      </c>
      <c r="Q18" s="173">
        <v>1950000</v>
      </c>
      <c r="R18" s="89" t="s">
        <v>397</v>
      </c>
      <c r="S18" s="89" t="s">
        <v>398</v>
      </c>
      <c r="T18" s="89" t="s">
        <v>399</v>
      </c>
      <c r="U18" s="103" t="s">
        <v>354</v>
      </c>
      <c r="V18" s="105" t="s">
        <v>400</v>
      </c>
      <c r="W18" s="102">
        <v>390000</v>
      </c>
      <c r="X18" s="102">
        <v>390000</v>
      </c>
      <c r="Y18" s="102">
        <v>390000</v>
      </c>
      <c r="Z18" s="107" t="s">
        <v>401</v>
      </c>
      <c r="AA18" s="102">
        <v>585000</v>
      </c>
      <c r="AB18" s="102"/>
      <c r="AC18" s="102"/>
      <c r="AD18" s="107" t="s">
        <v>402</v>
      </c>
      <c r="AE18" s="102">
        <v>390000</v>
      </c>
      <c r="AF18" s="102"/>
      <c r="AG18" s="102"/>
      <c r="AH18" s="107" t="s">
        <v>403</v>
      </c>
      <c r="AI18" s="102">
        <v>390000</v>
      </c>
      <c r="AJ18" s="102"/>
      <c r="AK18" s="102"/>
      <c r="AL18" s="107" t="s">
        <v>404</v>
      </c>
      <c r="AM18" s="102">
        <v>195000</v>
      </c>
      <c r="AN18" s="102"/>
      <c r="AO18" s="102"/>
      <c r="AP18" s="107"/>
      <c r="AQ18" s="102"/>
      <c r="AR18" s="102"/>
      <c r="AS18" s="102"/>
      <c r="AT18" s="107"/>
      <c r="AU18" s="102"/>
      <c r="AV18" s="102"/>
      <c r="AW18" s="102"/>
      <c r="AX18" s="107"/>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22"/>
      <c r="CD18" s="123">
        <f t="shared" si="22"/>
        <v>1950000</v>
      </c>
      <c r="CE18" s="102">
        <f t="shared" si="23"/>
        <v>390000</v>
      </c>
      <c r="CF18" s="102">
        <f t="shared" si="24"/>
        <v>390000</v>
      </c>
      <c r="CG18" s="102">
        <f t="shared" si="25"/>
        <v>0</v>
      </c>
      <c r="CH18" s="124">
        <f t="shared" si="26"/>
        <v>1560000</v>
      </c>
      <c r="CI18" s="125">
        <f t="shared" si="27"/>
        <v>0.2</v>
      </c>
      <c r="CJ18" s="126" t="str">
        <f t="shared" si="28"/>
        <v>数据正确</v>
      </c>
    </row>
    <row r="19" s="60" customFormat="1" customHeight="1" spans="1:88">
      <c r="A19" s="60" t="s">
        <v>36</v>
      </c>
      <c r="B19" s="70" t="str">
        <f t="shared" si="18"/>
        <v>-</v>
      </c>
      <c r="C19" s="71" t="str">
        <f t="shared" si="19"/>
        <v>-</v>
      </c>
      <c r="D19" s="72">
        <f t="shared" si="20"/>
        <v>0</v>
      </c>
      <c r="E19" s="72">
        <v>0</v>
      </c>
      <c r="F19" s="72">
        <v>0</v>
      </c>
      <c r="G19" s="72">
        <v>0</v>
      </c>
      <c r="H19" s="72">
        <v>0</v>
      </c>
      <c r="I19" s="72">
        <f t="shared" si="21"/>
        <v>0</v>
      </c>
      <c r="J19" s="190" t="s">
        <v>98</v>
      </c>
      <c r="K19" s="87"/>
      <c r="L19" s="88">
        <v>15</v>
      </c>
      <c r="M19" s="148" t="s">
        <v>405</v>
      </c>
      <c r="N19" s="191" t="s">
        <v>29</v>
      </c>
      <c r="O19" s="90">
        <v>2017020026</v>
      </c>
      <c r="P19" s="149">
        <v>42807</v>
      </c>
      <c r="Q19" s="173">
        <v>794000</v>
      </c>
      <c r="R19" s="89" t="s">
        <v>406</v>
      </c>
      <c r="S19" s="89" t="s">
        <v>407</v>
      </c>
      <c r="T19" s="89"/>
      <c r="U19" s="103" t="s">
        <v>354</v>
      </c>
      <c r="V19" s="105" t="s">
        <v>408</v>
      </c>
      <c r="W19" s="102">
        <v>476400</v>
      </c>
      <c r="X19" s="102"/>
      <c r="Y19" s="102"/>
      <c r="Z19" s="107" t="s">
        <v>409</v>
      </c>
      <c r="AA19" s="102">
        <v>238200</v>
      </c>
      <c r="AB19" s="102"/>
      <c r="AC19" s="102"/>
      <c r="AD19" s="107" t="s">
        <v>410</v>
      </c>
      <c r="AE19" s="102">
        <v>79400</v>
      </c>
      <c r="AF19" s="102"/>
      <c r="AG19" s="102"/>
      <c r="AH19" s="107"/>
      <c r="AI19" s="102"/>
      <c r="AJ19" s="102"/>
      <c r="AK19" s="102"/>
      <c r="AL19" s="107"/>
      <c r="AM19" s="102"/>
      <c r="AN19" s="102"/>
      <c r="AO19" s="102"/>
      <c r="AP19" s="107"/>
      <c r="AQ19" s="102"/>
      <c r="AR19" s="102"/>
      <c r="AS19" s="102"/>
      <c r="AT19" s="107"/>
      <c r="AU19" s="102"/>
      <c r="AV19" s="102"/>
      <c r="AW19" s="102"/>
      <c r="AX19" s="107"/>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22"/>
      <c r="CD19" s="123">
        <f t="shared" si="22"/>
        <v>794000</v>
      </c>
      <c r="CE19" s="102">
        <f t="shared" si="23"/>
        <v>0</v>
      </c>
      <c r="CF19" s="102">
        <f t="shared" si="24"/>
        <v>0</v>
      </c>
      <c r="CG19" s="102">
        <f t="shared" si="25"/>
        <v>0</v>
      </c>
      <c r="CH19" s="124">
        <f t="shared" si="26"/>
        <v>794000</v>
      </c>
      <c r="CI19" s="125">
        <f t="shared" si="27"/>
        <v>0</v>
      </c>
      <c r="CJ19" s="126" t="str">
        <f t="shared" si="28"/>
        <v>数据正确</v>
      </c>
    </row>
    <row r="20" s="60" customFormat="1" customHeight="1" spans="1:88">
      <c r="A20" s="60" t="s">
        <v>36</v>
      </c>
      <c r="B20" s="70" t="str">
        <f t="shared" si="18"/>
        <v>-</v>
      </c>
      <c r="C20" s="71" t="str">
        <f t="shared" si="19"/>
        <v>-</v>
      </c>
      <c r="D20" s="72">
        <f t="shared" si="20"/>
        <v>0</v>
      </c>
      <c r="E20" s="72">
        <v>0</v>
      </c>
      <c r="F20" s="72">
        <v>0</v>
      </c>
      <c r="G20" s="72">
        <v>0</v>
      </c>
      <c r="H20" s="72">
        <v>0</v>
      </c>
      <c r="I20" s="72">
        <f t="shared" si="21"/>
        <v>0</v>
      </c>
      <c r="J20" s="190" t="s">
        <v>98</v>
      </c>
      <c r="K20" s="87"/>
      <c r="L20" s="138">
        <v>134</v>
      </c>
      <c r="M20" s="139" t="s">
        <v>411</v>
      </c>
      <c r="N20" s="193" t="s">
        <v>29</v>
      </c>
      <c r="O20" s="194" t="s">
        <v>97</v>
      </c>
      <c r="P20" s="140">
        <v>42808</v>
      </c>
      <c r="Q20" s="205">
        <v>7270000</v>
      </c>
      <c r="R20" s="139" t="s">
        <v>412</v>
      </c>
      <c r="S20" s="139" t="s">
        <v>398</v>
      </c>
      <c r="T20" s="139"/>
      <c r="U20" s="153" t="s">
        <v>354</v>
      </c>
      <c r="V20" s="105" t="s">
        <v>413</v>
      </c>
      <c r="W20" s="102">
        <v>4362000</v>
      </c>
      <c r="X20" s="102"/>
      <c r="Y20" s="102"/>
      <c r="Z20" s="107" t="s">
        <v>414</v>
      </c>
      <c r="AA20" s="102">
        <v>2181000</v>
      </c>
      <c r="AB20" s="102"/>
      <c r="AC20" s="102"/>
      <c r="AD20" s="107" t="s">
        <v>415</v>
      </c>
      <c r="AE20" s="102">
        <v>727000</v>
      </c>
      <c r="AF20" s="102"/>
      <c r="AG20" s="102"/>
      <c r="AH20" s="107"/>
      <c r="AI20" s="102"/>
      <c r="AJ20" s="102"/>
      <c r="AK20" s="102"/>
      <c r="AL20" s="107"/>
      <c r="AM20" s="102"/>
      <c r="AN20" s="102"/>
      <c r="AO20" s="102"/>
      <c r="AP20" s="107"/>
      <c r="AQ20" s="102"/>
      <c r="AR20" s="102"/>
      <c r="AS20" s="102"/>
      <c r="AT20" s="107"/>
      <c r="AU20" s="102"/>
      <c r="AV20" s="102"/>
      <c r="AW20" s="102"/>
      <c r="AX20" s="107"/>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22"/>
      <c r="CD20" s="123">
        <f t="shared" si="22"/>
        <v>7270000</v>
      </c>
      <c r="CE20" s="102">
        <f t="shared" si="23"/>
        <v>0</v>
      </c>
      <c r="CF20" s="102">
        <f t="shared" si="24"/>
        <v>0</v>
      </c>
      <c r="CG20" s="102">
        <f t="shared" si="25"/>
        <v>0</v>
      </c>
      <c r="CH20" s="124">
        <f t="shared" si="26"/>
        <v>7270000</v>
      </c>
      <c r="CI20" s="125">
        <f t="shared" si="27"/>
        <v>0</v>
      </c>
      <c r="CJ20" s="126" t="str">
        <f t="shared" si="28"/>
        <v>数据正确</v>
      </c>
    </row>
    <row r="21" s="60" customFormat="1" customHeight="1" spans="1:88">
      <c r="A21" s="60" t="s">
        <v>36</v>
      </c>
      <c r="B21" s="70" t="str">
        <f t="shared" si="18"/>
        <v>-</v>
      </c>
      <c r="C21" s="71" t="str">
        <f t="shared" si="19"/>
        <v>-</v>
      </c>
      <c r="D21" s="72">
        <f t="shared" si="20"/>
        <v>978000</v>
      </c>
      <c r="E21" s="72">
        <v>0</v>
      </c>
      <c r="F21" s="72">
        <v>0</v>
      </c>
      <c r="G21" s="72">
        <v>0</v>
      </c>
      <c r="H21" s="72">
        <v>0</v>
      </c>
      <c r="I21" s="72">
        <f t="shared" si="21"/>
        <v>0</v>
      </c>
      <c r="J21" s="190" t="s">
        <v>98</v>
      </c>
      <c r="K21" s="87"/>
      <c r="L21" s="138">
        <v>16</v>
      </c>
      <c r="M21" s="195" t="s">
        <v>416</v>
      </c>
      <c r="N21" s="193" t="s">
        <v>29</v>
      </c>
      <c r="O21" s="193">
        <v>2017020025</v>
      </c>
      <c r="P21" s="196">
        <v>42833</v>
      </c>
      <c r="Q21" s="206">
        <v>4890000</v>
      </c>
      <c r="R21" s="139" t="s">
        <v>417</v>
      </c>
      <c r="S21" s="195" t="s">
        <v>418</v>
      </c>
      <c r="T21" s="139" t="s">
        <v>419</v>
      </c>
      <c r="U21" s="153" t="s">
        <v>420</v>
      </c>
      <c r="V21" s="105" t="s">
        <v>421</v>
      </c>
      <c r="W21" s="102">
        <v>978000</v>
      </c>
      <c r="X21" s="102">
        <v>978000</v>
      </c>
      <c r="Y21" s="102">
        <v>978000</v>
      </c>
      <c r="Z21" s="107" t="s">
        <v>422</v>
      </c>
      <c r="AA21" s="102">
        <v>1467000</v>
      </c>
      <c r="AB21" s="102"/>
      <c r="AC21" s="102"/>
      <c r="AD21" s="107" t="s">
        <v>423</v>
      </c>
      <c r="AE21" s="102">
        <v>978000</v>
      </c>
      <c r="AF21" s="102"/>
      <c r="AG21" s="102"/>
      <c r="AH21" s="107" t="s">
        <v>424</v>
      </c>
      <c r="AI21" s="102">
        <v>978000</v>
      </c>
      <c r="AJ21" s="102"/>
      <c r="AK21" s="102"/>
      <c r="AL21" s="107" t="s">
        <v>425</v>
      </c>
      <c r="AM21" s="102">
        <v>489000</v>
      </c>
      <c r="AN21" s="102"/>
      <c r="AO21" s="102"/>
      <c r="AP21" s="107"/>
      <c r="AQ21" s="102"/>
      <c r="AR21" s="102"/>
      <c r="AS21" s="102"/>
      <c r="AT21" s="107"/>
      <c r="AU21" s="102"/>
      <c r="AV21" s="102"/>
      <c r="AW21" s="102"/>
      <c r="AX21" s="107"/>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22"/>
      <c r="CD21" s="123">
        <f t="shared" si="22"/>
        <v>4890000</v>
      </c>
      <c r="CE21" s="102">
        <f t="shared" si="23"/>
        <v>978000</v>
      </c>
      <c r="CF21" s="102">
        <f t="shared" si="24"/>
        <v>978000</v>
      </c>
      <c r="CG21" s="102">
        <f t="shared" si="25"/>
        <v>0</v>
      </c>
      <c r="CH21" s="124">
        <f t="shared" si="26"/>
        <v>3912000</v>
      </c>
      <c r="CI21" s="125">
        <f t="shared" si="27"/>
        <v>0.2</v>
      </c>
      <c r="CJ21" s="126" t="str">
        <f t="shared" si="28"/>
        <v>数据正确</v>
      </c>
    </row>
    <row r="22" s="60" customFormat="1" customHeight="1" spans="1:88">
      <c r="A22" s="60" t="s">
        <v>36</v>
      </c>
      <c r="B22" s="70" t="str">
        <f t="shared" si="18"/>
        <v>-</v>
      </c>
      <c r="C22" s="71" t="str">
        <f t="shared" si="19"/>
        <v>-</v>
      </c>
      <c r="D22" s="72">
        <f t="shared" si="20"/>
        <v>3498000</v>
      </c>
      <c r="E22" s="72">
        <v>0</v>
      </c>
      <c r="F22" s="72">
        <v>0</v>
      </c>
      <c r="G22" s="72">
        <v>0</v>
      </c>
      <c r="H22" s="72">
        <v>0</v>
      </c>
      <c r="I22" s="72">
        <f t="shared" si="21"/>
        <v>0</v>
      </c>
      <c r="J22" s="190" t="s">
        <v>98</v>
      </c>
      <c r="K22" s="87"/>
      <c r="L22" s="141" t="s">
        <v>426</v>
      </c>
      <c r="M22" s="148" t="s">
        <v>427</v>
      </c>
      <c r="N22" s="191" t="s">
        <v>29</v>
      </c>
      <c r="O22" s="197" t="s">
        <v>428</v>
      </c>
      <c r="P22" s="149">
        <v>42817</v>
      </c>
      <c r="Q22" s="204">
        <v>34980000</v>
      </c>
      <c r="R22" s="89" t="s">
        <v>429</v>
      </c>
      <c r="S22" s="148" t="s">
        <v>430</v>
      </c>
      <c r="T22" s="89" t="s">
        <v>431</v>
      </c>
      <c r="U22" s="103" t="s">
        <v>432</v>
      </c>
      <c r="V22" s="105" t="s">
        <v>433</v>
      </c>
      <c r="W22" s="102">
        <v>3498000</v>
      </c>
      <c r="X22" s="102">
        <v>3498000</v>
      </c>
      <c r="Y22" s="102">
        <v>3498000</v>
      </c>
      <c r="Z22" s="107" t="s">
        <v>434</v>
      </c>
      <c r="AA22" s="102">
        <v>10494000</v>
      </c>
      <c r="AB22" s="102"/>
      <c r="AC22" s="102"/>
      <c r="AD22" s="107" t="s">
        <v>435</v>
      </c>
      <c r="AE22" s="102">
        <v>10494000</v>
      </c>
      <c r="AF22" s="102"/>
      <c r="AG22" s="102"/>
      <c r="AH22" s="107" t="s">
        <v>436</v>
      </c>
      <c r="AI22" s="102">
        <v>6996000</v>
      </c>
      <c r="AJ22" s="102"/>
      <c r="AK22" s="102"/>
      <c r="AL22" s="107" t="s">
        <v>437</v>
      </c>
      <c r="AM22" s="102">
        <v>3498000</v>
      </c>
      <c r="AN22" s="102"/>
      <c r="AO22" s="102"/>
      <c r="AP22" s="107"/>
      <c r="AQ22" s="102"/>
      <c r="AR22" s="102"/>
      <c r="AS22" s="102"/>
      <c r="AT22" s="107"/>
      <c r="AU22" s="102"/>
      <c r="AV22" s="102"/>
      <c r="AW22" s="102"/>
      <c r="AX22" s="107"/>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22"/>
      <c r="CD22" s="123">
        <f t="shared" si="22"/>
        <v>34980000</v>
      </c>
      <c r="CE22" s="102">
        <f t="shared" si="23"/>
        <v>3498000</v>
      </c>
      <c r="CF22" s="102">
        <f t="shared" si="24"/>
        <v>3498000</v>
      </c>
      <c r="CG22" s="102">
        <f t="shared" si="25"/>
        <v>0</v>
      </c>
      <c r="CH22" s="124">
        <f t="shared" si="26"/>
        <v>31482000</v>
      </c>
      <c r="CI22" s="125">
        <f t="shared" si="27"/>
        <v>0.1</v>
      </c>
      <c r="CJ22" s="126" t="str">
        <f t="shared" si="28"/>
        <v>数据正确</v>
      </c>
    </row>
    <row r="23" s="60" customFormat="1" customHeight="1" spans="1:88">
      <c r="A23" s="60" t="s">
        <v>36</v>
      </c>
      <c r="B23" s="70" t="str">
        <f t="shared" si="18"/>
        <v>-</v>
      </c>
      <c r="C23" s="71" t="str">
        <f t="shared" si="19"/>
        <v>已付清</v>
      </c>
      <c r="D23" s="72">
        <f t="shared" si="20"/>
        <v>5000000</v>
      </c>
      <c r="E23" s="72">
        <v>0</v>
      </c>
      <c r="F23" s="72">
        <v>0</v>
      </c>
      <c r="G23" s="72">
        <v>0</v>
      </c>
      <c r="H23" s="72">
        <v>0</v>
      </c>
      <c r="I23" s="72">
        <f t="shared" si="21"/>
        <v>0</v>
      </c>
      <c r="J23" s="190" t="s">
        <v>98</v>
      </c>
      <c r="K23" s="87"/>
      <c r="L23" s="141" t="s">
        <v>438</v>
      </c>
      <c r="M23" s="148" t="s">
        <v>427</v>
      </c>
      <c r="N23" s="191" t="s">
        <v>29</v>
      </c>
      <c r="O23" s="197" t="s">
        <v>428</v>
      </c>
      <c r="P23" s="149">
        <v>42817</v>
      </c>
      <c r="Q23" s="204">
        <v>5000000</v>
      </c>
      <c r="R23" s="89" t="s">
        <v>439</v>
      </c>
      <c r="S23" s="148" t="s">
        <v>430</v>
      </c>
      <c r="T23" s="89" t="s">
        <v>431</v>
      </c>
      <c r="U23" s="103" t="s">
        <v>432</v>
      </c>
      <c r="V23" s="105" t="s">
        <v>440</v>
      </c>
      <c r="W23" s="102">
        <v>5000000</v>
      </c>
      <c r="X23" s="102">
        <v>5000000</v>
      </c>
      <c r="Y23" s="102">
        <v>5000000</v>
      </c>
      <c r="Z23" s="107"/>
      <c r="AA23" s="102"/>
      <c r="AB23" s="102"/>
      <c r="AC23" s="102"/>
      <c r="AD23" s="107"/>
      <c r="AE23" s="102"/>
      <c r="AF23" s="102"/>
      <c r="AG23" s="102"/>
      <c r="AH23" s="107"/>
      <c r="AI23" s="102"/>
      <c r="AJ23" s="102"/>
      <c r="AK23" s="102"/>
      <c r="AL23" s="107"/>
      <c r="AM23" s="102"/>
      <c r="AN23" s="102"/>
      <c r="AO23" s="102"/>
      <c r="AP23" s="107"/>
      <c r="AQ23" s="102"/>
      <c r="AR23" s="102"/>
      <c r="AS23" s="102"/>
      <c r="AT23" s="107"/>
      <c r="AU23" s="102"/>
      <c r="AV23" s="102"/>
      <c r="AW23" s="102"/>
      <c r="AX23" s="107"/>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22"/>
      <c r="CD23" s="123">
        <f t="shared" si="22"/>
        <v>5000000</v>
      </c>
      <c r="CE23" s="102">
        <f t="shared" si="23"/>
        <v>5000000</v>
      </c>
      <c r="CF23" s="102">
        <f t="shared" si="24"/>
        <v>5000000</v>
      </c>
      <c r="CG23" s="102">
        <f t="shared" si="25"/>
        <v>0</v>
      </c>
      <c r="CH23" s="124">
        <f t="shared" si="26"/>
        <v>0</v>
      </c>
      <c r="CI23" s="125">
        <f t="shared" si="27"/>
        <v>1</v>
      </c>
      <c r="CJ23" s="126" t="str">
        <f t="shared" si="28"/>
        <v>数据正确</v>
      </c>
    </row>
    <row r="24" s="60" customFormat="1" customHeight="1" spans="1:88">
      <c r="A24" s="60" t="s">
        <v>36</v>
      </c>
      <c r="B24" s="70" t="str">
        <f t="shared" si="18"/>
        <v>-</v>
      </c>
      <c r="C24" s="71" t="str">
        <f t="shared" si="19"/>
        <v>-</v>
      </c>
      <c r="D24" s="72">
        <f t="shared" si="20"/>
        <v>0</v>
      </c>
      <c r="E24" s="72">
        <v>0</v>
      </c>
      <c r="F24" s="72">
        <v>0</v>
      </c>
      <c r="G24" s="72">
        <v>0</v>
      </c>
      <c r="H24" s="72">
        <v>0</v>
      </c>
      <c r="I24" s="72">
        <f t="shared" si="21"/>
        <v>0</v>
      </c>
      <c r="J24" s="190" t="s">
        <v>98</v>
      </c>
      <c r="K24" s="87"/>
      <c r="L24" s="141" t="s">
        <v>441</v>
      </c>
      <c r="M24" s="148" t="s">
        <v>427</v>
      </c>
      <c r="N24" s="191" t="s">
        <v>29</v>
      </c>
      <c r="O24" s="197" t="s">
        <v>428</v>
      </c>
      <c r="P24" s="149">
        <v>42817</v>
      </c>
      <c r="Q24" s="204">
        <v>3000000</v>
      </c>
      <c r="R24" s="89" t="s">
        <v>442</v>
      </c>
      <c r="S24" s="148" t="s">
        <v>430</v>
      </c>
      <c r="T24" s="89" t="s">
        <v>431</v>
      </c>
      <c r="U24" s="103" t="s">
        <v>432</v>
      </c>
      <c r="V24" s="105" t="s">
        <v>443</v>
      </c>
      <c r="W24" s="102">
        <v>3000000</v>
      </c>
      <c r="X24" s="102"/>
      <c r="Y24" s="102"/>
      <c r="Z24" s="107"/>
      <c r="AA24" s="102"/>
      <c r="AB24" s="102"/>
      <c r="AC24" s="102"/>
      <c r="AD24" s="107"/>
      <c r="AE24" s="102"/>
      <c r="AF24" s="102"/>
      <c r="AG24" s="102"/>
      <c r="AH24" s="107"/>
      <c r="AI24" s="102"/>
      <c r="AJ24" s="102"/>
      <c r="AK24" s="102"/>
      <c r="AL24" s="107"/>
      <c r="AM24" s="102"/>
      <c r="AN24" s="102"/>
      <c r="AO24" s="102"/>
      <c r="AP24" s="107"/>
      <c r="AQ24" s="102"/>
      <c r="AR24" s="102"/>
      <c r="AS24" s="102"/>
      <c r="AT24" s="107"/>
      <c r="AU24" s="102"/>
      <c r="AV24" s="102"/>
      <c r="AW24" s="102"/>
      <c r="AX24" s="107"/>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22"/>
      <c r="CD24" s="123">
        <f t="shared" si="22"/>
        <v>3000000</v>
      </c>
      <c r="CE24" s="102">
        <f t="shared" si="23"/>
        <v>0</v>
      </c>
      <c r="CF24" s="102">
        <f t="shared" si="24"/>
        <v>0</v>
      </c>
      <c r="CG24" s="102">
        <f t="shared" si="25"/>
        <v>0</v>
      </c>
      <c r="CH24" s="124">
        <f t="shared" si="26"/>
        <v>3000000</v>
      </c>
      <c r="CI24" s="125">
        <f t="shared" si="27"/>
        <v>0</v>
      </c>
      <c r="CJ24" s="126" t="str">
        <f t="shared" si="28"/>
        <v>数据正确</v>
      </c>
    </row>
    <row r="25" s="60" customFormat="1" customHeight="1" spans="1:88">
      <c r="A25" s="60" t="s">
        <v>36</v>
      </c>
      <c r="B25" s="70" t="str">
        <f t="shared" si="18"/>
        <v>-</v>
      </c>
      <c r="C25" s="71" t="str">
        <f t="shared" si="19"/>
        <v>-</v>
      </c>
      <c r="D25" s="72">
        <f t="shared" si="20"/>
        <v>0</v>
      </c>
      <c r="E25" s="72">
        <v>0</v>
      </c>
      <c r="F25" s="72">
        <v>0</v>
      </c>
      <c r="G25" s="72">
        <v>0</v>
      </c>
      <c r="H25" s="72">
        <v>0</v>
      </c>
      <c r="I25" s="72">
        <f t="shared" si="21"/>
        <v>0</v>
      </c>
      <c r="J25" s="190" t="s">
        <v>98</v>
      </c>
      <c r="K25" s="87"/>
      <c r="L25" s="141" t="s">
        <v>444</v>
      </c>
      <c r="M25" s="148" t="s">
        <v>427</v>
      </c>
      <c r="N25" s="191" t="s">
        <v>29</v>
      </c>
      <c r="O25" s="197" t="s">
        <v>428</v>
      </c>
      <c r="P25" s="149">
        <v>42817</v>
      </c>
      <c r="Q25" s="204">
        <v>33600000</v>
      </c>
      <c r="R25" s="89" t="s">
        <v>445</v>
      </c>
      <c r="S25" s="148" t="s">
        <v>430</v>
      </c>
      <c r="T25" s="89" t="s">
        <v>431</v>
      </c>
      <c r="U25" s="103" t="s">
        <v>432</v>
      </c>
      <c r="V25" s="105" t="s">
        <v>446</v>
      </c>
      <c r="W25" s="102">
        <v>3360000</v>
      </c>
      <c r="X25" s="102"/>
      <c r="Y25" s="102"/>
      <c r="Z25" s="107" t="s">
        <v>447</v>
      </c>
      <c r="AA25" s="102">
        <v>6048000</v>
      </c>
      <c r="AB25" s="102"/>
      <c r="AC25" s="102"/>
      <c r="AD25" s="107" t="s">
        <v>447</v>
      </c>
      <c r="AE25" s="102">
        <v>6048000</v>
      </c>
      <c r="AF25" s="102"/>
      <c r="AG25" s="102"/>
      <c r="AH25" s="107" t="s">
        <v>447</v>
      </c>
      <c r="AI25" s="102">
        <v>6048000</v>
      </c>
      <c r="AJ25" s="102"/>
      <c r="AK25" s="102"/>
      <c r="AL25" s="107" t="s">
        <v>447</v>
      </c>
      <c r="AM25" s="102">
        <v>6048000</v>
      </c>
      <c r="AN25" s="102"/>
      <c r="AO25" s="102"/>
      <c r="AP25" s="107" t="s">
        <v>447</v>
      </c>
      <c r="AQ25" s="102">
        <v>6048000</v>
      </c>
      <c r="AR25" s="102"/>
      <c r="AS25" s="102"/>
      <c r="AT25" s="107"/>
      <c r="AU25" s="102"/>
      <c r="AV25" s="102"/>
      <c r="AW25" s="102"/>
      <c r="AX25" s="107"/>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22"/>
      <c r="CD25" s="123">
        <f t="shared" si="22"/>
        <v>33600000</v>
      </c>
      <c r="CE25" s="102">
        <f t="shared" si="23"/>
        <v>0</v>
      </c>
      <c r="CF25" s="102">
        <f t="shared" si="24"/>
        <v>0</v>
      </c>
      <c r="CG25" s="102">
        <f t="shared" si="25"/>
        <v>0</v>
      </c>
      <c r="CH25" s="124">
        <f t="shared" si="26"/>
        <v>33600000</v>
      </c>
      <c r="CI25" s="125">
        <f t="shared" si="27"/>
        <v>0</v>
      </c>
      <c r="CJ25" s="126" t="str">
        <f t="shared" si="28"/>
        <v>数据正确</v>
      </c>
    </row>
    <row r="26" s="130" customFormat="1" customHeight="1" spans="1:88">
      <c r="A26" s="130" t="s">
        <v>36</v>
      </c>
      <c r="B26" s="132" t="str">
        <f t="shared" si="18"/>
        <v>-</v>
      </c>
      <c r="C26" s="133" t="str">
        <f t="shared" si="19"/>
        <v>-</v>
      </c>
      <c r="D26" s="134">
        <f t="shared" si="20"/>
        <v>8498000</v>
      </c>
      <c r="E26" s="134">
        <f>SUM(E22:E25)</f>
        <v>0</v>
      </c>
      <c r="F26" s="134">
        <f>SUM(F22:F25)</f>
        <v>0</v>
      </c>
      <c r="G26" s="134">
        <f>SUM(G22:G25)</f>
        <v>0</v>
      </c>
      <c r="H26" s="134">
        <f>SUM(H22:H25)</f>
        <v>0</v>
      </c>
      <c r="I26" s="134">
        <f t="shared" si="21"/>
        <v>0</v>
      </c>
      <c r="J26" s="198" t="s">
        <v>98</v>
      </c>
      <c r="K26" s="172"/>
      <c r="L26" s="143">
        <v>8</v>
      </c>
      <c r="M26" s="150" t="s">
        <v>427</v>
      </c>
      <c r="N26" s="199" t="s">
        <v>29</v>
      </c>
      <c r="O26" s="200" t="s">
        <v>428</v>
      </c>
      <c r="P26" s="151">
        <v>42817</v>
      </c>
      <c r="Q26" s="207">
        <f>SUM(Q22:Q25)</f>
        <v>76580000</v>
      </c>
      <c r="R26" s="144" t="s">
        <v>448</v>
      </c>
      <c r="S26" s="150" t="s">
        <v>430</v>
      </c>
      <c r="T26" s="144" t="s">
        <v>431</v>
      </c>
      <c r="U26" s="156" t="s">
        <v>432</v>
      </c>
      <c r="V26" s="157" t="s">
        <v>97</v>
      </c>
      <c r="W26" s="158">
        <f>SUM(W22:W25)</f>
        <v>14858000</v>
      </c>
      <c r="X26" s="158">
        <f t="shared" ref="X26:BC26" si="29">SUM(X22:X25)</f>
        <v>8498000</v>
      </c>
      <c r="Y26" s="158">
        <f t="shared" si="29"/>
        <v>8498000</v>
      </c>
      <c r="Z26" s="158">
        <f t="shared" si="29"/>
        <v>0</v>
      </c>
      <c r="AA26" s="158">
        <f t="shared" si="29"/>
        <v>16542000</v>
      </c>
      <c r="AB26" s="158">
        <f t="shared" si="29"/>
        <v>0</v>
      </c>
      <c r="AC26" s="158">
        <f t="shared" si="29"/>
        <v>0</v>
      </c>
      <c r="AD26" s="158">
        <f t="shared" si="29"/>
        <v>0</v>
      </c>
      <c r="AE26" s="158">
        <f t="shared" si="29"/>
        <v>16542000</v>
      </c>
      <c r="AF26" s="158">
        <f t="shared" si="29"/>
        <v>0</v>
      </c>
      <c r="AG26" s="158">
        <f t="shared" si="29"/>
        <v>0</v>
      </c>
      <c r="AH26" s="158">
        <f t="shared" si="29"/>
        <v>0</v>
      </c>
      <c r="AI26" s="158">
        <f t="shared" si="29"/>
        <v>13044000</v>
      </c>
      <c r="AJ26" s="158">
        <f t="shared" si="29"/>
        <v>0</v>
      </c>
      <c r="AK26" s="158">
        <f t="shared" si="29"/>
        <v>0</v>
      </c>
      <c r="AL26" s="158">
        <f t="shared" si="29"/>
        <v>0</v>
      </c>
      <c r="AM26" s="158">
        <f t="shared" si="29"/>
        <v>9546000</v>
      </c>
      <c r="AN26" s="158">
        <f t="shared" si="29"/>
        <v>0</v>
      </c>
      <c r="AO26" s="158">
        <f t="shared" si="29"/>
        <v>0</v>
      </c>
      <c r="AP26" s="158">
        <f t="shared" si="29"/>
        <v>0</v>
      </c>
      <c r="AQ26" s="158">
        <f t="shared" si="29"/>
        <v>6048000</v>
      </c>
      <c r="AR26" s="158">
        <f t="shared" si="29"/>
        <v>0</v>
      </c>
      <c r="AS26" s="158">
        <f t="shared" si="29"/>
        <v>0</v>
      </c>
      <c r="AT26" s="158">
        <f t="shared" si="29"/>
        <v>0</v>
      </c>
      <c r="AU26" s="158">
        <f t="shared" si="29"/>
        <v>0</v>
      </c>
      <c r="AV26" s="158">
        <f t="shared" si="29"/>
        <v>0</v>
      </c>
      <c r="AW26" s="158">
        <f t="shared" si="29"/>
        <v>0</v>
      </c>
      <c r="AX26" s="158">
        <f t="shared" si="29"/>
        <v>0</v>
      </c>
      <c r="AY26" s="158">
        <f t="shared" si="29"/>
        <v>0</v>
      </c>
      <c r="AZ26" s="158">
        <f t="shared" si="29"/>
        <v>0</v>
      </c>
      <c r="BA26" s="158">
        <f t="shared" si="29"/>
        <v>0</v>
      </c>
      <c r="BB26" s="158">
        <f t="shared" si="29"/>
        <v>0</v>
      </c>
      <c r="BC26" s="158">
        <f t="shared" si="29"/>
        <v>0</v>
      </c>
      <c r="BD26" s="158">
        <f t="shared" ref="BD26:CC26" si="30">SUM(BD22:BD25)</f>
        <v>0</v>
      </c>
      <c r="BE26" s="158">
        <f t="shared" si="30"/>
        <v>0</v>
      </c>
      <c r="BF26" s="158">
        <f t="shared" si="30"/>
        <v>0</v>
      </c>
      <c r="BG26" s="158">
        <f t="shared" si="30"/>
        <v>0</v>
      </c>
      <c r="BH26" s="158">
        <f t="shared" si="30"/>
        <v>0</v>
      </c>
      <c r="BI26" s="158">
        <f t="shared" si="30"/>
        <v>0</v>
      </c>
      <c r="BJ26" s="158">
        <f t="shared" si="30"/>
        <v>0</v>
      </c>
      <c r="BK26" s="158">
        <f t="shared" si="30"/>
        <v>0</v>
      </c>
      <c r="BL26" s="158">
        <f t="shared" si="30"/>
        <v>0</v>
      </c>
      <c r="BM26" s="158">
        <f t="shared" si="30"/>
        <v>0</v>
      </c>
      <c r="BN26" s="158">
        <f t="shared" si="30"/>
        <v>0</v>
      </c>
      <c r="BO26" s="158">
        <f t="shared" si="30"/>
        <v>0</v>
      </c>
      <c r="BP26" s="158">
        <f t="shared" si="30"/>
        <v>0</v>
      </c>
      <c r="BQ26" s="158">
        <f t="shared" si="30"/>
        <v>0</v>
      </c>
      <c r="BR26" s="158">
        <f t="shared" si="30"/>
        <v>0</v>
      </c>
      <c r="BS26" s="158">
        <f t="shared" si="30"/>
        <v>0</v>
      </c>
      <c r="BT26" s="158">
        <f t="shared" si="30"/>
        <v>0</v>
      </c>
      <c r="BU26" s="158">
        <f t="shared" si="30"/>
        <v>0</v>
      </c>
      <c r="BV26" s="158">
        <f t="shared" si="30"/>
        <v>0</v>
      </c>
      <c r="BW26" s="158">
        <f t="shared" si="30"/>
        <v>0</v>
      </c>
      <c r="BX26" s="158">
        <f t="shared" si="30"/>
        <v>0</v>
      </c>
      <c r="BY26" s="158">
        <f t="shared" si="30"/>
        <v>0</v>
      </c>
      <c r="BZ26" s="158">
        <f t="shared" si="30"/>
        <v>0</v>
      </c>
      <c r="CA26" s="158">
        <f t="shared" si="30"/>
        <v>0</v>
      </c>
      <c r="CB26" s="158">
        <f t="shared" si="30"/>
        <v>0</v>
      </c>
      <c r="CC26" s="158">
        <f t="shared" si="30"/>
        <v>0</v>
      </c>
      <c r="CD26" s="165">
        <f t="shared" si="22"/>
        <v>76580000</v>
      </c>
      <c r="CE26" s="158">
        <f t="shared" si="23"/>
        <v>8498000</v>
      </c>
      <c r="CF26" s="158">
        <f t="shared" si="24"/>
        <v>8498000</v>
      </c>
      <c r="CG26" s="158">
        <f t="shared" si="25"/>
        <v>0</v>
      </c>
      <c r="CH26" s="163">
        <f t="shared" si="26"/>
        <v>68082000</v>
      </c>
      <c r="CI26" s="166">
        <f t="shared" si="27"/>
        <v>0.110968921389397</v>
      </c>
      <c r="CJ26" s="167" t="str">
        <f t="shared" si="28"/>
        <v>数据正确</v>
      </c>
    </row>
    <row r="27" s="60" customFormat="1" customHeight="1" spans="1:88">
      <c r="A27" s="60" t="s">
        <v>36</v>
      </c>
      <c r="B27" s="70" t="str">
        <f t="shared" si="18"/>
        <v>-</v>
      </c>
      <c r="C27" s="71" t="str">
        <f t="shared" si="19"/>
        <v>-</v>
      </c>
      <c r="D27" s="72">
        <f t="shared" si="20"/>
        <v>166000</v>
      </c>
      <c r="E27" s="72">
        <v>0</v>
      </c>
      <c r="F27" s="72">
        <v>0</v>
      </c>
      <c r="G27" s="72">
        <v>0</v>
      </c>
      <c r="H27" s="72">
        <v>0</v>
      </c>
      <c r="I27" s="72">
        <f t="shared" si="21"/>
        <v>0</v>
      </c>
      <c r="J27" s="190" t="s">
        <v>98</v>
      </c>
      <c r="K27" s="87"/>
      <c r="L27" s="88">
        <v>10</v>
      </c>
      <c r="M27" s="148" t="s">
        <v>449</v>
      </c>
      <c r="N27" s="191" t="s">
        <v>29</v>
      </c>
      <c r="O27" s="192" t="s">
        <v>450</v>
      </c>
      <c r="P27" s="149">
        <v>42817</v>
      </c>
      <c r="Q27" s="204">
        <v>830000</v>
      </c>
      <c r="R27" s="89" t="s">
        <v>451</v>
      </c>
      <c r="S27" s="148" t="s">
        <v>452</v>
      </c>
      <c r="T27" s="89"/>
      <c r="U27" s="103" t="s">
        <v>354</v>
      </c>
      <c r="V27" s="105" t="s">
        <v>453</v>
      </c>
      <c r="W27" s="102">
        <v>166000</v>
      </c>
      <c r="X27" s="102">
        <v>166000</v>
      </c>
      <c r="Y27" s="102">
        <v>166000</v>
      </c>
      <c r="Z27" s="107" t="s">
        <v>454</v>
      </c>
      <c r="AA27" s="102">
        <v>498000</v>
      </c>
      <c r="AB27" s="102"/>
      <c r="AC27" s="102"/>
      <c r="AD27" s="107" t="s">
        <v>455</v>
      </c>
      <c r="AE27" s="102">
        <v>83000</v>
      </c>
      <c r="AF27" s="102"/>
      <c r="AG27" s="102"/>
      <c r="AH27" s="107" t="s">
        <v>456</v>
      </c>
      <c r="AI27" s="102">
        <v>83000</v>
      </c>
      <c r="AJ27" s="102"/>
      <c r="AK27" s="102"/>
      <c r="AL27" s="107"/>
      <c r="AM27" s="102"/>
      <c r="AN27" s="102"/>
      <c r="AO27" s="102"/>
      <c r="AP27" s="107"/>
      <c r="AQ27" s="102"/>
      <c r="AR27" s="102"/>
      <c r="AS27" s="102"/>
      <c r="AT27" s="107"/>
      <c r="AU27" s="102"/>
      <c r="AV27" s="102"/>
      <c r="AW27" s="102"/>
      <c r="AX27" s="107"/>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22"/>
      <c r="CD27" s="123">
        <f t="shared" si="22"/>
        <v>830000</v>
      </c>
      <c r="CE27" s="102">
        <f t="shared" si="23"/>
        <v>166000</v>
      </c>
      <c r="CF27" s="102">
        <f t="shared" si="24"/>
        <v>166000</v>
      </c>
      <c r="CG27" s="102">
        <f t="shared" si="25"/>
        <v>0</v>
      </c>
      <c r="CH27" s="124">
        <f t="shared" si="26"/>
        <v>664000</v>
      </c>
      <c r="CI27" s="125">
        <f t="shared" si="27"/>
        <v>0.2</v>
      </c>
      <c r="CJ27" s="126" t="str">
        <f t="shared" si="28"/>
        <v>数据正确</v>
      </c>
    </row>
    <row r="28" s="60" customFormat="1" customHeight="1" spans="1:88">
      <c r="A28" s="60" t="s">
        <v>36</v>
      </c>
      <c r="B28" s="70" t="str">
        <f t="shared" si="18"/>
        <v>-</v>
      </c>
      <c r="C28" s="71" t="str">
        <f t="shared" si="19"/>
        <v>-</v>
      </c>
      <c r="D28" s="72">
        <f t="shared" si="20"/>
        <v>0</v>
      </c>
      <c r="E28" s="72">
        <v>0</v>
      </c>
      <c r="F28" s="72">
        <v>0</v>
      </c>
      <c r="G28" s="72">
        <v>0</v>
      </c>
      <c r="H28" s="72">
        <v>0</v>
      </c>
      <c r="I28" s="72">
        <f t="shared" si="21"/>
        <v>0</v>
      </c>
      <c r="J28" s="190" t="s">
        <v>98</v>
      </c>
      <c r="K28" s="87"/>
      <c r="L28" s="88">
        <v>17</v>
      </c>
      <c r="M28" s="89" t="s">
        <v>457</v>
      </c>
      <c r="N28" s="191" t="s">
        <v>29</v>
      </c>
      <c r="O28" s="90">
        <v>2017020016</v>
      </c>
      <c r="P28" s="91">
        <v>42830</v>
      </c>
      <c r="Q28" s="173">
        <v>5000000</v>
      </c>
      <c r="R28" s="89" t="s">
        <v>458</v>
      </c>
      <c r="S28" s="89" t="s">
        <v>459</v>
      </c>
      <c r="T28" s="89" t="s">
        <v>460</v>
      </c>
      <c r="U28" s="103" t="s">
        <v>343</v>
      </c>
      <c r="V28" s="105" t="s">
        <v>461</v>
      </c>
      <c r="W28" s="102">
        <v>1000000</v>
      </c>
      <c r="X28" s="102"/>
      <c r="Y28" s="102"/>
      <c r="Z28" s="107" t="s">
        <v>462</v>
      </c>
      <c r="AA28" s="102">
        <v>2000000</v>
      </c>
      <c r="AB28" s="102"/>
      <c r="AC28" s="102"/>
      <c r="AD28" s="107" t="s">
        <v>463</v>
      </c>
      <c r="AE28" s="102">
        <v>500000</v>
      </c>
      <c r="AF28" s="102"/>
      <c r="AG28" s="102"/>
      <c r="AH28" s="107" t="s">
        <v>464</v>
      </c>
      <c r="AI28" s="102">
        <v>1000000</v>
      </c>
      <c r="AJ28" s="102"/>
      <c r="AK28" s="102"/>
      <c r="AL28" s="107" t="s">
        <v>465</v>
      </c>
      <c r="AM28" s="102">
        <v>500000</v>
      </c>
      <c r="AN28" s="102"/>
      <c r="AO28" s="102"/>
      <c r="AP28" s="107"/>
      <c r="AQ28" s="102"/>
      <c r="AR28" s="102"/>
      <c r="AS28" s="102"/>
      <c r="AT28" s="107"/>
      <c r="AU28" s="102"/>
      <c r="AV28" s="102"/>
      <c r="AW28" s="102"/>
      <c r="AX28" s="107"/>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22"/>
      <c r="CD28" s="123">
        <f t="shared" si="22"/>
        <v>5000000</v>
      </c>
      <c r="CE28" s="102">
        <f t="shared" si="23"/>
        <v>0</v>
      </c>
      <c r="CF28" s="102">
        <f t="shared" si="24"/>
        <v>0</v>
      </c>
      <c r="CG28" s="102">
        <f t="shared" si="25"/>
        <v>0</v>
      </c>
      <c r="CH28" s="124">
        <f t="shared" si="26"/>
        <v>5000000</v>
      </c>
      <c r="CI28" s="125">
        <f t="shared" si="27"/>
        <v>0</v>
      </c>
      <c r="CJ28" s="126" t="str">
        <f t="shared" si="28"/>
        <v>数据正确</v>
      </c>
    </row>
    <row r="29" s="60" customFormat="1" customHeight="1" spans="1:88">
      <c r="A29" s="60" t="s">
        <v>36</v>
      </c>
      <c r="B29" s="70" t="str">
        <f t="shared" si="18"/>
        <v>申请中</v>
      </c>
      <c r="C29" s="71" t="str">
        <f t="shared" si="19"/>
        <v>-</v>
      </c>
      <c r="D29" s="72">
        <f t="shared" si="20"/>
        <v>0</v>
      </c>
      <c r="E29" s="72">
        <v>0</v>
      </c>
      <c r="F29" s="72">
        <v>0</v>
      </c>
      <c r="G29" s="72">
        <v>0</v>
      </c>
      <c r="H29" s="72">
        <v>0</v>
      </c>
      <c r="I29" s="72">
        <f t="shared" si="21"/>
        <v>312000</v>
      </c>
      <c r="J29" s="190" t="s">
        <v>98</v>
      </c>
      <c r="K29" s="87"/>
      <c r="L29" s="88">
        <v>18</v>
      </c>
      <c r="M29" s="89" t="s">
        <v>466</v>
      </c>
      <c r="N29" s="191" t="s">
        <v>29</v>
      </c>
      <c r="O29" s="90">
        <v>2017020024</v>
      </c>
      <c r="P29" s="91">
        <v>42832</v>
      </c>
      <c r="Q29" s="173">
        <v>1560000</v>
      </c>
      <c r="R29" s="89" t="s">
        <v>467</v>
      </c>
      <c r="S29" s="89" t="s">
        <v>468</v>
      </c>
      <c r="T29" s="89"/>
      <c r="U29" s="103" t="s">
        <v>469</v>
      </c>
      <c r="V29" s="105" t="s">
        <v>470</v>
      </c>
      <c r="W29" s="102">
        <v>312000</v>
      </c>
      <c r="X29" s="102">
        <v>312000</v>
      </c>
      <c r="Y29" s="102"/>
      <c r="Z29" s="107" t="s">
        <v>471</v>
      </c>
      <c r="AA29" s="102">
        <v>468000</v>
      </c>
      <c r="AB29" s="102"/>
      <c r="AC29" s="102"/>
      <c r="AD29" s="107" t="s">
        <v>472</v>
      </c>
      <c r="AE29" s="102">
        <v>468000</v>
      </c>
      <c r="AF29" s="102"/>
      <c r="AG29" s="102"/>
      <c r="AH29" s="107" t="s">
        <v>473</v>
      </c>
      <c r="AI29" s="102">
        <v>156000</v>
      </c>
      <c r="AJ29" s="102"/>
      <c r="AK29" s="102"/>
      <c r="AL29" s="107" t="s">
        <v>474</v>
      </c>
      <c r="AM29" s="102">
        <v>156000</v>
      </c>
      <c r="AN29" s="102"/>
      <c r="AO29" s="102"/>
      <c r="AP29" s="107"/>
      <c r="AQ29" s="102"/>
      <c r="AR29" s="102"/>
      <c r="AS29" s="102"/>
      <c r="AT29" s="107"/>
      <c r="AU29" s="102"/>
      <c r="AV29" s="102"/>
      <c r="AW29" s="102"/>
      <c r="AX29" s="107"/>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22"/>
      <c r="CD29" s="123">
        <f t="shared" si="22"/>
        <v>1560000</v>
      </c>
      <c r="CE29" s="102">
        <f t="shared" si="23"/>
        <v>312000</v>
      </c>
      <c r="CF29" s="102">
        <f t="shared" si="24"/>
        <v>0</v>
      </c>
      <c r="CG29" s="102">
        <f t="shared" si="25"/>
        <v>0</v>
      </c>
      <c r="CH29" s="124">
        <f t="shared" si="26"/>
        <v>1560000</v>
      </c>
      <c r="CI29" s="125">
        <f t="shared" si="27"/>
        <v>0</v>
      </c>
      <c r="CJ29" s="126" t="str">
        <f t="shared" si="28"/>
        <v>数据正确</v>
      </c>
    </row>
    <row r="30" s="60" customFormat="1" customHeight="1" spans="1:88">
      <c r="A30" s="60" t="s">
        <v>36</v>
      </c>
      <c r="B30" s="70" t="str">
        <f t="shared" si="18"/>
        <v>-</v>
      </c>
      <c r="C30" s="71" t="str">
        <f t="shared" si="19"/>
        <v>-</v>
      </c>
      <c r="D30" s="72">
        <f t="shared" si="20"/>
        <v>0</v>
      </c>
      <c r="E30" s="72">
        <v>0</v>
      </c>
      <c r="F30" s="72">
        <v>0</v>
      </c>
      <c r="G30" s="72">
        <v>0</v>
      </c>
      <c r="H30" s="72">
        <v>0</v>
      </c>
      <c r="I30" s="72">
        <f t="shared" si="21"/>
        <v>0</v>
      </c>
      <c r="J30" s="190" t="s">
        <v>98</v>
      </c>
      <c r="K30" s="87"/>
      <c r="L30" s="88">
        <v>19</v>
      </c>
      <c r="M30" s="89" t="s">
        <v>475</v>
      </c>
      <c r="N30" s="191" t="s">
        <v>29</v>
      </c>
      <c r="O30" s="90">
        <v>2017020022</v>
      </c>
      <c r="P30" s="91">
        <v>42832</v>
      </c>
      <c r="Q30" s="173">
        <v>386588</v>
      </c>
      <c r="R30" s="89" t="s">
        <v>476</v>
      </c>
      <c r="S30" s="89" t="s">
        <v>477</v>
      </c>
      <c r="T30" s="89"/>
      <c r="U30" s="103" t="s">
        <v>354</v>
      </c>
      <c r="V30" s="105" t="s">
        <v>478</v>
      </c>
      <c r="W30" s="102">
        <v>77317.6</v>
      </c>
      <c r="X30" s="102"/>
      <c r="Y30" s="102"/>
      <c r="Z30" s="107" t="s">
        <v>471</v>
      </c>
      <c r="AA30" s="102">
        <v>115976.4</v>
      </c>
      <c r="AB30" s="102"/>
      <c r="AC30" s="102"/>
      <c r="AD30" s="107" t="s">
        <v>479</v>
      </c>
      <c r="AE30" s="102">
        <v>77317.6</v>
      </c>
      <c r="AF30" s="102"/>
      <c r="AG30" s="102"/>
      <c r="AH30" s="107" t="s">
        <v>480</v>
      </c>
      <c r="AI30" s="102">
        <v>77317.6</v>
      </c>
      <c r="AJ30" s="102"/>
      <c r="AK30" s="102"/>
      <c r="AL30" s="107" t="s">
        <v>474</v>
      </c>
      <c r="AM30" s="102">
        <v>38658.8</v>
      </c>
      <c r="AN30" s="102"/>
      <c r="AO30" s="102"/>
      <c r="AP30" s="107"/>
      <c r="AQ30" s="102"/>
      <c r="AR30" s="102"/>
      <c r="AS30" s="102"/>
      <c r="AT30" s="107"/>
      <c r="AU30" s="102"/>
      <c r="AV30" s="102"/>
      <c r="AW30" s="102"/>
      <c r="AX30" s="107"/>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22"/>
      <c r="CD30" s="123">
        <f t="shared" si="22"/>
        <v>386588</v>
      </c>
      <c r="CE30" s="102">
        <f t="shared" si="23"/>
        <v>0</v>
      </c>
      <c r="CF30" s="102">
        <f t="shared" si="24"/>
        <v>0</v>
      </c>
      <c r="CG30" s="102">
        <f t="shared" si="25"/>
        <v>0</v>
      </c>
      <c r="CH30" s="124">
        <f t="shared" si="26"/>
        <v>386588</v>
      </c>
      <c r="CI30" s="125">
        <f t="shared" si="27"/>
        <v>0</v>
      </c>
      <c r="CJ30" s="126" t="str">
        <f t="shared" si="28"/>
        <v>数据正确</v>
      </c>
    </row>
    <row r="31" s="60" customFormat="1" customHeight="1" spans="1:88">
      <c r="A31" s="60" t="s">
        <v>36</v>
      </c>
      <c r="B31" s="70" t="str">
        <f t="shared" si="18"/>
        <v>-</v>
      </c>
      <c r="C31" s="71" t="str">
        <f t="shared" si="19"/>
        <v>-</v>
      </c>
      <c r="D31" s="72">
        <f t="shared" si="20"/>
        <v>3692000</v>
      </c>
      <c r="E31" s="72">
        <v>0</v>
      </c>
      <c r="F31" s="72">
        <v>0</v>
      </c>
      <c r="G31" s="72">
        <v>0</v>
      </c>
      <c r="H31" s="72">
        <v>0</v>
      </c>
      <c r="I31" s="72">
        <f t="shared" si="21"/>
        <v>0</v>
      </c>
      <c r="J31" s="190" t="s">
        <v>98</v>
      </c>
      <c r="K31" s="87"/>
      <c r="L31" s="88">
        <v>20</v>
      </c>
      <c r="M31" s="89" t="s">
        <v>481</v>
      </c>
      <c r="N31" s="191" t="s">
        <v>29</v>
      </c>
      <c r="O31" s="90">
        <v>2017030067</v>
      </c>
      <c r="P31" s="91">
        <v>42832</v>
      </c>
      <c r="Q31" s="173">
        <v>18460000</v>
      </c>
      <c r="R31" s="89" t="s">
        <v>482</v>
      </c>
      <c r="S31" s="89" t="s">
        <v>483</v>
      </c>
      <c r="T31" s="89" t="s">
        <v>484</v>
      </c>
      <c r="U31" s="103" t="s">
        <v>343</v>
      </c>
      <c r="V31" s="105" t="s">
        <v>485</v>
      </c>
      <c r="W31" s="102">
        <v>3692000</v>
      </c>
      <c r="X31" s="102">
        <v>3692000</v>
      </c>
      <c r="Y31" s="102">
        <v>3692000</v>
      </c>
      <c r="Z31" s="107" t="s">
        <v>486</v>
      </c>
      <c r="AA31" s="102">
        <v>14768000</v>
      </c>
      <c r="AB31" s="102"/>
      <c r="AC31" s="102"/>
      <c r="AD31" s="107"/>
      <c r="AE31" s="102"/>
      <c r="AF31" s="102"/>
      <c r="AG31" s="102"/>
      <c r="AH31" s="107"/>
      <c r="AI31" s="102"/>
      <c r="AJ31" s="102"/>
      <c r="AK31" s="102"/>
      <c r="AL31" s="107"/>
      <c r="AM31" s="102"/>
      <c r="AN31" s="102"/>
      <c r="AO31" s="102"/>
      <c r="AP31" s="107"/>
      <c r="AQ31" s="102"/>
      <c r="AR31" s="102"/>
      <c r="AS31" s="102"/>
      <c r="AT31" s="107"/>
      <c r="AU31" s="102"/>
      <c r="AV31" s="102"/>
      <c r="AW31" s="102"/>
      <c r="AX31" s="107"/>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22"/>
      <c r="CD31" s="123">
        <f t="shared" si="22"/>
        <v>18460000</v>
      </c>
      <c r="CE31" s="102">
        <f t="shared" si="23"/>
        <v>3692000</v>
      </c>
      <c r="CF31" s="102">
        <f t="shared" si="24"/>
        <v>3692000</v>
      </c>
      <c r="CG31" s="102">
        <f t="shared" si="25"/>
        <v>0</v>
      </c>
      <c r="CH31" s="124">
        <f t="shared" si="26"/>
        <v>14768000</v>
      </c>
      <c r="CI31" s="125">
        <f t="shared" si="27"/>
        <v>0.2</v>
      </c>
      <c r="CJ31" s="126" t="str">
        <f t="shared" si="28"/>
        <v>数据正确</v>
      </c>
    </row>
    <row r="32" s="60" customFormat="1" customHeight="1" spans="1:88">
      <c r="A32" s="60" t="s">
        <v>36</v>
      </c>
      <c r="B32" s="70" t="str">
        <f t="shared" si="18"/>
        <v>-</v>
      </c>
      <c r="C32" s="71" t="str">
        <f t="shared" si="19"/>
        <v>-</v>
      </c>
      <c r="D32" s="72">
        <f t="shared" si="20"/>
        <v>35880000</v>
      </c>
      <c r="E32" s="72">
        <v>0</v>
      </c>
      <c r="F32" s="72">
        <v>0</v>
      </c>
      <c r="G32" s="72">
        <v>0</v>
      </c>
      <c r="H32" s="72">
        <v>0</v>
      </c>
      <c r="I32" s="72">
        <f t="shared" si="21"/>
        <v>0</v>
      </c>
      <c r="J32" s="190" t="s">
        <v>98</v>
      </c>
      <c r="K32" s="87"/>
      <c r="L32" s="88">
        <v>21</v>
      </c>
      <c r="M32" s="89" t="s">
        <v>487</v>
      </c>
      <c r="N32" s="191" t="s">
        <v>29</v>
      </c>
      <c r="O32" s="90">
        <v>2017030076</v>
      </c>
      <c r="P32" s="91">
        <v>42857</v>
      </c>
      <c r="Q32" s="173">
        <v>59800000</v>
      </c>
      <c r="R32" s="89" t="s">
        <v>488</v>
      </c>
      <c r="S32" s="89" t="s">
        <v>489</v>
      </c>
      <c r="T32" s="89" t="s">
        <v>490</v>
      </c>
      <c r="U32" s="103" t="s">
        <v>343</v>
      </c>
      <c r="V32" s="105" t="s">
        <v>491</v>
      </c>
      <c r="W32" s="102">
        <v>11960000</v>
      </c>
      <c r="X32" s="102">
        <v>11960000</v>
      </c>
      <c r="Y32" s="102">
        <v>11960000</v>
      </c>
      <c r="Z32" s="107" t="s">
        <v>492</v>
      </c>
      <c r="AA32" s="102">
        <v>23920000</v>
      </c>
      <c r="AB32" s="102">
        <v>23920000</v>
      </c>
      <c r="AC32" s="102">
        <v>23920000</v>
      </c>
      <c r="AD32" s="107" t="s">
        <v>493</v>
      </c>
      <c r="AE32" s="102">
        <v>23920000</v>
      </c>
      <c r="AF32" s="102"/>
      <c r="AG32" s="102"/>
      <c r="AH32" s="107" t="s">
        <v>494</v>
      </c>
      <c r="AI32" s="102">
        <v>0</v>
      </c>
      <c r="AJ32" s="102"/>
      <c r="AK32" s="102"/>
      <c r="AL32" s="107"/>
      <c r="AM32" s="102"/>
      <c r="AN32" s="102"/>
      <c r="AO32" s="102"/>
      <c r="AP32" s="107"/>
      <c r="AQ32" s="102"/>
      <c r="AR32" s="102"/>
      <c r="AS32" s="102"/>
      <c r="AT32" s="107"/>
      <c r="AU32" s="102"/>
      <c r="AV32" s="102"/>
      <c r="AW32" s="102"/>
      <c r="AX32" s="107"/>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22"/>
      <c r="CD32" s="123">
        <f t="shared" si="22"/>
        <v>59800000</v>
      </c>
      <c r="CE32" s="102">
        <f t="shared" si="23"/>
        <v>35880000</v>
      </c>
      <c r="CF32" s="102">
        <f t="shared" si="24"/>
        <v>35880000</v>
      </c>
      <c r="CG32" s="102">
        <f t="shared" si="25"/>
        <v>0</v>
      </c>
      <c r="CH32" s="124">
        <f t="shared" si="26"/>
        <v>23920000</v>
      </c>
      <c r="CI32" s="125">
        <f t="shared" si="27"/>
        <v>0.6</v>
      </c>
      <c r="CJ32" s="126" t="str">
        <f t="shared" si="28"/>
        <v>数据正确</v>
      </c>
    </row>
    <row r="33" s="60" customFormat="1" customHeight="1" spans="1:88">
      <c r="A33" s="60" t="s">
        <v>36</v>
      </c>
      <c r="B33" s="70" t="str">
        <f t="shared" si="18"/>
        <v>-</v>
      </c>
      <c r="C33" s="71" t="str">
        <f t="shared" si="19"/>
        <v>-</v>
      </c>
      <c r="D33" s="72">
        <f t="shared" si="20"/>
        <v>0</v>
      </c>
      <c r="E33" s="72">
        <v>0</v>
      </c>
      <c r="F33" s="72">
        <v>0</v>
      </c>
      <c r="G33" s="72">
        <v>0</v>
      </c>
      <c r="H33" s="72">
        <v>0</v>
      </c>
      <c r="I33" s="72">
        <f t="shared" si="21"/>
        <v>0</v>
      </c>
      <c r="J33" s="190" t="s">
        <v>98</v>
      </c>
      <c r="K33" s="87"/>
      <c r="L33" s="88">
        <v>22</v>
      </c>
      <c r="M33" s="89" t="s">
        <v>495</v>
      </c>
      <c r="N33" s="191" t="s">
        <v>29</v>
      </c>
      <c r="O33" s="90">
        <v>2017040001</v>
      </c>
      <c r="P33" s="91">
        <v>42859</v>
      </c>
      <c r="Q33" s="173">
        <v>1460000</v>
      </c>
      <c r="R33" s="89" t="s">
        <v>496</v>
      </c>
      <c r="S33" s="89" t="s">
        <v>497</v>
      </c>
      <c r="T33" s="89"/>
      <c r="U33" s="103" t="s">
        <v>354</v>
      </c>
      <c r="V33" s="105" t="s">
        <v>498</v>
      </c>
      <c r="W33" s="102">
        <v>438000</v>
      </c>
      <c r="X33" s="102"/>
      <c r="Y33" s="102"/>
      <c r="Z33" s="107" t="s">
        <v>499</v>
      </c>
      <c r="AA33" s="102">
        <v>876000</v>
      </c>
      <c r="AB33" s="102"/>
      <c r="AC33" s="102"/>
      <c r="AD33" s="107" t="s">
        <v>500</v>
      </c>
      <c r="AE33" s="102">
        <v>146000</v>
      </c>
      <c r="AF33" s="102"/>
      <c r="AG33" s="102"/>
      <c r="AH33" s="107"/>
      <c r="AI33" s="102"/>
      <c r="AJ33" s="102"/>
      <c r="AK33" s="102"/>
      <c r="AL33" s="107"/>
      <c r="AM33" s="102"/>
      <c r="AN33" s="102"/>
      <c r="AO33" s="102"/>
      <c r="AP33" s="107"/>
      <c r="AQ33" s="102"/>
      <c r="AR33" s="102"/>
      <c r="AS33" s="102"/>
      <c r="AT33" s="107"/>
      <c r="AU33" s="102"/>
      <c r="AV33" s="102"/>
      <c r="AW33" s="102"/>
      <c r="AX33" s="107"/>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22"/>
      <c r="CD33" s="123">
        <f t="shared" si="22"/>
        <v>1460000</v>
      </c>
      <c r="CE33" s="102">
        <f t="shared" si="23"/>
        <v>0</v>
      </c>
      <c r="CF33" s="102">
        <f t="shared" si="24"/>
        <v>0</v>
      </c>
      <c r="CG33" s="102">
        <f t="shared" si="25"/>
        <v>0</v>
      </c>
      <c r="CH33" s="124">
        <f t="shared" si="26"/>
        <v>1460000</v>
      </c>
      <c r="CI33" s="125">
        <f t="shared" si="27"/>
        <v>0</v>
      </c>
      <c r="CJ33" s="126" t="str">
        <f t="shared" si="28"/>
        <v>数据正确</v>
      </c>
    </row>
    <row r="34" s="60" customFormat="1" customHeight="1" spans="1:88">
      <c r="A34" s="60" t="s">
        <v>36</v>
      </c>
      <c r="B34" s="70" t="str">
        <f t="shared" si="18"/>
        <v>-</v>
      </c>
      <c r="C34" s="71" t="str">
        <f t="shared" si="19"/>
        <v>-</v>
      </c>
      <c r="D34" s="72">
        <f t="shared" si="20"/>
        <v>0</v>
      </c>
      <c r="E34" s="72">
        <v>0</v>
      </c>
      <c r="F34" s="72">
        <v>0</v>
      </c>
      <c r="G34" s="72">
        <v>0</v>
      </c>
      <c r="H34" s="72">
        <v>0</v>
      </c>
      <c r="I34" s="72">
        <f t="shared" si="21"/>
        <v>0</v>
      </c>
      <c r="J34" s="190" t="s">
        <v>98</v>
      </c>
      <c r="K34" s="87"/>
      <c r="L34" s="88">
        <v>24</v>
      </c>
      <c r="M34" s="89" t="s">
        <v>501</v>
      </c>
      <c r="N34" s="191" t="s">
        <v>29</v>
      </c>
      <c r="O34" s="90">
        <v>2017050008</v>
      </c>
      <c r="P34" s="91">
        <v>42892</v>
      </c>
      <c r="Q34" s="173">
        <v>745000</v>
      </c>
      <c r="R34" s="89" t="s">
        <v>502</v>
      </c>
      <c r="S34" s="89" t="s">
        <v>503</v>
      </c>
      <c r="T34" s="89"/>
      <c r="U34" s="103" t="s">
        <v>329</v>
      </c>
      <c r="V34" s="105" t="s">
        <v>504</v>
      </c>
      <c r="W34" s="102">
        <v>447000</v>
      </c>
      <c r="X34" s="102"/>
      <c r="Y34" s="102"/>
      <c r="Z34" s="107" t="s">
        <v>505</v>
      </c>
      <c r="AA34" s="102">
        <v>223500</v>
      </c>
      <c r="AB34" s="102"/>
      <c r="AC34" s="102"/>
      <c r="AD34" s="107" t="s">
        <v>506</v>
      </c>
      <c r="AE34" s="102">
        <v>74500</v>
      </c>
      <c r="AF34" s="102"/>
      <c r="AG34" s="102"/>
      <c r="AH34" s="107"/>
      <c r="AI34" s="102"/>
      <c r="AJ34" s="102"/>
      <c r="AK34" s="102"/>
      <c r="AL34" s="107"/>
      <c r="AM34" s="102"/>
      <c r="AN34" s="102"/>
      <c r="AO34" s="102"/>
      <c r="AP34" s="107"/>
      <c r="AQ34" s="102"/>
      <c r="AR34" s="102"/>
      <c r="AS34" s="102"/>
      <c r="AT34" s="107"/>
      <c r="AU34" s="102"/>
      <c r="AV34" s="102"/>
      <c r="AW34" s="102"/>
      <c r="AX34" s="107"/>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22"/>
      <c r="CD34" s="123">
        <f t="shared" si="22"/>
        <v>745000</v>
      </c>
      <c r="CE34" s="102">
        <f t="shared" si="23"/>
        <v>0</v>
      </c>
      <c r="CF34" s="102">
        <f t="shared" si="24"/>
        <v>0</v>
      </c>
      <c r="CG34" s="102">
        <f t="shared" si="25"/>
        <v>0</v>
      </c>
      <c r="CH34" s="124">
        <f t="shared" si="26"/>
        <v>745000</v>
      </c>
      <c r="CI34" s="125">
        <f t="shared" si="27"/>
        <v>0</v>
      </c>
      <c r="CJ34" s="126" t="str">
        <f t="shared" si="28"/>
        <v>数据正确</v>
      </c>
    </row>
    <row r="35" s="60" customFormat="1" customHeight="1" spans="1:88">
      <c r="A35" s="60" t="s">
        <v>36</v>
      </c>
      <c r="B35" s="70" t="str">
        <f t="shared" si="18"/>
        <v>-</v>
      </c>
      <c r="C35" s="71" t="str">
        <f t="shared" si="19"/>
        <v>-</v>
      </c>
      <c r="D35" s="72">
        <f t="shared" si="20"/>
        <v>2840000</v>
      </c>
      <c r="E35" s="72">
        <v>0</v>
      </c>
      <c r="F35" s="72">
        <v>0</v>
      </c>
      <c r="G35" s="72">
        <v>0</v>
      </c>
      <c r="H35" s="72">
        <v>0</v>
      </c>
      <c r="I35" s="72">
        <f t="shared" si="21"/>
        <v>0</v>
      </c>
      <c r="J35" s="190" t="s">
        <v>98</v>
      </c>
      <c r="K35" s="87"/>
      <c r="L35" s="88">
        <v>141</v>
      </c>
      <c r="M35" s="89" t="s">
        <v>507</v>
      </c>
      <c r="N35" s="191" t="s">
        <v>29</v>
      </c>
      <c r="O35" s="90">
        <v>2017050011</v>
      </c>
      <c r="P35" s="91">
        <v>42893</v>
      </c>
      <c r="Q35" s="173">
        <v>14200000</v>
      </c>
      <c r="R35" s="89" t="s">
        <v>508</v>
      </c>
      <c r="S35" s="89" t="s">
        <v>509</v>
      </c>
      <c r="T35" s="89" t="s">
        <v>510</v>
      </c>
      <c r="U35" s="103" t="s">
        <v>329</v>
      </c>
      <c r="V35" s="105" t="s">
        <v>511</v>
      </c>
      <c r="W35" s="102">
        <v>2840000</v>
      </c>
      <c r="X35" s="102">
        <v>2840000</v>
      </c>
      <c r="Y35" s="102">
        <v>2840000</v>
      </c>
      <c r="Z35" s="107" t="s">
        <v>512</v>
      </c>
      <c r="AA35" s="102">
        <v>5680000</v>
      </c>
      <c r="AB35" s="102"/>
      <c r="AC35" s="102"/>
      <c r="AD35" s="107" t="s">
        <v>513</v>
      </c>
      <c r="AE35" s="102">
        <v>4260000</v>
      </c>
      <c r="AF35" s="102"/>
      <c r="AG35" s="102"/>
      <c r="AH35" s="107" t="s">
        <v>514</v>
      </c>
      <c r="AI35" s="102">
        <v>1420000</v>
      </c>
      <c r="AJ35" s="102"/>
      <c r="AK35" s="102"/>
      <c r="AL35" s="107"/>
      <c r="AM35" s="102"/>
      <c r="AN35" s="102"/>
      <c r="AO35" s="102"/>
      <c r="AP35" s="107"/>
      <c r="AQ35" s="102"/>
      <c r="AR35" s="102"/>
      <c r="AS35" s="102"/>
      <c r="AT35" s="107"/>
      <c r="AU35" s="102"/>
      <c r="AV35" s="102"/>
      <c r="AW35" s="102"/>
      <c r="AX35" s="107"/>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22"/>
      <c r="CD35" s="123">
        <f t="shared" si="22"/>
        <v>14200000</v>
      </c>
      <c r="CE35" s="102">
        <f t="shared" si="23"/>
        <v>2840000</v>
      </c>
      <c r="CF35" s="102">
        <f t="shared" si="24"/>
        <v>2840000</v>
      </c>
      <c r="CG35" s="102">
        <f t="shared" si="25"/>
        <v>0</v>
      </c>
      <c r="CH35" s="124">
        <f t="shared" si="26"/>
        <v>11360000</v>
      </c>
      <c r="CI35" s="125">
        <f t="shared" si="27"/>
        <v>0.2</v>
      </c>
      <c r="CJ35" s="126" t="str">
        <f t="shared" si="28"/>
        <v>数据正确</v>
      </c>
    </row>
    <row r="36" s="60" customFormat="1" customHeight="1" spans="1:88">
      <c r="A36" s="60" t="s">
        <v>36</v>
      </c>
      <c r="B36" s="70" t="str">
        <f t="shared" si="18"/>
        <v>-</v>
      </c>
      <c r="C36" s="71" t="str">
        <f t="shared" si="19"/>
        <v>-</v>
      </c>
      <c r="D36" s="72">
        <f t="shared" si="20"/>
        <v>580000</v>
      </c>
      <c r="E36" s="72">
        <v>0</v>
      </c>
      <c r="F36" s="72">
        <v>0</v>
      </c>
      <c r="G36" s="72">
        <v>0</v>
      </c>
      <c r="H36" s="72">
        <v>0</v>
      </c>
      <c r="I36" s="72">
        <f t="shared" si="21"/>
        <v>0</v>
      </c>
      <c r="J36" s="190" t="s">
        <v>98</v>
      </c>
      <c r="K36" s="87"/>
      <c r="L36" s="88">
        <v>142</v>
      </c>
      <c r="M36" s="89" t="s">
        <v>515</v>
      </c>
      <c r="N36" s="191" t="s">
        <v>29</v>
      </c>
      <c r="O36" s="90">
        <v>2017060065</v>
      </c>
      <c r="P36" s="91">
        <v>42893</v>
      </c>
      <c r="Q36" s="173">
        <v>2900000</v>
      </c>
      <c r="R36" s="89" t="s">
        <v>516</v>
      </c>
      <c r="S36" s="89" t="s">
        <v>517</v>
      </c>
      <c r="T36" s="89" t="s">
        <v>518</v>
      </c>
      <c r="U36" s="103" t="s">
        <v>354</v>
      </c>
      <c r="V36" s="105" t="s">
        <v>470</v>
      </c>
      <c r="W36" s="102">
        <v>580000</v>
      </c>
      <c r="X36" s="102">
        <v>580000</v>
      </c>
      <c r="Y36" s="102">
        <v>580000</v>
      </c>
      <c r="Z36" s="107" t="s">
        <v>519</v>
      </c>
      <c r="AA36" s="102">
        <v>1160000</v>
      </c>
      <c r="AB36" s="102"/>
      <c r="AC36" s="102"/>
      <c r="AD36" s="107" t="s">
        <v>520</v>
      </c>
      <c r="AE36" s="102">
        <v>870000</v>
      </c>
      <c r="AF36" s="102"/>
      <c r="AG36" s="102"/>
      <c r="AH36" s="107" t="s">
        <v>521</v>
      </c>
      <c r="AI36" s="102">
        <v>290000</v>
      </c>
      <c r="AJ36" s="102"/>
      <c r="AK36" s="102"/>
      <c r="AL36" s="107"/>
      <c r="AM36" s="102"/>
      <c r="AN36" s="102"/>
      <c r="AO36" s="102"/>
      <c r="AP36" s="107"/>
      <c r="AQ36" s="102"/>
      <c r="AR36" s="102"/>
      <c r="AS36" s="102"/>
      <c r="AT36" s="107"/>
      <c r="AU36" s="102"/>
      <c r="AV36" s="102"/>
      <c r="AW36" s="102"/>
      <c r="AX36" s="107"/>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22"/>
      <c r="CD36" s="123">
        <f t="shared" si="22"/>
        <v>2900000</v>
      </c>
      <c r="CE36" s="102">
        <f t="shared" si="23"/>
        <v>580000</v>
      </c>
      <c r="CF36" s="102">
        <f t="shared" si="24"/>
        <v>580000</v>
      </c>
      <c r="CG36" s="102">
        <f t="shared" si="25"/>
        <v>0</v>
      </c>
      <c r="CH36" s="124">
        <f t="shared" si="26"/>
        <v>2320000</v>
      </c>
      <c r="CI36" s="125">
        <f t="shared" si="27"/>
        <v>0.2</v>
      </c>
      <c r="CJ36" s="126" t="str">
        <f t="shared" si="28"/>
        <v>数据正确</v>
      </c>
    </row>
    <row r="37" s="60" customFormat="1" customHeight="1" spans="1:88">
      <c r="A37" s="60" t="s">
        <v>36</v>
      </c>
      <c r="B37" s="70" t="str">
        <f t="shared" si="18"/>
        <v>-</v>
      </c>
      <c r="C37" s="71" t="str">
        <f t="shared" si="19"/>
        <v>-</v>
      </c>
      <c r="D37" s="72">
        <f t="shared" si="20"/>
        <v>710000</v>
      </c>
      <c r="E37" s="72">
        <v>0</v>
      </c>
      <c r="F37" s="72">
        <v>0</v>
      </c>
      <c r="G37" s="72">
        <v>0</v>
      </c>
      <c r="H37" s="72">
        <v>0</v>
      </c>
      <c r="I37" s="72">
        <f t="shared" si="21"/>
        <v>0</v>
      </c>
      <c r="J37" s="190" t="s">
        <v>98</v>
      </c>
      <c r="K37" s="87"/>
      <c r="L37" s="88">
        <v>23</v>
      </c>
      <c r="M37" s="89" t="s">
        <v>522</v>
      </c>
      <c r="N37" s="191" t="s">
        <v>29</v>
      </c>
      <c r="O37" s="90">
        <v>2017040050</v>
      </c>
      <c r="P37" s="91">
        <v>42898</v>
      </c>
      <c r="Q37" s="173">
        <v>3550000</v>
      </c>
      <c r="R37" s="89" t="s">
        <v>523</v>
      </c>
      <c r="S37" s="89" t="s">
        <v>524</v>
      </c>
      <c r="T37" s="89" t="s">
        <v>525</v>
      </c>
      <c r="U37" s="103" t="s">
        <v>354</v>
      </c>
      <c r="V37" s="105" t="s">
        <v>526</v>
      </c>
      <c r="W37" s="102">
        <v>710000</v>
      </c>
      <c r="X37" s="102">
        <v>710000</v>
      </c>
      <c r="Y37" s="102">
        <v>710000</v>
      </c>
      <c r="Z37" s="107" t="s">
        <v>527</v>
      </c>
      <c r="AA37" s="102">
        <v>1420000</v>
      </c>
      <c r="AB37" s="102"/>
      <c r="AC37" s="102"/>
      <c r="AD37" s="107" t="s">
        <v>528</v>
      </c>
      <c r="AE37" s="102">
        <v>1065000</v>
      </c>
      <c r="AF37" s="102"/>
      <c r="AG37" s="102"/>
      <c r="AH37" s="107" t="s">
        <v>529</v>
      </c>
      <c r="AI37" s="102">
        <v>355000</v>
      </c>
      <c r="AJ37" s="102"/>
      <c r="AK37" s="102"/>
      <c r="AL37" s="107"/>
      <c r="AM37" s="102"/>
      <c r="AN37" s="102"/>
      <c r="AO37" s="102"/>
      <c r="AP37" s="107"/>
      <c r="AQ37" s="102"/>
      <c r="AR37" s="102"/>
      <c r="AS37" s="102"/>
      <c r="AT37" s="107"/>
      <c r="AU37" s="102"/>
      <c r="AV37" s="102"/>
      <c r="AW37" s="102"/>
      <c r="AX37" s="107"/>
      <c r="AY37" s="102"/>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22"/>
      <c r="CD37" s="123">
        <f t="shared" si="22"/>
        <v>3550000</v>
      </c>
      <c r="CE37" s="102">
        <f t="shared" si="23"/>
        <v>710000</v>
      </c>
      <c r="CF37" s="102">
        <f t="shared" si="24"/>
        <v>710000</v>
      </c>
      <c r="CG37" s="102">
        <f t="shared" si="25"/>
        <v>0</v>
      </c>
      <c r="CH37" s="124">
        <f t="shared" si="26"/>
        <v>2840000</v>
      </c>
      <c r="CI37" s="125">
        <f t="shared" si="27"/>
        <v>0.2</v>
      </c>
      <c r="CJ37" s="126" t="str">
        <f t="shared" si="28"/>
        <v>数据正确</v>
      </c>
    </row>
    <row r="38" s="60" customFormat="1" customHeight="1" spans="1:88">
      <c r="A38" s="60" t="s">
        <v>36</v>
      </c>
      <c r="B38" s="70" t="str">
        <f t="shared" si="18"/>
        <v>-</v>
      </c>
      <c r="C38" s="71" t="str">
        <f t="shared" si="19"/>
        <v>-</v>
      </c>
      <c r="D38" s="72">
        <f t="shared" si="20"/>
        <v>1050000</v>
      </c>
      <c r="E38" s="72">
        <v>0</v>
      </c>
      <c r="F38" s="72">
        <v>0</v>
      </c>
      <c r="G38" s="72">
        <v>0</v>
      </c>
      <c r="H38" s="72">
        <v>0</v>
      </c>
      <c r="I38" s="72">
        <f t="shared" si="21"/>
        <v>0</v>
      </c>
      <c r="J38" s="190" t="s">
        <v>98</v>
      </c>
      <c r="K38" s="87"/>
      <c r="L38" s="88">
        <v>25</v>
      </c>
      <c r="M38" s="89" t="s">
        <v>530</v>
      </c>
      <c r="N38" s="191" t="s">
        <v>29</v>
      </c>
      <c r="O38" s="90">
        <v>2017040009</v>
      </c>
      <c r="P38" s="91">
        <v>42898</v>
      </c>
      <c r="Q38" s="173">
        <v>3500000</v>
      </c>
      <c r="R38" s="89" t="s">
        <v>531</v>
      </c>
      <c r="S38" s="89" t="s">
        <v>532</v>
      </c>
      <c r="T38" s="89" t="s">
        <v>533</v>
      </c>
      <c r="U38" s="103" t="s">
        <v>329</v>
      </c>
      <c r="V38" s="105" t="s">
        <v>534</v>
      </c>
      <c r="W38" s="102">
        <v>1050000</v>
      </c>
      <c r="X38" s="102">
        <v>1050000</v>
      </c>
      <c r="Y38" s="102">
        <v>1050000</v>
      </c>
      <c r="Z38" s="107" t="s">
        <v>535</v>
      </c>
      <c r="AA38" s="102">
        <v>1400000</v>
      </c>
      <c r="AB38" s="102"/>
      <c r="AC38" s="102"/>
      <c r="AD38" s="107" t="s">
        <v>536</v>
      </c>
      <c r="AE38" s="102">
        <v>1050000</v>
      </c>
      <c r="AF38" s="102"/>
      <c r="AG38" s="102"/>
      <c r="AH38" s="107"/>
      <c r="AI38" s="102"/>
      <c r="AJ38" s="102"/>
      <c r="AK38" s="102"/>
      <c r="AL38" s="107"/>
      <c r="AM38" s="102"/>
      <c r="AN38" s="102"/>
      <c r="AO38" s="102"/>
      <c r="AP38" s="107"/>
      <c r="AQ38" s="102"/>
      <c r="AR38" s="102"/>
      <c r="AS38" s="102"/>
      <c r="AT38" s="107"/>
      <c r="AU38" s="102"/>
      <c r="AV38" s="102"/>
      <c r="AW38" s="102"/>
      <c r="AX38" s="107"/>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22"/>
      <c r="CD38" s="123">
        <f t="shared" si="22"/>
        <v>3500000</v>
      </c>
      <c r="CE38" s="102">
        <f t="shared" si="23"/>
        <v>1050000</v>
      </c>
      <c r="CF38" s="102">
        <f t="shared" si="24"/>
        <v>1050000</v>
      </c>
      <c r="CG38" s="102">
        <f t="shared" si="25"/>
        <v>0</v>
      </c>
      <c r="CH38" s="124">
        <f t="shared" si="26"/>
        <v>2450000</v>
      </c>
      <c r="CI38" s="125">
        <f t="shared" si="27"/>
        <v>0.3</v>
      </c>
      <c r="CJ38" s="126" t="str">
        <f t="shared" si="28"/>
        <v>数据正确</v>
      </c>
    </row>
    <row r="39" s="60" customFormat="1" customHeight="1" spans="1:88">
      <c r="A39" s="60" t="s">
        <v>36</v>
      </c>
      <c r="B39" s="70" t="str">
        <f t="shared" si="18"/>
        <v>-</v>
      </c>
      <c r="C39" s="71" t="str">
        <f t="shared" si="19"/>
        <v>-</v>
      </c>
      <c r="D39" s="72">
        <f t="shared" si="20"/>
        <v>720000</v>
      </c>
      <c r="E39" s="72">
        <v>0</v>
      </c>
      <c r="F39" s="72">
        <v>0</v>
      </c>
      <c r="G39" s="72">
        <v>0</v>
      </c>
      <c r="H39" s="72">
        <v>0</v>
      </c>
      <c r="I39" s="72">
        <f t="shared" si="21"/>
        <v>0</v>
      </c>
      <c r="J39" s="190" t="s">
        <v>98</v>
      </c>
      <c r="K39" s="87"/>
      <c r="L39" s="88">
        <v>27</v>
      </c>
      <c r="M39" s="89" t="s">
        <v>537</v>
      </c>
      <c r="N39" s="191" t="s">
        <v>29</v>
      </c>
      <c r="O39" s="90">
        <v>2017050053</v>
      </c>
      <c r="P39" s="91">
        <v>42901</v>
      </c>
      <c r="Q39" s="173">
        <v>3600000</v>
      </c>
      <c r="R39" s="89" t="s">
        <v>538</v>
      </c>
      <c r="S39" s="89" t="s">
        <v>539</v>
      </c>
      <c r="T39" s="89" t="s">
        <v>540</v>
      </c>
      <c r="U39" s="103" t="s">
        <v>329</v>
      </c>
      <c r="V39" s="105" t="s">
        <v>541</v>
      </c>
      <c r="W39" s="102">
        <v>720000</v>
      </c>
      <c r="X39" s="102">
        <v>720000</v>
      </c>
      <c r="Y39" s="102">
        <v>720000</v>
      </c>
      <c r="Z39" s="107" t="s">
        <v>542</v>
      </c>
      <c r="AA39" s="102">
        <v>1440000</v>
      </c>
      <c r="AB39" s="102"/>
      <c r="AC39" s="102"/>
      <c r="AD39" s="107" t="s">
        <v>543</v>
      </c>
      <c r="AE39" s="102">
        <v>1080000</v>
      </c>
      <c r="AF39" s="102"/>
      <c r="AG39" s="102"/>
      <c r="AH39" s="107" t="s">
        <v>544</v>
      </c>
      <c r="AI39" s="102">
        <v>360000</v>
      </c>
      <c r="AJ39" s="102"/>
      <c r="AK39" s="102"/>
      <c r="AL39" s="107"/>
      <c r="AM39" s="102"/>
      <c r="AN39" s="102"/>
      <c r="AO39" s="102"/>
      <c r="AP39" s="107"/>
      <c r="AQ39" s="102"/>
      <c r="AR39" s="102"/>
      <c r="AS39" s="102"/>
      <c r="AT39" s="107"/>
      <c r="AU39" s="102"/>
      <c r="AV39" s="102"/>
      <c r="AW39" s="102"/>
      <c r="AX39" s="107"/>
      <c r="AY39" s="102"/>
      <c r="AZ39" s="102"/>
      <c r="BA39" s="102"/>
      <c r="BB39" s="102"/>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22"/>
      <c r="CD39" s="123">
        <f t="shared" si="22"/>
        <v>3600000</v>
      </c>
      <c r="CE39" s="102">
        <f t="shared" si="23"/>
        <v>720000</v>
      </c>
      <c r="CF39" s="102">
        <f t="shared" si="24"/>
        <v>720000</v>
      </c>
      <c r="CG39" s="102">
        <f t="shared" si="25"/>
        <v>0</v>
      </c>
      <c r="CH39" s="124">
        <f t="shared" si="26"/>
        <v>2880000</v>
      </c>
      <c r="CI39" s="125">
        <f t="shared" si="27"/>
        <v>0.2</v>
      </c>
      <c r="CJ39" s="126" t="str">
        <f t="shared" si="28"/>
        <v>数据正确</v>
      </c>
    </row>
    <row r="40" s="60" customFormat="1" customHeight="1" spans="1:88">
      <c r="A40" s="60" t="s">
        <v>36</v>
      </c>
      <c r="B40" s="70" t="str">
        <f t="shared" si="18"/>
        <v>-</v>
      </c>
      <c r="C40" s="71" t="str">
        <f t="shared" si="19"/>
        <v>-</v>
      </c>
      <c r="D40" s="72">
        <f t="shared" si="20"/>
        <v>670000</v>
      </c>
      <c r="E40" s="72">
        <v>0</v>
      </c>
      <c r="F40" s="72">
        <v>0</v>
      </c>
      <c r="G40" s="72">
        <v>0</v>
      </c>
      <c r="H40" s="72">
        <v>0</v>
      </c>
      <c r="I40" s="72">
        <f t="shared" si="21"/>
        <v>0</v>
      </c>
      <c r="J40" s="190" t="s">
        <v>98</v>
      </c>
      <c r="K40" s="87"/>
      <c r="L40" s="88">
        <v>26</v>
      </c>
      <c r="M40" s="89" t="s">
        <v>545</v>
      </c>
      <c r="N40" s="191" t="s">
        <v>29</v>
      </c>
      <c r="O40" s="90">
        <v>2017050056</v>
      </c>
      <c r="P40" s="91">
        <v>42905</v>
      </c>
      <c r="Q40" s="173">
        <v>3350000</v>
      </c>
      <c r="R40" s="89" t="s">
        <v>546</v>
      </c>
      <c r="S40" s="89" t="s">
        <v>547</v>
      </c>
      <c r="T40" s="89"/>
      <c r="U40" s="103" t="s">
        <v>329</v>
      </c>
      <c r="V40" s="105" t="s">
        <v>548</v>
      </c>
      <c r="W40" s="102">
        <v>670000</v>
      </c>
      <c r="X40" s="102">
        <v>670000</v>
      </c>
      <c r="Y40" s="102">
        <v>670000</v>
      </c>
      <c r="Z40" s="107" t="s">
        <v>535</v>
      </c>
      <c r="AA40" s="102">
        <v>1340000</v>
      </c>
      <c r="AB40" s="102"/>
      <c r="AC40" s="102"/>
      <c r="AD40" s="107" t="s">
        <v>543</v>
      </c>
      <c r="AE40" s="102">
        <v>1005000</v>
      </c>
      <c r="AF40" s="102"/>
      <c r="AG40" s="102"/>
      <c r="AH40" s="107" t="s">
        <v>544</v>
      </c>
      <c r="AI40" s="102">
        <v>335000</v>
      </c>
      <c r="AJ40" s="102"/>
      <c r="AK40" s="102"/>
      <c r="AL40" s="107"/>
      <c r="AM40" s="102"/>
      <c r="AN40" s="102"/>
      <c r="AO40" s="102"/>
      <c r="AP40" s="107"/>
      <c r="AQ40" s="102"/>
      <c r="AR40" s="102"/>
      <c r="AS40" s="102"/>
      <c r="AT40" s="107"/>
      <c r="AU40" s="102"/>
      <c r="AV40" s="102"/>
      <c r="AW40" s="102"/>
      <c r="AX40" s="107"/>
      <c r="AY40" s="102"/>
      <c r="AZ40" s="102"/>
      <c r="BA40" s="102"/>
      <c r="BB40" s="102"/>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22"/>
      <c r="CD40" s="123">
        <f t="shared" si="22"/>
        <v>3350000</v>
      </c>
      <c r="CE40" s="102">
        <f t="shared" si="23"/>
        <v>670000</v>
      </c>
      <c r="CF40" s="102">
        <f t="shared" si="24"/>
        <v>670000</v>
      </c>
      <c r="CG40" s="102">
        <f t="shared" si="25"/>
        <v>0</v>
      </c>
      <c r="CH40" s="124">
        <f t="shared" si="26"/>
        <v>2680000</v>
      </c>
      <c r="CI40" s="125">
        <f t="shared" si="27"/>
        <v>0.2</v>
      </c>
      <c r="CJ40" s="126" t="str">
        <f t="shared" si="28"/>
        <v>数据正确</v>
      </c>
    </row>
    <row r="41" s="60" customFormat="1" customHeight="1" spans="1:88">
      <c r="A41" s="60" t="s">
        <v>36</v>
      </c>
      <c r="B41" s="70" t="str">
        <f t="shared" si="18"/>
        <v>-</v>
      </c>
      <c r="C41" s="71" t="str">
        <f t="shared" si="19"/>
        <v>-</v>
      </c>
      <c r="D41" s="72">
        <f t="shared" si="20"/>
        <v>0</v>
      </c>
      <c r="E41" s="72">
        <v>0</v>
      </c>
      <c r="F41" s="72">
        <v>0</v>
      </c>
      <c r="G41" s="72">
        <v>0</v>
      </c>
      <c r="H41" s="72">
        <v>0</v>
      </c>
      <c r="I41" s="72">
        <f t="shared" si="21"/>
        <v>0</v>
      </c>
      <c r="J41" s="190" t="s">
        <v>98</v>
      </c>
      <c r="K41" s="87"/>
      <c r="L41" s="88">
        <v>75</v>
      </c>
      <c r="M41" s="148" t="s">
        <v>549</v>
      </c>
      <c r="N41" s="191" t="s">
        <v>29</v>
      </c>
      <c r="O41" s="201">
        <v>2017060029</v>
      </c>
      <c r="P41" s="149">
        <v>42908</v>
      </c>
      <c r="Q41" s="204">
        <v>7900</v>
      </c>
      <c r="R41" s="208" t="s">
        <v>550</v>
      </c>
      <c r="S41" s="208" t="s">
        <v>551</v>
      </c>
      <c r="T41" s="209" t="s">
        <v>552</v>
      </c>
      <c r="U41" s="210" t="s">
        <v>343</v>
      </c>
      <c r="V41" s="105" t="s">
        <v>553</v>
      </c>
      <c r="W41" s="102">
        <v>7900</v>
      </c>
      <c r="X41" s="102"/>
      <c r="Y41" s="102"/>
      <c r="Z41" s="107"/>
      <c r="AA41" s="102"/>
      <c r="AB41" s="102"/>
      <c r="AC41" s="102"/>
      <c r="AD41" s="107"/>
      <c r="AE41" s="102"/>
      <c r="AF41" s="102"/>
      <c r="AG41" s="102"/>
      <c r="AH41" s="107"/>
      <c r="AI41" s="102"/>
      <c r="AJ41" s="102"/>
      <c r="AK41" s="102"/>
      <c r="AL41" s="107"/>
      <c r="AM41" s="102"/>
      <c r="AN41" s="102"/>
      <c r="AO41" s="102"/>
      <c r="AP41" s="107"/>
      <c r="AQ41" s="102"/>
      <c r="AR41" s="102"/>
      <c r="AS41" s="102"/>
      <c r="AT41" s="107"/>
      <c r="AU41" s="102"/>
      <c r="AV41" s="102"/>
      <c r="AW41" s="102"/>
      <c r="AX41" s="107"/>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22"/>
      <c r="CD41" s="123">
        <f t="shared" si="22"/>
        <v>7900</v>
      </c>
      <c r="CE41" s="102">
        <f t="shared" si="23"/>
        <v>0</v>
      </c>
      <c r="CF41" s="102">
        <f t="shared" si="24"/>
        <v>0</v>
      </c>
      <c r="CG41" s="102">
        <f t="shared" si="25"/>
        <v>0</v>
      </c>
      <c r="CH41" s="124">
        <f t="shared" si="26"/>
        <v>7900</v>
      </c>
      <c r="CI41" s="125">
        <f t="shared" si="27"/>
        <v>0</v>
      </c>
      <c r="CJ41" s="126" t="str">
        <f t="shared" si="28"/>
        <v>数据正确</v>
      </c>
    </row>
    <row r="42" s="60" customFormat="1" customHeight="1" spans="1:88">
      <c r="A42" s="60" t="s">
        <v>36</v>
      </c>
      <c r="B42" s="70" t="str">
        <f t="shared" si="18"/>
        <v>-</v>
      </c>
      <c r="C42" s="71" t="str">
        <f t="shared" si="19"/>
        <v>-</v>
      </c>
      <c r="D42" s="72">
        <f t="shared" si="20"/>
        <v>0</v>
      </c>
      <c r="E42" s="72">
        <v>0</v>
      </c>
      <c r="F42" s="72">
        <v>0</v>
      </c>
      <c r="G42" s="72">
        <v>0</v>
      </c>
      <c r="H42" s="72">
        <v>0</v>
      </c>
      <c r="I42" s="72">
        <f t="shared" si="21"/>
        <v>0</v>
      </c>
      <c r="J42" s="190" t="s">
        <v>98</v>
      </c>
      <c r="K42" s="87"/>
      <c r="L42" s="88">
        <v>67</v>
      </c>
      <c r="M42" s="89" t="s">
        <v>554</v>
      </c>
      <c r="N42" s="191" t="s">
        <v>29</v>
      </c>
      <c r="O42" s="202"/>
      <c r="P42" s="91">
        <v>42912</v>
      </c>
      <c r="Q42" s="173">
        <v>160000</v>
      </c>
      <c r="R42" s="89" t="s">
        <v>555</v>
      </c>
      <c r="S42" s="89" t="s">
        <v>503</v>
      </c>
      <c r="T42" s="89"/>
      <c r="U42" s="103" t="s">
        <v>329</v>
      </c>
      <c r="V42" s="105" t="s">
        <v>556</v>
      </c>
      <c r="W42" s="102">
        <v>96000</v>
      </c>
      <c r="X42" s="102"/>
      <c r="Y42" s="102"/>
      <c r="Z42" s="107" t="s">
        <v>557</v>
      </c>
      <c r="AA42" s="102">
        <v>48000</v>
      </c>
      <c r="AB42" s="102"/>
      <c r="AC42" s="102"/>
      <c r="AD42" s="107" t="s">
        <v>558</v>
      </c>
      <c r="AE42" s="102">
        <v>16000</v>
      </c>
      <c r="AF42" s="102"/>
      <c r="AG42" s="102"/>
      <c r="AH42" s="107"/>
      <c r="AI42" s="102"/>
      <c r="AJ42" s="102"/>
      <c r="AK42" s="102"/>
      <c r="AL42" s="107"/>
      <c r="AM42" s="102"/>
      <c r="AN42" s="102"/>
      <c r="AO42" s="102"/>
      <c r="AP42" s="107"/>
      <c r="AQ42" s="102"/>
      <c r="AR42" s="102"/>
      <c r="AS42" s="102"/>
      <c r="AT42" s="107"/>
      <c r="AU42" s="102"/>
      <c r="AV42" s="102"/>
      <c r="AW42" s="102"/>
      <c r="AX42" s="107"/>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22"/>
      <c r="CD42" s="123">
        <f t="shared" si="22"/>
        <v>160000</v>
      </c>
      <c r="CE42" s="102">
        <f t="shared" si="23"/>
        <v>0</v>
      </c>
      <c r="CF42" s="102">
        <f t="shared" si="24"/>
        <v>0</v>
      </c>
      <c r="CG42" s="102">
        <f t="shared" si="25"/>
        <v>0</v>
      </c>
      <c r="CH42" s="124">
        <f t="shared" si="26"/>
        <v>160000</v>
      </c>
      <c r="CI42" s="125">
        <f t="shared" si="27"/>
        <v>0</v>
      </c>
      <c r="CJ42" s="126" t="str">
        <f t="shared" si="28"/>
        <v>数据正确</v>
      </c>
    </row>
    <row r="43" s="60" customFormat="1" customHeight="1" spans="1:88">
      <c r="A43" s="60" t="s">
        <v>36</v>
      </c>
      <c r="B43" s="70" t="str">
        <f t="shared" si="18"/>
        <v>-</v>
      </c>
      <c r="C43" s="71" t="str">
        <f t="shared" si="19"/>
        <v>-</v>
      </c>
      <c r="D43" s="72">
        <f t="shared" si="20"/>
        <v>0</v>
      </c>
      <c r="E43" s="72">
        <v>0</v>
      </c>
      <c r="F43" s="72">
        <v>0</v>
      </c>
      <c r="G43" s="72">
        <v>0</v>
      </c>
      <c r="H43" s="72">
        <v>0</v>
      </c>
      <c r="I43" s="72">
        <f t="shared" si="21"/>
        <v>0</v>
      </c>
      <c r="J43" s="190" t="s">
        <v>98</v>
      </c>
      <c r="K43" s="87"/>
      <c r="L43" s="88">
        <v>70</v>
      </c>
      <c r="M43" s="148" t="s">
        <v>559</v>
      </c>
      <c r="N43" s="191" t="s">
        <v>29</v>
      </c>
      <c r="O43" s="201">
        <v>2017050055</v>
      </c>
      <c r="P43" s="149">
        <v>42912</v>
      </c>
      <c r="Q43" s="204">
        <v>300000</v>
      </c>
      <c r="R43" s="208" t="s">
        <v>560</v>
      </c>
      <c r="S43" s="89" t="s">
        <v>561</v>
      </c>
      <c r="T43" s="209" t="s">
        <v>562</v>
      </c>
      <c r="U43" s="210" t="s">
        <v>563</v>
      </c>
      <c r="V43" s="105" t="s">
        <v>564</v>
      </c>
      <c r="W43" s="102">
        <v>180000</v>
      </c>
      <c r="X43" s="102"/>
      <c r="Y43" s="102"/>
      <c r="Z43" s="107" t="s">
        <v>565</v>
      </c>
      <c r="AA43" s="102">
        <v>90000</v>
      </c>
      <c r="AB43" s="102"/>
      <c r="AC43" s="102"/>
      <c r="AD43" s="107" t="s">
        <v>566</v>
      </c>
      <c r="AE43" s="102">
        <v>30000</v>
      </c>
      <c r="AF43" s="102"/>
      <c r="AG43" s="102"/>
      <c r="AH43" s="107"/>
      <c r="AI43" s="102"/>
      <c r="AJ43" s="102"/>
      <c r="AK43" s="102"/>
      <c r="AL43" s="107"/>
      <c r="AM43" s="102"/>
      <c r="AN43" s="102"/>
      <c r="AO43" s="102"/>
      <c r="AP43" s="107"/>
      <c r="AQ43" s="102"/>
      <c r="AR43" s="102"/>
      <c r="AS43" s="102"/>
      <c r="AT43" s="107"/>
      <c r="AU43" s="102"/>
      <c r="AV43" s="102"/>
      <c r="AW43" s="102"/>
      <c r="AX43" s="107"/>
      <c r="AY43" s="102"/>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22"/>
      <c r="CD43" s="123">
        <f t="shared" si="22"/>
        <v>300000</v>
      </c>
      <c r="CE43" s="102">
        <f t="shared" si="23"/>
        <v>0</v>
      </c>
      <c r="CF43" s="102">
        <f t="shared" si="24"/>
        <v>0</v>
      </c>
      <c r="CG43" s="102">
        <f t="shared" si="25"/>
        <v>0</v>
      </c>
      <c r="CH43" s="124">
        <f t="shared" si="26"/>
        <v>300000</v>
      </c>
      <c r="CI43" s="125">
        <f t="shared" si="27"/>
        <v>0</v>
      </c>
      <c r="CJ43" s="126" t="str">
        <f t="shared" si="28"/>
        <v>数据正确</v>
      </c>
    </row>
    <row r="44" s="60" customFormat="1" customHeight="1" spans="1:88">
      <c r="A44" s="60" t="s">
        <v>36</v>
      </c>
      <c r="B44" s="70" t="str">
        <f t="shared" si="18"/>
        <v>-</v>
      </c>
      <c r="C44" s="71" t="str">
        <f t="shared" si="19"/>
        <v>-</v>
      </c>
      <c r="D44" s="72">
        <f t="shared" si="20"/>
        <v>2750000</v>
      </c>
      <c r="E44" s="72">
        <v>0</v>
      </c>
      <c r="F44" s="72">
        <v>0</v>
      </c>
      <c r="G44" s="72">
        <v>0</v>
      </c>
      <c r="H44" s="72">
        <v>0</v>
      </c>
      <c r="I44" s="72">
        <f t="shared" si="21"/>
        <v>0</v>
      </c>
      <c r="J44" s="190" t="s">
        <v>98</v>
      </c>
      <c r="K44" s="87"/>
      <c r="L44" s="88">
        <v>135</v>
      </c>
      <c r="M44" s="89" t="s">
        <v>567</v>
      </c>
      <c r="N44" s="191" t="s">
        <v>29</v>
      </c>
      <c r="O44" s="90">
        <v>2017050054</v>
      </c>
      <c r="P44" s="91">
        <v>42914</v>
      </c>
      <c r="Q44" s="173">
        <v>13750000</v>
      </c>
      <c r="R44" s="89" t="s">
        <v>568</v>
      </c>
      <c r="S44" s="89" t="s">
        <v>569</v>
      </c>
      <c r="T44" s="89" t="s">
        <v>570</v>
      </c>
      <c r="U44" s="103" t="s">
        <v>571</v>
      </c>
      <c r="V44" s="105" t="s">
        <v>511</v>
      </c>
      <c r="W44" s="102">
        <v>2750000</v>
      </c>
      <c r="X44" s="102">
        <v>2750000</v>
      </c>
      <c r="Y44" s="102">
        <v>2750000</v>
      </c>
      <c r="Z44" s="107" t="s">
        <v>527</v>
      </c>
      <c r="AA44" s="102">
        <v>5500000</v>
      </c>
      <c r="AB44" s="102"/>
      <c r="AC44" s="102"/>
      <c r="AD44" s="107" t="s">
        <v>572</v>
      </c>
      <c r="AE44" s="102">
        <v>4125000</v>
      </c>
      <c r="AF44" s="102"/>
      <c r="AG44" s="102"/>
      <c r="AH44" s="107" t="s">
        <v>529</v>
      </c>
      <c r="AI44" s="102">
        <v>1375000</v>
      </c>
      <c r="AJ44" s="102"/>
      <c r="AK44" s="102"/>
      <c r="AL44" s="107"/>
      <c r="AM44" s="102"/>
      <c r="AN44" s="102"/>
      <c r="AO44" s="102"/>
      <c r="AP44" s="107"/>
      <c r="AQ44" s="102"/>
      <c r="AR44" s="102"/>
      <c r="AS44" s="102"/>
      <c r="AT44" s="107"/>
      <c r="AU44" s="102"/>
      <c r="AV44" s="102"/>
      <c r="AW44" s="102"/>
      <c r="AX44" s="107"/>
      <c r="AY44" s="102"/>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22"/>
      <c r="CD44" s="123">
        <f t="shared" si="22"/>
        <v>13750000</v>
      </c>
      <c r="CE44" s="102">
        <f t="shared" si="23"/>
        <v>2750000</v>
      </c>
      <c r="CF44" s="102">
        <f t="shared" si="24"/>
        <v>2750000</v>
      </c>
      <c r="CG44" s="102">
        <f t="shared" si="25"/>
        <v>0</v>
      </c>
      <c r="CH44" s="124">
        <f t="shared" si="26"/>
        <v>11000000</v>
      </c>
      <c r="CI44" s="125">
        <f t="shared" si="27"/>
        <v>0.2</v>
      </c>
      <c r="CJ44" s="126" t="str">
        <f t="shared" si="28"/>
        <v>数据正确</v>
      </c>
    </row>
    <row r="45" s="60" customFormat="1" customHeight="1" spans="1:88">
      <c r="A45" s="60" t="s">
        <v>36</v>
      </c>
      <c r="B45" s="70" t="str">
        <f t="shared" si="18"/>
        <v>-</v>
      </c>
      <c r="C45" s="71" t="str">
        <f t="shared" si="19"/>
        <v>-</v>
      </c>
      <c r="D45" s="72">
        <f t="shared" si="20"/>
        <v>953300</v>
      </c>
      <c r="E45" s="72">
        <v>0</v>
      </c>
      <c r="F45" s="72">
        <v>0</v>
      </c>
      <c r="G45" s="72">
        <v>0</v>
      </c>
      <c r="H45" s="72">
        <v>0</v>
      </c>
      <c r="I45" s="72">
        <f t="shared" si="21"/>
        <v>0</v>
      </c>
      <c r="J45" s="190" t="s">
        <v>98</v>
      </c>
      <c r="K45" s="87"/>
      <c r="L45" s="88" t="s">
        <v>573</v>
      </c>
      <c r="M45" s="89" t="s">
        <v>574</v>
      </c>
      <c r="N45" s="191" t="s">
        <v>29</v>
      </c>
      <c r="O45" s="90" t="s">
        <v>97</v>
      </c>
      <c r="P45" s="91">
        <v>42914</v>
      </c>
      <c r="Q45" s="173">
        <v>7000000</v>
      </c>
      <c r="R45" s="89" t="s">
        <v>575</v>
      </c>
      <c r="S45" s="89" t="s">
        <v>576</v>
      </c>
      <c r="T45" s="89" t="s">
        <v>490</v>
      </c>
      <c r="U45" s="103" t="s">
        <v>354</v>
      </c>
      <c r="V45" s="105" t="s">
        <v>577</v>
      </c>
      <c r="W45" s="102">
        <v>7000000</v>
      </c>
      <c r="X45" s="102">
        <v>953300</v>
      </c>
      <c r="Y45" s="102">
        <v>953300</v>
      </c>
      <c r="Z45" s="107"/>
      <c r="AA45" s="102"/>
      <c r="AB45" s="102"/>
      <c r="AC45" s="102"/>
      <c r="AD45" s="107"/>
      <c r="AE45" s="102"/>
      <c r="AF45" s="102"/>
      <c r="AG45" s="102"/>
      <c r="AH45" s="107"/>
      <c r="AI45" s="102"/>
      <c r="AJ45" s="102"/>
      <c r="AK45" s="102"/>
      <c r="AL45" s="107"/>
      <c r="AM45" s="102"/>
      <c r="AN45" s="102"/>
      <c r="AO45" s="102"/>
      <c r="AP45" s="107"/>
      <c r="AQ45" s="102"/>
      <c r="AR45" s="102"/>
      <c r="AS45" s="102"/>
      <c r="AT45" s="107"/>
      <c r="AU45" s="102"/>
      <c r="AV45" s="102"/>
      <c r="AW45" s="102"/>
      <c r="AX45" s="107"/>
      <c r="AY45" s="102"/>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22"/>
      <c r="CD45" s="123">
        <f t="shared" si="22"/>
        <v>7000000</v>
      </c>
      <c r="CE45" s="102">
        <f t="shared" si="23"/>
        <v>953300</v>
      </c>
      <c r="CF45" s="102">
        <f t="shared" si="24"/>
        <v>953300</v>
      </c>
      <c r="CG45" s="102">
        <f t="shared" si="25"/>
        <v>0</v>
      </c>
      <c r="CH45" s="124">
        <f t="shared" si="26"/>
        <v>6046700</v>
      </c>
      <c r="CI45" s="125">
        <f t="shared" si="27"/>
        <v>0.136185714285714</v>
      </c>
      <c r="CJ45" s="126" t="str">
        <f t="shared" si="28"/>
        <v>数据正确</v>
      </c>
    </row>
    <row r="46" s="60" customFormat="1" customHeight="1" spans="1:88">
      <c r="A46" s="60" t="s">
        <v>36</v>
      </c>
      <c r="B46" s="70" t="str">
        <f t="shared" si="18"/>
        <v>-</v>
      </c>
      <c r="C46" s="71" t="str">
        <f t="shared" si="19"/>
        <v>-</v>
      </c>
      <c r="D46" s="72">
        <f t="shared" si="20"/>
        <v>0</v>
      </c>
      <c r="E46" s="72">
        <v>0</v>
      </c>
      <c r="F46" s="72">
        <v>0</v>
      </c>
      <c r="G46" s="72">
        <v>0</v>
      </c>
      <c r="H46" s="72">
        <v>0</v>
      </c>
      <c r="I46" s="72">
        <f t="shared" si="21"/>
        <v>0</v>
      </c>
      <c r="J46" s="190" t="s">
        <v>98</v>
      </c>
      <c r="K46" s="87"/>
      <c r="L46" s="88" t="s">
        <v>578</v>
      </c>
      <c r="M46" s="89" t="s">
        <v>574</v>
      </c>
      <c r="N46" s="191" t="s">
        <v>29</v>
      </c>
      <c r="O46" s="90" t="s">
        <v>97</v>
      </c>
      <c r="P46" s="91">
        <v>42914</v>
      </c>
      <c r="Q46" s="173">
        <v>4000000</v>
      </c>
      <c r="R46" s="89" t="s">
        <v>579</v>
      </c>
      <c r="S46" s="89" t="s">
        <v>576</v>
      </c>
      <c r="T46" s="89" t="s">
        <v>490</v>
      </c>
      <c r="U46" s="103" t="s">
        <v>354</v>
      </c>
      <c r="V46" s="105" t="s">
        <v>580</v>
      </c>
      <c r="W46" s="102">
        <v>600000</v>
      </c>
      <c r="X46" s="102"/>
      <c r="Y46" s="102"/>
      <c r="Z46" s="107" t="s">
        <v>581</v>
      </c>
      <c r="AA46" s="102">
        <v>1800000</v>
      </c>
      <c r="AB46" s="102"/>
      <c r="AC46" s="102"/>
      <c r="AD46" s="107" t="s">
        <v>582</v>
      </c>
      <c r="AE46" s="102">
        <v>1200000</v>
      </c>
      <c r="AF46" s="102"/>
      <c r="AG46" s="102"/>
      <c r="AH46" s="107" t="s">
        <v>529</v>
      </c>
      <c r="AI46" s="102">
        <v>400000</v>
      </c>
      <c r="AJ46" s="102"/>
      <c r="AK46" s="102"/>
      <c r="AL46" s="107"/>
      <c r="AM46" s="102"/>
      <c r="AN46" s="102"/>
      <c r="AO46" s="102"/>
      <c r="AP46" s="107"/>
      <c r="AQ46" s="102"/>
      <c r="AR46" s="102"/>
      <c r="AS46" s="102"/>
      <c r="AT46" s="107"/>
      <c r="AU46" s="102"/>
      <c r="AV46" s="102"/>
      <c r="AW46" s="102"/>
      <c r="AX46" s="107"/>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22"/>
      <c r="CD46" s="123">
        <f t="shared" si="22"/>
        <v>4000000</v>
      </c>
      <c r="CE46" s="102">
        <f t="shared" si="23"/>
        <v>0</v>
      </c>
      <c r="CF46" s="102">
        <f t="shared" si="24"/>
        <v>0</v>
      </c>
      <c r="CG46" s="102">
        <f t="shared" si="25"/>
        <v>0</v>
      </c>
      <c r="CH46" s="124">
        <f t="shared" si="26"/>
        <v>4000000</v>
      </c>
      <c r="CI46" s="125">
        <f t="shared" si="27"/>
        <v>0</v>
      </c>
      <c r="CJ46" s="126" t="str">
        <f t="shared" si="28"/>
        <v>数据正确</v>
      </c>
    </row>
    <row r="47" s="130" customFormat="1" customHeight="1" spans="1:88">
      <c r="A47" s="130" t="s">
        <v>36</v>
      </c>
      <c r="B47" s="132" t="str">
        <f t="shared" si="18"/>
        <v>-</v>
      </c>
      <c r="C47" s="133" t="str">
        <f t="shared" si="19"/>
        <v>-</v>
      </c>
      <c r="D47" s="134">
        <f t="shared" si="20"/>
        <v>953300</v>
      </c>
      <c r="E47" s="134">
        <f>SUM(E45:E46)</f>
        <v>0</v>
      </c>
      <c r="F47" s="134">
        <f>SUM(F45:F46)</f>
        <v>0</v>
      </c>
      <c r="G47" s="134">
        <f>SUM(G45:G46)</f>
        <v>0</v>
      </c>
      <c r="H47" s="134">
        <f>SUM(H45:H46)</f>
        <v>0</v>
      </c>
      <c r="I47" s="134">
        <f t="shared" si="21"/>
        <v>0</v>
      </c>
      <c r="J47" s="198" t="s">
        <v>98</v>
      </c>
      <c r="K47" s="172"/>
      <c r="L47" s="143">
        <v>136</v>
      </c>
      <c r="M47" s="144" t="s">
        <v>574</v>
      </c>
      <c r="N47" s="199" t="s">
        <v>29</v>
      </c>
      <c r="O47" s="145" t="s">
        <v>97</v>
      </c>
      <c r="P47" s="146">
        <v>42914</v>
      </c>
      <c r="Q47" s="211">
        <f>SUM(Q45:Q46)</f>
        <v>11000000</v>
      </c>
      <c r="R47" s="144" t="s">
        <v>583</v>
      </c>
      <c r="S47" s="144" t="s">
        <v>576</v>
      </c>
      <c r="T47" s="144" t="s">
        <v>490</v>
      </c>
      <c r="U47" s="156" t="s">
        <v>354</v>
      </c>
      <c r="V47" s="157" t="s">
        <v>511</v>
      </c>
      <c r="W47" s="158">
        <f>SUM(W45:W46)</f>
        <v>7600000</v>
      </c>
      <c r="X47" s="158">
        <f t="shared" ref="X47:BC47" si="31">SUM(X45:X46)</f>
        <v>953300</v>
      </c>
      <c r="Y47" s="158">
        <f t="shared" si="31"/>
        <v>953300</v>
      </c>
      <c r="Z47" s="158">
        <f t="shared" si="31"/>
        <v>0</v>
      </c>
      <c r="AA47" s="158">
        <f t="shared" si="31"/>
        <v>1800000</v>
      </c>
      <c r="AB47" s="158">
        <f t="shared" si="31"/>
        <v>0</v>
      </c>
      <c r="AC47" s="158">
        <f t="shared" si="31"/>
        <v>0</v>
      </c>
      <c r="AD47" s="158">
        <f t="shared" si="31"/>
        <v>0</v>
      </c>
      <c r="AE47" s="158">
        <f t="shared" si="31"/>
        <v>1200000</v>
      </c>
      <c r="AF47" s="158">
        <f t="shared" si="31"/>
        <v>0</v>
      </c>
      <c r="AG47" s="158">
        <f t="shared" si="31"/>
        <v>0</v>
      </c>
      <c r="AH47" s="158">
        <f t="shared" si="31"/>
        <v>0</v>
      </c>
      <c r="AI47" s="158">
        <f t="shared" si="31"/>
        <v>400000</v>
      </c>
      <c r="AJ47" s="158">
        <f t="shared" si="31"/>
        <v>0</v>
      </c>
      <c r="AK47" s="158">
        <f t="shared" si="31"/>
        <v>0</v>
      </c>
      <c r="AL47" s="158">
        <f t="shared" si="31"/>
        <v>0</v>
      </c>
      <c r="AM47" s="158">
        <f t="shared" si="31"/>
        <v>0</v>
      </c>
      <c r="AN47" s="158">
        <f t="shared" si="31"/>
        <v>0</v>
      </c>
      <c r="AO47" s="158">
        <f t="shared" si="31"/>
        <v>0</v>
      </c>
      <c r="AP47" s="158">
        <f t="shared" si="31"/>
        <v>0</v>
      </c>
      <c r="AQ47" s="158">
        <f t="shared" si="31"/>
        <v>0</v>
      </c>
      <c r="AR47" s="158">
        <f t="shared" si="31"/>
        <v>0</v>
      </c>
      <c r="AS47" s="158">
        <f t="shared" si="31"/>
        <v>0</v>
      </c>
      <c r="AT47" s="158">
        <f t="shared" si="31"/>
        <v>0</v>
      </c>
      <c r="AU47" s="158">
        <f t="shared" si="31"/>
        <v>0</v>
      </c>
      <c r="AV47" s="158">
        <f t="shared" si="31"/>
        <v>0</v>
      </c>
      <c r="AW47" s="158">
        <f t="shared" si="31"/>
        <v>0</v>
      </c>
      <c r="AX47" s="158">
        <f t="shared" si="31"/>
        <v>0</v>
      </c>
      <c r="AY47" s="158">
        <f t="shared" si="31"/>
        <v>0</v>
      </c>
      <c r="AZ47" s="158">
        <f t="shared" si="31"/>
        <v>0</v>
      </c>
      <c r="BA47" s="158">
        <f t="shared" si="31"/>
        <v>0</v>
      </c>
      <c r="BB47" s="158">
        <f t="shared" si="31"/>
        <v>0</v>
      </c>
      <c r="BC47" s="158">
        <f t="shared" si="31"/>
        <v>0</v>
      </c>
      <c r="BD47" s="158">
        <f t="shared" ref="BD47:CC47" si="32">SUM(BD45:BD46)</f>
        <v>0</v>
      </c>
      <c r="BE47" s="158">
        <f t="shared" si="32"/>
        <v>0</v>
      </c>
      <c r="BF47" s="158">
        <f t="shared" si="32"/>
        <v>0</v>
      </c>
      <c r="BG47" s="158">
        <f t="shared" si="32"/>
        <v>0</v>
      </c>
      <c r="BH47" s="158">
        <f t="shared" si="32"/>
        <v>0</v>
      </c>
      <c r="BI47" s="158">
        <f t="shared" si="32"/>
        <v>0</v>
      </c>
      <c r="BJ47" s="158">
        <f t="shared" si="32"/>
        <v>0</v>
      </c>
      <c r="BK47" s="158">
        <f t="shared" si="32"/>
        <v>0</v>
      </c>
      <c r="BL47" s="158">
        <f t="shared" si="32"/>
        <v>0</v>
      </c>
      <c r="BM47" s="158">
        <f t="shared" si="32"/>
        <v>0</v>
      </c>
      <c r="BN47" s="158">
        <f t="shared" si="32"/>
        <v>0</v>
      </c>
      <c r="BO47" s="158">
        <f t="shared" si="32"/>
        <v>0</v>
      </c>
      <c r="BP47" s="158">
        <f t="shared" si="32"/>
        <v>0</v>
      </c>
      <c r="BQ47" s="158">
        <f t="shared" si="32"/>
        <v>0</v>
      </c>
      <c r="BR47" s="158">
        <f t="shared" si="32"/>
        <v>0</v>
      </c>
      <c r="BS47" s="158">
        <f t="shared" si="32"/>
        <v>0</v>
      </c>
      <c r="BT47" s="158">
        <f t="shared" si="32"/>
        <v>0</v>
      </c>
      <c r="BU47" s="158">
        <f t="shared" si="32"/>
        <v>0</v>
      </c>
      <c r="BV47" s="158">
        <f t="shared" si="32"/>
        <v>0</v>
      </c>
      <c r="BW47" s="158">
        <f t="shared" si="32"/>
        <v>0</v>
      </c>
      <c r="BX47" s="158">
        <f t="shared" si="32"/>
        <v>0</v>
      </c>
      <c r="BY47" s="158">
        <f t="shared" si="32"/>
        <v>0</v>
      </c>
      <c r="BZ47" s="158">
        <f t="shared" si="32"/>
        <v>0</v>
      </c>
      <c r="CA47" s="158">
        <f t="shared" si="32"/>
        <v>0</v>
      </c>
      <c r="CB47" s="158">
        <f t="shared" si="32"/>
        <v>0</v>
      </c>
      <c r="CC47" s="158">
        <f t="shared" si="32"/>
        <v>0</v>
      </c>
      <c r="CD47" s="165">
        <f t="shared" si="22"/>
        <v>11000000</v>
      </c>
      <c r="CE47" s="158">
        <f t="shared" si="23"/>
        <v>953300</v>
      </c>
      <c r="CF47" s="158">
        <f t="shared" si="24"/>
        <v>953300</v>
      </c>
      <c r="CG47" s="158">
        <f t="shared" si="25"/>
        <v>0</v>
      </c>
      <c r="CH47" s="163">
        <f t="shared" si="26"/>
        <v>10046700</v>
      </c>
      <c r="CI47" s="166">
        <f t="shared" si="27"/>
        <v>0.0866636363636364</v>
      </c>
      <c r="CJ47" s="167" t="str">
        <f t="shared" si="28"/>
        <v>数据正确</v>
      </c>
    </row>
    <row r="48" s="60" customFormat="1" customHeight="1" spans="1:88">
      <c r="A48" s="60" t="s">
        <v>36</v>
      </c>
      <c r="B48" s="70" t="str">
        <f t="shared" si="18"/>
        <v>-</v>
      </c>
      <c r="C48" s="71" t="str">
        <f t="shared" si="19"/>
        <v>-</v>
      </c>
      <c r="D48" s="72">
        <f t="shared" si="20"/>
        <v>0</v>
      </c>
      <c r="E48" s="72">
        <v>0</v>
      </c>
      <c r="F48" s="72">
        <v>0</v>
      </c>
      <c r="G48" s="72">
        <v>0</v>
      </c>
      <c r="H48" s="72">
        <v>0</v>
      </c>
      <c r="I48" s="72">
        <f t="shared" si="21"/>
        <v>0</v>
      </c>
      <c r="J48" s="190" t="s">
        <v>98</v>
      </c>
      <c r="K48" s="87"/>
      <c r="L48" s="88">
        <v>137</v>
      </c>
      <c r="M48" s="148" t="s">
        <v>584</v>
      </c>
      <c r="N48" s="191" t="s">
        <v>29</v>
      </c>
      <c r="O48" s="201">
        <v>2017060042</v>
      </c>
      <c r="P48" s="149">
        <v>42919</v>
      </c>
      <c r="Q48" s="204">
        <v>145000</v>
      </c>
      <c r="R48" s="208" t="s">
        <v>585</v>
      </c>
      <c r="S48" s="208" t="s">
        <v>503</v>
      </c>
      <c r="T48" s="209" t="s">
        <v>586</v>
      </c>
      <c r="U48" s="210" t="s">
        <v>354</v>
      </c>
      <c r="V48" s="105" t="s">
        <v>408</v>
      </c>
      <c r="W48" s="102">
        <v>87000</v>
      </c>
      <c r="X48" s="102"/>
      <c r="Y48" s="102"/>
      <c r="Z48" s="107" t="s">
        <v>587</v>
      </c>
      <c r="AA48" s="102">
        <v>43500</v>
      </c>
      <c r="AB48" s="102"/>
      <c r="AC48" s="102"/>
      <c r="AD48" s="107" t="s">
        <v>500</v>
      </c>
      <c r="AE48" s="102">
        <v>14500</v>
      </c>
      <c r="AF48" s="102"/>
      <c r="AG48" s="102"/>
      <c r="AH48" s="107"/>
      <c r="AI48" s="102"/>
      <c r="AJ48" s="102"/>
      <c r="AK48" s="102"/>
      <c r="AL48" s="107"/>
      <c r="AM48" s="102"/>
      <c r="AN48" s="102"/>
      <c r="AO48" s="102"/>
      <c r="AP48" s="107"/>
      <c r="AQ48" s="102"/>
      <c r="AR48" s="102"/>
      <c r="AS48" s="102"/>
      <c r="AT48" s="107"/>
      <c r="AU48" s="102"/>
      <c r="AV48" s="102"/>
      <c r="AW48" s="102"/>
      <c r="AX48" s="107"/>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22"/>
      <c r="CD48" s="123">
        <f t="shared" si="22"/>
        <v>145000</v>
      </c>
      <c r="CE48" s="102">
        <f t="shared" si="23"/>
        <v>0</v>
      </c>
      <c r="CF48" s="102">
        <f t="shared" si="24"/>
        <v>0</v>
      </c>
      <c r="CG48" s="102">
        <f t="shared" si="25"/>
        <v>0</v>
      </c>
      <c r="CH48" s="124">
        <f t="shared" si="26"/>
        <v>145000</v>
      </c>
      <c r="CI48" s="125">
        <f t="shared" si="27"/>
        <v>0</v>
      </c>
      <c r="CJ48" s="126" t="str">
        <f t="shared" si="28"/>
        <v>数据正确</v>
      </c>
    </row>
    <row r="49" s="60" customFormat="1" customHeight="1" spans="1:88">
      <c r="A49" s="60" t="s">
        <v>36</v>
      </c>
      <c r="B49" s="70" t="str">
        <f t="shared" si="18"/>
        <v>-</v>
      </c>
      <c r="C49" s="71" t="str">
        <f t="shared" si="19"/>
        <v>-</v>
      </c>
      <c r="D49" s="72">
        <f t="shared" si="20"/>
        <v>0</v>
      </c>
      <c r="E49" s="72">
        <v>0</v>
      </c>
      <c r="F49" s="72">
        <v>0</v>
      </c>
      <c r="G49" s="72">
        <v>0</v>
      </c>
      <c r="H49" s="72">
        <v>0</v>
      </c>
      <c r="I49" s="72">
        <f t="shared" si="21"/>
        <v>0</v>
      </c>
      <c r="J49" s="190" t="s">
        <v>98</v>
      </c>
      <c r="K49" s="87"/>
      <c r="L49" s="88">
        <v>73</v>
      </c>
      <c r="M49" s="148" t="s">
        <v>588</v>
      </c>
      <c r="N49" s="191" t="s">
        <v>29</v>
      </c>
      <c r="O49" s="201">
        <v>2017060021</v>
      </c>
      <c r="P49" s="149">
        <v>42927</v>
      </c>
      <c r="Q49" s="204">
        <v>180000</v>
      </c>
      <c r="R49" s="208" t="s">
        <v>589</v>
      </c>
      <c r="S49" s="208" t="s">
        <v>590</v>
      </c>
      <c r="T49" s="209" t="s">
        <v>591</v>
      </c>
      <c r="U49" s="210" t="s">
        <v>343</v>
      </c>
      <c r="V49" s="105" t="s">
        <v>592</v>
      </c>
      <c r="W49" s="102">
        <v>108000</v>
      </c>
      <c r="X49" s="102"/>
      <c r="Y49" s="102"/>
      <c r="Z49" s="107" t="s">
        <v>593</v>
      </c>
      <c r="AA49" s="102">
        <v>54000</v>
      </c>
      <c r="AB49" s="102"/>
      <c r="AC49" s="102"/>
      <c r="AD49" s="107" t="s">
        <v>594</v>
      </c>
      <c r="AE49" s="102">
        <v>18000</v>
      </c>
      <c r="AF49" s="102"/>
      <c r="AG49" s="102"/>
      <c r="AH49" s="107"/>
      <c r="AI49" s="102"/>
      <c r="AJ49" s="102"/>
      <c r="AK49" s="102"/>
      <c r="AL49" s="107"/>
      <c r="AM49" s="102"/>
      <c r="AN49" s="102"/>
      <c r="AO49" s="102"/>
      <c r="AP49" s="107"/>
      <c r="AQ49" s="102"/>
      <c r="AR49" s="102"/>
      <c r="AS49" s="102"/>
      <c r="AT49" s="107"/>
      <c r="AU49" s="102"/>
      <c r="AV49" s="102"/>
      <c r="AW49" s="102"/>
      <c r="AX49" s="107"/>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22"/>
      <c r="CD49" s="123">
        <f t="shared" si="22"/>
        <v>180000</v>
      </c>
      <c r="CE49" s="102">
        <f t="shared" si="23"/>
        <v>0</v>
      </c>
      <c r="CF49" s="102">
        <f t="shared" si="24"/>
        <v>0</v>
      </c>
      <c r="CG49" s="102">
        <f t="shared" si="25"/>
        <v>0</v>
      </c>
      <c r="CH49" s="124">
        <f t="shared" si="26"/>
        <v>180000</v>
      </c>
      <c r="CI49" s="125">
        <f t="shared" si="27"/>
        <v>0</v>
      </c>
      <c r="CJ49" s="126" t="str">
        <f t="shared" si="28"/>
        <v>数据正确</v>
      </c>
    </row>
    <row r="50" s="60" customFormat="1" customHeight="1" spans="1:88">
      <c r="A50" s="60" t="s">
        <v>36</v>
      </c>
      <c r="B50" s="70" t="str">
        <f t="shared" si="18"/>
        <v>-</v>
      </c>
      <c r="C50" s="71" t="str">
        <f t="shared" si="19"/>
        <v>-</v>
      </c>
      <c r="D50" s="72">
        <f t="shared" si="20"/>
        <v>0</v>
      </c>
      <c r="E50" s="72">
        <v>0</v>
      </c>
      <c r="F50" s="72">
        <v>0</v>
      </c>
      <c r="G50" s="72">
        <v>0</v>
      </c>
      <c r="H50" s="72">
        <v>0</v>
      </c>
      <c r="I50" s="72">
        <f t="shared" si="21"/>
        <v>0</v>
      </c>
      <c r="J50" s="190" t="s">
        <v>98</v>
      </c>
      <c r="K50" s="87"/>
      <c r="L50" s="88">
        <v>138</v>
      </c>
      <c r="M50" s="89" t="s">
        <v>595</v>
      </c>
      <c r="N50" s="191" t="s">
        <v>29</v>
      </c>
      <c r="O50" s="90">
        <v>2017050013</v>
      </c>
      <c r="P50" s="91">
        <v>42928</v>
      </c>
      <c r="Q50" s="173">
        <v>1800000</v>
      </c>
      <c r="R50" s="89" t="s">
        <v>596</v>
      </c>
      <c r="S50" s="89" t="s">
        <v>561</v>
      </c>
      <c r="T50" s="89"/>
      <c r="U50" s="103" t="s">
        <v>354</v>
      </c>
      <c r="V50" s="105" t="s">
        <v>408</v>
      </c>
      <c r="W50" s="102">
        <v>1080000</v>
      </c>
      <c r="X50" s="102"/>
      <c r="Y50" s="102"/>
      <c r="Z50" s="107" t="s">
        <v>587</v>
      </c>
      <c r="AA50" s="102">
        <v>540000</v>
      </c>
      <c r="AB50" s="102"/>
      <c r="AC50" s="102"/>
      <c r="AD50" s="107" t="s">
        <v>500</v>
      </c>
      <c r="AE50" s="102">
        <v>180000</v>
      </c>
      <c r="AF50" s="102"/>
      <c r="AG50" s="102"/>
      <c r="AH50" s="107"/>
      <c r="AI50" s="102"/>
      <c r="AJ50" s="102"/>
      <c r="AK50" s="102"/>
      <c r="AL50" s="107"/>
      <c r="AM50" s="102"/>
      <c r="AN50" s="102"/>
      <c r="AO50" s="102"/>
      <c r="AP50" s="107"/>
      <c r="AQ50" s="102"/>
      <c r="AR50" s="102"/>
      <c r="AS50" s="102"/>
      <c r="AT50" s="107"/>
      <c r="AU50" s="102"/>
      <c r="AV50" s="102"/>
      <c r="AW50" s="102"/>
      <c r="AX50" s="107"/>
      <c r="AY50" s="102"/>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22"/>
      <c r="CD50" s="123">
        <f t="shared" si="22"/>
        <v>1800000</v>
      </c>
      <c r="CE50" s="102">
        <f t="shared" si="23"/>
        <v>0</v>
      </c>
      <c r="CF50" s="102">
        <f t="shared" si="24"/>
        <v>0</v>
      </c>
      <c r="CG50" s="102">
        <f t="shared" si="25"/>
        <v>0</v>
      </c>
      <c r="CH50" s="124">
        <f t="shared" si="26"/>
        <v>1800000</v>
      </c>
      <c r="CI50" s="125">
        <f t="shared" si="27"/>
        <v>0</v>
      </c>
      <c r="CJ50" s="126" t="str">
        <f t="shared" si="28"/>
        <v>数据正确</v>
      </c>
    </row>
    <row r="51" s="60" customFormat="1" customHeight="1" spans="1:88">
      <c r="A51" s="60" t="s">
        <v>36</v>
      </c>
      <c r="B51" s="70" t="str">
        <f t="shared" si="18"/>
        <v>-</v>
      </c>
      <c r="C51" s="71" t="str">
        <f t="shared" si="19"/>
        <v>已付清</v>
      </c>
      <c r="D51" s="72">
        <f t="shared" si="20"/>
        <v>103000</v>
      </c>
      <c r="E51" s="72">
        <v>0</v>
      </c>
      <c r="F51" s="72">
        <v>0</v>
      </c>
      <c r="G51" s="72">
        <v>0</v>
      </c>
      <c r="H51" s="72">
        <v>0</v>
      </c>
      <c r="I51" s="72">
        <f t="shared" si="21"/>
        <v>0</v>
      </c>
      <c r="J51" s="190" t="s">
        <v>98</v>
      </c>
      <c r="K51" s="87"/>
      <c r="L51" s="88">
        <v>140</v>
      </c>
      <c r="M51" s="89" t="s">
        <v>597</v>
      </c>
      <c r="N51" s="191" t="s">
        <v>29</v>
      </c>
      <c r="O51" s="90">
        <v>2017060003</v>
      </c>
      <c r="P51" s="91">
        <v>42930</v>
      </c>
      <c r="Q51" s="173">
        <v>103000</v>
      </c>
      <c r="R51" s="89" t="s">
        <v>598</v>
      </c>
      <c r="S51" s="89" t="s">
        <v>599</v>
      </c>
      <c r="T51" s="89"/>
      <c r="U51" s="103" t="s">
        <v>343</v>
      </c>
      <c r="V51" s="105" t="s">
        <v>600</v>
      </c>
      <c r="W51" s="102">
        <v>30900</v>
      </c>
      <c r="X51" s="102">
        <v>30900</v>
      </c>
      <c r="Y51" s="102">
        <v>30900</v>
      </c>
      <c r="Z51" s="107" t="s">
        <v>601</v>
      </c>
      <c r="AA51" s="102">
        <v>72100</v>
      </c>
      <c r="AB51" s="102">
        <v>72100</v>
      </c>
      <c r="AC51" s="102">
        <v>72100</v>
      </c>
      <c r="AD51" s="107"/>
      <c r="AE51" s="102"/>
      <c r="AF51" s="102"/>
      <c r="AG51" s="102"/>
      <c r="AH51" s="107"/>
      <c r="AI51" s="102"/>
      <c r="AJ51" s="102"/>
      <c r="AK51" s="102"/>
      <c r="AL51" s="107"/>
      <c r="AM51" s="102"/>
      <c r="AN51" s="102"/>
      <c r="AO51" s="102"/>
      <c r="AP51" s="107"/>
      <c r="AQ51" s="102"/>
      <c r="AR51" s="102"/>
      <c r="AS51" s="102"/>
      <c r="AT51" s="107"/>
      <c r="AU51" s="102"/>
      <c r="AV51" s="102"/>
      <c r="AW51" s="102"/>
      <c r="AX51" s="107"/>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22"/>
      <c r="CD51" s="123">
        <f t="shared" si="22"/>
        <v>103000</v>
      </c>
      <c r="CE51" s="102">
        <f t="shared" si="23"/>
        <v>103000</v>
      </c>
      <c r="CF51" s="102">
        <f t="shared" si="24"/>
        <v>103000</v>
      </c>
      <c r="CG51" s="102">
        <f t="shared" si="25"/>
        <v>0</v>
      </c>
      <c r="CH51" s="124">
        <f t="shared" si="26"/>
        <v>0</v>
      </c>
      <c r="CI51" s="125">
        <f t="shared" si="27"/>
        <v>1</v>
      </c>
      <c r="CJ51" s="126" t="str">
        <f t="shared" si="28"/>
        <v>数据正确</v>
      </c>
    </row>
    <row r="52" s="60" customFormat="1" customHeight="1" spans="1:88">
      <c r="A52" s="60" t="s">
        <v>36</v>
      </c>
      <c r="B52" s="70" t="str">
        <f t="shared" si="18"/>
        <v>申请中</v>
      </c>
      <c r="C52" s="71" t="str">
        <f t="shared" si="19"/>
        <v>-</v>
      </c>
      <c r="D52" s="72">
        <f t="shared" si="20"/>
        <v>700483.52</v>
      </c>
      <c r="E52" s="72">
        <v>0</v>
      </c>
      <c r="F52" s="72">
        <v>0</v>
      </c>
      <c r="G52" s="72">
        <v>0</v>
      </c>
      <c r="H52" s="72">
        <v>0</v>
      </c>
      <c r="I52" s="72">
        <f t="shared" si="21"/>
        <v>2946856.6384</v>
      </c>
      <c r="J52" s="190" t="s">
        <v>98</v>
      </c>
      <c r="K52" s="87"/>
      <c r="L52" s="88">
        <v>159</v>
      </c>
      <c r="M52" s="89" t="s">
        <v>602</v>
      </c>
      <c r="N52" s="191" t="s">
        <v>29</v>
      </c>
      <c r="O52" s="192">
        <v>2016070031</v>
      </c>
      <c r="P52" s="91">
        <v>42750</v>
      </c>
      <c r="Q52" s="173">
        <v>3683570.798</v>
      </c>
      <c r="R52" s="89" t="s">
        <v>603</v>
      </c>
      <c r="S52" s="89" t="s">
        <v>604</v>
      </c>
      <c r="T52" s="89"/>
      <c r="U52" s="103" t="s">
        <v>605</v>
      </c>
      <c r="V52" s="105" t="s">
        <v>606</v>
      </c>
      <c r="W52" s="102">
        <v>736714.1596</v>
      </c>
      <c r="X52" s="102">
        <f>91600*7.6472</f>
        <v>700483.52</v>
      </c>
      <c r="Y52" s="102">
        <f>91600*7.6472</f>
        <v>700483.52</v>
      </c>
      <c r="Z52" s="107" t="s">
        <v>607</v>
      </c>
      <c r="AA52" s="102">
        <v>2946856.6384</v>
      </c>
      <c r="AB52" s="102">
        <f>370064*7.9631</f>
        <v>2946856.6384</v>
      </c>
      <c r="AC52" s="102"/>
      <c r="AD52" s="107"/>
      <c r="AE52" s="102"/>
      <c r="AF52" s="102"/>
      <c r="AG52" s="102"/>
      <c r="AH52" s="107"/>
      <c r="AI52" s="102"/>
      <c r="AJ52" s="102"/>
      <c r="AK52" s="102"/>
      <c r="AL52" s="107"/>
      <c r="AM52" s="102"/>
      <c r="AN52" s="102"/>
      <c r="AO52" s="102"/>
      <c r="AP52" s="107"/>
      <c r="AQ52" s="102"/>
      <c r="AR52" s="102"/>
      <c r="AS52" s="102"/>
      <c r="AT52" s="107"/>
      <c r="AU52" s="102"/>
      <c r="AV52" s="102"/>
      <c r="AW52" s="102"/>
      <c r="AX52" s="107"/>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22"/>
      <c r="CD52" s="123">
        <f t="shared" si="22"/>
        <v>3683570.798</v>
      </c>
      <c r="CE52" s="102">
        <f t="shared" si="23"/>
        <v>3647340.1584</v>
      </c>
      <c r="CF52" s="102">
        <f t="shared" si="24"/>
        <v>700483.52</v>
      </c>
      <c r="CG52" s="102">
        <f t="shared" si="25"/>
        <v>0</v>
      </c>
      <c r="CH52" s="124">
        <f t="shared" si="26"/>
        <v>2983087.278</v>
      </c>
      <c r="CI52" s="125">
        <f t="shared" si="27"/>
        <v>0.190164261368433</v>
      </c>
      <c r="CJ52" s="126" t="str">
        <f t="shared" si="28"/>
        <v>数据正确</v>
      </c>
    </row>
    <row r="53" s="60" customFormat="1" customHeight="1" spans="1:88">
      <c r="A53" s="60" t="s">
        <v>36</v>
      </c>
      <c r="B53" s="70" t="str">
        <f t="shared" ref="B53:B59" si="33">IF(I53=0,"-","申请中")</f>
        <v>-</v>
      </c>
      <c r="C53" s="71" t="str">
        <f t="shared" ref="C53:C59" si="34">IF(CI53=100%,"已付清","-")</f>
        <v>-</v>
      </c>
      <c r="D53" s="72">
        <f t="shared" ref="D53:D59" si="35">CF53</f>
        <v>25089189.15</v>
      </c>
      <c r="E53" s="72">
        <v>0</v>
      </c>
      <c r="F53" s="72">
        <v>0</v>
      </c>
      <c r="G53" s="72">
        <v>0</v>
      </c>
      <c r="H53" s="72">
        <v>0</v>
      </c>
      <c r="I53" s="72">
        <f t="shared" ref="I53:I59" si="36">CE53-CF53-CG53</f>
        <v>0</v>
      </c>
      <c r="J53" s="190" t="s">
        <v>98</v>
      </c>
      <c r="K53" s="87"/>
      <c r="L53" s="88">
        <v>160</v>
      </c>
      <c r="M53" s="89" t="s">
        <v>608</v>
      </c>
      <c r="N53" s="191" t="s">
        <v>29</v>
      </c>
      <c r="O53" s="90"/>
      <c r="P53" s="91">
        <v>42923</v>
      </c>
      <c r="Q53" s="173">
        <v>60000000</v>
      </c>
      <c r="R53" s="89" t="s">
        <v>609</v>
      </c>
      <c r="S53" s="89" t="s">
        <v>610</v>
      </c>
      <c r="T53" s="89"/>
      <c r="U53" s="103" t="s">
        <v>343</v>
      </c>
      <c r="V53" s="105" t="s">
        <v>611</v>
      </c>
      <c r="W53" s="102">
        <v>2000000</v>
      </c>
      <c r="X53" s="102">
        <v>2000000</v>
      </c>
      <c r="Y53" s="102">
        <v>2000000</v>
      </c>
      <c r="Z53" s="107" t="s">
        <v>612</v>
      </c>
      <c r="AA53" s="102">
        <v>58000000</v>
      </c>
      <c r="AB53" s="102">
        <v>23089189.15</v>
      </c>
      <c r="AC53" s="102">
        <f>161070.9+22928118.25</f>
        <v>23089189.15</v>
      </c>
      <c r="AD53" s="107"/>
      <c r="AE53" s="102"/>
      <c r="AF53" s="102"/>
      <c r="AG53" s="102"/>
      <c r="AH53" s="107"/>
      <c r="AI53" s="102"/>
      <c r="AJ53" s="102"/>
      <c r="AK53" s="102"/>
      <c r="AL53" s="107"/>
      <c r="AM53" s="102"/>
      <c r="AN53" s="102"/>
      <c r="AO53" s="102"/>
      <c r="AP53" s="107"/>
      <c r="AQ53" s="102"/>
      <c r="AR53" s="102"/>
      <c r="AS53" s="102"/>
      <c r="AT53" s="107"/>
      <c r="AU53" s="102"/>
      <c r="AV53" s="102"/>
      <c r="AW53" s="102"/>
      <c r="AX53" s="107"/>
      <c r="AY53" s="102"/>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22"/>
      <c r="CD53" s="123">
        <f t="shared" ref="CD53:CD59" si="37">W53+AA53+AE53+AI53+AM53+AQ53+AU53+AY53+BC53+BG53+BK53+BO53+BS53+BW53+CA53</f>
        <v>60000000</v>
      </c>
      <c r="CE53" s="102">
        <f t="shared" ref="CE53:CE59" si="38">X53+AB53+AF53+AJ53+AN53+AR53+AV53+AZ53+BD53+BH53+BL53+BP53+BT53+BX53+CB53</f>
        <v>25089189.15</v>
      </c>
      <c r="CF53" s="102">
        <f t="shared" ref="CF53:CF59" si="39">Y53+AC53+AG53+AK53+AO53+AS53+AW53+BA53+BE53+BI53+BM53+BQ53+BU53+BY53+CC53</f>
        <v>25089189.15</v>
      </c>
      <c r="CG53" s="102">
        <f t="shared" ref="CG53:CG59" si="40">E53+F53+G53+H53</f>
        <v>0</v>
      </c>
      <c r="CH53" s="124">
        <f t="shared" ref="CH53:CH59" si="41">Q53-CF53-CG53</f>
        <v>34910810.85</v>
      </c>
      <c r="CI53" s="125">
        <f t="shared" ref="CI53:CI59" si="42">IF(ISERROR((CF53+CG53)/Q53),"-",(CF53+CG53)/Q53)</f>
        <v>0.4181531525</v>
      </c>
      <c r="CJ53" s="126" t="str">
        <f t="shared" ref="CJ53:CJ59" si="43">IF(Q53-CD53=0,"数据正确","数据错误")</f>
        <v>数据正确</v>
      </c>
    </row>
    <row r="54" s="60" customFormat="1" customHeight="1" spans="1:88">
      <c r="A54" s="60" t="s">
        <v>36</v>
      </c>
      <c r="B54" s="70" t="str">
        <f t="shared" si="33"/>
        <v>-</v>
      </c>
      <c r="C54" s="71" t="str">
        <f t="shared" si="34"/>
        <v>-</v>
      </c>
      <c r="D54" s="72">
        <f t="shared" si="35"/>
        <v>1586000</v>
      </c>
      <c r="E54" s="72">
        <v>0</v>
      </c>
      <c r="F54" s="72">
        <v>0</v>
      </c>
      <c r="G54" s="72">
        <v>0</v>
      </c>
      <c r="H54" s="72">
        <v>0</v>
      </c>
      <c r="I54" s="72">
        <f t="shared" si="36"/>
        <v>0</v>
      </c>
      <c r="J54" s="190" t="s">
        <v>98</v>
      </c>
      <c r="K54" s="87"/>
      <c r="L54" s="88">
        <v>164</v>
      </c>
      <c r="M54" s="89" t="s">
        <v>613</v>
      </c>
      <c r="N54" s="191" t="s">
        <v>29</v>
      </c>
      <c r="O54" s="90">
        <v>2017060050</v>
      </c>
      <c r="P54" s="91">
        <v>42944</v>
      </c>
      <c r="Q54" s="173">
        <v>7930000</v>
      </c>
      <c r="R54" s="89" t="s">
        <v>614</v>
      </c>
      <c r="S54" s="89" t="s">
        <v>615</v>
      </c>
      <c r="T54" s="89" t="s">
        <v>490</v>
      </c>
      <c r="U54" s="103" t="s">
        <v>616</v>
      </c>
      <c r="V54" s="105" t="s">
        <v>617</v>
      </c>
      <c r="W54" s="102">
        <v>1586000</v>
      </c>
      <c r="X54" s="102">
        <v>1586000</v>
      </c>
      <c r="Y54" s="102">
        <v>1586000</v>
      </c>
      <c r="Z54" s="107" t="s">
        <v>519</v>
      </c>
      <c r="AA54" s="102">
        <v>3172000</v>
      </c>
      <c r="AB54" s="102"/>
      <c r="AC54" s="102"/>
      <c r="AD54" s="107" t="s">
        <v>572</v>
      </c>
      <c r="AE54" s="102">
        <v>2379000</v>
      </c>
      <c r="AF54" s="102"/>
      <c r="AG54" s="102"/>
      <c r="AH54" s="107" t="s">
        <v>456</v>
      </c>
      <c r="AI54" s="102">
        <v>793000</v>
      </c>
      <c r="AJ54" s="102"/>
      <c r="AK54" s="102"/>
      <c r="AL54" s="107"/>
      <c r="AM54" s="102"/>
      <c r="AN54" s="102"/>
      <c r="AO54" s="102"/>
      <c r="AP54" s="107"/>
      <c r="AQ54" s="102"/>
      <c r="AR54" s="102"/>
      <c r="AS54" s="102"/>
      <c r="AT54" s="107"/>
      <c r="AU54" s="102"/>
      <c r="AV54" s="102"/>
      <c r="AW54" s="102"/>
      <c r="AX54" s="107"/>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22"/>
      <c r="CD54" s="123">
        <f t="shared" si="37"/>
        <v>7930000</v>
      </c>
      <c r="CE54" s="102">
        <f t="shared" si="38"/>
        <v>1586000</v>
      </c>
      <c r="CF54" s="102">
        <f t="shared" si="39"/>
        <v>1586000</v>
      </c>
      <c r="CG54" s="102">
        <f t="shared" si="40"/>
        <v>0</v>
      </c>
      <c r="CH54" s="124">
        <f t="shared" si="41"/>
        <v>6344000</v>
      </c>
      <c r="CI54" s="125">
        <f t="shared" si="42"/>
        <v>0.2</v>
      </c>
      <c r="CJ54" s="126" t="str">
        <f t="shared" si="43"/>
        <v>数据正确</v>
      </c>
    </row>
    <row r="55" s="60" customFormat="1" customHeight="1" spans="1:88">
      <c r="A55" s="60" t="s">
        <v>36</v>
      </c>
      <c r="B55" s="70" t="str">
        <f t="shared" si="33"/>
        <v>-</v>
      </c>
      <c r="C55" s="71" t="str">
        <f t="shared" si="34"/>
        <v>-</v>
      </c>
      <c r="D55" s="72">
        <f t="shared" si="35"/>
        <v>2352420</v>
      </c>
      <c r="E55" s="72">
        <v>0</v>
      </c>
      <c r="F55" s="72">
        <v>0</v>
      </c>
      <c r="G55" s="72">
        <v>117580</v>
      </c>
      <c r="H55" s="72">
        <v>0</v>
      </c>
      <c r="I55" s="72">
        <f t="shared" si="36"/>
        <v>0</v>
      </c>
      <c r="J55" s="190" t="s">
        <v>98</v>
      </c>
      <c r="K55" s="87"/>
      <c r="L55" s="88">
        <v>165</v>
      </c>
      <c r="M55" s="89" t="s">
        <v>618</v>
      </c>
      <c r="N55" s="191" t="s">
        <v>29</v>
      </c>
      <c r="O55" s="90">
        <v>2017060049</v>
      </c>
      <c r="P55" s="91">
        <v>42944</v>
      </c>
      <c r="Q55" s="173">
        <v>12350000</v>
      </c>
      <c r="R55" s="89" t="s">
        <v>619</v>
      </c>
      <c r="S55" s="89" t="s">
        <v>615</v>
      </c>
      <c r="T55" s="89" t="s">
        <v>620</v>
      </c>
      <c r="U55" s="103" t="s">
        <v>621</v>
      </c>
      <c r="V55" s="105" t="s">
        <v>617</v>
      </c>
      <c r="W55" s="102">
        <v>2470000</v>
      </c>
      <c r="X55" s="102">
        <v>2470000</v>
      </c>
      <c r="Y55" s="102">
        <f>2470000-117580</f>
        <v>2352420</v>
      </c>
      <c r="Z55" s="107" t="s">
        <v>519</v>
      </c>
      <c r="AA55" s="102">
        <v>4940000</v>
      </c>
      <c r="AB55" s="102"/>
      <c r="AC55" s="102"/>
      <c r="AD55" s="107" t="s">
        <v>572</v>
      </c>
      <c r="AE55" s="102">
        <v>3705000</v>
      </c>
      <c r="AF55" s="102"/>
      <c r="AG55" s="102"/>
      <c r="AH55" s="107" t="s">
        <v>456</v>
      </c>
      <c r="AI55" s="102">
        <v>1235000</v>
      </c>
      <c r="AJ55" s="102"/>
      <c r="AK55" s="102"/>
      <c r="AL55" s="107"/>
      <c r="AM55" s="102"/>
      <c r="AN55" s="102"/>
      <c r="AO55" s="102"/>
      <c r="AP55" s="107"/>
      <c r="AQ55" s="102"/>
      <c r="AR55" s="102"/>
      <c r="AS55" s="102"/>
      <c r="AT55" s="107"/>
      <c r="AU55" s="102"/>
      <c r="AV55" s="102"/>
      <c r="AW55" s="102"/>
      <c r="AX55" s="107"/>
      <c r="AY55" s="102"/>
      <c r="AZ55" s="102"/>
      <c r="BA55" s="102"/>
      <c r="BB55" s="102"/>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22"/>
      <c r="CD55" s="123">
        <f t="shared" si="37"/>
        <v>12350000</v>
      </c>
      <c r="CE55" s="102">
        <f t="shared" si="38"/>
        <v>2470000</v>
      </c>
      <c r="CF55" s="102">
        <f t="shared" si="39"/>
        <v>2352420</v>
      </c>
      <c r="CG55" s="102">
        <f t="shared" si="40"/>
        <v>117580</v>
      </c>
      <c r="CH55" s="124">
        <f t="shared" si="41"/>
        <v>9880000</v>
      </c>
      <c r="CI55" s="125">
        <f t="shared" si="42"/>
        <v>0.2</v>
      </c>
      <c r="CJ55" s="126" t="str">
        <f t="shared" si="43"/>
        <v>数据正确</v>
      </c>
    </row>
    <row r="56" s="60" customFormat="1" customHeight="1" spans="1:88">
      <c r="A56" s="60" t="s">
        <v>36</v>
      </c>
      <c r="B56" s="70" t="str">
        <f t="shared" si="33"/>
        <v>-</v>
      </c>
      <c r="C56" s="71" t="str">
        <f t="shared" si="34"/>
        <v>-</v>
      </c>
      <c r="D56" s="72">
        <f t="shared" si="35"/>
        <v>0</v>
      </c>
      <c r="E56" s="72">
        <v>0</v>
      </c>
      <c r="F56" s="72">
        <v>0</v>
      </c>
      <c r="G56" s="72">
        <v>0</v>
      </c>
      <c r="H56" s="72">
        <v>0</v>
      </c>
      <c r="I56" s="72">
        <f t="shared" si="36"/>
        <v>0</v>
      </c>
      <c r="J56" s="190" t="s">
        <v>98</v>
      </c>
      <c r="K56" s="87"/>
      <c r="L56" s="88">
        <v>167</v>
      </c>
      <c r="M56" s="89" t="s">
        <v>622</v>
      </c>
      <c r="N56" s="191" t="s">
        <v>29</v>
      </c>
      <c r="O56" s="90">
        <v>2017040024</v>
      </c>
      <c r="P56" s="91">
        <v>42870</v>
      </c>
      <c r="Q56" s="173">
        <v>110000</v>
      </c>
      <c r="R56" s="89" t="s">
        <v>623</v>
      </c>
      <c r="S56" s="89" t="s">
        <v>624</v>
      </c>
      <c r="T56" s="89"/>
      <c r="U56" s="103" t="s">
        <v>625</v>
      </c>
      <c r="V56" s="105" t="s">
        <v>626</v>
      </c>
      <c r="W56" s="102">
        <v>77000</v>
      </c>
      <c r="X56" s="102"/>
      <c r="Y56" s="102"/>
      <c r="Z56" s="107" t="s">
        <v>627</v>
      </c>
      <c r="AA56" s="102">
        <v>22000</v>
      </c>
      <c r="AB56" s="102"/>
      <c r="AC56" s="102"/>
      <c r="AD56" s="107" t="s">
        <v>628</v>
      </c>
      <c r="AE56" s="102">
        <v>11000</v>
      </c>
      <c r="AF56" s="102"/>
      <c r="AG56" s="102"/>
      <c r="AH56" s="107"/>
      <c r="AI56" s="102"/>
      <c r="AJ56" s="102"/>
      <c r="AK56" s="102"/>
      <c r="AL56" s="107"/>
      <c r="AM56" s="102"/>
      <c r="AN56" s="102"/>
      <c r="AO56" s="102"/>
      <c r="AP56" s="107"/>
      <c r="AQ56" s="102"/>
      <c r="AR56" s="102"/>
      <c r="AS56" s="102"/>
      <c r="AT56" s="107"/>
      <c r="AU56" s="102"/>
      <c r="AV56" s="102"/>
      <c r="AW56" s="102"/>
      <c r="AX56" s="107"/>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22"/>
      <c r="CD56" s="123">
        <f t="shared" si="37"/>
        <v>110000</v>
      </c>
      <c r="CE56" s="102">
        <f t="shared" si="38"/>
        <v>0</v>
      </c>
      <c r="CF56" s="102">
        <f t="shared" si="39"/>
        <v>0</v>
      </c>
      <c r="CG56" s="102">
        <f t="shared" si="40"/>
        <v>0</v>
      </c>
      <c r="CH56" s="124">
        <f t="shared" si="41"/>
        <v>110000</v>
      </c>
      <c r="CI56" s="125">
        <f t="shared" si="42"/>
        <v>0</v>
      </c>
      <c r="CJ56" s="126" t="str">
        <f t="shared" si="43"/>
        <v>数据正确</v>
      </c>
    </row>
    <row r="57" s="60" customFormat="1" customHeight="1" spans="1:88">
      <c r="A57" s="60" t="s">
        <v>36</v>
      </c>
      <c r="B57" s="70" t="str">
        <f t="shared" si="33"/>
        <v>-</v>
      </c>
      <c r="C57" s="71" t="str">
        <f t="shared" si="34"/>
        <v>-</v>
      </c>
      <c r="D57" s="72">
        <f t="shared" si="35"/>
        <v>0</v>
      </c>
      <c r="E57" s="72">
        <v>0</v>
      </c>
      <c r="F57" s="72">
        <v>0</v>
      </c>
      <c r="G57" s="72">
        <v>0</v>
      </c>
      <c r="H57" s="72">
        <v>0</v>
      </c>
      <c r="I57" s="72">
        <f t="shared" si="36"/>
        <v>0</v>
      </c>
      <c r="J57" s="190" t="s">
        <v>98</v>
      </c>
      <c r="K57" s="87"/>
      <c r="L57" s="88">
        <v>168</v>
      </c>
      <c r="M57" s="89" t="s">
        <v>629</v>
      </c>
      <c r="N57" s="191" t="s">
        <v>29</v>
      </c>
      <c r="O57" s="90">
        <v>2017050048</v>
      </c>
      <c r="P57" s="91">
        <v>42913</v>
      </c>
      <c r="Q57" s="173">
        <v>3650000</v>
      </c>
      <c r="R57" s="89" t="s">
        <v>630</v>
      </c>
      <c r="S57" s="89" t="s">
        <v>468</v>
      </c>
      <c r="T57" s="89"/>
      <c r="U57" s="103" t="s">
        <v>631</v>
      </c>
      <c r="V57" s="105" t="s">
        <v>470</v>
      </c>
      <c r="W57" s="102">
        <v>730000</v>
      </c>
      <c r="X57" s="102"/>
      <c r="Y57" s="102"/>
      <c r="Z57" s="107" t="s">
        <v>519</v>
      </c>
      <c r="AA57" s="102">
        <v>1460000</v>
      </c>
      <c r="AB57" s="102"/>
      <c r="AC57" s="102"/>
      <c r="AD57" s="107" t="s">
        <v>572</v>
      </c>
      <c r="AE57" s="102">
        <v>1095000</v>
      </c>
      <c r="AF57" s="102"/>
      <c r="AG57" s="102"/>
      <c r="AH57" s="107" t="s">
        <v>456</v>
      </c>
      <c r="AI57" s="102">
        <v>365000</v>
      </c>
      <c r="AJ57" s="102"/>
      <c r="AK57" s="102"/>
      <c r="AL57" s="107"/>
      <c r="AM57" s="102"/>
      <c r="AN57" s="102"/>
      <c r="AO57" s="102"/>
      <c r="AP57" s="107"/>
      <c r="AQ57" s="102"/>
      <c r="AR57" s="102"/>
      <c r="AS57" s="102"/>
      <c r="AT57" s="107"/>
      <c r="AU57" s="102"/>
      <c r="AV57" s="102"/>
      <c r="AW57" s="102"/>
      <c r="AX57" s="107"/>
      <c r="AY57" s="102"/>
      <c r="AZ57" s="102"/>
      <c r="BA57" s="102"/>
      <c r="BB57" s="102"/>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22"/>
      <c r="CD57" s="123">
        <f t="shared" si="37"/>
        <v>3650000</v>
      </c>
      <c r="CE57" s="102">
        <f t="shared" si="38"/>
        <v>0</v>
      </c>
      <c r="CF57" s="102">
        <f t="shared" si="39"/>
        <v>0</v>
      </c>
      <c r="CG57" s="102">
        <f t="shared" si="40"/>
        <v>0</v>
      </c>
      <c r="CH57" s="124">
        <f t="shared" si="41"/>
        <v>3650000</v>
      </c>
      <c r="CI57" s="125">
        <f t="shared" si="42"/>
        <v>0</v>
      </c>
      <c r="CJ57" s="126" t="str">
        <f t="shared" si="43"/>
        <v>数据正确</v>
      </c>
    </row>
    <row r="58" s="60" customFormat="1" customHeight="1" spans="1:88">
      <c r="A58" s="60" t="s">
        <v>36</v>
      </c>
      <c r="B58" s="70" t="str">
        <f t="shared" si="33"/>
        <v>-</v>
      </c>
      <c r="C58" s="71" t="str">
        <f t="shared" si="34"/>
        <v>-</v>
      </c>
      <c r="D58" s="72">
        <f t="shared" si="35"/>
        <v>0</v>
      </c>
      <c r="E58" s="72">
        <v>0</v>
      </c>
      <c r="F58" s="72">
        <v>0</v>
      </c>
      <c r="G58" s="72">
        <v>0</v>
      </c>
      <c r="H58" s="72">
        <v>0</v>
      </c>
      <c r="I58" s="72">
        <f t="shared" si="36"/>
        <v>0</v>
      </c>
      <c r="J58" s="190" t="s">
        <v>98</v>
      </c>
      <c r="K58" s="87"/>
      <c r="L58" s="88" t="s">
        <v>632</v>
      </c>
      <c r="M58" s="89" t="s">
        <v>633</v>
      </c>
      <c r="N58" s="191" t="s">
        <v>29</v>
      </c>
      <c r="O58" s="90">
        <v>2017060025</v>
      </c>
      <c r="P58" s="91">
        <v>42920</v>
      </c>
      <c r="Q58" s="173">
        <v>170000</v>
      </c>
      <c r="R58" s="89" t="s">
        <v>634</v>
      </c>
      <c r="S58" s="89" t="s">
        <v>635</v>
      </c>
      <c r="T58" s="89"/>
      <c r="U58" s="103" t="s">
        <v>636</v>
      </c>
      <c r="V58" s="105" t="s">
        <v>637</v>
      </c>
      <c r="W58" s="102">
        <v>119000</v>
      </c>
      <c r="X58" s="102"/>
      <c r="Y58" s="102"/>
      <c r="Z58" s="107" t="s">
        <v>627</v>
      </c>
      <c r="AA58" s="102">
        <v>34000</v>
      </c>
      <c r="AB58" s="102"/>
      <c r="AC58" s="102"/>
      <c r="AD58" s="107" t="s">
        <v>628</v>
      </c>
      <c r="AE58" s="102">
        <v>17000</v>
      </c>
      <c r="AF58" s="102"/>
      <c r="AG58" s="102"/>
      <c r="AH58" s="107"/>
      <c r="AI58" s="102"/>
      <c r="AJ58" s="102"/>
      <c r="AK58" s="102"/>
      <c r="AL58" s="107"/>
      <c r="AM58" s="102"/>
      <c r="AN58" s="102"/>
      <c r="AO58" s="102"/>
      <c r="AP58" s="107"/>
      <c r="AQ58" s="102"/>
      <c r="AR58" s="102"/>
      <c r="AS58" s="102"/>
      <c r="AT58" s="107"/>
      <c r="AU58" s="102"/>
      <c r="AV58" s="102"/>
      <c r="AW58" s="102"/>
      <c r="AX58" s="107"/>
      <c r="AY58" s="102"/>
      <c r="AZ58" s="102"/>
      <c r="BA58" s="102"/>
      <c r="BB58" s="102"/>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22"/>
      <c r="CD58" s="123">
        <f t="shared" si="37"/>
        <v>170000</v>
      </c>
      <c r="CE58" s="102">
        <f t="shared" si="38"/>
        <v>0</v>
      </c>
      <c r="CF58" s="102">
        <f t="shared" si="39"/>
        <v>0</v>
      </c>
      <c r="CG58" s="102">
        <f t="shared" si="40"/>
        <v>0</v>
      </c>
      <c r="CH58" s="124">
        <f t="shared" si="41"/>
        <v>170000</v>
      </c>
      <c r="CI58" s="125">
        <f t="shared" si="42"/>
        <v>0</v>
      </c>
      <c r="CJ58" s="126" t="str">
        <f t="shared" si="43"/>
        <v>数据正确</v>
      </c>
    </row>
    <row r="59" s="60" customFormat="1" customHeight="1" spans="1:88">
      <c r="A59" s="60" t="s">
        <v>36</v>
      </c>
      <c r="B59" s="70" t="str">
        <f t="shared" si="33"/>
        <v>-</v>
      </c>
      <c r="C59" s="71" t="str">
        <f t="shared" si="34"/>
        <v>-</v>
      </c>
      <c r="D59" s="72">
        <f t="shared" si="35"/>
        <v>0</v>
      </c>
      <c r="E59" s="72">
        <v>0</v>
      </c>
      <c r="F59" s="72">
        <v>0</v>
      </c>
      <c r="G59" s="72">
        <v>0</v>
      </c>
      <c r="H59" s="72">
        <v>0</v>
      </c>
      <c r="I59" s="72">
        <f t="shared" si="36"/>
        <v>0</v>
      </c>
      <c r="J59" s="190" t="s">
        <v>98</v>
      </c>
      <c r="K59" s="87"/>
      <c r="L59" s="88" t="s">
        <v>638</v>
      </c>
      <c r="M59" s="89" t="s">
        <v>633</v>
      </c>
      <c r="N59" s="191" t="s">
        <v>29</v>
      </c>
      <c r="O59" s="90">
        <v>2017060025</v>
      </c>
      <c r="P59" s="91">
        <v>43040</v>
      </c>
      <c r="Q59" s="173">
        <v>96000</v>
      </c>
      <c r="R59" s="89" t="s">
        <v>639</v>
      </c>
      <c r="S59" s="89" t="s">
        <v>635</v>
      </c>
      <c r="T59" s="89"/>
      <c r="U59" s="103" t="s">
        <v>636</v>
      </c>
      <c r="V59" s="105" t="s">
        <v>640</v>
      </c>
      <c r="W59" s="102">
        <f>Q59*0.9</f>
        <v>86400</v>
      </c>
      <c r="X59" s="102"/>
      <c r="Y59" s="102"/>
      <c r="Z59" s="107" t="s">
        <v>628</v>
      </c>
      <c r="AA59" s="102">
        <f>Q59*0.1</f>
        <v>9600</v>
      </c>
      <c r="AB59" s="102"/>
      <c r="AC59" s="102"/>
      <c r="AD59" s="107"/>
      <c r="AE59" s="102"/>
      <c r="AF59" s="102"/>
      <c r="AG59" s="102"/>
      <c r="AH59" s="107"/>
      <c r="AI59" s="102"/>
      <c r="AJ59" s="102"/>
      <c r="AK59" s="102"/>
      <c r="AL59" s="107"/>
      <c r="AM59" s="102"/>
      <c r="AN59" s="102"/>
      <c r="AO59" s="102"/>
      <c r="AP59" s="107"/>
      <c r="AQ59" s="102"/>
      <c r="AR59" s="102"/>
      <c r="AS59" s="102"/>
      <c r="AT59" s="107"/>
      <c r="AU59" s="102"/>
      <c r="AV59" s="102"/>
      <c r="AW59" s="102"/>
      <c r="AX59" s="107"/>
      <c r="AY59" s="102"/>
      <c r="AZ59" s="102"/>
      <c r="BA59" s="102"/>
      <c r="BB59" s="102"/>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22"/>
      <c r="CD59" s="123">
        <f t="shared" si="37"/>
        <v>96000</v>
      </c>
      <c r="CE59" s="102">
        <f t="shared" si="38"/>
        <v>0</v>
      </c>
      <c r="CF59" s="102">
        <f t="shared" si="39"/>
        <v>0</v>
      </c>
      <c r="CG59" s="102">
        <f t="shared" si="40"/>
        <v>0</v>
      </c>
      <c r="CH59" s="124">
        <f t="shared" si="41"/>
        <v>96000</v>
      </c>
      <c r="CI59" s="125">
        <f t="shared" si="42"/>
        <v>0</v>
      </c>
      <c r="CJ59" s="126" t="str">
        <f t="shared" si="43"/>
        <v>数据正确</v>
      </c>
    </row>
    <row r="60" s="130" customFormat="1" customHeight="1" spans="1:88">
      <c r="A60" s="130" t="s">
        <v>36</v>
      </c>
      <c r="B60" s="132" t="str">
        <f t="shared" ref="B60:B77" si="44">IF(I60=0,"-","申请中")</f>
        <v>-</v>
      </c>
      <c r="C60" s="133" t="str">
        <f t="shared" ref="C60:C77" si="45">IF(CI60=100%,"已付清","-")</f>
        <v>-</v>
      </c>
      <c r="D60" s="134">
        <f t="shared" ref="D60:D77" si="46">CF60</f>
        <v>0</v>
      </c>
      <c r="E60" s="134">
        <f>SUM(E58:E59)</f>
        <v>0</v>
      </c>
      <c r="F60" s="134">
        <f>SUM(F58:F59)</f>
        <v>0</v>
      </c>
      <c r="G60" s="134">
        <f>SUM(G58:G59)</f>
        <v>0</v>
      </c>
      <c r="H60" s="134">
        <f>SUM(H58:H59)</f>
        <v>0</v>
      </c>
      <c r="I60" s="134">
        <f t="shared" ref="I60:I77" si="47">CE60-CF60-CG60</f>
        <v>0</v>
      </c>
      <c r="J60" s="198" t="s">
        <v>98</v>
      </c>
      <c r="K60" s="172"/>
      <c r="L60" s="143">
        <v>169</v>
      </c>
      <c r="M60" s="144" t="s">
        <v>633</v>
      </c>
      <c r="N60" s="199" t="s">
        <v>29</v>
      </c>
      <c r="O60" s="145">
        <v>2017060025</v>
      </c>
      <c r="P60" s="146">
        <v>42920</v>
      </c>
      <c r="Q60" s="211">
        <f>SUM(Q58:Q59)</f>
        <v>266000</v>
      </c>
      <c r="R60" s="144" t="s">
        <v>634</v>
      </c>
      <c r="S60" s="144" t="s">
        <v>635</v>
      </c>
      <c r="T60" s="144"/>
      <c r="U60" s="156" t="s">
        <v>636</v>
      </c>
      <c r="V60" s="157" t="s">
        <v>637</v>
      </c>
      <c r="W60" s="158">
        <f>SUM(W58:W59)</f>
        <v>205400</v>
      </c>
      <c r="X60" s="158">
        <f>SUM(X58:X59)</f>
        <v>0</v>
      </c>
      <c r="Y60" s="158">
        <f>SUM(Y58:Y59)</f>
        <v>0</v>
      </c>
      <c r="Z60" s="174" t="s">
        <v>627</v>
      </c>
      <c r="AA60" s="158">
        <f>SUM(AA58:AA59)</f>
        <v>43600</v>
      </c>
      <c r="AB60" s="158">
        <f>SUM(AB58:AB59)</f>
        <v>0</v>
      </c>
      <c r="AC60" s="158">
        <f>SUM(AC58:AC59)</f>
        <v>0</v>
      </c>
      <c r="AD60" s="174" t="s">
        <v>628</v>
      </c>
      <c r="AE60" s="158">
        <f>SUM(AE58:AE59)</f>
        <v>17000</v>
      </c>
      <c r="AF60" s="158">
        <f t="shared" ref="AF60:BK60" si="48">SUM(AF58:AF59)</f>
        <v>0</v>
      </c>
      <c r="AG60" s="158">
        <f t="shared" si="48"/>
        <v>0</v>
      </c>
      <c r="AH60" s="158">
        <f t="shared" si="48"/>
        <v>0</v>
      </c>
      <c r="AI60" s="158">
        <f t="shared" si="48"/>
        <v>0</v>
      </c>
      <c r="AJ60" s="158">
        <f t="shared" si="48"/>
        <v>0</v>
      </c>
      <c r="AK60" s="158">
        <f t="shared" si="48"/>
        <v>0</v>
      </c>
      <c r="AL60" s="158">
        <f t="shared" si="48"/>
        <v>0</v>
      </c>
      <c r="AM60" s="158">
        <f t="shared" si="48"/>
        <v>0</v>
      </c>
      <c r="AN60" s="158">
        <f t="shared" si="48"/>
        <v>0</v>
      </c>
      <c r="AO60" s="158">
        <f t="shared" si="48"/>
        <v>0</v>
      </c>
      <c r="AP60" s="158">
        <f t="shared" si="48"/>
        <v>0</v>
      </c>
      <c r="AQ60" s="158">
        <f t="shared" si="48"/>
        <v>0</v>
      </c>
      <c r="AR60" s="158">
        <f t="shared" si="48"/>
        <v>0</v>
      </c>
      <c r="AS60" s="158">
        <f t="shared" si="48"/>
        <v>0</v>
      </c>
      <c r="AT60" s="158">
        <f t="shared" si="48"/>
        <v>0</v>
      </c>
      <c r="AU60" s="158">
        <f t="shared" si="48"/>
        <v>0</v>
      </c>
      <c r="AV60" s="158">
        <f t="shared" si="48"/>
        <v>0</v>
      </c>
      <c r="AW60" s="158">
        <f t="shared" si="48"/>
        <v>0</v>
      </c>
      <c r="AX60" s="158">
        <f t="shared" si="48"/>
        <v>0</v>
      </c>
      <c r="AY60" s="158">
        <f t="shared" si="48"/>
        <v>0</v>
      </c>
      <c r="AZ60" s="158">
        <f t="shared" si="48"/>
        <v>0</v>
      </c>
      <c r="BA60" s="158">
        <f t="shared" si="48"/>
        <v>0</v>
      </c>
      <c r="BB60" s="158">
        <f t="shared" si="48"/>
        <v>0</v>
      </c>
      <c r="BC60" s="158">
        <f t="shared" si="48"/>
        <v>0</v>
      </c>
      <c r="BD60" s="158">
        <f t="shared" si="48"/>
        <v>0</v>
      </c>
      <c r="BE60" s="158">
        <f t="shared" si="48"/>
        <v>0</v>
      </c>
      <c r="BF60" s="158">
        <f t="shared" si="48"/>
        <v>0</v>
      </c>
      <c r="BG60" s="158">
        <f t="shared" si="48"/>
        <v>0</v>
      </c>
      <c r="BH60" s="158">
        <f t="shared" si="48"/>
        <v>0</v>
      </c>
      <c r="BI60" s="158">
        <f t="shared" si="48"/>
        <v>0</v>
      </c>
      <c r="BJ60" s="158">
        <f t="shared" si="48"/>
        <v>0</v>
      </c>
      <c r="BK60" s="158">
        <f t="shared" si="48"/>
        <v>0</v>
      </c>
      <c r="BL60" s="158">
        <f t="shared" ref="BL60:CC60" si="49">SUM(BL58:BL59)</f>
        <v>0</v>
      </c>
      <c r="BM60" s="158">
        <f t="shared" si="49"/>
        <v>0</v>
      </c>
      <c r="BN60" s="158">
        <f t="shared" si="49"/>
        <v>0</v>
      </c>
      <c r="BO60" s="158">
        <f t="shared" si="49"/>
        <v>0</v>
      </c>
      <c r="BP60" s="158">
        <f t="shared" si="49"/>
        <v>0</v>
      </c>
      <c r="BQ60" s="158">
        <f t="shared" si="49"/>
        <v>0</v>
      </c>
      <c r="BR60" s="158">
        <f t="shared" si="49"/>
        <v>0</v>
      </c>
      <c r="BS60" s="158">
        <f t="shared" si="49"/>
        <v>0</v>
      </c>
      <c r="BT60" s="158">
        <f t="shared" si="49"/>
        <v>0</v>
      </c>
      <c r="BU60" s="158">
        <f t="shared" si="49"/>
        <v>0</v>
      </c>
      <c r="BV60" s="158">
        <f t="shared" si="49"/>
        <v>0</v>
      </c>
      <c r="BW60" s="158">
        <f t="shared" si="49"/>
        <v>0</v>
      </c>
      <c r="BX60" s="158">
        <f t="shared" si="49"/>
        <v>0</v>
      </c>
      <c r="BY60" s="158">
        <f t="shared" si="49"/>
        <v>0</v>
      </c>
      <c r="BZ60" s="158">
        <f t="shared" si="49"/>
        <v>0</v>
      </c>
      <c r="CA60" s="158">
        <f t="shared" si="49"/>
        <v>0</v>
      </c>
      <c r="CB60" s="158">
        <f t="shared" si="49"/>
        <v>0</v>
      </c>
      <c r="CC60" s="158">
        <f t="shared" si="49"/>
        <v>0</v>
      </c>
      <c r="CD60" s="165">
        <f t="shared" ref="CD60:CD77" si="50">W60+AA60+AE60+AI60+AM60+AQ60+AU60+AY60+BC60+BG60+BK60+BO60+BS60+BW60+CA60</f>
        <v>266000</v>
      </c>
      <c r="CE60" s="158">
        <f t="shared" ref="CE60:CE77" si="51">X60+AB60+AF60+AJ60+AN60+AR60+AV60+AZ60+BD60+BH60+BL60+BP60+BT60+BX60+CB60</f>
        <v>0</v>
      </c>
      <c r="CF60" s="158">
        <f t="shared" ref="CF60:CF77" si="52">Y60+AC60+AG60+AK60+AO60+AS60+AW60+BA60+BE60+BI60+BM60+BQ60+BU60+BY60+CC60</f>
        <v>0</v>
      </c>
      <c r="CG60" s="158">
        <f t="shared" ref="CG60:CG77" si="53">E60+F60+G60+H60</f>
        <v>0</v>
      </c>
      <c r="CH60" s="163">
        <f t="shared" ref="CH60:CH77" si="54">Q60-CF60-CG60</f>
        <v>266000</v>
      </c>
      <c r="CI60" s="166">
        <f t="shared" ref="CI60:CI77" si="55">IF(ISERROR((CF60+CG60)/Q60),"-",(CF60+CG60)/Q60)</f>
        <v>0</v>
      </c>
      <c r="CJ60" s="167" t="str">
        <f t="shared" ref="CJ60:CJ77" si="56">IF(Q60-CD60=0,"数据正确","数据错误")</f>
        <v>数据正确</v>
      </c>
    </row>
    <row r="61" s="60" customFormat="1" customHeight="1" spans="1:88">
      <c r="A61" s="60" t="s">
        <v>36</v>
      </c>
      <c r="B61" s="70" t="str">
        <f t="shared" si="44"/>
        <v>-</v>
      </c>
      <c r="C61" s="71" t="str">
        <f t="shared" si="45"/>
        <v>-</v>
      </c>
      <c r="D61" s="72">
        <f t="shared" si="46"/>
        <v>70500</v>
      </c>
      <c r="E61" s="72">
        <v>0</v>
      </c>
      <c r="F61" s="72">
        <v>0</v>
      </c>
      <c r="G61" s="72">
        <v>0</v>
      </c>
      <c r="H61" s="72">
        <v>0</v>
      </c>
      <c r="I61" s="72">
        <f t="shared" si="47"/>
        <v>0</v>
      </c>
      <c r="J61" s="190" t="s">
        <v>98</v>
      </c>
      <c r="K61" s="87"/>
      <c r="L61" s="88">
        <v>170</v>
      </c>
      <c r="M61" s="89" t="s">
        <v>641</v>
      </c>
      <c r="N61" s="191" t="s">
        <v>29</v>
      </c>
      <c r="O61" s="90">
        <v>2017040041</v>
      </c>
      <c r="P61" s="91">
        <v>42926</v>
      </c>
      <c r="Q61" s="173">
        <v>235000</v>
      </c>
      <c r="R61" s="89" t="s">
        <v>642</v>
      </c>
      <c r="S61" s="89" t="s">
        <v>643</v>
      </c>
      <c r="T61" s="89"/>
      <c r="U61" s="103" t="s">
        <v>644</v>
      </c>
      <c r="V61" s="105" t="s">
        <v>645</v>
      </c>
      <c r="W61" s="102">
        <v>70500</v>
      </c>
      <c r="X61" s="102">
        <v>70500</v>
      </c>
      <c r="Y61" s="102">
        <v>70500</v>
      </c>
      <c r="Z61" s="107" t="s">
        <v>646</v>
      </c>
      <c r="AA61" s="102">
        <v>141000</v>
      </c>
      <c r="AB61" s="102"/>
      <c r="AC61" s="102"/>
      <c r="AD61" s="107" t="s">
        <v>628</v>
      </c>
      <c r="AE61" s="102">
        <v>23500</v>
      </c>
      <c r="AF61" s="102"/>
      <c r="AG61" s="102"/>
      <c r="AH61" s="107"/>
      <c r="AI61" s="102"/>
      <c r="AJ61" s="102"/>
      <c r="AK61" s="102"/>
      <c r="AL61" s="107"/>
      <c r="AM61" s="102"/>
      <c r="AN61" s="102"/>
      <c r="AO61" s="102"/>
      <c r="AP61" s="107"/>
      <c r="AQ61" s="102"/>
      <c r="AR61" s="102"/>
      <c r="AS61" s="102"/>
      <c r="AT61" s="107"/>
      <c r="AU61" s="102"/>
      <c r="AV61" s="102"/>
      <c r="AW61" s="102"/>
      <c r="AX61" s="107"/>
      <c r="AY61" s="102"/>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22"/>
      <c r="CD61" s="123">
        <f t="shared" si="50"/>
        <v>235000</v>
      </c>
      <c r="CE61" s="102">
        <f t="shared" si="51"/>
        <v>70500</v>
      </c>
      <c r="CF61" s="102">
        <f t="shared" si="52"/>
        <v>70500</v>
      </c>
      <c r="CG61" s="102">
        <f t="shared" si="53"/>
        <v>0</v>
      </c>
      <c r="CH61" s="124">
        <f t="shared" si="54"/>
        <v>164500</v>
      </c>
      <c r="CI61" s="125">
        <f t="shared" si="55"/>
        <v>0.3</v>
      </c>
      <c r="CJ61" s="126" t="str">
        <f t="shared" si="56"/>
        <v>数据正确</v>
      </c>
    </row>
    <row r="62" s="60" customFormat="1" customHeight="1" spans="1:88">
      <c r="A62" s="60" t="s">
        <v>36</v>
      </c>
      <c r="B62" s="70" t="str">
        <f t="shared" si="44"/>
        <v>-</v>
      </c>
      <c r="C62" s="71" t="str">
        <f t="shared" si="45"/>
        <v>-</v>
      </c>
      <c r="D62" s="72">
        <f t="shared" si="46"/>
        <v>310000</v>
      </c>
      <c r="E62" s="72">
        <v>0</v>
      </c>
      <c r="F62" s="72">
        <v>0</v>
      </c>
      <c r="G62" s="72">
        <v>0</v>
      </c>
      <c r="H62" s="72">
        <v>0</v>
      </c>
      <c r="I62" s="72">
        <f t="shared" si="47"/>
        <v>0</v>
      </c>
      <c r="J62" s="190" t="s">
        <v>98</v>
      </c>
      <c r="K62" s="87"/>
      <c r="L62" s="88">
        <v>171</v>
      </c>
      <c r="M62" s="89" t="s">
        <v>647</v>
      </c>
      <c r="N62" s="191" t="s">
        <v>29</v>
      </c>
      <c r="O62" s="90">
        <v>2017060030</v>
      </c>
      <c r="P62" s="91">
        <v>42936</v>
      </c>
      <c r="Q62" s="173">
        <v>1550000</v>
      </c>
      <c r="R62" s="89" t="s">
        <v>648</v>
      </c>
      <c r="S62" s="89" t="s">
        <v>649</v>
      </c>
      <c r="T62" s="89"/>
      <c r="U62" s="103" t="s">
        <v>650</v>
      </c>
      <c r="V62" s="105" t="s">
        <v>651</v>
      </c>
      <c r="W62" s="102">
        <v>310000</v>
      </c>
      <c r="X62" s="102">
        <v>310000</v>
      </c>
      <c r="Y62" s="102">
        <v>310000</v>
      </c>
      <c r="Z62" s="107" t="s">
        <v>519</v>
      </c>
      <c r="AA62" s="102">
        <v>620000</v>
      </c>
      <c r="AB62" s="102"/>
      <c r="AC62" s="102"/>
      <c r="AD62" s="107" t="s">
        <v>652</v>
      </c>
      <c r="AE62" s="102">
        <v>620000</v>
      </c>
      <c r="AF62" s="102"/>
      <c r="AG62" s="102"/>
      <c r="AH62" s="107"/>
      <c r="AI62" s="102"/>
      <c r="AJ62" s="102"/>
      <c r="AK62" s="102"/>
      <c r="AL62" s="107"/>
      <c r="AM62" s="102"/>
      <c r="AN62" s="102"/>
      <c r="AO62" s="102"/>
      <c r="AP62" s="107"/>
      <c r="AQ62" s="102"/>
      <c r="AR62" s="102"/>
      <c r="AS62" s="102"/>
      <c r="AT62" s="107"/>
      <c r="AU62" s="102"/>
      <c r="AV62" s="102"/>
      <c r="AW62" s="102"/>
      <c r="AX62" s="107"/>
      <c r="AY62" s="102"/>
      <c r="AZ62" s="102"/>
      <c r="BA62" s="102"/>
      <c r="BB62" s="102"/>
      <c r="BC62" s="102"/>
      <c r="BD62" s="102"/>
      <c r="BE62" s="102"/>
      <c r="BF62" s="102"/>
      <c r="BG62" s="102"/>
      <c r="BH62" s="102"/>
      <c r="BI62" s="102"/>
      <c r="BJ62" s="102"/>
      <c r="BK62" s="102"/>
      <c r="BL62" s="102"/>
      <c r="BM62" s="102"/>
      <c r="BN62" s="102"/>
      <c r="BO62" s="102"/>
      <c r="BP62" s="102"/>
      <c r="BQ62" s="102"/>
      <c r="BR62" s="102"/>
      <c r="BS62" s="102"/>
      <c r="BT62" s="102"/>
      <c r="BU62" s="102"/>
      <c r="BV62" s="102"/>
      <c r="BW62" s="102"/>
      <c r="BX62" s="102"/>
      <c r="BY62" s="102"/>
      <c r="BZ62" s="102"/>
      <c r="CA62" s="102"/>
      <c r="CB62" s="102"/>
      <c r="CC62" s="122"/>
      <c r="CD62" s="123">
        <f t="shared" si="50"/>
        <v>1550000</v>
      </c>
      <c r="CE62" s="102">
        <f t="shared" si="51"/>
        <v>310000</v>
      </c>
      <c r="CF62" s="102">
        <f t="shared" si="52"/>
        <v>310000</v>
      </c>
      <c r="CG62" s="102">
        <f t="shared" si="53"/>
        <v>0</v>
      </c>
      <c r="CH62" s="124">
        <f t="shared" si="54"/>
        <v>1240000</v>
      </c>
      <c r="CI62" s="125">
        <f t="shared" si="55"/>
        <v>0.2</v>
      </c>
      <c r="CJ62" s="126" t="str">
        <f t="shared" si="56"/>
        <v>数据正确</v>
      </c>
    </row>
    <row r="63" s="60" customFormat="1" customHeight="1" spans="1:88">
      <c r="A63" s="60" t="s">
        <v>36</v>
      </c>
      <c r="B63" s="70" t="str">
        <f t="shared" si="44"/>
        <v>-</v>
      </c>
      <c r="C63" s="71" t="str">
        <f t="shared" si="45"/>
        <v>-</v>
      </c>
      <c r="D63" s="72">
        <f t="shared" si="46"/>
        <v>0</v>
      </c>
      <c r="E63" s="72">
        <v>0</v>
      </c>
      <c r="F63" s="72">
        <v>0</v>
      </c>
      <c r="G63" s="72">
        <v>0</v>
      </c>
      <c r="H63" s="72">
        <v>0</v>
      </c>
      <c r="I63" s="72">
        <f t="shared" si="47"/>
        <v>0</v>
      </c>
      <c r="J63" s="190" t="s">
        <v>98</v>
      </c>
      <c r="K63" s="87"/>
      <c r="L63" s="88">
        <v>172</v>
      </c>
      <c r="M63" s="89" t="s">
        <v>653</v>
      </c>
      <c r="N63" s="191" t="s">
        <v>29</v>
      </c>
      <c r="O63" s="90">
        <v>2017060024</v>
      </c>
      <c r="P63" s="91">
        <v>42947</v>
      </c>
      <c r="Q63" s="173">
        <v>14200000</v>
      </c>
      <c r="R63" s="89" t="s">
        <v>654</v>
      </c>
      <c r="S63" s="89" t="s">
        <v>655</v>
      </c>
      <c r="T63" s="89"/>
      <c r="U63" s="103" t="s">
        <v>616</v>
      </c>
      <c r="V63" s="105" t="s">
        <v>656</v>
      </c>
      <c r="W63" s="102">
        <v>8520000</v>
      </c>
      <c r="X63" s="102"/>
      <c r="Y63" s="102"/>
      <c r="Z63" s="107" t="s">
        <v>593</v>
      </c>
      <c r="AA63" s="102">
        <v>4260000</v>
      </c>
      <c r="AB63" s="102"/>
      <c r="AC63" s="102"/>
      <c r="AD63" s="107" t="s">
        <v>628</v>
      </c>
      <c r="AE63" s="102">
        <v>1420000</v>
      </c>
      <c r="AF63" s="102"/>
      <c r="AG63" s="102"/>
      <c r="AH63" s="107"/>
      <c r="AI63" s="102"/>
      <c r="AJ63" s="102"/>
      <c r="AK63" s="102"/>
      <c r="AL63" s="107"/>
      <c r="AM63" s="102"/>
      <c r="AN63" s="102"/>
      <c r="AO63" s="102"/>
      <c r="AP63" s="107"/>
      <c r="AQ63" s="102"/>
      <c r="AR63" s="102"/>
      <c r="AS63" s="102"/>
      <c r="AT63" s="107"/>
      <c r="AU63" s="102"/>
      <c r="AV63" s="102"/>
      <c r="AW63" s="102"/>
      <c r="AX63" s="107"/>
      <c r="AY63" s="102"/>
      <c r="AZ63" s="102"/>
      <c r="BA63" s="102"/>
      <c r="BB63" s="102"/>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22"/>
      <c r="CD63" s="123">
        <f t="shared" si="50"/>
        <v>14200000</v>
      </c>
      <c r="CE63" s="102">
        <f t="shared" si="51"/>
        <v>0</v>
      </c>
      <c r="CF63" s="102">
        <f t="shared" si="52"/>
        <v>0</v>
      </c>
      <c r="CG63" s="102">
        <f t="shared" si="53"/>
        <v>0</v>
      </c>
      <c r="CH63" s="124">
        <f t="shared" si="54"/>
        <v>14200000</v>
      </c>
      <c r="CI63" s="125">
        <f t="shared" si="55"/>
        <v>0</v>
      </c>
      <c r="CJ63" s="126" t="str">
        <f t="shared" si="56"/>
        <v>数据正确</v>
      </c>
    </row>
    <row r="64" s="60" customFormat="1" customHeight="1" spans="1:88">
      <c r="A64" s="60" t="s">
        <v>36</v>
      </c>
      <c r="B64" s="70" t="str">
        <f t="shared" si="44"/>
        <v>-</v>
      </c>
      <c r="C64" s="71" t="str">
        <f t="shared" si="45"/>
        <v>-</v>
      </c>
      <c r="D64" s="72">
        <f t="shared" si="46"/>
        <v>36000</v>
      </c>
      <c r="E64" s="72">
        <v>0</v>
      </c>
      <c r="F64" s="72">
        <v>0</v>
      </c>
      <c r="G64" s="72">
        <v>0</v>
      </c>
      <c r="H64" s="72">
        <v>0</v>
      </c>
      <c r="I64" s="72">
        <f t="shared" si="47"/>
        <v>0</v>
      </c>
      <c r="J64" s="190" t="s">
        <v>98</v>
      </c>
      <c r="K64" s="87"/>
      <c r="L64" s="88">
        <v>173</v>
      </c>
      <c r="M64" s="89" t="s">
        <v>657</v>
      </c>
      <c r="N64" s="191" t="s">
        <v>29</v>
      </c>
      <c r="O64" s="90">
        <v>2017060071</v>
      </c>
      <c r="P64" s="91">
        <v>42944</v>
      </c>
      <c r="Q64" s="173">
        <v>180000</v>
      </c>
      <c r="R64" s="89" t="s">
        <v>658</v>
      </c>
      <c r="S64" s="89" t="s">
        <v>384</v>
      </c>
      <c r="T64" s="89" t="s">
        <v>490</v>
      </c>
      <c r="U64" s="103" t="s">
        <v>343</v>
      </c>
      <c r="V64" s="105" t="s">
        <v>659</v>
      </c>
      <c r="W64" s="102">
        <v>36000</v>
      </c>
      <c r="X64" s="102">
        <v>36000</v>
      </c>
      <c r="Y64" s="102">
        <v>36000</v>
      </c>
      <c r="Z64" s="107" t="s">
        <v>660</v>
      </c>
      <c r="AA64" s="102">
        <v>144000</v>
      </c>
      <c r="AB64" s="102"/>
      <c r="AC64" s="102"/>
      <c r="AD64" s="107"/>
      <c r="AE64" s="102"/>
      <c r="AF64" s="102"/>
      <c r="AG64" s="102"/>
      <c r="AH64" s="107"/>
      <c r="AI64" s="102"/>
      <c r="AJ64" s="102"/>
      <c r="AK64" s="102"/>
      <c r="AL64" s="107"/>
      <c r="AM64" s="102"/>
      <c r="AN64" s="102"/>
      <c r="AO64" s="102"/>
      <c r="AP64" s="107"/>
      <c r="AQ64" s="102"/>
      <c r="AR64" s="102"/>
      <c r="AS64" s="102"/>
      <c r="AT64" s="107"/>
      <c r="AU64" s="102"/>
      <c r="AV64" s="102"/>
      <c r="AW64" s="102"/>
      <c r="AX64" s="107"/>
      <c r="AY64" s="102"/>
      <c r="AZ64" s="102"/>
      <c r="BA64" s="102"/>
      <c r="BB64" s="102"/>
      <c r="BC64" s="102"/>
      <c r="BD64" s="102"/>
      <c r="BE64" s="102"/>
      <c r="BF64" s="102"/>
      <c r="BG64" s="102"/>
      <c r="BH64" s="102"/>
      <c r="BI64" s="102"/>
      <c r="BJ64" s="102"/>
      <c r="BK64" s="102"/>
      <c r="BL64" s="102"/>
      <c r="BM64" s="102"/>
      <c r="BN64" s="102"/>
      <c r="BO64" s="102"/>
      <c r="BP64" s="102"/>
      <c r="BQ64" s="102"/>
      <c r="BR64" s="102"/>
      <c r="BS64" s="102"/>
      <c r="BT64" s="102"/>
      <c r="BU64" s="102"/>
      <c r="BV64" s="102"/>
      <c r="BW64" s="102"/>
      <c r="BX64" s="102"/>
      <c r="BY64" s="102"/>
      <c r="BZ64" s="102"/>
      <c r="CA64" s="102"/>
      <c r="CB64" s="102"/>
      <c r="CC64" s="122"/>
      <c r="CD64" s="123">
        <f t="shared" si="50"/>
        <v>180000</v>
      </c>
      <c r="CE64" s="102">
        <f t="shared" si="51"/>
        <v>36000</v>
      </c>
      <c r="CF64" s="102">
        <f t="shared" si="52"/>
        <v>36000</v>
      </c>
      <c r="CG64" s="102">
        <f t="shared" si="53"/>
        <v>0</v>
      </c>
      <c r="CH64" s="124">
        <f t="shared" si="54"/>
        <v>144000</v>
      </c>
      <c r="CI64" s="125">
        <f t="shared" si="55"/>
        <v>0.2</v>
      </c>
      <c r="CJ64" s="126" t="str">
        <f t="shared" si="56"/>
        <v>数据正确</v>
      </c>
    </row>
    <row r="65" s="60" customFormat="1" customHeight="1" spans="1:88">
      <c r="A65" s="60" t="s">
        <v>36</v>
      </c>
      <c r="B65" s="70" t="str">
        <f t="shared" si="44"/>
        <v>-</v>
      </c>
      <c r="C65" s="71" t="str">
        <f t="shared" si="45"/>
        <v>-</v>
      </c>
      <c r="D65" s="72">
        <f t="shared" si="46"/>
        <v>0</v>
      </c>
      <c r="E65" s="72">
        <v>0</v>
      </c>
      <c r="F65" s="72">
        <v>0</v>
      </c>
      <c r="G65" s="72">
        <v>0</v>
      </c>
      <c r="H65" s="72">
        <v>0</v>
      </c>
      <c r="I65" s="72">
        <f t="shared" si="47"/>
        <v>0</v>
      </c>
      <c r="J65" s="190" t="s">
        <v>98</v>
      </c>
      <c r="K65" s="87"/>
      <c r="L65" s="141" t="s">
        <v>661</v>
      </c>
      <c r="M65" s="89" t="s">
        <v>662</v>
      </c>
      <c r="N65" s="191" t="s">
        <v>29</v>
      </c>
      <c r="O65" s="90">
        <v>2017050064</v>
      </c>
      <c r="P65" s="91">
        <v>42942</v>
      </c>
      <c r="Q65" s="173">
        <v>400000</v>
      </c>
      <c r="R65" s="89" t="s">
        <v>663</v>
      </c>
      <c r="S65" s="89" t="s">
        <v>664</v>
      </c>
      <c r="T65" s="89"/>
      <c r="U65" s="103" t="s">
        <v>636</v>
      </c>
      <c r="V65" s="105" t="s">
        <v>665</v>
      </c>
      <c r="W65" s="102">
        <v>240000</v>
      </c>
      <c r="X65" s="102"/>
      <c r="Y65" s="102"/>
      <c r="Z65" s="107" t="s">
        <v>593</v>
      </c>
      <c r="AA65" s="102">
        <v>120000</v>
      </c>
      <c r="AB65" s="102"/>
      <c r="AC65" s="102"/>
      <c r="AD65" s="107" t="s">
        <v>628</v>
      </c>
      <c r="AE65" s="102">
        <v>40000</v>
      </c>
      <c r="AF65" s="102"/>
      <c r="AG65" s="102"/>
      <c r="AH65" s="107"/>
      <c r="AI65" s="102"/>
      <c r="AJ65" s="102"/>
      <c r="AK65" s="102"/>
      <c r="AL65" s="107"/>
      <c r="AM65" s="102"/>
      <c r="AN65" s="102"/>
      <c r="AO65" s="102"/>
      <c r="AP65" s="107"/>
      <c r="AQ65" s="102"/>
      <c r="AR65" s="102"/>
      <c r="AS65" s="102"/>
      <c r="AT65" s="107"/>
      <c r="AU65" s="102"/>
      <c r="AV65" s="102"/>
      <c r="AW65" s="102"/>
      <c r="AX65" s="107"/>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c r="CB65" s="102"/>
      <c r="CC65" s="122"/>
      <c r="CD65" s="123">
        <f t="shared" si="50"/>
        <v>400000</v>
      </c>
      <c r="CE65" s="102">
        <f t="shared" si="51"/>
        <v>0</v>
      </c>
      <c r="CF65" s="102">
        <f t="shared" si="52"/>
        <v>0</v>
      </c>
      <c r="CG65" s="102">
        <f t="shared" si="53"/>
        <v>0</v>
      </c>
      <c r="CH65" s="124">
        <f t="shared" si="54"/>
        <v>400000</v>
      </c>
      <c r="CI65" s="125">
        <f t="shared" si="55"/>
        <v>0</v>
      </c>
      <c r="CJ65" s="126" t="str">
        <f t="shared" si="56"/>
        <v>数据正确</v>
      </c>
    </row>
    <row r="66" s="60" customFormat="1" customHeight="1" spans="1:88">
      <c r="A66" s="60" t="s">
        <v>36</v>
      </c>
      <c r="B66" s="70" t="str">
        <f t="shared" si="44"/>
        <v>-</v>
      </c>
      <c r="C66" s="71" t="str">
        <f t="shared" si="45"/>
        <v>-</v>
      </c>
      <c r="D66" s="72">
        <f t="shared" si="46"/>
        <v>0</v>
      </c>
      <c r="E66" s="72">
        <v>0</v>
      </c>
      <c r="F66" s="72">
        <v>0</v>
      </c>
      <c r="G66" s="72">
        <v>0</v>
      </c>
      <c r="H66" s="72">
        <v>0</v>
      </c>
      <c r="I66" s="72">
        <f t="shared" si="47"/>
        <v>0</v>
      </c>
      <c r="J66" s="190" t="s">
        <v>98</v>
      </c>
      <c r="K66" s="87"/>
      <c r="L66" s="141" t="s">
        <v>666</v>
      </c>
      <c r="M66" s="89" t="s">
        <v>667</v>
      </c>
      <c r="N66" s="191" t="s">
        <v>29</v>
      </c>
      <c r="O66" s="90"/>
      <c r="P66" s="91">
        <v>43004</v>
      </c>
      <c r="Q66" s="173">
        <v>200000</v>
      </c>
      <c r="R66" s="89" t="s">
        <v>668</v>
      </c>
      <c r="S66" s="89" t="s">
        <v>664</v>
      </c>
      <c r="T66" s="89"/>
      <c r="U66" s="103" t="s">
        <v>636</v>
      </c>
      <c r="V66" s="105" t="s">
        <v>665</v>
      </c>
      <c r="W66" s="102">
        <v>120000</v>
      </c>
      <c r="X66" s="102"/>
      <c r="Y66" s="102"/>
      <c r="Z66" s="107" t="s">
        <v>593</v>
      </c>
      <c r="AA66" s="102">
        <v>60000</v>
      </c>
      <c r="AB66" s="102"/>
      <c r="AC66" s="102"/>
      <c r="AD66" s="107" t="s">
        <v>628</v>
      </c>
      <c r="AE66" s="102">
        <v>20000</v>
      </c>
      <c r="AF66" s="102"/>
      <c r="AG66" s="102"/>
      <c r="AH66" s="107"/>
      <c r="AI66" s="102"/>
      <c r="AJ66" s="102"/>
      <c r="AK66" s="102"/>
      <c r="AL66" s="107"/>
      <c r="AM66" s="102"/>
      <c r="AN66" s="102"/>
      <c r="AO66" s="102"/>
      <c r="AP66" s="107"/>
      <c r="AQ66" s="102"/>
      <c r="AR66" s="102"/>
      <c r="AS66" s="102"/>
      <c r="AT66" s="107"/>
      <c r="AU66" s="102"/>
      <c r="AV66" s="102"/>
      <c r="AW66" s="102"/>
      <c r="AX66" s="107"/>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c r="CB66" s="102"/>
      <c r="CC66" s="122"/>
      <c r="CD66" s="123">
        <f t="shared" si="50"/>
        <v>200000</v>
      </c>
      <c r="CE66" s="102">
        <f t="shared" si="51"/>
        <v>0</v>
      </c>
      <c r="CF66" s="102">
        <f t="shared" si="52"/>
        <v>0</v>
      </c>
      <c r="CG66" s="102">
        <f t="shared" si="53"/>
        <v>0</v>
      </c>
      <c r="CH66" s="124">
        <f t="shared" si="54"/>
        <v>200000</v>
      </c>
      <c r="CI66" s="125">
        <f t="shared" si="55"/>
        <v>0</v>
      </c>
      <c r="CJ66" s="126" t="str">
        <f t="shared" si="56"/>
        <v>数据正确</v>
      </c>
    </row>
    <row r="67" s="130" customFormat="1" customHeight="1" spans="1:88">
      <c r="A67" s="130" t="s">
        <v>36</v>
      </c>
      <c r="B67" s="132" t="str">
        <f t="shared" si="44"/>
        <v>-</v>
      </c>
      <c r="C67" s="133" t="str">
        <f t="shared" si="45"/>
        <v>-</v>
      </c>
      <c r="D67" s="134">
        <f t="shared" si="46"/>
        <v>0</v>
      </c>
      <c r="E67" s="134">
        <f>SUM(E65:E66)</f>
        <v>0</v>
      </c>
      <c r="F67" s="134">
        <f>SUM(F65:F66)</f>
        <v>0</v>
      </c>
      <c r="G67" s="134">
        <f>SUM(G65:G66)</f>
        <v>0</v>
      </c>
      <c r="H67" s="134">
        <f>SUM(H65:H66)</f>
        <v>0</v>
      </c>
      <c r="I67" s="134">
        <f t="shared" si="47"/>
        <v>0</v>
      </c>
      <c r="J67" s="198" t="s">
        <v>98</v>
      </c>
      <c r="K67" s="172"/>
      <c r="L67" s="143">
        <v>174</v>
      </c>
      <c r="M67" s="144" t="s">
        <v>662</v>
      </c>
      <c r="N67" s="199" t="s">
        <v>29</v>
      </c>
      <c r="O67" s="145">
        <v>2017050064</v>
      </c>
      <c r="P67" s="146">
        <v>42942</v>
      </c>
      <c r="Q67" s="211">
        <f>SUM(Q65:Q66)</f>
        <v>600000</v>
      </c>
      <c r="R67" s="144" t="s">
        <v>669</v>
      </c>
      <c r="S67" s="144" t="s">
        <v>664</v>
      </c>
      <c r="T67" s="144"/>
      <c r="U67" s="156" t="s">
        <v>636</v>
      </c>
      <c r="V67" s="157" t="s">
        <v>665</v>
      </c>
      <c r="W67" s="158">
        <f>SUM(W65:W66)</f>
        <v>360000</v>
      </c>
      <c r="X67" s="158">
        <f t="shared" ref="X67:BC67" si="57">SUM(X65:X66)</f>
        <v>0</v>
      </c>
      <c r="Y67" s="158">
        <f t="shared" si="57"/>
        <v>0</v>
      </c>
      <c r="Z67" s="158">
        <f t="shared" si="57"/>
        <v>0</v>
      </c>
      <c r="AA67" s="158">
        <f t="shared" si="57"/>
        <v>180000</v>
      </c>
      <c r="AB67" s="158">
        <f t="shared" si="57"/>
        <v>0</v>
      </c>
      <c r="AC67" s="158">
        <f t="shared" si="57"/>
        <v>0</v>
      </c>
      <c r="AD67" s="158">
        <f t="shared" si="57"/>
        <v>0</v>
      </c>
      <c r="AE67" s="158">
        <f t="shared" si="57"/>
        <v>60000</v>
      </c>
      <c r="AF67" s="158">
        <f t="shared" si="57"/>
        <v>0</v>
      </c>
      <c r="AG67" s="158">
        <f t="shared" si="57"/>
        <v>0</v>
      </c>
      <c r="AH67" s="158">
        <f t="shared" si="57"/>
        <v>0</v>
      </c>
      <c r="AI67" s="158">
        <f t="shared" si="57"/>
        <v>0</v>
      </c>
      <c r="AJ67" s="158">
        <f t="shared" si="57"/>
        <v>0</v>
      </c>
      <c r="AK67" s="158">
        <f t="shared" si="57"/>
        <v>0</v>
      </c>
      <c r="AL67" s="158">
        <f t="shared" si="57"/>
        <v>0</v>
      </c>
      <c r="AM67" s="158">
        <f t="shared" si="57"/>
        <v>0</v>
      </c>
      <c r="AN67" s="158">
        <f t="shared" si="57"/>
        <v>0</v>
      </c>
      <c r="AO67" s="158">
        <f t="shared" si="57"/>
        <v>0</v>
      </c>
      <c r="AP67" s="158">
        <f t="shared" si="57"/>
        <v>0</v>
      </c>
      <c r="AQ67" s="158">
        <f t="shared" si="57"/>
        <v>0</v>
      </c>
      <c r="AR67" s="158">
        <f t="shared" si="57"/>
        <v>0</v>
      </c>
      <c r="AS67" s="158">
        <f t="shared" si="57"/>
        <v>0</v>
      </c>
      <c r="AT67" s="158">
        <f t="shared" si="57"/>
        <v>0</v>
      </c>
      <c r="AU67" s="158">
        <f t="shared" si="57"/>
        <v>0</v>
      </c>
      <c r="AV67" s="158">
        <f t="shared" si="57"/>
        <v>0</v>
      </c>
      <c r="AW67" s="158">
        <f t="shared" si="57"/>
        <v>0</v>
      </c>
      <c r="AX67" s="158">
        <f t="shared" si="57"/>
        <v>0</v>
      </c>
      <c r="AY67" s="158">
        <f t="shared" si="57"/>
        <v>0</v>
      </c>
      <c r="AZ67" s="158">
        <f t="shared" si="57"/>
        <v>0</v>
      </c>
      <c r="BA67" s="158">
        <f t="shared" si="57"/>
        <v>0</v>
      </c>
      <c r="BB67" s="158">
        <f t="shared" si="57"/>
        <v>0</v>
      </c>
      <c r="BC67" s="158">
        <f t="shared" si="57"/>
        <v>0</v>
      </c>
      <c r="BD67" s="158">
        <f t="shared" ref="BD67:CC67" si="58">SUM(BD65:BD66)</f>
        <v>0</v>
      </c>
      <c r="BE67" s="158">
        <f t="shared" si="58"/>
        <v>0</v>
      </c>
      <c r="BF67" s="158">
        <f t="shared" si="58"/>
        <v>0</v>
      </c>
      <c r="BG67" s="158">
        <f t="shared" si="58"/>
        <v>0</v>
      </c>
      <c r="BH67" s="158">
        <f t="shared" si="58"/>
        <v>0</v>
      </c>
      <c r="BI67" s="158">
        <f t="shared" si="58"/>
        <v>0</v>
      </c>
      <c r="BJ67" s="158">
        <f t="shared" si="58"/>
        <v>0</v>
      </c>
      <c r="BK67" s="158">
        <f t="shared" si="58"/>
        <v>0</v>
      </c>
      <c r="BL67" s="158">
        <f t="shared" si="58"/>
        <v>0</v>
      </c>
      <c r="BM67" s="158">
        <f t="shared" si="58"/>
        <v>0</v>
      </c>
      <c r="BN67" s="158">
        <f t="shared" si="58"/>
        <v>0</v>
      </c>
      <c r="BO67" s="158">
        <f t="shared" si="58"/>
        <v>0</v>
      </c>
      <c r="BP67" s="158">
        <f t="shared" si="58"/>
        <v>0</v>
      </c>
      <c r="BQ67" s="158">
        <f t="shared" si="58"/>
        <v>0</v>
      </c>
      <c r="BR67" s="158">
        <f t="shared" si="58"/>
        <v>0</v>
      </c>
      <c r="BS67" s="158">
        <f t="shared" si="58"/>
        <v>0</v>
      </c>
      <c r="BT67" s="158">
        <f t="shared" si="58"/>
        <v>0</v>
      </c>
      <c r="BU67" s="158">
        <f t="shared" si="58"/>
        <v>0</v>
      </c>
      <c r="BV67" s="158">
        <f t="shared" si="58"/>
        <v>0</v>
      </c>
      <c r="BW67" s="158">
        <f t="shared" si="58"/>
        <v>0</v>
      </c>
      <c r="BX67" s="158">
        <f t="shared" si="58"/>
        <v>0</v>
      </c>
      <c r="BY67" s="158">
        <f t="shared" si="58"/>
        <v>0</v>
      </c>
      <c r="BZ67" s="158">
        <f t="shared" si="58"/>
        <v>0</v>
      </c>
      <c r="CA67" s="158">
        <f t="shared" si="58"/>
        <v>0</v>
      </c>
      <c r="CB67" s="158">
        <f t="shared" si="58"/>
        <v>0</v>
      </c>
      <c r="CC67" s="158">
        <f t="shared" si="58"/>
        <v>0</v>
      </c>
      <c r="CD67" s="165">
        <f t="shared" si="50"/>
        <v>600000</v>
      </c>
      <c r="CE67" s="158">
        <f t="shared" si="51"/>
        <v>0</v>
      </c>
      <c r="CF67" s="158">
        <f t="shared" si="52"/>
        <v>0</v>
      </c>
      <c r="CG67" s="158">
        <f t="shared" si="53"/>
        <v>0</v>
      </c>
      <c r="CH67" s="163">
        <f t="shared" si="54"/>
        <v>600000</v>
      </c>
      <c r="CI67" s="166">
        <f t="shared" si="55"/>
        <v>0</v>
      </c>
      <c r="CJ67" s="167" t="str">
        <f t="shared" si="56"/>
        <v>数据正确</v>
      </c>
    </row>
    <row r="68" s="60" customFormat="1" customHeight="1" spans="1:88">
      <c r="A68" s="60" t="s">
        <v>36</v>
      </c>
      <c r="B68" s="70" t="str">
        <f t="shared" si="44"/>
        <v>-</v>
      </c>
      <c r="C68" s="71" t="str">
        <f t="shared" si="45"/>
        <v>-</v>
      </c>
      <c r="D68" s="72">
        <f t="shared" si="46"/>
        <v>130969.75</v>
      </c>
      <c r="E68" s="72">
        <v>0</v>
      </c>
      <c r="F68" s="72">
        <v>0</v>
      </c>
      <c r="G68" s="72">
        <v>0</v>
      </c>
      <c r="H68" s="72">
        <v>0</v>
      </c>
      <c r="I68" s="72">
        <f t="shared" si="47"/>
        <v>0</v>
      </c>
      <c r="J68" s="190" t="s">
        <v>98</v>
      </c>
      <c r="K68" s="87"/>
      <c r="L68" s="88">
        <v>175</v>
      </c>
      <c r="M68" s="89" t="s">
        <v>670</v>
      </c>
      <c r="N68" s="191" t="s">
        <v>29</v>
      </c>
      <c r="O68" s="90">
        <v>2017060027</v>
      </c>
      <c r="P68" s="91">
        <v>42906</v>
      </c>
      <c r="Q68" s="173">
        <v>1329837.7</v>
      </c>
      <c r="R68" s="89" t="s">
        <v>671</v>
      </c>
      <c r="S68" s="89" t="s">
        <v>672</v>
      </c>
      <c r="T68" s="89" t="s">
        <v>490</v>
      </c>
      <c r="U68" s="103" t="s">
        <v>673</v>
      </c>
      <c r="V68" s="105" t="s">
        <v>674</v>
      </c>
      <c r="W68" s="102">
        <v>132983.77</v>
      </c>
      <c r="X68" s="102">
        <v>130969.75</v>
      </c>
      <c r="Y68" s="102">
        <v>130969.75</v>
      </c>
      <c r="Z68" s="107" t="s">
        <v>675</v>
      </c>
      <c r="AA68" s="102">
        <v>1196853.93</v>
      </c>
      <c r="AB68" s="102"/>
      <c r="AC68" s="102"/>
      <c r="AD68" s="107"/>
      <c r="AE68" s="102"/>
      <c r="AF68" s="102"/>
      <c r="AG68" s="102"/>
      <c r="AH68" s="107"/>
      <c r="AI68" s="102"/>
      <c r="AJ68" s="102"/>
      <c r="AK68" s="102"/>
      <c r="AL68" s="107"/>
      <c r="AM68" s="102"/>
      <c r="AN68" s="102"/>
      <c r="AO68" s="102"/>
      <c r="AP68" s="107"/>
      <c r="AQ68" s="102"/>
      <c r="AR68" s="102"/>
      <c r="AS68" s="102"/>
      <c r="AT68" s="107"/>
      <c r="AU68" s="102"/>
      <c r="AV68" s="102"/>
      <c r="AW68" s="102"/>
      <c r="AX68" s="107"/>
      <c r="AY68" s="102"/>
      <c r="AZ68" s="102"/>
      <c r="BA68" s="102"/>
      <c r="BB68" s="102"/>
      <c r="BC68" s="102"/>
      <c r="BD68" s="102"/>
      <c r="BE68" s="102"/>
      <c r="BF68" s="102"/>
      <c r="BG68" s="102"/>
      <c r="BH68" s="102"/>
      <c r="BI68" s="102"/>
      <c r="BJ68" s="102"/>
      <c r="BK68" s="102"/>
      <c r="BL68" s="102"/>
      <c r="BM68" s="102"/>
      <c r="BN68" s="102"/>
      <c r="BO68" s="102"/>
      <c r="BP68" s="102"/>
      <c r="BQ68" s="102"/>
      <c r="BR68" s="102"/>
      <c r="BS68" s="102"/>
      <c r="BT68" s="102"/>
      <c r="BU68" s="102"/>
      <c r="BV68" s="102"/>
      <c r="BW68" s="102"/>
      <c r="BX68" s="102"/>
      <c r="BY68" s="102"/>
      <c r="BZ68" s="102"/>
      <c r="CA68" s="102"/>
      <c r="CB68" s="102"/>
      <c r="CC68" s="122"/>
      <c r="CD68" s="123">
        <f t="shared" si="50"/>
        <v>1329837.7</v>
      </c>
      <c r="CE68" s="102">
        <f t="shared" si="51"/>
        <v>130969.75</v>
      </c>
      <c r="CF68" s="102">
        <f t="shared" si="52"/>
        <v>130969.75</v>
      </c>
      <c r="CG68" s="102">
        <f t="shared" si="53"/>
        <v>0</v>
      </c>
      <c r="CH68" s="124">
        <f t="shared" si="54"/>
        <v>1198867.95</v>
      </c>
      <c r="CI68" s="125">
        <f t="shared" si="55"/>
        <v>0.098485514435333</v>
      </c>
      <c r="CJ68" s="126" t="str">
        <f t="shared" si="56"/>
        <v>数据正确</v>
      </c>
    </row>
    <row r="69" s="60" customFormat="1" customHeight="1" spans="1:88">
      <c r="A69" s="60" t="s">
        <v>36</v>
      </c>
      <c r="B69" s="70" t="str">
        <f t="shared" si="44"/>
        <v>-</v>
      </c>
      <c r="C69" s="71" t="str">
        <f t="shared" si="45"/>
        <v>-</v>
      </c>
      <c r="D69" s="72">
        <f t="shared" si="46"/>
        <v>350000</v>
      </c>
      <c r="E69" s="72">
        <v>0</v>
      </c>
      <c r="F69" s="72">
        <v>0</v>
      </c>
      <c r="G69" s="72">
        <v>0</v>
      </c>
      <c r="H69" s="72">
        <v>0</v>
      </c>
      <c r="I69" s="72">
        <f t="shared" si="47"/>
        <v>0</v>
      </c>
      <c r="J69" s="190" t="s">
        <v>98</v>
      </c>
      <c r="K69" s="87"/>
      <c r="L69" s="88">
        <v>176</v>
      </c>
      <c r="M69" s="89" t="s">
        <v>676</v>
      </c>
      <c r="N69" s="191" t="s">
        <v>29</v>
      </c>
      <c r="O69" s="90">
        <v>2017060086</v>
      </c>
      <c r="P69" s="91">
        <v>42943</v>
      </c>
      <c r="Q69" s="173">
        <v>1750000</v>
      </c>
      <c r="R69" s="89" t="s">
        <v>677</v>
      </c>
      <c r="S69" s="89" t="s">
        <v>678</v>
      </c>
      <c r="T69" s="89"/>
      <c r="U69" s="103" t="s">
        <v>650</v>
      </c>
      <c r="V69" s="105" t="s">
        <v>651</v>
      </c>
      <c r="W69" s="102">
        <v>350000</v>
      </c>
      <c r="X69" s="102">
        <v>350000</v>
      </c>
      <c r="Y69" s="102">
        <v>350000</v>
      </c>
      <c r="Z69" s="107" t="s">
        <v>519</v>
      </c>
      <c r="AA69" s="102">
        <v>700000</v>
      </c>
      <c r="AB69" s="102"/>
      <c r="AC69" s="102"/>
      <c r="AD69" s="107" t="s">
        <v>572</v>
      </c>
      <c r="AE69" s="102">
        <v>525000</v>
      </c>
      <c r="AF69" s="102"/>
      <c r="AG69" s="102"/>
      <c r="AH69" s="107" t="s">
        <v>456</v>
      </c>
      <c r="AI69" s="102">
        <v>175000</v>
      </c>
      <c r="AJ69" s="102"/>
      <c r="AK69" s="102"/>
      <c r="AL69" s="107"/>
      <c r="AM69" s="102"/>
      <c r="AN69" s="102"/>
      <c r="AO69" s="102"/>
      <c r="AP69" s="107"/>
      <c r="AQ69" s="102"/>
      <c r="AR69" s="102"/>
      <c r="AS69" s="102"/>
      <c r="AT69" s="107"/>
      <c r="AU69" s="102"/>
      <c r="AV69" s="102"/>
      <c r="AW69" s="102"/>
      <c r="AX69" s="107"/>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c r="CB69" s="102"/>
      <c r="CC69" s="122"/>
      <c r="CD69" s="123">
        <f t="shared" si="50"/>
        <v>1750000</v>
      </c>
      <c r="CE69" s="102">
        <f t="shared" si="51"/>
        <v>350000</v>
      </c>
      <c r="CF69" s="102">
        <f t="shared" si="52"/>
        <v>350000</v>
      </c>
      <c r="CG69" s="102">
        <f t="shared" si="53"/>
        <v>0</v>
      </c>
      <c r="CH69" s="124">
        <f t="shared" si="54"/>
        <v>1400000</v>
      </c>
      <c r="CI69" s="125">
        <f t="shared" si="55"/>
        <v>0.2</v>
      </c>
      <c r="CJ69" s="126" t="str">
        <f t="shared" si="56"/>
        <v>数据正确</v>
      </c>
    </row>
    <row r="70" s="60" customFormat="1" customHeight="1" spans="1:88">
      <c r="A70" s="60" t="s">
        <v>36</v>
      </c>
      <c r="B70" s="70" t="str">
        <f t="shared" si="44"/>
        <v>-</v>
      </c>
      <c r="C70" s="71" t="str">
        <f t="shared" si="45"/>
        <v>-</v>
      </c>
      <c r="D70" s="72">
        <f t="shared" si="46"/>
        <v>506000</v>
      </c>
      <c r="E70" s="72">
        <v>0</v>
      </c>
      <c r="F70" s="72">
        <v>0</v>
      </c>
      <c r="G70" s="72">
        <v>0</v>
      </c>
      <c r="H70" s="72">
        <v>0</v>
      </c>
      <c r="I70" s="72">
        <f t="shared" si="47"/>
        <v>0</v>
      </c>
      <c r="J70" s="190" t="s">
        <v>98</v>
      </c>
      <c r="K70" s="87"/>
      <c r="L70" s="88">
        <v>188</v>
      </c>
      <c r="M70" s="89" t="s">
        <v>679</v>
      </c>
      <c r="N70" s="191" t="s">
        <v>29</v>
      </c>
      <c r="O70" s="90">
        <v>2017050050</v>
      </c>
      <c r="P70" s="91">
        <v>42909</v>
      </c>
      <c r="Q70" s="173">
        <v>2530000</v>
      </c>
      <c r="R70" s="89" t="s">
        <v>680</v>
      </c>
      <c r="S70" s="89" t="s">
        <v>681</v>
      </c>
      <c r="T70" s="89"/>
      <c r="U70" s="103" t="s">
        <v>682</v>
      </c>
      <c r="V70" s="105" t="s">
        <v>683</v>
      </c>
      <c r="W70" s="102">
        <v>506000</v>
      </c>
      <c r="X70" s="102">
        <v>506000</v>
      </c>
      <c r="Y70" s="102">
        <v>506000</v>
      </c>
      <c r="Z70" s="107" t="s">
        <v>684</v>
      </c>
      <c r="AA70" s="102">
        <v>1897500</v>
      </c>
      <c r="AB70" s="102"/>
      <c r="AC70" s="102"/>
      <c r="AD70" s="107" t="s">
        <v>685</v>
      </c>
      <c r="AE70" s="102">
        <v>75900</v>
      </c>
      <c r="AF70" s="102"/>
      <c r="AG70" s="102"/>
      <c r="AH70" s="107" t="s">
        <v>686</v>
      </c>
      <c r="AI70" s="102">
        <v>50600</v>
      </c>
      <c r="AJ70" s="102"/>
      <c r="AK70" s="102"/>
      <c r="AL70" s="107"/>
      <c r="AM70" s="102"/>
      <c r="AN70" s="102"/>
      <c r="AO70" s="102"/>
      <c r="AP70" s="107"/>
      <c r="AQ70" s="102"/>
      <c r="AR70" s="102"/>
      <c r="AS70" s="102"/>
      <c r="AT70" s="107"/>
      <c r="AU70" s="102"/>
      <c r="AV70" s="102"/>
      <c r="AW70" s="102"/>
      <c r="AX70" s="107"/>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c r="CB70" s="102"/>
      <c r="CC70" s="122"/>
      <c r="CD70" s="123">
        <f t="shared" si="50"/>
        <v>2530000</v>
      </c>
      <c r="CE70" s="102">
        <f t="shared" si="51"/>
        <v>506000</v>
      </c>
      <c r="CF70" s="102">
        <f t="shared" si="52"/>
        <v>506000</v>
      </c>
      <c r="CG70" s="102">
        <f t="shared" si="53"/>
        <v>0</v>
      </c>
      <c r="CH70" s="124">
        <f t="shared" si="54"/>
        <v>2024000</v>
      </c>
      <c r="CI70" s="125">
        <f t="shared" si="55"/>
        <v>0.2</v>
      </c>
      <c r="CJ70" s="126" t="str">
        <f t="shared" si="56"/>
        <v>数据正确</v>
      </c>
    </row>
    <row r="71" s="60" customFormat="1" customHeight="1" spans="1:88">
      <c r="A71" s="60" t="s">
        <v>36</v>
      </c>
      <c r="B71" s="70" t="str">
        <f t="shared" si="44"/>
        <v>-</v>
      </c>
      <c r="C71" s="71" t="str">
        <f t="shared" si="45"/>
        <v>-</v>
      </c>
      <c r="D71" s="72">
        <f t="shared" si="46"/>
        <v>0</v>
      </c>
      <c r="E71" s="72">
        <v>0</v>
      </c>
      <c r="F71" s="72">
        <v>0</v>
      </c>
      <c r="G71" s="72">
        <v>0</v>
      </c>
      <c r="H71" s="72">
        <v>0</v>
      </c>
      <c r="I71" s="72">
        <f t="shared" si="47"/>
        <v>0</v>
      </c>
      <c r="J71" s="190" t="s">
        <v>98</v>
      </c>
      <c r="K71" s="87"/>
      <c r="L71" s="88">
        <v>189</v>
      </c>
      <c r="M71" s="89" t="s">
        <v>687</v>
      </c>
      <c r="N71" s="191" t="s">
        <v>29</v>
      </c>
      <c r="O71" s="90">
        <v>2017060088</v>
      </c>
      <c r="P71" s="91">
        <v>42954</v>
      </c>
      <c r="Q71" s="173">
        <v>1314000</v>
      </c>
      <c r="R71" s="89" t="s">
        <v>688</v>
      </c>
      <c r="S71" s="89" t="s">
        <v>689</v>
      </c>
      <c r="T71" s="89"/>
      <c r="U71" s="103" t="s">
        <v>690</v>
      </c>
      <c r="V71" s="105" t="s">
        <v>691</v>
      </c>
      <c r="W71" s="102">
        <v>788400</v>
      </c>
      <c r="X71" s="102"/>
      <c r="Y71" s="102"/>
      <c r="Z71" s="107" t="s">
        <v>692</v>
      </c>
      <c r="AA71" s="102">
        <v>394200</v>
      </c>
      <c r="AB71" s="102"/>
      <c r="AC71" s="102"/>
      <c r="AD71" s="107" t="s">
        <v>693</v>
      </c>
      <c r="AE71" s="102">
        <v>131400</v>
      </c>
      <c r="AF71" s="102"/>
      <c r="AG71" s="102"/>
      <c r="AH71" s="107"/>
      <c r="AI71" s="102"/>
      <c r="AJ71" s="102"/>
      <c r="AK71" s="102"/>
      <c r="AL71" s="107"/>
      <c r="AM71" s="102"/>
      <c r="AN71" s="102"/>
      <c r="AO71" s="102"/>
      <c r="AP71" s="107"/>
      <c r="AQ71" s="102"/>
      <c r="AR71" s="102"/>
      <c r="AS71" s="102"/>
      <c r="AT71" s="107"/>
      <c r="AU71" s="102"/>
      <c r="AV71" s="102"/>
      <c r="AW71" s="102"/>
      <c r="AX71" s="107"/>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c r="CB71" s="102"/>
      <c r="CC71" s="122"/>
      <c r="CD71" s="123">
        <f t="shared" si="50"/>
        <v>1314000</v>
      </c>
      <c r="CE71" s="102">
        <f t="shared" si="51"/>
        <v>0</v>
      </c>
      <c r="CF71" s="102">
        <f t="shared" si="52"/>
        <v>0</v>
      </c>
      <c r="CG71" s="102">
        <f t="shared" si="53"/>
        <v>0</v>
      </c>
      <c r="CH71" s="124">
        <f t="shared" si="54"/>
        <v>1314000</v>
      </c>
      <c r="CI71" s="125">
        <f t="shared" si="55"/>
        <v>0</v>
      </c>
      <c r="CJ71" s="126" t="str">
        <f t="shared" si="56"/>
        <v>数据正确</v>
      </c>
    </row>
    <row r="72" s="60" customFormat="1" customHeight="1" spans="1:88">
      <c r="A72" s="60" t="s">
        <v>36</v>
      </c>
      <c r="B72" s="70" t="str">
        <f t="shared" si="44"/>
        <v>-</v>
      </c>
      <c r="C72" s="71" t="str">
        <f t="shared" si="45"/>
        <v>-</v>
      </c>
      <c r="D72" s="72">
        <f t="shared" si="46"/>
        <v>275800</v>
      </c>
      <c r="E72" s="72">
        <v>0</v>
      </c>
      <c r="F72" s="72">
        <v>0</v>
      </c>
      <c r="G72" s="72">
        <v>0</v>
      </c>
      <c r="H72" s="72">
        <v>0</v>
      </c>
      <c r="I72" s="72">
        <f t="shared" si="47"/>
        <v>0</v>
      </c>
      <c r="J72" s="190" t="s">
        <v>98</v>
      </c>
      <c r="K72" s="87"/>
      <c r="L72" s="88">
        <v>190</v>
      </c>
      <c r="M72" s="89" t="s">
        <v>694</v>
      </c>
      <c r="N72" s="191" t="s">
        <v>29</v>
      </c>
      <c r="O72" s="90">
        <v>2017060040</v>
      </c>
      <c r="P72" s="91">
        <v>42956</v>
      </c>
      <c r="Q72" s="173">
        <v>1379000</v>
      </c>
      <c r="R72" s="89" t="s">
        <v>695</v>
      </c>
      <c r="S72" s="89" t="s">
        <v>430</v>
      </c>
      <c r="T72" s="89" t="s">
        <v>490</v>
      </c>
      <c r="U72" s="103" t="s">
        <v>616</v>
      </c>
      <c r="V72" s="105" t="s">
        <v>696</v>
      </c>
      <c r="W72" s="102">
        <v>275800</v>
      </c>
      <c r="X72" s="102">
        <v>275800</v>
      </c>
      <c r="Y72" s="102">
        <v>275800</v>
      </c>
      <c r="Z72" s="107" t="s">
        <v>697</v>
      </c>
      <c r="AA72" s="102">
        <v>551600</v>
      </c>
      <c r="AB72" s="102"/>
      <c r="AC72" s="102"/>
      <c r="AD72" s="107" t="s">
        <v>698</v>
      </c>
      <c r="AE72" s="102">
        <v>413700</v>
      </c>
      <c r="AF72" s="102"/>
      <c r="AG72" s="102"/>
      <c r="AH72" s="107" t="s">
        <v>693</v>
      </c>
      <c r="AI72" s="102">
        <v>137900</v>
      </c>
      <c r="AJ72" s="102"/>
      <c r="AK72" s="102"/>
      <c r="AL72" s="107"/>
      <c r="AM72" s="102"/>
      <c r="AN72" s="102"/>
      <c r="AO72" s="102"/>
      <c r="AP72" s="107"/>
      <c r="AQ72" s="102"/>
      <c r="AR72" s="102"/>
      <c r="AS72" s="102"/>
      <c r="AT72" s="107"/>
      <c r="AU72" s="102"/>
      <c r="AV72" s="102"/>
      <c r="AW72" s="102"/>
      <c r="AX72" s="107"/>
      <c r="AY72" s="102"/>
      <c r="AZ72" s="102"/>
      <c r="BA72" s="102"/>
      <c r="BB72" s="102"/>
      <c r="BC72" s="102"/>
      <c r="BD72" s="102"/>
      <c r="BE72" s="102"/>
      <c r="BF72" s="102"/>
      <c r="BG72" s="102"/>
      <c r="BH72" s="102"/>
      <c r="BI72" s="102"/>
      <c r="BJ72" s="102"/>
      <c r="BK72" s="102"/>
      <c r="BL72" s="102"/>
      <c r="BM72" s="102"/>
      <c r="BN72" s="102"/>
      <c r="BO72" s="102"/>
      <c r="BP72" s="102"/>
      <c r="BQ72" s="102"/>
      <c r="BR72" s="102"/>
      <c r="BS72" s="102"/>
      <c r="BT72" s="102"/>
      <c r="BU72" s="102"/>
      <c r="BV72" s="102"/>
      <c r="BW72" s="102"/>
      <c r="BX72" s="102"/>
      <c r="BY72" s="102"/>
      <c r="BZ72" s="102"/>
      <c r="CA72" s="102"/>
      <c r="CB72" s="102"/>
      <c r="CC72" s="122"/>
      <c r="CD72" s="123">
        <f t="shared" si="50"/>
        <v>1379000</v>
      </c>
      <c r="CE72" s="102">
        <f t="shared" si="51"/>
        <v>275800</v>
      </c>
      <c r="CF72" s="102">
        <f t="shared" si="52"/>
        <v>275800</v>
      </c>
      <c r="CG72" s="102">
        <f t="shared" si="53"/>
        <v>0</v>
      </c>
      <c r="CH72" s="124">
        <f t="shared" si="54"/>
        <v>1103200</v>
      </c>
      <c r="CI72" s="125">
        <f t="shared" si="55"/>
        <v>0.2</v>
      </c>
      <c r="CJ72" s="126" t="str">
        <f t="shared" si="56"/>
        <v>数据正确</v>
      </c>
    </row>
    <row r="73" s="60" customFormat="1" customHeight="1" spans="1:88">
      <c r="A73" s="60" t="s">
        <v>36</v>
      </c>
      <c r="B73" s="70" t="str">
        <f t="shared" si="44"/>
        <v>-</v>
      </c>
      <c r="C73" s="71" t="str">
        <f t="shared" si="45"/>
        <v>-</v>
      </c>
      <c r="D73" s="72">
        <f t="shared" si="46"/>
        <v>436500</v>
      </c>
      <c r="E73" s="72">
        <v>0</v>
      </c>
      <c r="F73" s="72">
        <v>0</v>
      </c>
      <c r="G73" s="72">
        <v>0</v>
      </c>
      <c r="H73" s="72">
        <v>0</v>
      </c>
      <c r="I73" s="72">
        <f t="shared" si="47"/>
        <v>0</v>
      </c>
      <c r="J73" s="190" t="s">
        <v>98</v>
      </c>
      <c r="K73" s="87"/>
      <c r="L73" s="88">
        <v>191</v>
      </c>
      <c r="M73" s="89" t="s">
        <v>699</v>
      </c>
      <c r="N73" s="191" t="s">
        <v>29</v>
      </c>
      <c r="O73" s="90"/>
      <c r="P73" s="91">
        <v>42961</v>
      </c>
      <c r="Q73" s="173">
        <v>4365000</v>
      </c>
      <c r="R73" s="89" t="s">
        <v>700</v>
      </c>
      <c r="S73" s="89" t="s">
        <v>701</v>
      </c>
      <c r="T73" s="89"/>
      <c r="U73" s="103" t="s">
        <v>343</v>
      </c>
      <c r="V73" s="105" t="s">
        <v>702</v>
      </c>
      <c r="W73" s="102">
        <v>436500</v>
      </c>
      <c r="X73" s="102">
        <v>436500</v>
      </c>
      <c r="Y73" s="102">
        <v>436500</v>
      </c>
      <c r="Z73" s="107" t="s">
        <v>703</v>
      </c>
      <c r="AA73" s="102">
        <v>2182500</v>
      </c>
      <c r="AB73" s="102"/>
      <c r="AC73" s="102"/>
      <c r="AD73" s="107" t="s">
        <v>698</v>
      </c>
      <c r="AE73" s="102">
        <v>1309500</v>
      </c>
      <c r="AF73" s="102"/>
      <c r="AG73" s="102"/>
      <c r="AH73" s="107" t="s">
        <v>693</v>
      </c>
      <c r="AI73" s="102">
        <v>436500</v>
      </c>
      <c r="AJ73" s="102"/>
      <c r="AK73" s="102"/>
      <c r="AL73" s="107"/>
      <c r="AM73" s="102"/>
      <c r="AN73" s="102"/>
      <c r="AO73" s="102"/>
      <c r="AP73" s="107"/>
      <c r="AQ73" s="102"/>
      <c r="AR73" s="102"/>
      <c r="AS73" s="102"/>
      <c r="AT73" s="107"/>
      <c r="AU73" s="102"/>
      <c r="AV73" s="102"/>
      <c r="AW73" s="102"/>
      <c r="AX73" s="107"/>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22"/>
      <c r="CD73" s="123">
        <f t="shared" si="50"/>
        <v>4365000</v>
      </c>
      <c r="CE73" s="102">
        <f t="shared" si="51"/>
        <v>436500</v>
      </c>
      <c r="CF73" s="102">
        <f t="shared" si="52"/>
        <v>436500</v>
      </c>
      <c r="CG73" s="102">
        <f t="shared" si="53"/>
        <v>0</v>
      </c>
      <c r="CH73" s="124">
        <f t="shared" si="54"/>
        <v>3928500</v>
      </c>
      <c r="CI73" s="125">
        <f t="shared" si="55"/>
        <v>0.1</v>
      </c>
      <c r="CJ73" s="126" t="str">
        <f t="shared" si="56"/>
        <v>数据正确</v>
      </c>
    </row>
    <row r="74" s="60" customFormat="1" customHeight="1" spans="1:88">
      <c r="A74" s="60" t="s">
        <v>36</v>
      </c>
      <c r="B74" s="70" t="str">
        <f t="shared" si="44"/>
        <v>-</v>
      </c>
      <c r="C74" s="71" t="str">
        <f t="shared" si="45"/>
        <v>-</v>
      </c>
      <c r="D74" s="72">
        <f t="shared" si="46"/>
        <v>0</v>
      </c>
      <c r="E74" s="72">
        <v>0</v>
      </c>
      <c r="F74" s="72">
        <v>0</v>
      </c>
      <c r="G74" s="72">
        <v>0</v>
      </c>
      <c r="H74" s="72">
        <v>0</v>
      </c>
      <c r="I74" s="72">
        <f t="shared" si="47"/>
        <v>0</v>
      </c>
      <c r="J74" s="190" t="s">
        <v>98</v>
      </c>
      <c r="K74" s="87"/>
      <c r="L74" s="88">
        <v>192</v>
      </c>
      <c r="M74" s="89" t="s">
        <v>704</v>
      </c>
      <c r="N74" s="191" t="s">
        <v>29</v>
      </c>
      <c r="O74" s="90">
        <v>2017050068</v>
      </c>
      <c r="P74" s="91">
        <v>42963</v>
      </c>
      <c r="Q74" s="173">
        <v>461000</v>
      </c>
      <c r="R74" s="89" t="s">
        <v>705</v>
      </c>
      <c r="S74" s="89" t="s">
        <v>706</v>
      </c>
      <c r="T74" s="89"/>
      <c r="U74" s="103" t="s">
        <v>343</v>
      </c>
      <c r="V74" s="105" t="s">
        <v>691</v>
      </c>
      <c r="W74" s="102">
        <v>276600</v>
      </c>
      <c r="X74" s="102"/>
      <c r="Y74" s="102"/>
      <c r="Z74" s="107" t="s">
        <v>692</v>
      </c>
      <c r="AA74" s="102">
        <v>138300</v>
      </c>
      <c r="AB74" s="102"/>
      <c r="AC74" s="102"/>
      <c r="AD74" s="107" t="s">
        <v>707</v>
      </c>
      <c r="AE74" s="102">
        <v>46100</v>
      </c>
      <c r="AF74" s="102"/>
      <c r="AG74" s="102"/>
      <c r="AH74" s="107"/>
      <c r="AI74" s="102"/>
      <c r="AJ74" s="102"/>
      <c r="AK74" s="102"/>
      <c r="AL74" s="107"/>
      <c r="AM74" s="102"/>
      <c r="AN74" s="102"/>
      <c r="AO74" s="102"/>
      <c r="AP74" s="107"/>
      <c r="AQ74" s="102"/>
      <c r="AR74" s="102"/>
      <c r="AS74" s="102"/>
      <c r="AT74" s="107"/>
      <c r="AU74" s="102"/>
      <c r="AV74" s="102"/>
      <c r="AW74" s="102"/>
      <c r="AX74" s="107"/>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c r="CB74" s="102"/>
      <c r="CC74" s="122"/>
      <c r="CD74" s="123">
        <f t="shared" si="50"/>
        <v>461000</v>
      </c>
      <c r="CE74" s="102">
        <f t="shared" si="51"/>
        <v>0</v>
      </c>
      <c r="CF74" s="102">
        <f t="shared" si="52"/>
        <v>0</v>
      </c>
      <c r="CG74" s="102">
        <f t="shared" si="53"/>
        <v>0</v>
      </c>
      <c r="CH74" s="124">
        <f t="shared" si="54"/>
        <v>461000</v>
      </c>
      <c r="CI74" s="125">
        <f t="shared" si="55"/>
        <v>0</v>
      </c>
      <c r="CJ74" s="126" t="str">
        <f t="shared" si="56"/>
        <v>数据正确</v>
      </c>
    </row>
    <row r="75" s="60" customFormat="1" customHeight="1" spans="1:88">
      <c r="A75" s="60" t="s">
        <v>36</v>
      </c>
      <c r="B75" s="70" t="str">
        <f t="shared" si="44"/>
        <v>-</v>
      </c>
      <c r="C75" s="71" t="str">
        <f t="shared" si="45"/>
        <v>-</v>
      </c>
      <c r="D75" s="72">
        <f t="shared" si="46"/>
        <v>3500000</v>
      </c>
      <c r="E75" s="72">
        <v>0</v>
      </c>
      <c r="F75" s="72">
        <v>0</v>
      </c>
      <c r="G75" s="72">
        <v>0</v>
      </c>
      <c r="H75" s="72">
        <v>0</v>
      </c>
      <c r="I75" s="72">
        <f t="shared" si="47"/>
        <v>0</v>
      </c>
      <c r="J75" s="190" t="s">
        <v>98</v>
      </c>
      <c r="K75" s="87"/>
      <c r="L75" s="88">
        <v>193</v>
      </c>
      <c r="M75" s="89" t="s">
        <v>708</v>
      </c>
      <c r="N75" s="191" t="s">
        <v>29</v>
      </c>
      <c r="O75" s="90" t="s">
        <v>709</v>
      </c>
      <c r="P75" s="91">
        <v>42964</v>
      </c>
      <c r="Q75" s="173">
        <v>17500000</v>
      </c>
      <c r="R75" s="89" t="s">
        <v>710</v>
      </c>
      <c r="S75" s="89" t="s">
        <v>711</v>
      </c>
      <c r="T75" s="89"/>
      <c r="U75" s="103" t="s">
        <v>343</v>
      </c>
      <c r="V75" s="105" t="s">
        <v>712</v>
      </c>
      <c r="W75" s="102">
        <v>3500000</v>
      </c>
      <c r="X75" s="102">
        <v>3500000</v>
      </c>
      <c r="Y75" s="102">
        <v>3500000</v>
      </c>
      <c r="Z75" s="107" t="s">
        <v>713</v>
      </c>
      <c r="AA75" s="102">
        <v>10500000</v>
      </c>
      <c r="AB75" s="102"/>
      <c r="AC75" s="102"/>
      <c r="AD75" s="107" t="s">
        <v>714</v>
      </c>
      <c r="AE75" s="102">
        <v>1750000</v>
      </c>
      <c r="AF75" s="102"/>
      <c r="AG75" s="102"/>
      <c r="AH75" s="107" t="s">
        <v>693</v>
      </c>
      <c r="AI75" s="102">
        <v>1750000</v>
      </c>
      <c r="AJ75" s="102"/>
      <c r="AK75" s="102"/>
      <c r="AL75" s="107"/>
      <c r="AM75" s="102"/>
      <c r="AN75" s="102"/>
      <c r="AO75" s="102"/>
      <c r="AP75" s="107"/>
      <c r="AQ75" s="102"/>
      <c r="AR75" s="102"/>
      <c r="AS75" s="102"/>
      <c r="AT75" s="107"/>
      <c r="AU75" s="102"/>
      <c r="AV75" s="102"/>
      <c r="AW75" s="102"/>
      <c r="AX75" s="107"/>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c r="CB75" s="102"/>
      <c r="CC75" s="122"/>
      <c r="CD75" s="123">
        <f t="shared" si="50"/>
        <v>17500000</v>
      </c>
      <c r="CE75" s="102">
        <f t="shared" si="51"/>
        <v>3500000</v>
      </c>
      <c r="CF75" s="102">
        <f t="shared" si="52"/>
        <v>3500000</v>
      </c>
      <c r="CG75" s="102">
        <f t="shared" si="53"/>
        <v>0</v>
      </c>
      <c r="CH75" s="124">
        <f t="shared" si="54"/>
        <v>14000000</v>
      </c>
      <c r="CI75" s="125">
        <f t="shared" si="55"/>
        <v>0.2</v>
      </c>
      <c r="CJ75" s="126" t="str">
        <f t="shared" si="56"/>
        <v>数据正确</v>
      </c>
    </row>
    <row r="76" s="60" customFormat="1" customHeight="1" spans="1:88">
      <c r="A76" s="60" t="s">
        <v>36</v>
      </c>
      <c r="B76" s="70" t="str">
        <f t="shared" si="44"/>
        <v>-</v>
      </c>
      <c r="C76" s="71" t="str">
        <f t="shared" si="45"/>
        <v>-</v>
      </c>
      <c r="D76" s="72">
        <f t="shared" si="46"/>
        <v>1840000</v>
      </c>
      <c r="E76" s="72">
        <v>0</v>
      </c>
      <c r="F76" s="72">
        <v>0</v>
      </c>
      <c r="G76" s="72">
        <v>0</v>
      </c>
      <c r="H76" s="72">
        <v>0</v>
      </c>
      <c r="I76" s="72">
        <f t="shared" si="47"/>
        <v>0</v>
      </c>
      <c r="J76" s="190" t="s">
        <v>98</v>
      </c>
      <c r="K76" s="87"/>
      <c r="L76" s="88">
        <v>194</v>
      </c>
      <c r="M76" s="89" t="s">
        <v>715</v>
      </c>
      <c r="N76" s="191" t="s">
        <v>29</v>
      </c>
      <c r="O76" s="90">
        <v>2017070077</v>
      </c>
      <c r="P76" s="91">
        <v>42970</v>
      </c>
      <c r="Q76" s="173">
        <v>9200000</v>
      </c>
      <c r="R76" s="89" t="s">
        <v>716</v>
      </c>
      <c r="S76" s="89" t="s">
        <v>717</v>
      </c>
      <c r="T76" s="89" t="s">
        <v>620</v>
      </c>
      <c r="U76" s="103" t="s">
        <v>343</v>
      </c>
      <c r="V76" s="105" t="s">
        <v>712</v>
      </c>
      <c r="W76" s="102">
        <v>1840000</v>
      </c>
      <c r="X76" s="102">
        <v>1840000</v>
      </c>
      <c r="Y76" s="102">
        <v>1840000</v>
      </c>
      <c r="Z76" s="107" t="s">
        <v>718</v>
      </c>
      <c r="AA76" s="102">
        <v>5520000</v>
      </c>
      <c r="AB76" s="102"/>
      <c r="AC76" s="102"/>
      <c r="AD76" s="107" t="s">
        <v>714</v>
      </c>
      <c r="AE76" s="102">
        <v>920000</v>
      </c>
      <c r="AF76" s="102"/>
      <c r="AG76" s="102"/>
      <c r="AH76" s="107" t="s">
        <v>693</v>
      </c>
      <c r="AI76" s="102">
        <v>920000</v>
      </c>
      <c r="AJ76" s="102"/>
      <c r="AK76" s="102"/>
      <c r="AL76" s="107"/>
      <c r="AM76" s="102"/>
      <c r="AN76" s="102"/>
      <c r="AO76" s="102"/>
      <c r="AP76" s="107"/>
      <c r="AQ76" s="102"/>
      <c r="AR76" s="102"/>
      <c r="AS76" s="102"/>
      <c r="AT76" s="107"/>
      <c r="AU76" s="102"/>
      <c r="AV76" s="102"/>
      <c r="AW76" s="102"/>
      <c r="AX76" s="107"/>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c r="CB76" s="102"/>
      <c r="CC76" s="122"/>
      <c r="CD76" s="123">
        <f t="shared" si="50"/>
        <v>9200000</v>
      </c>
      <c r="CE76" s="102">
        <f t="shared" si="51"/>
        <v>1840000</v>
      </c>
      <c r="CF76" s="102">
        <f t="shared" si="52"/>
        <v>1840000</v>
      </c>
      <c r="CG76" s="102">
        <f t="shared" si="53"/>
        <v>0</v>
      </c>
      <c r="CH76" s="124">
        <f t="shared" si="54"/>
        <v>7360000</v>
      </c>
      <c r="CI76" s="125">
        <f t="shared" si="55"/>
        <v>0.2</v>
      </c>
      <c r="CJ76" s="126" t="str">
        <f t="shared" si="56"/>
        <v>数据正确</v>
      </c>
    </row>
    <row r="77" s="60" customFormat="1" customHeight="1" spans="1:88">
      <c r="A77" s="60" t="s">
        <v>36</v>
      </c>
      <c r="B77" s="70" t="str">
        <f t="shared" si="44"/>
        <v>-</v>
      </c>
      <c r="C77" s="71" t="str">
        <f t="shared" si="45"/>
        <v>-</v>
      </c>
      <c r="D77" s="72">
        <f t="shared" si="46"/>
        <v>270000</v>
      </c>
      <c r="E77" s="72">
        <v>0</v>
      </c>
      <c r="F77" s="72">
        <v>0</v>
      </c>
      <c r="G77" s="72">
        <v>0</v>
      </c>
      <c r="H77" s="72">
        <v>0</v>
      </c>
      <c r="I77" s="72">
        <f t="shared" si="47"/>
        <v>0</v>
      </c>
      <c r="J77" s="190" t="s">
        <v>98</v>
      </c>
      <c r="K77" s="87"/>
      <c r="L77" s="88">
        <v>198</v>
      </c>
      <c r="M77" s="89" t="s">
        <v>719</v>
      </c>
      <c r="N77" s="191" t="s">
        <v>29</v>
      </c>
      <c r="O77" s="90">
        <v>2017060068</v>
      </c>
      <c r="P77" s="91">
        <v>42926</v>
      </c>
      <c r="Q77" s="173">
        <v>1350000</v>
      </c>
      <c r="R77" s="89" t="s">
        <v>720</v>
      </c>
      <c r="S77" s="89" t="s">
        <v>721</v>
      </c>
      <c r="T77" s="89"/>
      <c r="U77" s="103" t="s">
        <v>722</v>
      </c>
      <c r="V77" s="105" t="s">
        <v>723</v>
      </c>
      <c r="W77" s="102">
        <v>270000</v>
      </c>
      <c r="X77" s="102">
        <v>270000</v>
      </c>
      <c r="Y77" s="102">
        <v>270000</v>
      </c>
      <c r="Z77" s="107" t="s">
        <v>697</v>
      </c>
      <c r="AA77" s="102">
        <v>540000</v>
      </c>
      <c r="AB77" s="102"/>
      <c r="AC77" s="102"/>
      <c r="AD77" s="107" t="s">
        <v>698</v>
      </c>
      <c r="AE77" s="102">
        <v>405000</v>
      </c>
      <c r="AF77" s="102"/>
      <c r="AG77" s="102"/>
      <c r="AH77" s="107" t="s">
        <v>693</v>
      </c>
      <c r="AI77" s="102">
        <v>135000</v>
      </c>
      <c r="AJ77" s="102"/>
      <c r="AK77" s="102"/>
      <c r="AL77" s="107"/>
      <c r="AM77" s="102"/>
      <c r="AN77" s="102"/>
      <c r="AO77" s="102"/>
      <c r="AP77" s="107"/>
      <c r="AQ77" s="102"/>
      <c r="AR77" s="102"/>
      <c r="AS77" s="102"/>
      <c r="AT77" s="107"/>
      <c r="AU77" s="102"/>
      <c r="AV77" s="102"/>
      <c r="AW77" s="102"/>
      <c r="AX77" s="107"/>
      <c r="AY77" s="102"/>
      <c r="AZ77" s="102"/>
      <c r="BA77" s="102"/>
      <c r="BB77" s="102"/>
      <c r="BC77" s="102"/>
      <c r="BD77" s="102"/>
      <c r="BE77" s="102"/>
      <c r="BF77" s="102"/>
      <c r="BG77" s="102"/>
      <c r="BH77" s="102"/>
      <c r="BI77" s="102"/>
      <c r="BJ77" s="102"/>
      <c r="BK77" s="102"/>
      <c r="BL77" s="102"/>
      <c r="BM77" s="102"/>
      <c r="BN77" s="102"/>
      <c r="BO77" s="102"/>
      <c r="BP77" s="102"/>
      <c r="BQ77" s="102"/>
      <c r="BR77" s="102"/>
      <c r="BS77" s="102"/>
      <c r="BT77" s="102"/>
      <c r="BU77" s="102"/>
      <c r="BV77" s="102"/>
      <c r="BW77" s="102"/>
      <c r="BX77" s="102"/>
      <c r="BY77" s="102"/>
      <c r="BZ77" s="102"/>
      <c r="CA77" s="102"/>
      <c r="CB77" s="102"/>
      <c r="CC77" s="122"/>
      <c r="CD77" s="123">
        <f t="shared" si="50"/>
        <v>1350000</v>
      </c>
      <c r="CE77" s="102">
        <f t="shared" si="51"/>
        <v>270000</v>
      </c>
      <c r="CF77" s="102">
        <f t="shared" si="52"/>
        <v>270000</v>
      </c>
      <c r="CG77" s="102">
        <f t="shared" si="53"/>
        <v>0</v>
      </c>
      <c r="CH77" s="124">
        <f t="shared" si="54"/>
        <v>1080000</v>
      </c>
      <c r="CI77" s="125">
        <f t="shared" si="55"/>
        <v>0.2</v>
      </c>
      <c r="CJ77" s="126" t="str">
        <f t="shared" si="56"/>
        <v>数据正确</v>
      </c>
    </row>
    <row r="78" s="60" customFormat="1" customHeight="1" spans="1:88">
      <c r="A78" s="60" t="s">
        <v>36</v>
      </c>
      <c r="B78" s="70" t="str">
        <f t="shared" ref="B78:B114" si="59">IF(I78=0,"-","申请中")</f>
        <v>-</v>
      </c>
      <c r="C78" s="71" t="str">
        <f t="shared" ref="C78:C114" si="60">IF(CI78=100%,"已付清","-")</f>
        <v>-</v>
      </c>
      <c r="D78" s="72">
        <f t="shared" ref="D78:D114" si="61">CF78</f>
        <v>430000</v>
      </c>
      <c r="E78" s="72">
        <v>0</v>
      </c>
      <c r="F78" s="72">
        <v>0</v>
      </c>
      <c r="G78" s="72">
        <v>0</v>
      </c>
      <c r="H78" s="72">
        <v>0</v>
      </c>
      <c r="I78" s="72">
        <f t="shared" ref="I78:I114" si="62">CE78-CF78-CG78</f>
        <v>0</v>
      </c>
      <c r="J78" s="190" t="s">
        <v>98</v>
      </c>
      <c r="K78" s="87"/>
      <c r="L78" s="88" t="s">
        <v>724</v>
      </c>
      <c r="M78" s="89" t="s">
        <v>725</v>
      </c>
      <c r="N78" s="191" t="s">
        <v>29</v>
      </c>
      <c r="O78" s="90">
        <v>2017060017</v>
      </c>
      <c r="P78" s="91">
        <v>42934</v>
      </c>
      <c r="Q78" s="173">
        <v>2150000</v>
      </c>
      <c r="R78" s="89" t="s">
        <v>726</v>
      </c>
      <c r="S78" s="89" t="s">
        <v>418</v>
      </c>
      <c r="T78" s="89"/>
      <c r="U78" s="103" t="s">
        <v>625</v>
      </c>
      <c r="V78" s="105" t="s">
        <v>727</v>
      </c>
      <c r="W78" s="102">
        <v>430000</v>
      </c>
      <c r="X78" s="102">
        <v>430000</v>
      </c>
      <c r="Y78" s="102">
        <v>430000</v>
      </c>
      <c r="Z78" s="107" t="s">
        <v>728</v>
      </c>
      <c r="AA78" s="102">
        <v>860000</v>
      </c>
      <c r="AB78" s="102"/>
      <c r="AC78" s="102"/>
      <c r="AD78" s="107" t="s">
        <v>520</v>
      </c>
      <c r="AE78" s="102">
        <v>645000</v>
      </c>
      <c r="AF78" s="102"/>
      <c r="AG78" s="102"/>
      <c r="AH78" s="107" t="s">
        <v>693</v>
      </c>
      <c r="AI78" s="102">
        <v>215000</v>
      </c>
      <c r="AJ78" s="102"/>
      <c r="AK78" s="102"/>
      <c r="AL78" s="107"/>
      <c r="AM78" s="102"/>
      <c r="AN78" s="102"/>
      <c r="AO78" s="102"/>
      <c r="AP78" s="107"/>
      <c r="AQ78" s="102"/>
      <c r="AR78" s="102"/>
      <c r="AS78" s="102"/>
      <c r="AT78" s="107"/>
      <c r="AU78" s="102"/>
      <c r="AV78" s="102"/>
      <c r="AW78" s="102"/>
      <c r="AX78" s="107"/>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c r="CB78" s="102"/>
      <c r="CC78" s="122"/>
      <c r="CD78" s="123">
        <f t="shared" ref="CD78:CD114" si="63">W78+AA78+AE78+AI78+AM78+AQ78+AU78+AY78+BC78+BG78+BK78+BO78+BS78+BW78+CA78</f>
        <v>2150000</v>
      </c>
      <c r="CE78" s="102">
        <f t="shared" ref="CE78:CE114" si="64">X78+AB78+AF78+AJ78+AN78+AR78+AV78+AZ78+BD78+BH78+BL78+BP78+BT78+BX78+CB78</f>
        <v>430000</v>
      </c>
      <c r="CF78" s="102">
        <f t="shared" ref="CF78:CF114" si="65">Y78+AC78+AG78+AK78+AO78+AS78+AW78+BA78+BE78+BI78+BM78+BQ78+BU78+BY78+CC78</f>
        <v>430000</v>
      </c>
      <c r="CG78" s="102">
        <f t="shared" ref="CG78:CG114" si="66">E78+F78+G78+H78</f>
        <v>0</v>
      </c>
      <c r="CH78" s="124">
        <f t="shared" ref="CH78:CH114" si="67">Q78-CF78-CG78</f>
        <v>1720000</v>
      </c>
      <c r="CI78" s="125">
        <f t="shared" ref="CI78:CI114" si="68">IF(ISERROR((CF78+CG78)/Q78),"-",(CF78+CG78)/Q78)</f>
        <v>0.2</v>
      </c>
      <c r="CJ78" s="126" t="str">
        <f t="shared" ref="CJ78:CJ114" si="69">IF(Q78-CD78=0,"数据正确","数据错误")</f>
        <v>数据正确</v>
      </c>
    </row>
    <row r="79" s="60" customFormat="1" customHeight="1" spans="1:88">
      <c r="A79" s="60" t="s">
        <v>36</v>
      </c>
      <c r="B79" s="70" t="str">
        <f t="shared" si="59"/>
        <v>-</v>
      </c>
      <c r="C79" s="71" t="str">
        <f t="shared" si="60"/>
        <v>-</v>
      </c>
      <c r="D79" s="72">
        <f t="shared" si="61"/>
        <v>0</v>
      </c>
      <c r="E79" s="72">
        <v>0</v>
      </c>
      <c r="F79" s="72">
        <v>0</v>
      </c>
      <c r="G79" s="72">
        <v>0</v>
      </c>
      <c r="H79" s="72">
        <v>0</v>
      </c>
      <c r="I79" s="72">
        <f t="shared" si="62"/>
        <v>0</v>
      </c>
      <c r="J79" s="190" t="s">
        <v>98</v>
      </c>
      <c r="K79" s="87"/>
      <c r="L79" s="88" t="s">
        <v>729</v>
      </c>
      <c r="M79" s="89" t="s">
        <v>730</v>
      </c>
      <c r="N79" s="191" t="s">
        <v>29</v>
      </c>
      <c r="O79" s="90">
        <v>2017060017</v>
      </c>
      <c r="P79" s="91">
        <v>42997</v>
      </c>
      <c r="Q79" s="173">
        <v>162900</v>
      </c>
      <c r="R79" s="89" t="s">
        <v>731</v>
      </c>
      <c r="S79" s="89" t="s">
        <v>418</v>
      </c>
      <c r="T79" s="89"/>
      <c r="U79" s="103" t="s">
        <v>625</v>
      </c>
      <c r="V79" s="105" t="s">
        <v>97</v>
      </c>
      <c r="W79" s="102"/>
      <c r="X79" s="102"/>
      <c r="Y79" s="102"/>
      <c r="Z79" s="107" t="s">
        <v>732</v>
      </c>
      <c r="AA79" s="102">
        <v>97740</v>
      </c>
      <c r="AB79" s="102"/>
      <c r="AC79" s="102"/>
      <c r="AD79" s="107" t="s">
        <v>520</v>
      </c>
      <c r="AE79" s="102">
        <v>48870</v>
      </c>
      <c r="AF79" s="102"/>
      <c r="AG79" s="102"/>
      <c r="AH79" s="107" t="s">
        <v>693</v>
      </c>
      <c r="AI79" s="102">
        <v>16290</v>
      </c>
      <c r="AJ79" s="102"/>
      <c r="AK79" s="102"/>
      <c r="AL79" s="107"/>
      <c r="AM79" s="102"/>
      <c r="AN79" s="102"/>
      <c r="AO79" s="102"/>
      <c r="AP79" s="107"/>
      <c r="AQ79" s="102"/>
      <c r="AR79" s="102"/>
      <c r="AS79" s="102"/>
      <c r="AT79" s="107"/>
      <c r="AU79" s="102"/>
      <c r="AV79" s="102"/>
      <c r="AW79" s="102"/>
      <c r="AX79" s="107"/>
      <c r="AY79" s="102"/>
      <c r="AZ79" s="102"/>
      <c r="BA79" s="102"/>
      <c r="BB79" s="102"/>
      <c r="BC79" s="102"/>
      <c r="BD79" s="102"/>
      <c r="BE79" s="102"/>
      <c r="BF79" s="102"/>
      <c r="BG79" s="102"/>
      <c r="BH79" s="102"/>
      <c r="BI79" s="102"/>
      <c r="BJ79" s="102"/>
      <c r="BK79" s="102"/>
      <c r="BL79" s="102"/>
      <c r="BM79" s="102"/>
      <c r="BN79" s="102"/>
      <c r="BO79" s="102"/>
      <c r="BP79" s="102"/>
      <c r="BQ79" s="102"/>
      <c r="BR79" s="102"/>
      <c r="BS79" s="102"/>
      <c r="BT79" s="102"/>
      <c r="BU79" s="102"/>
      <c r="BV79" s="102"/>
      <c r="BW79" s="102"/>
      <c r="BX79" s="102"/>
      <c r="BY79" s="102"/>
      <c r="BZ79" s="102"/>
      <c r="CA79" s="102"/>
      <c r="CB79" s="102"/>
      <c r="CC79" s="122"/>
      <c r="CD79" s="123">
        <f t="shared" si="63"/>
        <v>162900</v>
      </c>
      <c r="CE79" s="102">
        <f t="shared" si="64"/>
        <v>0</v>
      </c>
      <c r="CF79" s="102">
        <f t="shared" si="65"/>
        <v>0</v>
      </c>
      <c r="CG79" s="102">
        <f t="shared" si="66"/>
        <v>0</v>
      </c>
      <c r="CH79" s="124">
        <f t="shared" si="67"/>
        <v>162900</v>
      </c>
      <c r="CI79" s="125">
        <f t="shared" si="68"/>
        <v>0</v>
      </c>
      <c r="CJ79" s="126" t="str">
        <f t="shared" si="69"/>
        <v>数据正确</v>
      </c>
    </row>
    <row r="80" s="130" customFormat="1" customHeight="1" spans="1:88">
      <c r="A80" s="130" t="s">
        <v>36</v>
      </c>
      <c r="B80" s="132" t="str">
        <f t="shared" si="59"/>
        <v>-</v>
      </c>
      <c r="C80" s="133" t="str">
        <f t="shared" si="60"/>
        <v>-</v>
      </c>
      <c r="D80" s="134">
        <f t="shared" si="61"/>
        <v>430000</v>
      </c>
      <c r="E80" s="134">
        <f>SUM(E78:E79)</f>
        <v>0</v>
      </c>
      <c r="F80" s="134">
        <f>SUM(F78:F79)</f>
        <v>0</v>
      </c>
      <c r="G80" s="134">
        <f>SUM(G78:G79)</f>
        <v>0</v>
      </c>
      <c r="H80" s="134">
        <f>SUM(H78:H79)</f>
        <v>0</v>
      </c>
      <c r="I80" s="134">
        <f t="shared" si="62"/>
        <v>0</v>
      </c>
      <c r="J80" s="198" t="s">
        <v>98</v>
      </c>
      <c r="K80" s="172"/>
      <c r="L80" s="143">
        <v>199</v>
      </c>
      <c r="M80" s="144" t="s">
        <v>725</v>
      </c>
      <c r="N80" s="199" t="s">
        <v>29</v>
      </c>
      <c r="O80" s="145">
        <v>2017060017</v>
      </c>
      <c r="P80" s="146">
        <v>42934</v>
      </c>
      <c r="Q80" s="211">
        <f>SUM(Q78:Q79)</f>
        <v>2312900</v>
      </c>
      <c r="R80" s="144" t="s">
        <v>733</v>
      </c>
      <c r="S80" s="144" t="s">
        <v>418</v>
      </c>
      <c r="T80" s="144"/>
      <c r="U80" s="156" t="s">
        <v>625</v>
      </c>
      <c r="V80" s="157" t="s">
        <v>727</v>
      </c>
      <c r="W80" s="158">
        <f>SUM(W78:W79)</f>
        <v>430000</v>
      </c>
      <c r="X80" s="158">
        <f t="shared" ref="X80:BC80" si="70">SUM(X78:X79)</f>
        <v>430000</v>
      </c>
      <c r="Y80" s="158">
        <f t="shared" si="70"/>
        <v>430000</v>
      </c>
      <c r="Z80" s="158">
        <f t="shared" si="70"/>
        <v>0</v>
      </c>
      <c r="AA80" s="158">
        <f t="shared" si="70"/>
        <v>957740</v>
      </c>
      <c r="AB80" s="158">
        <f t="shared" si="70"/>
        <v>0</v>
      </c>
      <c r="AC80" s="158">
        <f t="shared" si="70"/>
        <v>0</v>
      </c>
      <c r="AD80" s="158">
        <f t="shared" si="70"/>
        <v>0</v>
      </c>
      <c r="AE80" s="158">
        <f t="shared" si="70"/>
        <v>693870</v>
      </c>
      <c r="AF80" s="158">
        <f t="shared" si="70"/>
        <v>0</v>
      </c>
      <c r="AG80" s="158">
        <f t="shared" si="70"/>
        <v>0</v>
      </c>
      <c r="AH80" s="158">
        <f t="shared" si="70"/>
        <v>0</v>
      </c>
      <c r="AI80" s="158">
        <f t="shared" si="70"/>
        <v>231290</v>
      </c>
      <c r="AJ80" s="158">
        <f t="shared" si="70"/>
        <v>0</v>
      </c>
      <c r="AK80" s="158">
        <f t="shared" si="70"/>
        <v>0</v>
      </c>
      <c r="AL80" s="158">
        <f t="shared" si="70"/>
        <v>0</v>
      </c>
      <c r="AM80" s="158">
        <f t="shared" si="70"/>
        <v>0</v>
      </c>
      <c r="AN80" s="158">
        <f t="shared" si="70"/>
        <v>0</v>
      </c>
      <c r="AO80" s="158">
        <f t="shared" si="70"/>
        <v>0</v>
      </c>
      <c r="AP80" s="158">
        <f t="shared" si="70"/>
        <v>0</v>
      </c>
      <c r="AQ80" s="158">
        <f t="shared" si="70"/>
        <v>0</v>
      </c>
      <c r="AR80" s="158">
        <f t="shared" si="70"/>
        <v>0</v>
      </c>
      <c r="AS80" s="158">
        <f t="shared" si="70"/>
        <v>0</v>
      </c>
      <c r="AT80" s="158">
        <f t="shared" si="70"/>
        <v>0</v>
      </c>
      <c r="AU80" s="158">
        <f t="shared" si="70"/>
        <v>0</v>
      </c>
      <c r="AV80" s="158">
        <f t="shared" si="70"/>
        <v>0</v>
      </c>
      <c r="AW80" s="158">
        <f t="shared" si="70"/>
        <v>0</v>
      </c>
      <c r="AX80" s="158">
        <f t="shared" si="70"/>
        <v>0</v>
      </c>
      <c r="AY80" s="158">
        <f t="shared" si="70"/>
        <v>0</v>
      </c>
      <c r="AZ80" s="158">
        <f t="shared" si="70"/>
        <v>0</v>
      </c>
      <c r="BA80" s="158">
        <f t="shared" si="70"/>
        <v>0</v>
      </c>
      <c r="BB80" s="158">
        <f t="shared" si="70"/>
        <v>0</v>
      </c>
      <c r="BC80" s="158">
        <f t="shared" si="70"/>
        <v>0</v>
      </c>
      <c r="BD80" s="158">
        <f t="shared" ref="BD80:CC80" si="71">SUM(BD78:BD79)</f>
        <v>0</v>
      </c>
      <c r="BE80" s="158">
        <f t="shared" si="71"/>
        <v>0</v>
      </c>
      <c r="BF80" s="158">
        <f t="shared" si="71"/>
        <v>0</v>
      </c>
      <c r="BG80" s="158">
        <f t="shared" si="71"/>
        <v>0</v>
      </c>
      <c r="BH80" s="158">
        <f t="shared" si="71"/>
        <v>0</v>
      </c>
      <c r="BI80" s="158">
        <f t="shared" si="71"/>
        <v>0</v>
      </c>
      <c r="BJ80" s="158">
        <f t="shared" si="71"/>
        <v>0</v>
      </c>
      <c r="BK80" s="158">
        <f t="shared" si="71"/>
        <v>0</v>
      </c>
      <c r="BL80" s="158">
        <f t="shared" si="71"/>
        <v>0</v>
      </c>
      <c r="BM80" s="158">
        <f t="shared" si="71"/>
        <v>0</v>
      </c>
      <c r="BN80" s="158">
        <f t="shared" si="71"/>
        <v>0</v>
      </c>
      <c r="BO80" s="158">
        <f t="shared" si="71"/>
        <v>0</v>
      </c>
      <c r="BP80" s="158">
        <f t="shared" si="71"/>
        <v>0</v>
      </c>
      <c r="BQ80" s="158">
        <f t="shared" si="71"/>
        <v>0</v>
      </c>
      <c r="BR80" s="158">
        <f t="shared" si="71"/>
        <v>0</v>
      </c>
      <c r="BS80" s="158">
        <f t="shared" si="71"/>
        <v>0</v>
      </c>
      <c r="BT80" s="158">
        <f t="shared" si="71"/>
        <v>0</v>
      </c>
      <c r="BU80" s="158">
        <f t="shared" si="71"/>
        <v>0</v>
      </c>
      <c r="BV80" s="158">
        <f t="shared" si="71"/>
        <v>0</v>
      </c>
      <c r="BW80" s="158">
        <f t="shared" si="71"/>
        <v>0</v>
      </c>
      <c r="BX80" s="158">
        <f t="shared" si="71"/>
        <v>0</v>
      </c>
      <c r="BY80" s="158">
        <f t="shared" si="71"/>
        <v>0</v>
      </c>
      <c r="BZ80" s="158">
        <f t="shared" si="71"/>
        <v>0</v>
      </c>
      <c r="CA80" s="158">
        <f t="shared" si="71"/>
        <v>0</v>
      </c>
      <c r="CB80" s="158">
        <f t="shared" si="71"/>
        <v>0</v>
      </c>
      <c r="CC80" s="158">
        <f t="shared" si="71"/>
        <v>0</v>
      </c>
      <c r="CD80" s="165">
        <f t="shared" si="63"/>
        <v>2312900</v>
      </c>
      <c r="CE80" s="158">
        <f t="shared" si="64"/>
        <v>430000</v>
      </c>
      <c r="CF80" s="158">
        <f t="shared" si="65"/>
        <v>430000</v>
      </c>
      <c r="CG80" s="158">
        <f t="shared" si="66"/>
        <v>0</v>
      </c>
      <c r="CH80" s="163">
        <f t="shared" si="67"/>
        <v>1882900</v>
      </c>
      <c r="CI80" s="166">
        <f t="shared" si="68"/>
        <v>0.185913787885339</v>
      </c>
      <c r="CJ80" s="167" t="str">
        <f t="shared" si="69"/>
        <v>数据正确</v>
      </c>
    </row>
    <row r="81" s="60" customFormat="1" customHeight="1" spans="1:88">
      <c r="A81" s="60" t="s">
        <v>36</v>
      </c>
      <c r="B81" s="70" t="str">
        <f t="shared" si="59"/>
        <v>-</v>
      </c>
      <c r="C81" s="71" t="str">
        <f t="shared" si="60"/>
        <v>-</v>
      </c>
      <c r="D81" s="72">
        <f t="shared" si="61"/>
        <v>194000</v>
      </c>
      <c r="E81" s="72">
        <v>0</v>
      </c>
      <c r="F81" s="72">
        <v>0</v>
      </c>
      <c r="G81" s="72">
        <v>6000</v>
      </c>
      <c r="H81" s="72">
        <v>0</v>
      </c>
      <c r="I81" s="72">
        <f t="shared" si="62"/>
        <v>0</v>
      </c>
      <c r="J81" s="190" t="s">
        <v>98</v>
      </c>
      <c r="K81" s="87"/>
      <c r="L81" s="88" t="s">
        <v>734</v>
      </c>
      <c r="M81" s="89" t="s">
        <v>735</v>
      </c>
      <c r="N81" s="191" t="s">
        <v>29</v>
      </c>
      <c r="O81" s="90" t="s">
        <v>736</v>
      </c>
      <c r="P81" s="91">
        <v>42957</v>
      </c>
      <c r="Q81" s="173">
        <v>1000000</v>
      </c>
      <c r="R81" s="89" t="s">
        <v>737</v>
      </c>
      <c r="S81" s="89" t="s">
        <v>738</v>
      </c>
      <c r="T81" s="89"/>
      <c r="U81" s="103" t="s">
        <v>616</v>
      </c>
      <c r="V81" s="105" t="s">
        <v>727</v>
      </c>
      <c r="W81" s="102">
        <v>200000</v>
      </c>
      <c r="X81" s="102">
        <v>200000</v>
      </c>
      <c r="Y81" s="102">
        <f>200000-6000</f>
        <v>194000</v>
      </c>
      <c r="Z81" s="107" t="s">
        <v>739</v>
      </c>
      <c r="AA81" s="102">
        <v>600000</v>
      </c>
      <c r="AB81" s="102"/>
      <c r="AC81" s="102"/>
      <c r="AD81" s="107" t="s">
        <v>740</v>
      </c>
      <c r="AE81" s="102">
        <v>100000</v>
      </c>
      <c r="AF81" s="102"/>
      <c r="AG81" s="102"/>
      <c r="AH81" s="107" t="s">
        <v>693</v>
      </c>
      <c r="AI81" s="102">
        <v>100000</v>
      </c>
      <c r="AJ81" s="102"/>
      <c r="AK81" s="102"/>
      <c r="AL81" s="107"/>
      <c r="AM81" s="102"/>
      <c r="AN81" s="102"/>
      <c r="AO81" s="102"/>
      <c r="AP81" s="107"/>
      <c r="AQ81" s="102"/>
      <c r="AR81" s="102"/>
      <c r="AS81" s="102"/>
      <c r="AT81" s="107"/>
      <c r="AU81" s="102"/>
      <c r="AV81" s="102"/>
      <c r="AW81" s="102"/>
      <c r="AX81" s="107"/>
      <c r="AY81" s="102"/>
      <c r="AZ81" s="102"/>
      <c r="BA81" s="102"/>
      <c r="BB81" s="102"/>
      <c r="BC81" s="102"/>
      <c r="BD81" s="102"/>
      <c r="BE81" s="102"/>
      <c r="BF81" s="102"/>
      <c r="BG81" s="102"/>
      <c r="BH81" s="102"/>
      <c r="BI81" s="102"/>
      <c r="BJ81" s="102"/>
      <c r="BK81" s="102"/>
      <c r="BL81" s="102"/>
      <c r="BM81" s="102"/>
      <c r="BN81" s="102"/>
      <c r="BO81" s="102"/>
      <c r="BP81" s="102"/>
      <c r="BQ81" s="102"/>
      <c r="BR81" s="102"/>
      <c r="BS81" s="102"/>
      <c r="BT81" s="102"/>
      <c r="BU81" s="102"/>
      <c r="BV81" s="102"/>
      <c r="BW81" s="102"/>
      <c r="BX81" s="102"/>
      <c r="BY81" s="102"/>
      <c r="BZ81" s="102"/>
      <c r="CA81" s="102"/>
      <c r="CB81" s="102"/>
      <c r="CC81" s="122"/>
      <c r="CD81" s="123">
        <f t="shared" si="63"/>
        <v>1000000</v>
      </c>
      <c r="CE81" s="102">
        <f t="shared" si="64"/>
        <v>200000</v>
      </c>
      <c r="CF81" s="102">
        <f t="shared" si="65"/>
        <v>194000</v>
      </c>
      <c r="CG81" s="102">
        <f t="shared" si="66"/>
        <v>6000</v>
      </c>
      <c r="CH81" s="124">
        <f t="shared" si="67"/>
        <v>800000</v>
      </c>
      <c r="CI81" s="125">
        <f t="shared" si="68"/>
        <v>0.2</v>
      </c>
      <c r="CJ81" s="126" t="str">
        <f t="shared" si="69"/>
        <v>数据正确</v>
      </c>
    </row>
    <row r="82" s="60" customFormat="1" customHeight="1" spans="1:88">
      <c r="A82" s="60" t="s">
        <v>36</v>
      </c>
      <c r="B82" s="70" t="str">
        <f t="shared" si="59"/>
        <v>-</v>
      </c>
      <c r="C82" s="71" t="str">
        <f t="shared" si="60"/>
        <v>-</v>
      </c>
      <c r="D82" s="72">
        <f t="shared" si="61"/>
        <v>0</v>
      </c>
      <c r="E82" s="72">
        <v>0</v>
      </c>
      <c r="F82" s="72">
        <v>0</v>
      </c>
      <c r="G82" s="72">
        <v>0</v>
      </c>
      <c r="H82" s="72">
        <v>0</v>
      </c>
      <c r="I82" s="72">
        <f t="shared" si="62"/>
        <v>0</v>
      </c>
      <c r="J82" s="190" t="s">
        <v>98</v>
      </c>
      <c r="K82" s="87"/>
      <c r="L82" s="88" t="s">
        <v>741</v>
      </c>
      <c r="M82" s="89" t="s">
        <v>742</v>
      </c>
      <c r="N82" s="191" t="s">
        <v>29</v>
      </c>
      <c r="O82" s="90" t="s">
        <v>736</v>
      </c>
      <c r="P82" s="91">
        <v>42997</v>
      </c>
      <c r="Q82" s="173">
        <v>17000</v>
      </c>
      <c r="R82" s="89" t="s">
        <v>743</v>
      </c>
      <c r="S82" s="89" t="s">
        <v>738</v>
      </c>
      <c r="T82" s="89"/>
      <c r="U82" s="103" t="s">
        <v>616</v>
      </c>
      <c r="V82" s="105" t="s">
        <v>744</v>
      </c>
      <c r="W82" s="102">
        <v>13600</v>
      </c>
      <c r="X82" s="102"/>
      <c r="Y82" s="107"/>
      <c r="Z82" s="107" t="s">
        <v>740</v>
      </c>
      <c r="AA82" s="102">
        <v>1700</v>
      </c>
      <c r="AB82" s="102"/>
      <c r="AC82" s="102"/>
      <c r="AD82" s="107" t="s">
        <v>693</v>
      </c>
      <c r="AE82" s="102">
        <v>1700</v>
      </c>
      <c r="AF82" s="102"/>
      <c r="AG82" s="102"/>
      <c r="AH82" s="107"/>
      <c r="AI82" s="102"/>
      <c r="AJ82" s="102"/>
      <c r="AK82" s="102"/>
      <c r="AL82" s="107"/>
      <c r="AM82" s="102"/>
      <c r="AN82" s="102"/>
      <c r="AO82" s="102"/>
      <c r="AP82" s="107"/>
      <c r="AQ82" s="102"/>
      <c r="AR82" s="102"/>
      <c r="AS82" s="102"/>
      <c r="AT82" s="107"/>
      <c r="AU82" s="102"/>
      <c r="AV82" s="102"/>
      <c r="AW82" s="102"/>
      <c r="AX82" s="107"/>
      <c r="AY82" s="102"/>
      <c r="AZ82" s="102"/>
      <c r="BA82" s="102"/>
      <c r="BB82" s="102"/>
      <c r="BC82" s="102"/>
      <c r="BD82" s="102"/>
      <c r="BE82" s="102"/>
      <c r="BF82" s="102"/>
      <c r="BG82" s="102"/>
      <c r="BH82" s="102"/>
      <c r="BI82" s="102"/>
      <c r="BJ82" s="102"/>
      <c r="BK82" s="102"/>
      <c r="BL82" s="102"/>
      <c r="BM82" s="102"/>
      <c r="BN82" s="102"/>
      <c r="BO82" s="102"/>
      <c r="BP82" s="102"/>
      <c r="BQ82" s="102"/>
      <c r="BR82" s="102"/>
      <c r="BS82" s="102"/>
      <c r="BT82" s="102"/>
      <c r="BU82" s="102"/>
      <c r="BV82" s="102"/>
      <c r="BW82" s="102"/>
      <c r="BX82" s="102"/>
      <c r="BY82" s="102"/>
      <c r="BZ82" s="102"/>
      <c r="CA82" s="102"/>
      <c r="CB82" s="102"/>
      <c r="CC82" s="122"/>
      <c r="CD82" s="123">
        <f t="shared" si="63"/>
        <v>17000</v>
      </c>
      <c r="CE82" s="102">
        <f t="shared" si="64"/>
        <v>0</v>
      </c>
      <c r="CF82" s="102">
        <f t="shared" si="65"/>
        <v>0</v>
      </c>
      <c r="CG82" s="102">
        <f t="shared" si="66"/>
        <v>0</v>
      </c>
      <c r="CH82" s="124">
        <f t="shared" si="67"/>
        <v>17000</v>
      </c>
      <c r="CI82" s="125">
        <f t="shared" si="68"/>
        <v>0</v>
      </c>
      <c r="CJ82" s="126" t="str">
        <f t="shared" si="69"/>
        <v>数据正确</v>
      </c>
    </row>
    <row r="83" s="130" customFormat="1" customHeight="1" spans="1:88">
      <c r="A83" s="130" t="s">
        <v>36</v>
      </c>
      <c r="B83" s="132" t="str">
        <f t="shared" si="59"/>
        <v>-</v>
      </c>
      <c r="C83" s="133" t="str">
        <f t="shared" si="60"/>
        <v>-</v>
      </c>
      <c r="D83" s="134">
        <f t="shared" si="61"/>
        <v>194000</v>
      </c>
      <c r="E83" s="134">
        <f>SUM(E81:E82)</f>
        <v>0</v>
      </c>
      <c r="F83" s="134">
        <f>SUM(F81:F82)</f>
        <v>0</v>
      </c>
      <c r="G83" s="134">
        <f>SUM(G81:G82)</f>
        <v>6000</v>
      </c>
      <c r="H83" s="134">
        <f>SUM(H81:H82)</f>
        <v>0</v>
      </c>
      <c r="I83" s="134">
        <f t="shared" si="62"/>
        <v>0</v>
      </c>
      <c r="J83" s="198" t="s">
        <v>98</v>
      </c>
      <c r="K83" s="172"/>
      <c r="L83" s="143">
        <v>200</v>
      </c>
      <c r="M83" s="144" t="s">
        <v>735</v>
      </c>
      <c r="N83" s="199" t="s">
        <v>29</v>
      </c>
      <c r="O83" s="145" t="s">
        <v>736</v>
      </c>
      <c r="P83" s="146">
        <v>42957</v>
      </c>
      <c r="Q83" s="211">
        <f>SUM(Q81:Q82)</f>
        <v>1017000</v>
      </c>
      <c r="R83" s="144" t="s">
        <v>745</v>
      </c>
      <c r="S83" s="144" t="s">
        <v>738</v>
      </c>
      <c r="T83" s="144"/>
      <c r="U83" s="156" t="s">
        <v>616</v>
      </c>
      <c r="V83" s="157" t="s">
        <v>727</v>
      </c>
      <c r="W83" s="158">
        <f>SUM(W81:W82)</f>
        <v>213600</v>
      </c>
      <c r="X83" s="158">
        <f t="shared" ref="X83:BC83" si="72">SUM(X81:X82)</f>
        <v>200000</v>
      </c>
      <c r="Y83" s="158">
        <f t="shared" si="72"/>
        <v>194000</v>
      </c>
      <c r="Z83" s="158">
        <f t="shared" si="72"/>
        <v>0</v>
      </c>
      <c r="AA83" s="158">
        <f t="shared" si="72"/>
        <v>601700</v>
      </c>
      <c r="AB83" s="158">
        <f t="shared" si="72"/>
        <v>0</v>
      </c>
      <c r="AC83" s="158">
        <f t="shared" si="72"/>
        <v>0</v>
      </c>
      <c r="AD83" s="158">
        <f t="shared" si="72"/>
        <v>0</v>
      </c>
      <c r="AE83" s="158">
        <f t="shared" si="72"/>
        <v>101700</v>
      </c>
      <c r="AF83" s="158">
        <f t="shared" si="72"/>
        <v>0</v>
      </c>
      <c r="AG83" s="158">
        <f t="shared" si="72"/>
        <v>0</v>
      </c>
      <c r="AH83" s="158">
        <f t="shared" si="72"/>
        <v>0</v>
      </c>
      <c r="AI83" s="158">
        <f t="shared" si="72"/>
        <v>100000</v>
      </c>
      <c r="AJ83" s="158">
        <f t="shared" si="72"/>
        <v>0</v>
      </c>
      <c r="AK83" s="158">
        <f t="shared" si="72"/>
        <v>0</v>
      </c>
      <c r="AL83" s="158">
        <f t="shared" si="72"/>
        <v>0</v>
      </c>
      <c r="AM83" s="158">
        <f t="shared" si="72"/>
        <v>0</v>
      </c>
      <c r="AN83" s="158">
        <f t="shared" si="72"/>
        <v>0</v>
      </c>
      <c r="AO83" s="158">
        <f t="shared" si="72"/>
        <v>0</v>
      </c>
      <c r="AP83" s="158">
        <f t="shared" si="72"/>
        <v>0</v>
      </c>
      <c r="AQ83" s="158">
        <f t="shared" si="72"/>
        <v>0</v>
      </c>
      <c r="AR83" s="158">
        <f t="shared" si="72"/>
        <v>0</v>
      </c>
      <c r="AS83" s="158">
        <f t="shared" si="72"/>
        <v>0</v>
      </c>
      <c r="AT83" s="158">
        <f t="shared" si="72"/>
        <v>0</v>
      </c>
      <c r="AU83" s="158">
        <f t="shared" si="72"/>
        <v>0</v>
      </c>
      <c r="AV83" s="158">
        <f t="shared" si="72"/>
        <v>0</v>
      </c>
      <c r="AW83" s="158">
        <f t="shared" si="72"/>
        <v>0</v>
      </c>
      <c r="AX83" s="158">
        <f t="shared" si="72"/>
        <v>0</v>
      </c>
      <c r="AY83" s="158">
        <f t="shared" si="72"/>
        <v>0</v>
      </c>
      <c r="AZ83" s="158">
        <f t="shared" si="72"/>
        <v>0</v>
      </c>
      <c r="BA83" s="158">
        <f t="shared" si="72"/>
        <v>0</v>
      </c>
      <c r="BB83" s="158">
        <f t="shared" si="72"/>
        <v>0</v>
      </c>
      <c r="BC83" s="158">
        <f t="shared" si="72"/>
        <v>0</v>
      </c>
      <c r="BD83" s="158">
        <f t="shared" ref="BD83:CC83" si="73">SUM(BD81:BD82)</f>
        <v>0</v>
      </c>
      <c r="BE83" s="158">
        <f t="shared" si="73"/>
        <v>0</v>
      </c>
      <c r="BF83" s="158">
        <f t="shared" si="73"/>
        <v>0</v>
      </c>
      <c r="BG83" s="158">
        <f t="shared" si="73"/>
        <v>0</v>
      </c>
      <c r="BH83" s="158">
        <f t="shared" si="73"/>
        <v>0</v>
      </c>
      <c r="BI83" s="158">
        <f t="shared" si="73"/>
        <v>0</v>
      </c>
      <c r="BJ83" s="158">
        <f t="shared" si="73"/>
        <v>0</v>
      </c>
      <c r="BK83" s="158">
        <f t="shared" si="73"/>
        <v>0</v>
      </c>
      <c r="BL83" s="158">
        <f t="shared" si="73"/>
        <v>0</v>
      </c>
      <c r="BM83" s="158">
        <f t="shared" si="73"/>
        <v>0</v>
      </c>
      <c r="BN83" s="158">
        <f t="shared" si="73"/>
        <v>0</v>
      </c>
      <c r="BO83" s="158">
        <f t="shared" si="73"/>
        <v>0</v>
      </c>
      <c r="BP83" s="158">
        <f t="shared" si="73"/>
        <v>0</v>
      </c>
      <c r="BQ83" s="158">
        <f t="shared" si="73"/>
        <v>0</v>
      </c>
      <c r="BR83" s="158">
        <f t="shared" si="73"/>
        <v>0</v>
      </c>
      <c r="BS83" s="158">
        <f t="shared" si="73"/>
        <v>0</v>
      </c>
      <c r="BT83" s="158">
        <f t="shared" si="73"/>
        <v>0</v>
      </c>
      <c r="BU83" s="158">
        <f t="shared" si="73"/>
        <v>0</v>
      </c>
      <c r="BV83" s="158">
        <f t="shared" si="73"/>
        <v>0</v>
      </c>
      <c r="BW83" s="158">
        <f t="shared" si="73"/>
        <v>0</v>
      </c>
      <c r="BX83" s="158">
        <f t="shared" si="73"/>
        <v>0</v>
      </c>
      <c r="BY83" s="158">
        <f t="shared" si="73"/>
        <v>0</v>
      </c>
      <c r="BZ83" s="158">
        <f t="shared" si="73"/>
        <v>0</v>
      </c>
      <c r="CA83" s="158">
        <f t="shared" si="73"/>
        <v>0</v>
      </c>
      <c r="CB83" s="158">
        <f t="shared" si="73"/>
        <v>0</v>
      </c>
      <c r="CC83" s="158">
        <f t="shared" si="73"/>
        <v>0</v>
      </c>
      <c r="CD83" s="165">
        <f t="shared" si="63"/>
        <v>1017000</v>
      </c>
      <c r="CE83" s="158">
        <f t="shared" si="64"/>
        <v>200000</v>
      </c>
      <c r="CF83" s="158">
        <f t="shared" si="65"/>
        <v>194000</v>
      </c>
      <c r="CG83" s="158">
        <f t="shared" si="66"/>
        <v>6000</v>
      </c>
      <c r="CH83" s="163">
        <f t="shared" si="67"/>
        <v>817000</v>
      </c>
      <c r="CI83" s="166">
        <f t="shared" si="68"/>
        <v>0.196656833824975</v>
      </c>
      <c r="CJ83" s="167" t="str">
        <f t="shared" si="69"/>
        <v>数据正确</v>
      </c>
    </row>
    <row r="84" s="60" customFormat="1" customHeight="1" spans="1:88">
      <c r="A84" s="60" t="s">
        <v>36</v>
      </c>
      <c r="B84" s="70" t="str">
        <f t="shared" si="59"/>
        <v>-</v>
      </c>
      <c r="C84" s="71" t="str">
        <f t="shared" si="60"/>
        <v>-</v>
      </c>
      <c r="D84" s="72">
        <f t="shared" si="61"/>
        <v>162000</v>
      </c>
      <c r="E84" s="72">
        <v>0</v>
      </c>
      <c r="F84" s="72">
        <v>0</v>
      </c>
      <c r="G84" s="72">
        <v>0</v>
      </c>
      <c r="H84" s="72">
        <v>0</v>
      </c>
      <c r="I84" s="72">
        <f t="shared" si="62"/>
        <v>0</v>
      </c>
      <c r="J84" s="190" t="s">
        <v>98</v>
      </c>
      <c r="K84" s="87"/>
      <c r="L84" s="88">
        <v>201</v>
      </c>
      <c r="M84" s="89" t="s">
        <v>746</v>
      </c>
      <c r="N84" s="191" t="s">
        <v>29</v>
      </c>
      <c r="O84" s="90"/>
      <c r="P84" s="91">
        <v>42963</v>
      </c>
      <c r="Q84" s="173">
        <v>810000</v>
      </c>
      <c r="R84" s="89" t="s">
        <v>747</v>
      </c>
      <c r="S84" s="89" t="s">
        <v>681</v>
      </c>
      <c r="T84" s="89"/>
      <c r="U84" s="103" t="s">
        <v>343</v>
      </c>
      <c r="V84" s="105" t="s">
        <v>683</v>
      </c>
      <c r="W84" s="102">
        <v>162000</v>
      </c>
      <c r="X84" s="102">
        <v>162000</v>
      </c>
      <c r="Y84" s="102">
        <v>162000</v>
      </c>
      <c r="Z84" s="107" t="s">
        <v>684</v>
      </c>
      <c r="AA84" s="102">
        <v>607500</v>
      </c>
      <c r="AB84" s="102"/>
      <c r="AC84" s="102"/>
      <c r="AD84" s="107" t="s">
        <v>685</v>
      </c>
      <c r="AE84" s="102">
        <v>24300</v>
      </c>
      <c r="AF84" s="102"/>
      <c r="AG84" s="102"/>
      <c r="AH84" s="107" t="s">
        <v>686</v>
      </c>
      <c r="AI84" s="102">
        <v>16200</v>
      </c>
      <c r="AJ84" s="102"/>
      <c r="AK84" s="102"/>
      <c r="AL84" s="107"/>
      <c r="AM84" s="102"/>
      <c r="AN84" s="102"/>
      <c r="AO84" s="102"/>
      <c r="AP84" s="107"/>
      <c r="AQ84" s="102"/>
      <c r="AR84" s="102"/>
      <c r="AS84" s="102"/>
      <c r="AT84" s="107"/>
      <c r="AU84" s="102"/>
      <c r="AV84" s="102"/>
      <c r="AW84" s="102"/>
      <c r="AX84" s="107"/>
      <c r="AY84" s="102"/>
      <c r="AZ84" s="102"/>
      <c r="BA84" s="102"/>
      <c r="BB84" s="102"/>
      <c r="BC84" s="102"/>
      <c r="BD84" s="102"/>
      <c r="BE84" s="102"/>
      <c r="BF84" s="102"/>
      <c r="BG84" s="102"/>
      <c r="BH84" s="102"/>
      <c r="BI84" s="102"/>
      <c r="BJ84" s="102"/>
      <c r="BK84" s="102"/>
      <c r="BL84" s="102"/>
      <c r="BM84" s="102"/>
      <c r="BN84" s="102"/>
      <c r="BO84" s="102"/>
      <c r="BP84" s="102"/>
      <c r="BQ84" s="102"/>
      <c r="BR84" s="102"/>
      <c r="BS84" s="102"/>
      <c r="BT84" s="102"/>
      <c r="BU84" s="102"/>
      <c r="BV84" s="102"/>
      <c r="BW84" s="102"/>
      <c r="BX84" s="102"/>
      <c r="BY84" s="102"/>
      <c r="BZ84" s="102"/>
      <c r="CA84" s="102"/>
      <c r="CB84" s="102"/>
      <c r="CC84" s="122"/>
      <c r="CD84" s="123">
        <f t="shared" si="63"/>
        <v>810000</v>
      </c>
      <c r="CE84" s="102">
        <f t="shared" si="64"/>
        <v>162000</v>
      </c>
      <c r="CF84" s="102">
        <f t="shared" si="65"/>
        <v>162000</v>
      </c>
      <c r="CG84" s="102">
        <f t="shared" si="66"/>
        <v>0</v>
      </c>
      <c r="CH84" s="124">
        <f t="shared" si="67"/>
        <v>648000</v>
      </c>
      <c r="CI84" s="125">
        <f t="shared" si="68"/>
        <v>0.2</v>
      </c>
      <c r="CJ84" s="126" t="str">
        <f t="shared" si="69"/>
        <v>数据正确</v>
      </c>
    </row>
    <row r="85" s="60" customFormat="1" customHeight="1" spans="1:88">
      <c r="A85" s="60" t="s">
        <v>36</v>
      </c>
      <c r="B85" s="70" t="str">
        <f t="shared" si="59"/>
        <v>-</v>
      </c>
      <c r="C85" s="71" t="str">
        <f t="shared" si="60"/>
        <v>-</v>
      </c>
      <c r="D85" s="72">
        <f t="shared" si="61"/>
        <v>0</v>
      </c>
      <c r="E85" s="72">
        <v>0</v>
      </c>
      <c r="F85" s="72">
        <v>0</v>
      </c>
      <c r="G85" s="72">
        <v>0</v>
      </c>
      <c r="H85" s="72">
        <v>0</v>
      </c>
      <c r="I85" s="72">
        <f t="shared" si="62"/>
        <v>0</v>
      </c>
      <c r="J85" s="190" t="s">
        <v>98</v>
      </c>
      <c r="K85" s="87"/>
      <c r="L85" s="88">
        <v>212</v>
      </c>
      <c r="M85" s="148" t="s">
        <v>748</v>
      </c>
      <c r="N85" s="191" t="s">
        <v>29</v>
      </c>
      <c r="O85" s="191">
        <v>2017020025</v>
      </c>
      <c r="P85" s="149">
        <v>42833</v>
      </c>
      <c r="Q85" s="204">
        <v>36000</v>
      </c>
      <c r="R85" s="89" t="s">
        <v>749</v>
      </c>
      <c r="S85" s="148" t="s">
        <v>418</v>
      </c>
      <c r="T85" s="89" t="s">
        <v>750</v>
      </c>
      <c r="U85" s="103" t="s">
        <v>420</v>
      </c>
      <c r="V85" s="105" t="s">
        <v>97</v>
      </c>
      <c r="W85" s="102">
        <v>36000</v>
      </c>
      <c r="X85" s="102"/>
      <c r="Y85" s="102"/>
      <c r="Z85" s="107"/>
      <c r="AA85" s="102"/>
      <c r="AB85" s="102"/>
      <c r="AC85" s="102"/>
      <c r="AD85" s="107"/>
      <c r="AE85" s="102"/>
      <c r="AF85" s="102"/>
      <c r="AG85" s="102"/>
      <c r="AH85" s="107"/>
      <c r="AI85" s="102"/>
      <c r="AJ85" s="102"/>
      <c r="AK85" s="102"/>
      <c r="AL85" s="107"/>
      <c r="AM85" s="102"/>
      <c r="AN85" s="102"/>
      <c r="AO85" s="102"/>
      <c r="AP85" s="107"/>
      <c r="AQ85" s="102"/>
      <c r="AR85" s="102"/>
      <c r="AS85" s="102"/>
      <c r="AT85" s="107"/>
      <c r="AU85" s="102"/>
      <c r="AV85" s="102"/>
      <c r="AW85" s="102"/>
      <c r="AX85" s="107"/>
      <c r="AY85" s="102"/>
      <c r="AZ85" s="102"/>
      <c r="BA85" s="102"/>
      <c r="BB85" s="102"/>
      <c r="BC85" s="102"/>
      <c r="BD85" s="102"/>
      <c r="BE85" s="102"/>
      <c r="BF85" s="102"/>
      <c r="BG85" s="102"/>
      <c r="BH85" s="102"/>
      <c r="BI85" s="102"/>
      <c r="BJ85" s="102"/>
      <c r="BK85" s="102"/>
      <c r="BL85" s="102"/>
      <c r="BM85" s="102"/>
      <c r="BN85" s="102"/>
      <c r="BO85" s="102"/>
      <c r="BP85" s="102"/>
      <c r="BQ85" s="102"/>
      <c r="BR85" s="102"/>
      <c r="BS85" s="102"/>
      <c r="BT85" s="102"/>
      <c r="BU85" s="102"/>
      <c r="BV85" s="102"/>
      <c r="BW85" s="102"/>
      <c r="BX85" s="102"/>
      <c r="BY85" s="102"/>
      <c r="BZ85" s="102"/>
      <c r="CA85" s="102"/>
      <c r="CB85" s="102"/>
      <c r="CC85" s="122"/>
      <c r="CD85" s="123">
        <f t="shared" si="63"/>
        <v>36000</v>
      </c>
      <c r="CE85" s="102">
        <f t="shared" si="64"/>
        <v>0</v>
      </c>
      <c r="CF85" s="102">
        <f t="shared" si="65"/>
        <v>0</v>
      </c>
      <c r="CG85" s="102">
        <f t="shared" si="66"/>
        <v>0</v>
      </c>
      <c r="CH85" s="124">
        <f t="shared" si="67"/>
        <v>36000</v>
      </c>
      <c r="CI85" s="125">
        <f t="shared" si="68"/>
        <v>0</v>
      </c>
      <c r="CJ85" s="126" t="str">
        <f t="shared" si="69"/>
        <v>数据正确</v>
      </c>
    </row>
    <row r="86" s="60" customFormat="1" customHeight="1" spans="1:88">
      <c r="A86" s="60" t="s">
        <v>36</v>
      </c>
      <c r="B86" s="70" t="str">
        <f t="shared" si="59"/>
        <v>-</v>
      </c>
      <c r="C86" s="71" t="str">
        <f t="shared" si="60"/>
        <v>-</v>
      </c>
      <c r="D86" s="72">
        <f t="shared" si="61"/>
        <v>796000</v>
      </c>
      <c r="E86" s="72">
        <v>0</v>
      </c>
      <c r="F86" s="72">
        <v>0</v>
      </c>
      <c r="G86" s="72">
        <v>0</v>
      </c>
      <c r="H86" s="72">
        <v>0</v>
      </c>
      <c r="I86" s="72">
        <f t="shared" si="62"/>
        <v>0</v>
      </c>
      <c r="J86" s="190" t="s">
        <v>98</v>
      </c>
      <c r="K86" s="87"/>
      <c r="L86" s="88">
        <v>213</v>
      </c>
      <c r="M86" s="89" t="s">
        <v>751</v>
      </c>
      <c r="N86" s="191" t="s">
        <v>29</v>
      </c>
      <c r="O86" s="90">
        <v>2017050012</v>
      </c>
      <c r="P86" s="91">
        <v>42906</v>
      </c>
      <c r="Q86" s="173">
        <v>3980000</v>
      </c>
      <c r="R86" s="89" t="s">
        <v>752</v>
      </c>
      <c r="S86" s="89" t="s">
        <v>753</v>
      </c>
      <c r="T86" s="89" t="s">
        <v>490</v>
      </c>
      <c r="U86" s="103" t="s">
        <v>625</v>
      </c>
      <c r="V86" s="105" t="s">
        <v>754</v>
      </c>
      <c r="W86" s="102">
        <v>796000</v>
      </c>
      <c r="X86" s="102">
        <v>796000</v>
      </c>
      <c r="Y86" s="102">
        <v>796000</v>
      </c>
      <c r="Z86" s="107" t="s">
        <v>519</v>
      </c>
      <c r="AA86" s="102">
        <v>1592000</v>
      </c>
      <c r="AB86" s="102"/>
      <c r="AC86" s="102"/>
      <c r="AD86" s="107" t="s">
        <v>755</v>
      </c>
      <c r="AE86" s="102">
        <v>1194000</v>
      </c>
      <c r="AF86" s="102"/>
      <c r="AG86" s="102"/>
      <c r="AH86" s="107" t="s">
        <v>693</v>
      </c>
      <c r="AI86" s="102">
        <v>398000</v>
      </c>
      <c r="AJ86" s="102"/>
      <c r="AK86" s="102"/>
      <c r="AL86" s="107"/>
      <c r="AM86" s="102"/>
      <c r="AN86" s="102"/>
      <c r="AO86" s="102"/>
      <c r="AP86" s="107"/>
      <c r="AQ86" s="102"/>
      <c r="AR86" s="102"/>
      <c r="AS86" s="102"/>
      <c r="AT86" s="107"/>
      <c r="AU86" s="102"/>
      <c r="AV86" s="102"/>
      <c r="AW86" s="102"/>
      <c r="AX86" s="107"/>
      <c r="AY86" s="102"/>
      <c r="AZ86" s="102"/>
      <c r="BA86" s="102"/>
      <c r="BB86" s="102"/>
      <c r="BC86" s="102"/>
      <c r="BD86" s="102"/>
      <c r="BE86" s="102"/>
      <c r="BF86" s="102"/>
      <c r="BG86" s="102"/>
      <c r="BH86" s="102"/>
      <c r="BI86" s="102"/>
      <c r="BJ86" s="102"/>
      <c r="BK86" s="102"/>
      <c r="BL86" s="102"/>
      <c r="BM86" s="102"/>
      <c r="BN86" s="102"/>
      <c r="BO86" s="102"/>
      <c r="BP86" s="102"/>
      <c r="BQ86" s="102"/>
      <c r="BR86" s="102"/>
      <c r="BS86" s="102"/>
      <c r="BT86" s="102"/>
      <c r="BU86" s="102"/>
      <c r="BV86" s="102"/>
      <c r="BW86" s="102"/>
      <c r="BX86" s="102"/>
      <c r="BY86" s="102"/>
      <c r="BZ86" s="102"/>
      <c r="CA86" s="102"/>
      <c r="CB86" s="102"/>
      <c r="CC86" s="122"/>
      <c r="CD86" s="123">
        <f t="shared" si="63"/>
        <v>3980000</v>
      </c>
      <c r="CE86" s="102">
        <f t="shared" si="64"/>
        <v>796000</v>
      </c>
      <c r="CF86" s="102">
        <f t="shared" si="65"/>
        <v>796000</v>
      </c>
      <c r="CG86" s="102">
        <f t="shared" si="66"/>
        <v>0</v>
      </c>
      <c r="CH86" s="124">
        <f t="shared" si="67"/>
        <v>3184000</v>
      </c>
      <c r="CI86" s="125">
        <f t="shared" si="68"/>
        <v>0.2</v>
      </c>
      <c r="CJ86" s="126" t="str">
        <f t="shared" si="69"/>
        <v>数据正确</v>
      </c>
    </row>
    <row r="87" s="60" customFormat="1" customHeight="1" spans="1:88">
      <c r="A87" s="60" t="s">
        <v>36</v>
      </c>
      <c r="B87" s="70" t="str">
        <f t="shared" si="59"/>
        <v>-</v>
      </c>
      <c r="C87" s="71" t="str">
        <f t="shared" si="60"/>
        <v>-</v>
      </c>
      <c r="D87" s="72">
        <f t="shared" si="61"/>
        <v>0</v>
      </c>
      <c r="E87" s="72">
        <v>0</v>
      </c>
      <c r="F87" s="72">
        <v>0</v>
      </c>
      <c r="G87" s="72">
        <v>0</v>
      </c>
      <c r="H87" s="72">
        <v>0</v>
      </c>
      <c r="I87" s="72">
        <f t="shared" si="62"/>
        <v>0</v>
      </c>
      <c r="J87" s="190" t="s">
        <v>98</v>
      </c>
      <c r="K87" s="87"/>
      <c r="L87" s="88">
        <v>214</v>
      </c>
      <c r="M87" s="89" t="s">
        <v>756</v>
      </c>
      <c r="N87" s="191" t="s">
        <v>29</v>
      </c>
      <c r="O87" s="90">
        <v>2017050044</v>
      </c>
      <c r="P87" s="91">
        <v>42909</v>
      </c>
      <c r="Q87" s="173">
        <v>560000</v>
      </c>
      <c r="R87" s="89" t="s">
        <v>757</v>
      </c>
      <c r="S87" s="89" t="s">
        <v>758</v>
      </c>
      <c r="T87" s="89"/>
      <c r="U87" s="103" t="s">
        <v>625</v>
      </c>
      <c r="V87" s="105" t="s">
        <v>754</v>
      </c>
      <c r="W87" s="102">
        <v>112000</v>
      </c>
      <c r="X87" s="102"/>
      <c r="Y87" s="102"/>
      <c r="Z87" s="107" t="s">
        <v>519</v>
      </c>
      <c r="AA87" s="102">
        <v>224000</v>
      </c>
      <c r="AB87" s="102"/>
      <c r="AC87" s="102"/>
      <c r="AD87" s="107" t="s">
        <v>755</v>
      </c>
      <c r="AE87" s="102">
        <v>168000</v>
      </c>
      <c r="AF87" s="102"/>
      <c r="AG87" s="102"/>
      <c r="AH87" s="107" t="s">
        <v>693</v>
      </c>
      <c r="AI87" s="102">
        <v>56000</v>
      </c>
      <c r="AJ87" s="102"/>
      <c r="AK87" s="102"/>
      <c r="AL87" s="107"/>
      <c r="AM87" s="102"/>
      <c r="AN87" s="102"/>
      <c r="AO87" s="102"/>
      <c r="AP87" s="107"/>
      <c r="AQ87" s="102"/>
      <c r="AR87" s="102"/>
      <c r="AS87" s="102"/>
      <c r="AT87" s="107"/>
      <c r="AU87" s="102"/>
      <c r="AV87" s="102"/>
      <c r="AW87" s="102"/>
      <c r="AX87" s="107"/>
      <c r="AY87" s="102"/>
      <c r="AZ87" s="102"/>
      <c r="BA87" s="102"/>
      <c r="BB87" s="102"/>
      <c r="BC87" s="102"/>
      <c r="BD87" s="102"/>
      <c r="BE87" s="102"/>
      <c r="BF87" s="102"/>
      <c r="BG87" s="102"/>
      <c r="BH87" s="102"/>
      <c r="BI87" s="102"/>
      <c r="BJ87" s="102"/>
      <c r="BK87" s="102"/>
      <c r="BL87" s="102"/>
      <c r="BM87" s="102"/>
      <c r="BN87" s="102"/>
      <c r="BO87" s="102"/>
      <c r="BP87" s="102"/>
      <c r="BQ87" s="102"/>
      <c r="BR87" s="102"/>
      <c r="BS87" s="102"/>
      <c r="BT87" s="102"/>
      <c r="BU87" s="102"/>
      <c r="BV87" s="102"/>
      <c r="BW87" s="102"/>
      <c r="BX87" s="102"/>
      <c r="BY87" s="102"/>
      <c r="BZ87" s="102"/>
      <c r="CA87" s="102"/>
      <c r="CB87" s="102"/>
      <c r="CC87" s="122"/>
      <c r="CD87" s="123">
        <f t="shared" si="63"/>
        <v>560000</v>
      </c>
      <c r="CE87" s="102">
        <f t="shared" si="64"/>
        <v>0</v>
      </c>
      <c r="CF87" s="102">
        <f t="shared" si="65"/>
        <v>0</v>
      </c>
      <c r="CG87" s="102">
        <f t="shared" si="66"/>
        <v>0</v>
      </c>
      <c r="CH87" s="124">
        <f t="shared" si="67"/>
        <v>560000</v>
      </c>
      <c r="CI87" s="125">
        <f t="shared" si="68"/>
        <v>0</v>
      </c>
      <c r="CJ87" s="126" t="str">
        <f t="shared" si="69"/>
        <v>数据正确</v>
      </c>
    </row>
    <row r="88" s="60" customFormat="1" customHeight="1" spans="1:88">
      <c r="A88" s="60" t="s">
        <v>36</v>
      </c>
      <c r="B88" s="70" t="str">
        <f t="shared" si="59"/>
        <v>-</v>
      </c>
      <c r="C88" s="71" t="str">
        <f t="shared" si="60"/>
        <v>-</v>
      </c>
      <c r="D88" s="72">
        <f t="shared" si="61"/>
        <v>0</v>
      </c>
      <c r="E88" s="72">
        <v>0</v>
      </c>
      <c r="F88" s="72">
        <v>0</v>
      </c>
      <c r="G88" s="72">
        <v>0</v>
      </c>
      <c r="H88" s="72">
        <v>0</v>
      </c>
      <c r="I88" s="72">
        <f t="shared" si="62"/>
        <v>0</v>
      </c>
      <c r="J88" s="190" t="s">
        <v>98</v>
      </c>
      <c r="K88" s="87"/>
      <c r="L88" s="88">
        <v>215</v>
      </c>
      <c r="M88" s="89" t="s">
        <v>759</v>
      </c>
      <c r="N88" s="191" t="s">
        <v>29</v>
      </c>
      <c r="O88" s="90">
        <v>2017060010</v>
      </c>
      <c r="P88" s="91">
        <v>42920</v>
      </c>
      <c r="Q88" s="173">
        <v>85000</v>
      </c>
      <c r="R88" s="89" t="s">
        <v>760</v>
      </c>
      <c r="S88" s="89" t="s">
        <v>758</v>
      </c>
      <c r="T88" s="89"/>
      <c r="U88" s="103" t="s">
        <v>625</v>
      </c>
      <c r="V88" s="105" t="s">
        <v>761</v>
      </c>
      <c r="W88" s="102">
        <v>17000</v>
      </c>
      <c r="X88" s="102"/>
      <c r="Y88" s="102"/>
      <c r="Z88" s="107" t="s">
        <v>519</v>
      </c>
      <c r="AA88" s="102">
        <v>34000</v>
      </c>
      <c r="AB88" s="102"/>
      <c r="AC88" s="102"/>
      <c r="AD88" s="107" t="s">
        <v>755</v>
      </c>
      <c r="AE88" s="102">
        <v>25500</v>
      </c>
      <c r="AF88" s="102"/>
      <c r="AG88" s="102"/>
      <c r="AH88" s="107" t="s">
        <v>693</v>
      </c>
      <c r="AI88" s="102">
        <v>8500</v>
      </c>
      <c r="AJ88" s="102"/>
      <c r="AK88" s="102"/>
      <c r="AL88" s="107"/>
      <c r="AM88" s="102"/>
      <c r="AN88" s="102"/>
      <c r="AO88" s="102"/>
      <c r="AP88" s="107"/>
      <c r="AQ88" s="102"/>
      <c r="AR88" s="102"/>
      <c r="AS88" s="102"/>
      <c r="AT88" s="107"/>
      <c r="AU88" s="102"/>
      <c r="AV88" s="102"/>
      <c r="AW88" s="102"/>
      <c r="AX88" s="107"/>
      <c r="AY88" s="102"/>
      <c r="AZ88" s="102"/>
      <c r="BA88" s="102"/>
      <c r="BB88" s="102"/>
      <c r="BC88" s="102"/>
      <c r="BD88" s="102"/>
      <c r="BE88" s="102"/>
      <c r="BF88" s="102"/>
      <c r="BG88" s="102"/>
      <c r="BH88" s="102"/>
      <c r="BI88" s="102"/>
      <c r="BJ88" s="102"/>
      <c r="BK88" s="102"/>
      <c r="BL88" s="102"/>
      <c r="BM88" s="102"/>
      <c r="BN88" s="102"/>
      <c r="BO88" s="102"/>
      <c r="BP88" s="102"/>
      <c r="BQ88" s="102"/>
      <c r="BR88" s="102"/>
      <c r="BS88" s="102"/>
      <c r="BT88" s="102"/>
      <c r="BU88" s="102"/>
      <c r="BV88" s="102"/>
      <c r="BW88" s="102"/>
      <c r="BX88" s="102"/>
      <c r="BY88" s="102"/>
      <c r="BZ88" s="102"/>
      <c r="CA88" s="102"/>
      <c r="CB88" s="102"/>
      <c r="CC88" s="122"/>
      <c r="CD88" s="123">
        <f t="shared" si="63"/>
        <v>85000</v>
      </c>
      <c r="CE88" s="102">
        <f t="shared" si="64"/>
        <v>0</v>
      </c>
      <c r="CF88" s="102">
        <f t="shared" si="65"/>
        <v>0</v>
      </c>
      <c r="CG88" s="102">
        <f t="shared" si="66"/>
        <v>0</v>
      </c>
      <c r="CH88" s="124">
        <f t="shared" si="67"/>
        <v>85000</v>
      </c>
      <c r="CI88" s="125">
        <f t="shared" si="68"/>
        <v>0</v>
      </c>
      <c r="CJ88" s="126" t="str">
        <f t="shared" si="69"/>
        <v>数据正确</v>
      </c>
    </row>
    <row r="89" s="60" customFormat="1" customHeight="1" spans="1:88">
      <c r="A89" s="60" t="s">
        <v>36</v>
      </c>
      <c r="B89" s="70" t="str">
        <f t="shared" si="59"/>
        <v>申请中</v>
      </c>
      <c r="C89" s="71" t="str">
        <f t="shared" si="60"/>
        <v>-</v>
      </c>
      <c r="D89" s="72">
        <f t="shared" si="61"/>
        <v>0</v>
      </c>
      <c r="E89" s="72">
        <v>0</v>
      </c>
      <c r="F89" s="72">
        <v>0</v>
      </c>
      <c r="G89" s="72">
        <v>0</v>
      </c>
      <c r="H89" s="72">
        <v>0</v>
      </c>
      <c r="I89" s="72">
        <f t="shared" si="62"/>
        <v>84000</v>
      </c>
      <c r="J89" s="190" t="s">
        <v>98</v>
      </c>
      <c r="K89" s="87"/>
      <c r="L89" s="88">
        <v>216</v>
      </c>
      <c r="M89" s="89" t="s">
        <v>762</v>
      </c>
      <c r="N89" s="191" t="s">
        <v>29</v>
      </c>
      <c r="O89" s="90">
        <v>2017060074</v>
      </c>
      <c r="P89" s="91">
        <v>42942</v>
      </c>
      <c r="Q89" s="173">
        <v>140000</v>
      </c>
      <c r="R89" s="89" t="s">
        <v>763</v>
      </c>
      <c r="S89" s="89" t="s">
        <v>643</v>
      </c>
      <c r="T89" s="89" t="s">
        <v>490</v>
      </c>
      <c r="U89" s="103" t="s">
        <v>625</v>
      </c>
      <c r="V89" s="105" t="s">
        <v>764</v>
      </c>
      <c r="W89" s="102">
        <v>42000</v>
      </c>
      <c r="X89" s="102"/>
      <c r="Y89" s="102"/>
      <c r="Z89" s="107" t="s">
        <v>765</v>
      </c>
      <c r="AA89" s="102">
        <v>84000</v>
      </c>
      <c r="AB89" s="102">
        <v>84000</v>
      </c>
      <c r="AC89" s="102"/>
      <c r="AD89" s="107" t="s">
        <v>693</v>
      </c>
      <c r="AE89" s="102">
        <v>14000</v>
      </c>
      <c r="AF89" s="102"/>
      <c r="AG89" s="102"/>
      <c r="AH89" s="107"/>
      <c r="AI89" s="102"/>
      <c r="AJ89" s="102"/>
      <c r="AK89" s="102"/>
      <c r="AL89" s="107"/>
      <c r="AM89" s="102"/>
      <c r="AN89" s="102"/>
      <c r="AO89" s="102"/>
      <c r="AP89" s="107"/>
      <c r="AQ89" s="102"/>
      <c r="AR89" s="102"/>
      <c r="AS89" s="102"/>
      <c r="AT89" s="107"/>
      <c r="AU89" s="102"/>
      <c r="AV89" s="102"/>
      <c r="AW89" s="102"/>
      <c r="AX89" s="107"/>
      <c r="AY89" s="102"/>
      <c r="AZ89" s="102"/>
      <c r="BA89" s="102"/>
      <c r="BB89" s="102"/>
      <c r="BC89" s="102"/>
      <c r="BD89" s="102"/>
      <c r="BE89" s="102"/>
      <c r="BF89" s="102"/>
      <c r="BG89" s="102"/>
      <c r="BH89" s="102"/>
      <c r="BI89" s="102"/>
      <c r="BJ89" s="102"/>
      <c r="BK89" s="102"/>
      <c r="BL89" s="102"/>
      <c r="BM89" s="102"/>
      <c r="BN89" s="102"/>
      <c r="BO89" s="102"/>
      <c r="BP89" s="102"/>
      <c r="BQ89" s="102"/>
      <c r="BR89" s="102"/>
      <c r="BS89" s="102"/>
      <c r="BT89" s="102"/>
      <c r="BU89" s="102"/>
      <c r="BV89" s="102"/>
      <c r="BW89" s="102"/>
      <c r="BX89" s="102"/>
      <c r="BY89" s="102"/>
      <c r="BZ89" s="102"/>
      <c r="CA89" s="102"/>
      <c r="CB89" s="102"/>
      <c r="CC89" s="122"/>
      <c r="CD89" s="123">
        <f t="shared" si="63"/>
        <v>140000</v>
      </c>
      <c r="CE89" s="102">
        <f t="shared" si="64"/>
        <v>84000</v>
      </c>
      <c r="CF89" s="102">
        <f t="shared" si="65"/>
        <v>0</v>
      </c>
      <c r="CG89" s="102">
        <f t="shared" si="66"/>
        <v>0</v>
      </c>
      <c r="CH89" s="124">
        <f t="shared" si="67"/>
        <v>140000</v>
      </c>
      <c r="CI89" s="125">
        <f t="shared" si="68"/>
        <v>0</v>
      </c>
      <c r="CJ89" s="126" t="str">
        <f t="shared" si="69"/>
        <v>数据正确</v>
      </c>
    </row>
    <row r="90" s="60" customFormat="1" customHeight="1" spans="1:88">
      <c r="A90" s="60" t="s">
        <v>36</v>
      </c>
      <c r="B90" s="70" t="str">
        <f t="shared" si="59"/>
        <v>-</v>
      </c>
      <c r="C90" s="71" t="str">
        <f t="shared" si="60"/>
        <v>-</v>
      </c>
      <c r="D90" s="72">
        <f t="shared" si="61"/>
        <v>0</v>
      </c>
      <c r="E90" s="72">
        <v>0</v>
      </c>
      <c r="F90" s="72">
        <v>0</v>
      </c>
      <c r="G90" s="72">
        <v>0</v>
      </c>
      <c r="H90" s="72">
        <v>0</v>
      </c>
      <c r="I90" s="72">
        <f t="shared" si="62"/>
        <v>0</v>
      </c>
      <c r="J90" s="190" t="s">
        <v>98</v>
      </c>
      <c r="K90" s="87"/>
      <c r="L90" s="88">
        <v>217</v>
      </c>
      <c r="M90" s="89" t="s">
        <v>766</v>
      </c>
      <c r="N90" s="191" t="s">
        <v>29</v>
      </c>
      <c r="O90" s="90">
        <v>2017050009</v>
      </c>
      <c r="P90" s="91">
        <v>42975</v>
      </c>
      <c r="Q90" s="173">
        <v>288000</v>
      </c>
      <c r="R90" s="89" t="s">
        <v>767</v>
      </c>
      <c r="S90" s="89" t="s">
        <v>768</v>
      </c>
      <c r="T90" s="89"/>
      <c r="U90" s="103" t="s">
        <v>769</v>
      </c>
      <c r="V90" s="185" t="s">
        <v>770</v>
      </c>
      <c r="W90" s="102">
        <v>172800</v>
      </c>
      <c r="X90" s="102"/>
      <c r="Y90" s="102"/>
      <c r="Z90" s="107" t="s">
        <v>692</v>
      </c>
      <c r="AA90" s="102">
        <v>86400</v>
      </c>
      <c r="AB90" s="102"/>
      <c r="AC90" s="102"/>
      <c r="AD90" s="107" t="s">
        <v>693</v>
      </c>
      <c r="AE90" s="102">
        <v>28800</v>
      </c>
      <c r="AF90" s="102"/>
      <c r="AG90" s="102"/>
      <c r="AH90" s="107"/>
      <c r="AI90" s="102"/>
      <c r="AJ90" s="102"/>
      <c r="AK90" s="102"/>
      <c r="AL90" s="107"/>
      <c r="AM90" s="102"/>
      <c r="AN90" s="102"/>
      <c r="AO90" s="102"/>
      <c r="AP90" s="107"/>
      <c r="AQ90" s="102"/>
      <c r="AR90" s="102"/>
      <c r="AS90" s="102"/>
      <c r="AT90" s="107"/>
      <c r="AU90" s="102"/>
      <c r="AV90" s="102"/>
      <c r="AW90" s="102"/>
      <c r="AX90" s="107"/>
      <c r="AY90" s="102"/>
      <c r="AZ90" s="102"/>
      <c r="BA90" s="102"/>
      <c r="BB90" s="102"/>
      <c r="BC90" s="102"/>
      <c r="BD90" s="102"/>
      <c r="BE90" s="102"/>
      <c r="BF90" s="102"/>
      <c r="BG90" s="102"/>
      <c r="BH90" s="102"/>
      <c r="BI90" s="102"/>
      <c r="BJ90" s="102"/>
      <c r="BK90" s="102"/>
      <c r="BL90" s="102"/>
      <c r="BM90" s="102"/>
      <c r="BN90" s="102"/>
      <c r="BO90" s="102"/>
      <c r="BP90" s="102"/>
      <c r="BQ90" s="102"/>
      <c r="BR90" s="102"/>
      <c r="BS90" s="102"/>
      <c r="BT90" s="102"/>
      <c r="BU90" s="102"/>
      <c r="BV90" s="102"/>
      <c r="BW90" s="102"/>
      <c r="BX90" s="102"/>
      <c r="BY90" s="102"/>
      <c r="BZ90" s="102"/>
      <c r="CA90" s="102"/>
      <c r="CB90" s="102"/>
      <c r="CC90" s="122"/>
      <c r="CD90" s="123">
        <f t="shared" si="63"/>
        <v>288000</v>
      </c>
      <c r="CE90" s="102">
        <f t="shared" si="64"/>
        <v>0</v>
      </c>
      <c r="CF90" s="102">
        <f t="shared" si="65"/>
        <v>0</v>
      </c>
      <c r="CG90" s="102">
        <f t="shared" si="66"/>
        <v>0</v>
      </c>
      <c r="CH90" s="124">
        <f t="shared" si="67"/>
        <v>288000</v>
      </c>
      <c r="CI90" s="125">
        <f t="shared" si="68"/>
        <v>0</v>
      </c>
      <c r="CJ90" s="126" t="str">
        <f t="shared" si="69"/>
        <v>数据正确</v>
      </c>
    </row>
    <row r="91" s="60" customFormat="1" customHeight="1" spans="1:88">
      <c r="A91" s="60" t="s">
        <v>36</v>
      </c>
      <c r="B91" s="70" t="str">
        <f t="shared" si="59"/>
        <v>-</v>
      </c>
      <c r="C91" s="71" t="str">
        <f t="shared" si="60"/>
        <v>-</v>
      </c>
      <c r="D91" s="72">
        <f t="shared" si="61"/>
        <v>300000</v>
      </c>
      <c r="E91" s="72">
        <v>0</v>
      </c>
      <c r="F91" s="72">
        <v>0</v>
      </c>
      <c r="G91" s="72">
        <v>0</v>
      </c>
      <c r="H91" s="72">
        <v>0</v>
      </c>
      <c r="I91" s="72">
        <f t="shared" si="62"/>
        <v>0</v>
      </c>
      <c r="J91" s="190" t="s">
        <v>98</v>
      </c>
      <c r="K91" s="87"/>
      <c r="L91" s="88">
        <v>218</v>
      </c>
      <c r="M91" s="89" t="s">
        <v>771</v>
      </c>
      <c r="N91" s="191" t="s">
        <v>29</v>
      </c>
      <c r="O91" s="90">
        <v>2017060079</v>
      </c>
      <c r="P91" s="91">
        <v>42948</v>
      </c>
      <c r="Q91" s="173">
        <v>1500000</v>
      </c>
      <c r="R91" s="89" t="s">
        <v>772</v>
      </c>
      <c r="S91" s="89" t="s">
        <v>561</v>
      </c>
      <c r="T91" s="89"/>
      <c r="U91" s="103" t="s">
        <v>625</v>
      </c>
      <c r="V91" s="105" t="s">
        <v>773</v>
      </c>
      <c r="W91" s="102">
        <v>300000</v>
      </c>
      <c r="X91" s="102">
        <v>300000</v>
      </c>
      <c r="Y91" s="102">
        <v>300000</v>
      </c>
      <c r="Z91" s="107" t="s">
        <v>519</v>
      </c>
      <c r="AA91" s="102">
        <v>600000</v>
      </c>
      <c r="AB91" s="102"/>
      <c r="AC91" s="102"/>
      <c r="AD91" s="107" t="s">
        <v>692</v>
      </c>
      <c r="AE91" s="102">
        <v>450000</v>
      </c>
      <c r="AF91" s="102"/>
      <c r="AG91" s="102"/>
      <c r="AH91" s="107" t="s">
        <v>693</v>
      </c>
      <c r="AI91" s="102">
        <v>150000</v>
      </c>
      <c r="AJ91" s="102"/>
      <c r="AK91" s="102"/>
      <c r="AL91" s="107"/>
      <c r="AM91" s="102"/>
      <c r="AN91" s="102"/>
      <c r="AO91" s="102"/>
      <c r="AP91" s="107"/>
      <c r="AQ91" s="102"/>
      <c r="AR91" s="102"/>
      <c r="AS91" s="102"/>
      <c r="AT91" s="107"/>
      <c r="AU91" s="102"/>
      <c r="AV91" s="102"/>
      <c r="AW91" s="102"/>
      <c r="AX91" s="107"/>
      <c r="AY91" s="102"/>
      <c r="AZ91" s="102"/>
      <c r="BA91" s="102"/>
      <c r="BB91" s="102"/>
      <c r="BC91" s="102"/>
      <c r="BD91" s="102"/>
      <c r="BE91" s="102"/>
      <c r="BF91" s="102"/>
      <c r="BG91" s="102"/>
      <c r="BH91" s="102"/>
      <c r="BI91" s="102"/>
      <c r="BJ91" s="102"/>
      <c r="BK91" s="102"/>
      <c r="BL91" s="102"/>
      <c r="BM91" s="102"/>
      <c r="BN91" s="102"/>
      <c r="BO91" s="102"/>
      <c r="BP91" s="102"/>
      <c r="BQ91" s="102"/>
      <c r="BR91" s="102"/>
      <c r="BS91" s="102"/>
      <c r="BT91" s="102"/>
      <c r="BU91" s="102"/>
      <c r="BV91" s="102"/>
      <c r="BW91" s="102"/>
      <c r="BX91" s="102"/>
      <c r="BY91" s="102"/>
      <c r="BZ91" s="102"/>
      <c r="CA91" s="102"/>
      <c r="CB91" s="102"/>
      <c r="CC91" s="122"/>
      <c r="CD91" s="123">
        <f t="shared" si="63"/>
        <v>1500000</v>
      </c>
      <c r="CE91" s="102">
        <f t="shared" si="64"/>
        <v>300000</v>
      </c>
      <c r="CF91" s="102">
        <f t="shared" si="65"/>
        <v>300000</v>
      </c>
      <c r="CG91" s="102">
        <f t="shared" si="66"/>
        <v>0</v>
      </c>
      <c r="CH91" s="124">
        <f t="shared" si="67"/>
        <v>1200000</v>
      </c>
      <c r="CI91" s="125">
        <f t="shared" si="68"/>
        <v>0.2</v>
      </c>
      <c r="CJ91" s="126" t="str">
        <f t="shared" si="69"/>
        <v>数据正确</v>
      </c>
    </row>
    <row r="92" s="60" customFormat="1" customHeight="1" spans="1:88">
      <c r="A92" s="60" t="s">
        <v>36</v>
      </c>
      <c r="B92" s="70" t="str">
        <f t="shared" si="59"/>
        <v>-</v>
      </c>
      <c r="C92" s="71" t="str">
        <f t="shared" si="60"/>
        <v>-</v>
      </c>
      <c r="D92" s="72">
        <f t="shared" si="61"/>
        <v>44000</v>
      </c>
      <c r="E92" s="72">
        <v>0</v>
      </c>
      <c r="F92" s="72">
        <v>0</v>
      </c>
      <c r="G92" s="72">
        <v>0</v>
      </c>
      <c r="H92" s="72">
        <v>0</v>
      </c>
      <c r="I92" s="72">
        <f t="shared" si="62"/>
        <v>0</v>
      </c>
      <c r="J92" s="190" t="s">
        <v>98</v>
      </c>
      <c r="K92" s="87"/>
      <c r="L92" s="88">
        <v>219</v>
      </c>
      <c r="M92" s="89" t="s">
        <v>774</v>
      </c>
      <c r="N92" s="191" t="s">
        <v>29</v>
      </c>
      <c r="O92" s="90">
        <v>2017060078</v>
      </c>
      <c r="P92" s="91">
        <v>42951</v>
      </c>
      <c r="Q92" s="173">
        <v>238000</v>
      </c>
      <c r="R92" s="89" t="s">
        <v>775</v>
      </c>
      <c r="S92" s="148" t="s">
        <v>391</v>
      </c>
      <c r="T92" s="89" t="s">
        <v>490</v>
      </c>
      <c r="U92" s="103" t="s">
        <v>625</v>
      </c>
      <c r="V92" s="105" t="s">
        <v>776</v>
      </c>
      <c r="W92" s="102">
        <v>44000</v>
      </c>
      <c r="X92" s="102">
        <v>44000</v>
      </c>
      <c r="Y92" s="102">
        <v>44000</v>
      </c>
      <c r="Z92" s="107" t="s">
        <v>519</v>
      </c>
      <c r="AA92" s="102">
        <v>98800</v>
      </c>
      <c r="AB92" s="102"/>
      <c r="AC92" s="102"/>
      <c r="AD92" s="107" t="s">
        <v>692</v>
      </c>
      <c r="AE92" s="102">
        <v>71400</v>
      </c>
      <c r="AF92" s="102"/>
      <c r="AG92" s="102"/>
      <c r="AH92" s="107" t="s">
        <v>693</v>
      </c>
      <c r="AI92" s="102">
        <v>23800</v>
      </c>
      <c r="AJ92" s="102"/>
      <c r="AK92" s="102"/>
      <c r="AL92" s="107"/>
      <c r="AM92" s="102"/>
      <c r="AN92" s="102"/>
      <c r="AO92" s="102"/>
      <c r="AP92" s="107"/>
      <c r="AQ92" s="102"/>
      <c r="AR92" s="102"/>
      <c r="AS92" s="102"/>
      <c r="AT92" s="107"/>
      <c r="AU92" s="102"/>
      <c r="AV92" s="102"/>
      <c r="AW92" s="102"/>
      <c r="AX92" s="107"/>
      <c r="AY92" s="102"/>
      <c r="AZ92" s="102"/>
      <c r="BA92" s="102"/>
      <c r="BB92" s="102"/>
      <c r="BC92" s="102"/>
      <c r="BD92" s="102"/>
      <c r="BE92" s="102"/>
      <c r="BF92" s="102"/>
      <c r="BG92" s="102"/>
      <c r="BH92" s="102"/>
      <c r="BI92" s="102"/>
      <c r="BJ92" s="102"/>
      <c r="BK92" s="102"/>
      <c r="BL92" s="102"/>
      <c r="BM92" s="102"/>
      <c r="BN92" s="102"/>
      <c r="BO92" s="102"/>
      <c r="BP92" s="102"/>
      <c r="BQ92" s="102"/>
      <c r="BR92" s="102"/>
      <c r="BS92" s="102"/>
      <c r="BT92" s="102"/>
      <c r="BU92" s="102"/>
      <c r="BV92" s="102"/>
      <c r="BW92" s="102"/>
      <c r="BX92" s="102"/>
      <c r="BY92" s="102"/>
      <c r="BZ92" s="102"/>
      <c r="CA92" s="102"/>
      <c r="CB92" s="102"/>
      <c r="CC92" s="122"/>
      <c r="CD92" s="123">
        <f t="shared" si="63"/>
        <v>238000</v>
      </c>
      <c r="CE92" s="102">
        <f t="shared" si="64"/>
        <v>44000</v>
      </c>
      <c r="CF92" s="102">
        <f t="shared" si="65"/>
        <v>44000</v>
      </c>
      <c r="CG92" s="102">
        <f t="shared" si="66"/>
        <v>0</v>
      </c>
      <c r="CH92" s="124">
        <f t="shared" si="67"/>
        <v>194000</v>
      </c>
      <c r="CI92" s="125">
        <f t="shared" si="68"/>
        <v>0.184873949579832</v>
      </c>
      <c r="CJ92" s="126" t="str">
        <f t="shared" si="69"/>
        <v>数据正确</v>
      </c>
    </row>
    <row r="93" s="60" customFormat="1" customHeight="1" spans="1:88">
      <c r="A93" s="60" t="s">
        <v>36</v>
      </c>
      <c r="B93" s="70" t="str">
        <f t="shared" si="59"/>
        <v>-</v>
      </c>
      <c r="C93" s="71" t="str">
        <f t="shared" si="60"/>
        <v>-</v>
      </c>
      <c r="D93" s="72">
        <f t="shared" si="61"/>
        <v>0</v>
      </c>
      <c r="E93" s="72">
        <v>0</v>
      </c>
      <c r="F93" s="72">
        <v>0</v>
      </c>
      <c r="G93" s="72">
        <v>0</v>
      </c>
      <c r="H93" s="72">
        <v>0</v>
      </c>
      <c r="I93" s="72">
        <f t="shared" si="62"/>
        <v>0</v>
      </c>
      <c r="J93" s="190" t="s">
        <v>98</v>
      </c>
      <c r="K93" s="87"/>
      <c r="L93" s="88">
        <v>220</v>
      </c>
      <c r="M93" s="89" t="s">
        <v>777</v>
      </c>
      <c r="N93" s="191" t="s">
        <v>29</v>
      </c>
      <c r="O93" s="90">
        <v>2017070057</v>
      </c>
      <c r="P93" s="91">
        <v>42958</v>
      </c>
      <c r="Q93" s="173">
        <v>5790000</v>
      </c>
      <c r="R93" s="89" t="s">
        <v>778</v>
      </c>
      <c r="S93" s="89" t="s">
        <v>779</v>
      </c>
      <c r="T93" s="89"/>
      <c r="U93" s="103" t="s">
        <v>343</v>
      </c>
      <c r="V93" s="105" t="s">
        <v>773</v>
      </c>
      <c r="W93" s="102">
        <v>1158000</v>
      </c>
      <c r="X93" s="102"/>
      <c r="Y93" s="102"/>
      <c r="Z93" s="107" t="s">
        <v>765</v>
      </c>
      <c r="AA93" s="102">
        <v>3474000</v>
      </c>
      <c r="AB93" s="102"/>
      <c r="AC93" s="102"/>
      <c r="AD93" s="107" t="s">
        <v>780</v>
      </c>
      <c r="AE93" s="102">
        <v>579000</v>
      </c>
      <c r="AF93" s="102"/>
      <c r="AG93" s="102"/>
      <c r="AH93" s="107" t="s">
        <v>693</v>
      </c>
      <c r="AI93" s="102">
        <v>579000</v>
      </c>
      <c r="AJ93" s="102"/>
      <c r="AK93" s="102"/>
      <c r="AL93" s="107"/>
      <c r="AM93" s="102"/>
      <c r="AN93" s="102"/>
      <c r="AO93" s="102"/>
      <c r="AP93" s="107"/>
      <c r="AQ93" s="102"/>
      <c r="AR93" s="102"/>
      <c r="AS93" s="102"/>
      <c r="AT93" s="107"/>
      <c r="AU93" s="102"/>
      <c r="AV93" s="102"/>
      <c r="AW93" s="102"/>
      <c r="AX93" s="107"/>
      <c r="AY93" s="102"/>
      <c r="AZ93" s="102"/>
      <c r="BA93" s="102"/>
      <c r="BB93" s="102"/>
      <c r="BC93" s="102"/>
      <c r="BD93" s="102"/>
      <c r="BE93" s="102"/>
      <c r="BF93" s="102"/>
      <c r="BG93" s="102"/>
      <c r="BH93" s="102"/>
      <c r="BI93" s="102"/>
      <c r="BJ93" s="102"/>
      <c r="BK93" s="102"/>
      <c r="BL93" s="102"/>
      <c r="BM93" s="102"/>
      <c r="BN93" s="102"/>
      <c r="BO93" s="102"/>
      <c r="BP93" s="102"/>
      <c r="BQ93" s="102"/>
      <c r="BR93" s="102"/>
      <c r="BS93" s="102"/>
      <c r="BT93" s="102"/>
      <c r="BU93" s="102"/>
      <c r="BV93" s="102"/>
      <c r="BW93" s="102"/>
      <c r="BX93" s="102"/>
      <c r="BY93" s="102"/>
      <c r="BZ93" s="102"/>
      <c r="CA93" s="102"/>
      <c r="CB93" s="102"/>
      <c r="CC93" s="122"/>
      <c r="CD93" s="123">
        <f t="shared" si="63"/>
        <v>5790000</v>
      </c>
      <c r="CE93" s="102">
        <f t="shared" si="64"/>
        <v>0</v>
      </c>
      <c r="CF93" s="102">
        <f t="shared" si="65"/>
        <v>0</v>
      </c>
      <c r="CG93" s="102">
        <f t="shared" si="66"/>
        <v>0</v>
      </c>
      <c r="CH93" s="124">
        <f t="shared" si="67"/>
        <v>5790000</v>
      </c>
      <c r="CI93" s="125">
        <f t="shared" si="68"/>
        <v>0</v>
      </c>
      <c r="CJ93" s="126" t="str">
        <f t="shared" si="69"/>
        <v>数据正确</v>
      </c>
    </row>
    <row r="94" s="60" customFormat="1" customHeight="1" spans="1:88">
      <c r="A94" s="60" t="s">
        <v>36</v>
      </c>
      <c r="B94" s="70" t="str">
        <f t="shared" si="59"/>
        <v>-</v>
      </c>
      <c r="C94" s="71" t="str">
        <f t="shared" si="60"/>
        <v>-</v>
      </c>
      <c r="D94" s="72">
        <f t="shared" si="61"/>
        <v>0</v>
      </c>
      <c r="E94" s="72">
        <v>0</v>
      </c>
      <c r="F94" s="72">
        <v>0</v>
      </c>
      <c r="G94" s="72">
        <v>0</v>
      </c>
      <c r="H94" s="72">
        <v>0</v>
      </c>
      <c r="I94" s="72">
        <f t="shared" si="62"/>
        <v>0</v>
      </c>
      <c r="J94" s="190" t="s">
        <v>98</v>
      </c>
      <c r="K94" s="87"/>
      <c r="L94" s="88">
        <v>221</v>
      </c>
      <c r="M94" s="89" t="s">
        <v>781</v>
      </c>
      <c r="N94" s="191" t="s">
        <v>29</v>
      </c>
      <c r="O94" s="90">
        <v>2017070065</v>
      </c>
      <c r="P94" s="91">
        <v>42973</v>
      </c>
      <c r="Q94" s="173">
        <v>3366000</v>
      </c>
      <c r="R94" s="89" t="s">
        <v>782</v>
      </c>
      <c r="S94" s="89" t="s">
        <v>779</v>
      </c>
      <c r="T94" s="89"/>
      <c r="U94" s="103" t="s">
        <v>343</v>
      </c>
      <c r="V94" s="105" t="s">
        <v>773</v>
      </c>
      <c r="W94" s="102">
        <v>673200</v>
      </c>
      <c r="X94" s="102"/>
      <c r="Y94" s="102"/>
      <c r="Z94" s="107" t="s">
        <v>765</v>
      </c>
      <c r="AA94" s="102">
        <v>2019600</v>
      </c>
      <c r="AB94" s="102"/>
      <c r="AC94" s="102"/>
      <c r="AD94" s="107" t="s">
        <v>780</v>
      </c>
      <c r="AE94" s="102">
        <v>336600</v>
      </c>
      <c r="AF94" s="102"/>
      <c r="AG94" s="102"/>
      <c r="AH94" s="107" t="s">
        <v>693</v>
      </c>
      <c r="AI94" s="102">
        <v>336600</v>
      </c>
      <c r="AJ94" s="102"/>
      <c r="AK94" s="102"/>
      <c r="AL94" s="107"/>
      <c r="AM94" s="102"/>
      <c r="AN94" s="102"/>
      <c r="AO94" s="102"/>
      <c r="AP94" s="107"/>
      <c r="AQ94" s="102"/>
      <c r="AR94" s="102"/>
      <c r="AS94" s="102"/>
      <c r="AT94" s="107"/>
      <c r="AU94" s="102"/>
      <c r="AV94" s="102"/>
      <c r="AW94" s="102"/>
      <c r="AX94" s="107"/>
      <c r="AY94" s="102"/>
      <c r="AZ94" s="102"/>
      <c r="BA94" s="102"/>
      <c r="BB94" s="102"/>
      <c r="BC94" s="102"/>
      <c r="BD94" s="102"/>
      <c r="BE94" s="102"/>
      <c r="BF94" s="102"/>
      <c r="BG94" s="102"/>
      <c r="BH94" s="102"/>
      <c r="BI94" s="102"/>
      <c r="BJ94" s="102"/>
      <c r="BK94" s="102"/>
      <c r="BL94" s="102"/>
      <c r="BM94" s="102"/>
      <c r="BN94" s="102"/>
      <c r="BO94" s="102"/>
      <c r="BP94" s="102"/>
      <c r="BQ94" s="102"/>
      <c r="BR94" s="102"/>
      <c r="BS94" s="102"/>
      <c r="BT94" s="102"/>
      <c r="BU94" s="102"/>
      <c r="BV94" s="102"/>
      <c r="BW94" s="102"/>
      <c r="BX94" s="102"/>
      <c r="BY94" s="102"/>
      <c r="BZ94" s="102"/>
      <c r="CA94" s="102"/>
      <c r="CB94" s="102"/>
      <c r="CC94" s="122"/>
      <c r="CD94" s="123">
        <f t="shared" si="63"/>
        <v>3366000</v>
      </c>
      <c r="CE94" s="102">
        <f t="shared" si="64"/>
        <v>0</v>
      </c>
      <c r="CF94" s="102">
        <f t="shared" si="65"/>
        <v>0</v>
      </c>
      <c r="CG94" s="102">
        <f t="shared" si="66"/>
        <v>0</v>
      </c>
      <c r="CH94" s="124">
        <f t="shared" si="67"/>
        <v>3366000</v>
      </c>
      <c r="CI94" s="125">
        <f t="shared" si="68"/>
        <v>0</v>
      </c>
      <c r="CJ94" s="126" t="str">
        <f t="shared" si="69"/>
        <v>数据正确</v>
      </c>
    </row>
    <row r="95" s="60" customFormat="1" customHeight="1" spans="1:88">
      <c r="A95" s="60" t="s">
        <v>36</v>
      </c>
      <c r="B95" s="70" t="str">
        <f t="shared" si="59"/>
        <v>-</v>
      </c>
      <c r="C95" s="71" t="str">
        <f t="shared" si="60"/>
        <v>-</v>
      </c>
      <c r="D95" s="72">
        <f t="shared" si="61"/>
        <v>256000</v>
      </c>
      <c r="E95" s="72">
        <v>0</v>
      </c>
      <c r="F95" s="72">
        <v>0</v>
      </c>
      <c r="G95" s="72">
        <v>0</v>
      </c>
      <c r="H95" s="72">
        <v>0</v>
      </c>
      <c r="I95" s="72">
        <f t="shared" si="62"/>
        <v>0</v>
      </c>
      <c r="J95" s="190" t="s">
        <v>98</v>
      </c>
      <c r="K95" s="87"/>
      <c r="L95" s="88">
        <v>222</v>
      </c>
      <c r="M95" s="89" t="s">
        <v>783</v>
      </c>
      <c r="N95" s="191" t="s">
        <v>29</v>
      </c>
      <c r="O95" s="90">
        <v>2017050023</v>
      </c>
      <c r="P95" s="91">
        <v>42979</v>
      </c>
      <c r="Q95" s="173">
        <v>1280000</v>
      </c>
      <c r="R95" s="89" t="s">
        <v>784</v>
      </c>
      <c r="S95" s="89" t="s">
        <v>785</v>
      </c>
      <c r="T95" s="89" t="s">
        <v>525</v>
      </c>
      <c r="U95" s="103" t="s">
        <v>343</v>
      </c>
      <c r="V95" s="105" t="s">
        <v>773</v>
      </c>
      <c r="W95" s="102">
        <v>256000</v>
      </c>
      <c r="X95" s="102">
        <v>256000</v>
      </c>
      <c r="Y95" s="102">
        <v>256000</v>
      </c>
      <c r="Z95" s="107" t="s">
        <v>765</v>
      </c>
      <c r="AA95" s="102">
        <v>768000</v>
      </c>
      <c r="AB95" s="102"/>
      <c r="AC95" s="102"/>
      <c r="AD95" s="107" t="s">
        <v>780</v>
      </c>
      <c r="AE95" s="102">
        <v>128000</v>
      </c>
      <c r="AF95" s="102"/>
      <c r="AG95" s="102"/>
      <c r="AH95" s="107" t="s">
        <v>693</v>
      </c>
      <c r="AI95" s="102">
        <v>128000</v>
      </c>
      <c r="AJ95" s="102"/>
      <c r="AK95" s="102"/>
      <c r="AL95" s="107"/>
      <c r="AM95" s="102"/>
      <c r="AN95" s="102"/>
      <c r="AO95" s="102"/>
      <c r="AP95" s="107"/>
      <c r="AQ95" s="102"/>
      <c r="AR95" s="102"/>
      <c r="AS95" s="102"/>
      <c r="AT95" s="107"/>
      <c r="AU95" s="102"/>
      <c r="AV95" s="102"/>
      <c r="AW95" s="102"/>
      <c r="AX95" s="107"/>
      <c r="AY95" s="102"/>
      <c r="AZ95" s="102"/>
      <c r="BA95" s="102"/>
      <c r="BB95" s="102"/>
      <c r="BC95" s="102"/>
      <c r="BD95" s="102"/>
      <c r="BE95" s="102"/>
      <c r="BF95" s="102"/>
      <c r="BG95" s="102"/>
      <c r="BH95" s="102"/>
      <c r="BI95" s="102"/>
      <c r="BJ95" s="102"/>
      <c r="BK95" s="102"/>
      <c r="BL95" s="102"/>
      <c r="BM95" s="102"/>
      <c r="BN95" s="102"/>
      <c r="BO95" s="102"/>
      <c r="BP95" s="102"/>
      <c r="BQ95" s="102"/>
      <c r="BR95" s="102"/>
      <c r="BS95" s="102"/>
      <c r="BT95" s="102"/>
      <c r="BU95" s="102"/>
      <c r="BV95" s="102"/>
      <c r="BW95" s="102"/>
      <c r="BX95" s="102"/>
      <c r="BY95" s="102"/>
      <c r="BZ95" s="102"/>
      <c r="CA95" s="102"/>
      <c r="CB95" s="102"/>
      <c r="CC95" s="122"/>
      <c r="CD95" s="123">
        <f t="shared" si="63"/>
        <v>1280000</v>
      </c>
      <c r="CE95" s="102">
        <f t="shared" si="64"/>
        <v>256000</v>
      </c>
      <c r="CF95" s="102">
        <f t="shared" si="65"/>
        <v>256000</v>
      </c>
      <c r="CG95" s="102">
        <f t="shared" si="66"/>
        <v>0</v>
      </c>
      <c r="CH95" s="124">
        <f t="shared" si="67"/>
        <v>1024000</v>
      </c>
      <c r="CI95" s="125">
        <f t="shared" si="68"/>
        <v>0.2</v>
      </c>
      <c r="CJ95" s="126" t="str">
        <f t="shared" si="69"/>
        <v>数据正确</v>
      </c>
    </row>
    <row r="96" s="60" customFormat="1" customHeight="1" spans="1:88">
      <c r="A96" s="60" t="s">
        <v>36</v>
      </c>
      <c r="B96" s="70" t="str">
        <f t="shared" si="59"/>
        <v>-</v>
      </c>
      <c r="C96" s="71" t="str">
        <f t="shared" si="60"/>
        <v>-</v>
      </c>
      <c r="D96" s="72">
        <f t="shared" si="61"/>
        <v>2346000</v>
      </c>
      <c r="E96" s="72">
        <v>0</v>
      </c>
      <c r="F96" s="72">
        <v>0</v>
      </c>
      <c r="G96" s="72">
        <v>0</v>
      </c>
      <c r="H96" s="72">
        <v>0</v>
      </c>
      <c r="I96" s="72">
        <f t="shared" si="62"/>
        <v>0</v>
      </c>
      <c r="J96" s="190" t="s">
        <v>98</v>
      </c>
      <c r="K96" s="87"/>
      <c r="L96" s="88">
        <v>223</v>
      </c>
      <c r="M96" s="89" t="s">
        <v>786</v>
      </c>
      <c r="N96" s="191" t="s">
        <v>29</v>
      </c>
      <c r="O96" s="90">
        <v>2017070066</v>
      </c>
      <c r="P96" s="91">
        <v>42972</v>
      </c>
      <c r="Q96" s="173">
        <v>7820000</v>
      </c>
      <c r="R96" s="89" t="s">
        <v>787</v>
      </c>
      <c r="S96" s="89" t="s">
        <v>788</v>
      </c>
      <c r="T96" s="89"/>
      <c r="U96" s="103" t="s">
        <v>722</v>
      </c>
      <c r="V96" s="105" t="s">
        <v>789</v>
      </c>
      <c r="W96" s="102">
        <v>2346000</v>
      </c>
      <c r="X96" s="102">
        <v>2346000</v>
      </c>
      <c r="Y96" s="102">
        <v>2346000</v>
      </c>
      <c r="Z96" s="107" t="s">
        <v>790</v>
      </c>
      <c r="AA96" s="102">
        <v>3910000</v>
      </c>
      <c r="AB96" s="102"/>
      <c r="AC96" s="102"/>
      <c r="AD96" s="107" t="s">
        <v>780</v>
      </c>
      <c r="AE96" s="102">
        <v>782000</v>
      </c>
      <c r="AF96" s="102"/>
      <c r="AG96" s="102"/>
      <c r="AH96" s="107" t="s">
        <v>693</v>
      </c>
      <c r="AI96" s="102">
        <v>782000</v>
      </c>
      <c r="AJ96" s="102"/>
      <c r="AK96" s="102"/>
      <c r="AL96" s="107"/>
      <c r="AM96" s="102"/>
      <c r="AN96" s="102"/>
      <c r="AO96" s="102"/>
      <c r="AP96" s="107"/>
      <c r="AQ96" s="102"/>
      <c r="AR96" s="102"/>
      <c r="AS96" s="102"/>
      <c r="AT96" s="107"/>
      <c r="AU96" s="102"/>
      <c r="AV96" s="102"/>
      <c r="AW96" s="102"/>
      <c r="AX96" s="107"/>
      <c r="AY96" s="102"/>
      <c r="AZ96" s="102"/>
      <c r="BA96" s="102"/>
      <c r="BB96" s="102"/>
      <c r="BC96" s="102"/>
      <c r="BD96" s="102"/>
      <c r="BE96" s="102"/>
      <c r="BF96" s="102"/>
      <c r="BG96" s="102"/>
      <c r="BH96" s="102"/>
      <c r="BI96" s="102"/>
      <c r="BJ96" s="102"/>
      <c r="BK96" s="102"/>
      <c r="BL96" s="102"/>
      <c r="BM96" s="102"/>
      <c r="BN96" s="102"/>
      <c r="BO96" s="102"/>
      <c r="BP96" s="102"/>
      <c r="BQ96" s="102"/>
      <c r="BR96" s="102"/>
      <c r="BS96" s="102"/>
      <c r="BT96" s="102"/>
      <c r="BU96" s="102"/>
      <c r="BV96" s="102"/>
      <c r="BW96" s="102"/>
      <c r="BX96" s="102"/>
      <c r="BY96" s="102"/>
      <c r="BZ96" s="102"/>
      <c r="CA96" s="102"/>
      <c r="CB96" s="102"/>
      <c r="CC96" s="122"/>
      <c r="CD96" s="123">
        <f t="shared" si="63"/>
        <v>7820000</v>
      </c>
      <c r="CE96" s="102">
        <f t="shared" si="64"/>
        <v>2346000</v>
      </c>
      <c r="CF96" s="102">
        <f t="shared" si="65"/>
        <v>2346000</v>
      </c>
      <c r="CG96" s="102">
        <f t="shared" si="66"/>
        <v>0</v>
      </c>
      <c r="CH96" s="124">
        <f t="shared" si="67"/>
        <v>5474000</v>
      </c>
      <c r="CI96" s="125">
        <f t="shared" si="68"/>
        <v>0.3</v>
      </c>
      <c r="CJ96" s="126" t="str">
        <f t="shared" si="69"/>
        <v>数据正确</v>
      </c>
    </row>
    <row r="97" s="60" customFormat="1" customHeight="1" spans="1:88">
      <c r="A97" s="60" t="s">
        <v>36</v>
      </c>
      <c r="B97" s="70" t="str">
        <f t="shared" si="59"/>
        <v>-</v>
      </c>
      <c r="C97" s="71" t="str">
        <f t="shared" si="60"/>
        <v>-</v>
      </c>
      <c r="D97" s="72">
        <f t="shared" si="61"/>
        <v>690000</v>
      </c>
      <c r="E97" s="72">
        <v>0</v>
      </c>
      <c r="F97" s="72">
        <v>0</v>
      </c>
      <c r="G97" s="72">
        <v>0</v>
      </c>
      <c r="H97" s="72">
        <v>0</v>
      </c>
      <c r="I97" s="72">
        <f t="shared" si="62"/>
        <v>0</v>
      </c>
      <c r="J97" s="190" t="s">
        <v>98</v>
      </c>
      <c r="K97" s="87"/>
      <c r="L97" s="88">
        <v>225</v>
      </c>
      <c r="M97" s="89" t="s">
        <v>791</v>
      </c>
      <c r="N97" s="191" t="s">
        <v>29</v>
      </c>
      <c r="O97" s="90"/>
      <c r="P97" s="91">
        <v>42962</v>
      </c>
      <c r="Q97" s="173">
        <v>1150000</v>
      </c>
      <c r="R97" s="89" t="s">
        <v>792</v>
      </c>
      <c r="S97" s="89" t="s">
        <v>793</v>
      </c>
      <c r="T97" s="89" t="s">
        <v>794</v>
      </c>
      <c r="U97" s="103" t="s">
        <v>650</v>
      </c>
      <c r="V97" s="105" t="s">
        <v>795</v>
      </c>
      <c r="W97" s="102">
        <v>690000</v>
      </c>
      <c r="X97" s="102">
        <v>690000</v>
      </c>
      <c r="Y97" s="102">
        <v>690000</v>
      </c>
      <c r="Z97" s="107" t="s">
        <v>692</v>
      </c>
      <c r="AA97" s="102">
        <v>345000</v>
      </c>
      <c r="AB97" s="102"/>
      <c r="AC97" s="102"/>
      <c r="AD97" s="107" t="s">
        <v>693</v>
      </c>
      <c r="AE97" s="102">
        <v>115000</v>
      </c>
      <c r="AF97" s="102"/>
      <c r="AG97" s="102"/>
      <c r="AH97" s="107"/>
      <c r="AI97" s="102"/>
      <c r="AJ97" s="102"/>
      <c r="AK97" s="102"/>
      <c r="AL97" s="107"/>
      <c r="AM97" s="102"/>
      <c r="AN97" s="102"/>
      <c r="AO97" s="102"/>
      <c r="AP97" s="107"/>
      <c r="AQ97" s="102"/>
      <c r="AR97" s="102"/>
      <c r="AS97" s="102"/>
      <c r="AT97" s="107"/>
      <c r="AU97" s="102"/>
      <c r="AV97" s="102"/>
      <c r="AW97" s="102"/>
      <c r="AX97" s="107"/>
      <c r="AY97" s="102"/>
      <c r="AZ97" s="102"/>
      <c r="BA97" s="102"/>
      <c r="BB97" s="102"/>
      <c r="BC97" s="102"/>
      <c r="BD97" s="102"/>
      <c r="BE97" s="102"/>
      <c r="BF97" s="102"/>
      <c r="BG97" s="102"/>
      <c r="BH97" s="102"/>
      <c r="BI97" s="102"/>
      <c r="BJ97" s="102"/>
      <c r="BK97" s="102"/>
      <c r="BL97" s="102"/>
      <c r="BM97" s="102"/>
      <c r="BN97" s="102"/>
      <c r="BO97" s="102"/>
      <c r="BP97" s="102"/>
      <c r="BQ97" s="102"/>
      <c r="BR97" s="102"/>
      <c r="BS97" s="102"/>
      <c r="BT97" s="102"/>
      <c r="BU97" s="102"/>
      <c r="BV97" s="102"/>
      <c r="BW97" s="102"/>
      <c r="BX97" s="102"/>
      <c r="BY97" s="102"/>
      <c r="BZ97" s="102"/>
      <c r="CA97" s="102"/>
      <c r="CB97" s="102"/>
      <c r="CC97" s="122"/>
      <c r="CD97" s="123">
        <f t="shared" si="63"/>
        <v>1150000</v>
      </c>
      <c r="CE97" s="102">
        <f t="shared" si="64"/>
        <v>690000</v>
      </c>
      <c r="CF97" s="102">
        <f t="shared" si="65"/>
        <v>690000</v>
      </c>
      <c r="CG97" s="102">
        <f t="shared" si="66"/>
        <v>0</v>
      </c>
      <c r="CH97" s="124">
        <f t="shared" si="67"/>
        <v>460000</v>
      </c>
      <c r="CI97" s="125">
        <f t="shared" si="68"/>
        <v>0.6</v>
      </c>
      <c r="CJ97" s="126" t="str">
        <f t="shared" si="69"/>
        <v>数据正确</v>
      </c>
    </row>
    <row r="98" s="60" customFormat="1" customHeight="1" spans="1:88">
      <c r="A98" s="60" t="s">
        <v>36</v>
      </c>
      <c r="B98" s="70" t="str">
        <f t="shared" si="59"/>
        <v>-</v>
      </c>
      <c r="C98" s="71" t="str">
        <f t="shared" si="60"/>
        <v>-</v>
      </c>
      <c r="D98" s="72">
        <f t="shared" si="61"/>
        <v>304000</v>
      </c>
      <c r="E98" s="72">
        <v>0</v>
      </c>
      <c r="F98" s="72">
        <v>0</v>
      </c>
      <c r="G98" s="72">
        <v>0</v>
      </c>
      <c r="H98" s="72">
        <v>0</v>
      </c>
      <c r="I98" s="72">
        <f t="shared" si="62"/>
        <v>0</v>
      </c>
      <c r="J98" s="190" t="s">
        <v>98</v>
      </c>
      <c r="K98" s="87"/>
      <c r="L98" s="88">
        <v>226</v>
      </c>
      <c r="M98" s="89" t="s">
        <v>796</v>
      </c>
      <c r="N98" s="191" t="s">
        <v>29</v>
      </c>
      <c r="O98" s="90">
        <v>2017060090</v>
      </c>
      <c r="P98" s="91">
        <v>42962</v>
      </c>
      <c r="Q98" s="173">
        <v>1520000</v>
      </c>
      <c r="R98" s="89" t="s">
        <v>797</v>
      </c>
      <c r="S98" s="89" t="s">
        <v>798</v>
      </c>
      <c r="T98" s="89" t="s">
        <v>799</v>
      </c>
      <c r="U98" s="103" t="s">
        <v>650</v>
      </c>
      <c r="V98" s="105" t="s">
        <v>773</v>
      </c>
      <c r="W98" s="102">
        <v>304000</v>
      </c>
      <c r="X98" s="102">
        <v>304000</v>
      </c>
      <c r="Y98" s="102">
        <v>304000</v>
      </c>
      <c r="Z98" s="107" t="s">
        <v>519</v>
      </c>
      <c r="AA98" s="102">
        <v>608000</v>
      </c>
      <c r="AB98" s="102"/>
      <c r="AC98" s="102"/>
      <c r="AD98" s="107" t="s">
        <v>692</v>
      </c>
      <c r="AE98" s="102">
        <v>456000</v>
      </c>
      <c r="AF98" s="102"/>
      <c r="AG98" s="102"/>
      <c r="AH98" s="107" t="s">
        <v>693</v>
      </c>
      <c r="AI98" s="102">
        <v>152000</v>
      </c>
      <c r="AJ98" s="102"/>
      <c r="AK98" s="102"/>
      <c r="AL98" s="107"/>
      <c r="AM98" s="102"/>
      <c r="AN98" s="102"/>
      <c r="AO98" s="102"/>
      <c r="AP98" s="107"/>
      <c r="AQ98" s="102"/>
      <c r="AR98" s="102"/>
      <c r="AS98" s="102"/>
      <c r="AT98" s="107"/>
      <c r="AU98" s="102"/>
      <c r="AV98" s="102"/>
      <c r="AW98" s="102"/>
      <c r="AX98" s="107"/>
      <c r="AY98" s="102"/>
      <c r="AZ98" s="102"/>
      <c r="BA98" s="102"/>
      <c r="BB98" s="102"/>
      <c r="BC98" s="102"/>
      <c r="BD98" s="102"/>
      <c r="BE98" s="102"/>
      <c r="BF98" s="102"/>
      <c r="BG98" s="102"/>
      <c r="BH98" s="102"/>
      <c r="BI98" s="102"/>
      <c r="BJ98" s="102"/>
      <c r="BK98" s="102"/>
      <c r="BL98" s="102"/>
      <c r="BM98" s="102"/>
      <c r="BN98" s="102"/>
      <c r="BO98" s="102"/>
      <c r="BP98" s="102"/>
      <c r="BQ98" s="102"/>
      <c r="BR98" s="102"/>
      <c r="BS98" s="102"/>
      <c r="BT98" s="102"/>
      <c r="BU98" s="102"/>
      <c r="BV98" s="102"/>
      <c r="BW98" s="102"/>
      <c r="BX98" s="102"/>
      <c r="BY98" s="102"/>
      <c r="BZ98" s="102"/>
      <c r="CA98" s="102"/>
      <c r="CB98" s="102"/>
      <c r="CC98" s="122"/>
      <c r="CD98" s="123">
        <f t="shared" si="63"/>
        <v>1520000</v>
      </c>
      <c r="CE98" s="102">
        <f t="shared" si="64"/>
        <v>304000</v>
      </c>
      <c r="CF98" s="102">
        <f t="shared" si="65"/>
        <v>304000</v>
      </c>
      <c r="CG98" s="102">
        <f t="shared" si="66"/>
        <v>0</v>
      </c>
      <c r="CH98" s="124">
        <f t="shared" si="67"/>
        <v>1216000</v>
      </c>
      <c r="CI98" s="125">
        <f t="shared" si="68"/>
        <v>0.2</v>
      </c>
      <c r="CJ98" s="126" t="str">
        <f t="shared" si="69"/>
        <v>数据正确</v>
      </c>
    </row>
    <row r="99" s="60" customFormat="1" customHeight="1" spans="1:88">
      <c r="A99" s="60" t="s">
        <v>36</v>
      </c>
      <c r="B99" s="70" t="str">
        <f t="shared" si="59"/>
        <v>-</v>
      </c>
      <c r="C99" s="71" t="str">
        <f t="shared" si="60"/>
        <v>-</v>
      </c>
      <c r="D99" s="72">
        <f t="shared" si="61"/>
        <v>4460000</v>
      </c>
      <c r="E99" s="72">
        <v>0</v>
      </c>
      <c r="F99" s="72">
        <v>0</v>
      </c>
      <c r="G99" s="72">
        <v>0</v>
      </c>
      <c r="H99" s="72">
        <v>0</v>
      </c>
      <c r="I99" s="72">
        <f t="shared" si="62"/>
        <v>0</v>
      </c>
      <c r="J99" s="190" t="s">
        <v>98</v>
      </c>
      <c r="K99" s="87"/>
      <c r="L99" s="88">
        <v>232</v>
      </c>
      <c r="M99" s="89" t="s">
        <v>800</v>
      </c>
      <c r="N99" s="191" t="s">
        <v>29</v>
      </c>
      <c r="O99" s="90">
        <v>2017070075</v>
      </c>
      <c r="P99" s="91">
        <v>42982</v>
      </c>
      <c r="Q99" s="173">
        <v>22300000</v>
      </c>
      <c r="R99" s="89" t="s">
        <v>801</v>
      </c>
      <c r="S99" s="89" t="s">
        <v>802</v>
      </c>
      <c r="T99" s="89" t="s">
        <v>803</v>
      </c>
      <c r="U99" s="103" t="s">
        <v>804</v>
      </c>
      <c r="V99" s="105" t="s">
        <v>805</v>
      </c>
      <c r="W99" s="102">
        <v>4460000</v>
      </c>
      <c r="X99" s="102">
        <v>4460000</v>
      </c>
      <c r="Y99" s="102">
        <v>4460000</v>
      </c>
      <c r="Z99" s="107" t="s">
        <v>765</v>
      </c>
      <c r="AA99" s="102">
        <v>13380000</v>
      </c>
      <c r="AB99" s="102"/>
      <c r="AC99" s="102"/>
      <c r="AD99" s="107" t="s">
        <v>780</v>
      </c>
      <c r="AE99" s="102">
        <v>2230000</v>
      </c>
      <c r="AF99" s="102"/>
      <c r="AG99" s="102"/>
      <c r="AH99" s="107" t="s">
        <v>693</v>
      </c>
      <c r="AI99" s="102">
        <v>2230000</v>
      </c>
      <c r="AJ99" s="102"/>
      <c r="AK99" s="102"/>
      <c r="AL99" s="107"/>
      <c r="AM99" s="102"/>
      <c r="AN99" s="102"/>
      <c r="AO99" s="102"/>
      <c r="AP99" s="107"/>
      <c r="AQ99" s="102"/>
      <c r="AR99" s="102"/>
      <c r="AS99" s="102"/>
      <c r="AT99" s="107"/>
      <c r="AU99" s="102"/>
      <c r="AV99" s="102"/>
      <c r="AW99" s="102"/>
      <c r="AX99" s="107"/>
      <c r="AY99" s="102"/>
      <c r="AZ99" s="102"/>
      <c r="BA99" s="102"/>
      <c r="BB99" s="102"/>
      <c r="BC99" s="102"/>
      <c r="BD99" s="102"/>
      <c r="BE99" s="102"/>
      <c r="BF99" s="102"/>
      <c r="BG99" s="102"/>
      <c r="BH99" s="102"/>
      <c r="BI99" s="102"/>
      <c r="BJ99" s="102"/>
      <c r="BK99" s="102"/>
      <c r="BL99" s="102"/>
      <c r="BM99" s="102"/>
      <c r="BN99" s="102"/>
      <c r="BO99" s="102"/>
      <c r="BP99" s="102"/>
      <c r="BQ99" s="102"/>
      <c r="BR99" s="102"/>
      <c r="BS99" s="102"/>
      <c r="BT99" s="102"/>
      <c r="BU99" s="102"/>
      <c r="BV99" s="102"/>
      <c r="BW99" s="102"/>
      <c r="BX99" s="102"/>
      <c r="BY99" s="102"/>
      <c r="BZ99" s="102"/>
      <c r="CA99" s="102"/>
      <c r="CB99" s="102"/>
      <c r="CC99" s="122"/>
      <c r="CD99" s="123">
        <f t="shared" si="63"/>
        <v>22300000</v>
      </c>
      <c r="CE99" s="102">
        <f t="shared" si="64"/>
        <v>4460000</v>
      </c>
      <c r="CF99" s="102">
        <f t="shared" si="65"/>
        <v>4460000</v>
      </c>
      <c r="CG99" s="102">
        <f t="shared" si="66"/>
        <v>0</v>
      </c>
      <c r="CH99" s="124">
        <f t="shared" si="67"/>
        <v>17840000</v>
      </c>
      <c r="CI99" s="125">
        <f t="shared" si="68"/>
        <v>0.2</v>
      </c>
      <c r="CJ99" s="126" t="str">
        <f t="shared" si="69"/>
        <v>数据正确</v>
      </c>
    </row>
    <row r="100" s="60" customFormat="1" customHeight="1" spans="1:88">
      <c r="A100" s="60" t="s">
        <v>36</v>
      </c>
      <c r="B100" s="70" t="str">
        <f t="shared" si="59"/>
        <v>-</v>
      </c>
      <c r="C100" s="71" t="str">
        <f t="shared" si="60"/>
        <v>-</v>
      </c>
      <c r="D100" s="72">
        <f t="shared" si="61"/>
        <v>1396000</v>
      </c>
      <c r="E100" s="72">
        <v>0</v>
      </c>
      <c r="F100" s="72">
        <v>0</v>
      </c>
      <c r="G100" s="72">
        <v>0</v>
      </c>
      <c r="H100" s="72">
        <v>0</v>
      </c>
      <c r="I100" s="72">
        <f t="shared" si="62"/>
        <v>0</v>
      </c>
      <c r="J100" s="190" t="s">
        <v>98</v>
      </c>
      <c r="K100" s="87"/>
      <c r="L100" s="88">
        <v>234</v>
      </c>
      <c r="M100" s="89" t="s">
        <v>806</v>
      </c>
      <c r="N100" s="191" t="s">
        <v>29</v>
      </c>
      <c r="O100" s="90">
        <v>2017050007</v>
      </c>
      <c r="P100" s="91">
        <v>42893</v>
      </c>
      <c r="Q100" s="173">
        <v>6980000</v>
      </c>
      <c r="R100" s="89" t="s">
        <v>807</v>
      </c>
      <c r="S100" s="89" t="s">
        <v>808</v>
      </c>
      <c r="T100" s="89" t="s">
        <v>809</v>
      </c>
      <c r="U100" s="103" t="s">
        <v>625</v>
      </c>
      <c r="V100" s="105" t="s">
        <v>805</v>
      </c>
      <c r="W100" s="102">
        <v>1396000</v>
      </c>
      <c r="X100" s="102">
        <v>1396000</v>
      </c>
      <c r="Y100" s="102">
        <v>1396000</v>
      </c>
      <c r="Z100" s="107" t="s">
        <v>519</v>
      </c>
      <c r="AA100" s="102">
        <v>2792000</v>
      </c>
      <c r="AB100" s="102"/>
      <c r="AC100" s="102"/>
      <c r="AD100" s="107" t="s">
        <v>698</v>
      </c>
      <c r="AE100" s="102">
        <v>2094000</v>
      </c>
      <c r="AF100" s="102"/>
      <c r="AG100" s="102"/>
      <c r="AH100" s="107" t="s">
        <v>693</v>
      </c>
      <c r="AI100" s="102">
        <v>698000</v>
      </c>
      <c r="AJ100" s="102"/>
      <c r="AK100" s="102"/>
      <c r="AL100" s="107"/>
      <c r="AM100" s="102"/>
      <c r="AN100" s="102"/>
      <c r="AO100" s="102"/>
      <c r="AP100" s="107"/>
      <c r="AQ100" s="102"/>
      <c r="AR100" s="102"/>
      <c r="AS100" s="102"/>
      <c r="AT100" s="107"/>
      <c r="AU100" s="102"/>
      <c r="AV100" s="102"/>
      <c r="AW100" s="102"/>
      <c r="AX100" s="107"/>
      <c r="AY100" s="102"/>
      <c r="AZ100" s="102"/>
      <c r="BA100" s="102"/>
      <c r="BB100" s="102"/>
      <c r="BC100" s="102"/>
      <c r="BD100" s="102"/>
      <c r="BE100" s="102"/>
      <c r="BF100" s="102"/>
      <c r="BG100" s="102"/>
      <c r="BH100" s="102"/>
      <c r="BI100" s="102"/>
      <c r="BJ100" s="102"/>
      <c r="BK100" s="102"/>
      <c r="BL100" s="102"/>
      <c r="BM100" s="102"/>
      <c r="BN100" s="102"/>
      <c r="BO100" s="102"/>
      <c r="BP100" s="102"/>
      <c r="BQ100" s="102"/>
      <c r="BR100" s="102"/>
      <c r="BS100" s="102"/>
      <c r="BT100" s="102"/>
      <c r="BU100" s="102"/>
      <c r="BV100" s="102"/>
      <c r="BW100" s="102"/>
      <c r="BX100" s="102"/>
      <c r="BY100" s="102"/>
      <c r="BZ100" s="102"/>
      <c r="CA100" s="102"/>
      <c r="CB100" s="102"/>
      <c r="CC100" s="122"/>
      <c r="CD100" s="123">
        <f t="shared" si="63"/>
        <v>6980000</v>
      </c>
      <c r="CE100" s="102">
        <f t="shared" si="64"/>
        <v>1396000</v>
      </c>
      <c r="CF100" s="102">
        <f t="shared" si="65"/>
        <v>1396000</v>
      </c>
      <c r="CG100" s="102">
        <f t="shared" si="66"/>
        <v>0</v>
      </c>
      <c r="CH100" s="124">
        <f t="shared" si="67"/>
        <v>5584000</v>
      </c>
      <c r="CI100" s="125">
        <f t="shared" si="68"/>
        <v>0.2</v>
      </c>
      <c r="CJ100" s="126" t="str">
        <f t="shared" si="69"/>
        <v>数据正确</v>
      </c>
    </row>
    <row r="101" s="40" customFormat="1" customHeight="1" spans="1:88">
      <c r="A101" s="40" t="s">
        <v>36</v>
      </c>
      <c r="B101" s="212" t="str">
        <f t="shared" si="59"/>
        <v>申请中</v>
      </c>
      <c r="C101" s="213" t="str">
        <f t="shared" si="60"/>
        <v>-</v>
      </c>
      <c r="D101" s="214">
        <f t="shared" si="61"/>
        <v>0</v>
      </c>
      <c r="E101" s="214">
        <v>0</v>
      </c>
      <c r="F101" s="214">
        <v>0</v>
      </c>
      <c r="G101" s="214">
        <v>0</v>
      </c>
      <c r="H101" s="214">
        <v>0</v>
      </c>
      <c r="I101" s="214">
        <f t="shared" si="62"/>
        <v>1070000</v>
      </c>
      <c r="J101" s="215" t="s">
        <v>98</v>
      </c>
      <c r="K101" s="216"/>
      <c r="L101" s="217">
        <v>235</v>
      </c>
      <c r="M101" s="218" t="s">
        <v>810</v>
      </c>
      <c r="N101" s="219" t="s">
        <v>29</v>
      </c>
      <c r="O101" s="220"/>
      <c r="P101" s="221">
        <v>42987</v>
      </c>
      <c r="Q101" s="222">
        <v>5350000</v>
      </c>
      <c r="R101" s="218" t="s">
        <v>811</v>
      </c>
      <c r="S101" s="218" t="s">
        <v>711</v>
      </c>
      <c r="T101" s="218" t="s">
        <v>812</v>
      </c>
      <c r="U101" s="223" t="s">
        <v>650</v>
      </c>
      <c r="V101" s="224" t="s">
        <v>805</v>
      </c>
      <c r="W101" s="225">
        <v>1070000</v>
      </c>
      <c r="X101" s="225">
        <v>1070000</v>
      </c>
      <c r="Y101" s="225"/>
      <c r="Z101" s="226" t="s">
        <v>765</v>
      </c>
      <c r="AA101" s="225">
        <v>3210000</v>
      </c>
      <c r="AB101" s="225"/>
      <c r="AC101" s="225"/>
      <c r="AD101" s="226" t="s">
        <v>780</v>
      </c>
      <c r="AE101" s="225">
        <v>535000</v>
      </c>
      <c r="AF101" s="225"/>
      <c r="AG101" s="225"/>
      <c r="AH101" s="226" t="s">
        <v>693</v>
      </c>
      <c r="AI101" s="225">
        <v>535000</v>
      </c>
      <c r="AJ101" s="225"/>
      <c r="AK101" s="225"/>
      <c r="AL101" s="226"/>
      <c r="AM101" s="225"/>
      <c r="AN101" s="225"/>
      <c r="AO101" s="225"/>
      <c r="AP101" s="226"/>
      <c r="AQ101" s="225"/>
      <c r="AR101" s="225"/>
      <c r="AS101" s="225"/>
      <c r="AT101" s="226"/>
      <c r="AU101" s="225"/>
      <c r="AV101" s="225"/>
      <c r="AW101" s="225"/>
      <c r="AX101" s="226"/>
      <c r="AY101" s="225"/>
      <c r="AZ101" s="225"/>
      <c r="BA101" s="225"/>
      <c r="BB101" s="225"/>
      <c r="BC101" s="225"/>
      <c r="BD101" s="225"/>
      <c r="BE101" s="225"/>
      <c r="BF101" s="225"/>
      <c r="BG101" s="225"/>
      <c r="BH101" s="225"/>
      <c r="BI101" s="225"/>
      <c r="BJ101" s="225"/>
      <c r="BK101" s="225"/>
      <c r="BL101" s="225"/>
      <c r="BM101" s="225"/>
      <c r="BN101" s="225"/>
      <c r="BO101" s="225"/>
      <c r="BP101" s="225"/>
      <c r="BQ101" s="225"/>
      <c r="BR101" s="225"/>
      <c r="BS101" s="225"/>
      <c r="BT101" s="225"/>
      <c r="BU101" s="225"/>
      <c r="BV101" s="225"/>
      <c r="BW101" s="225"/>
      <c r="BX101" s="225"/>
      <c r="BY101" s="225"/>
      <c r="BZ101" s="225"/>
      <c r="CA101" s="225"/>
      <c r="CB101" s="225"/>
      <c r="CC101" s="227"/>
      <c r="CD101" s="228">
        <f t="shared" si="63"/>
        <v>5350000</v>
      </c>
      <c r="CE101" s="225">
        <f t="shared" si="64"/>
        <v>1070000</v>
      </c>
      <c r="CF101" s="225">
        <f t="shared" si="65"/>
        <v>0</v>
      </c>
      <c r="CG101" s="225">
        <f t="shared" si="66"/>
        <v>0</v>
      </c>
      <c r="CH101" s="229">
        <f t="shared" si="67"/>
        <v>5350000</v>
      </c>
      <c r="CI101" s="230">
        <f t="shared" si="68"/>
        <v>0</v>
      </c>
      <c r="CJ101" s="231" t="str">
        <f t="shared" si="69"/>
        <v>数据正确</v>
      </c>
    </row>
    <row r="102" s="60" customFormat="1" customHeight="1" spans="1:88">
      <c r="A102" s="60" t="s">
        <v>36</v>
      </c>
      <c r="B102" s="70" t="str">
        <f t="shared" si="59"/>
        <v>-</v>
      </c>
      <c r="C102" s="71" t="str">
        <f t="shared" si="60"/>
        <v>-</v>
      </c>
      <c r="D102" s="72">
        <f t="shared" si="61"/>
        <v>0</v>
      </c>
      <c r="E102" s="72">
        <v>0</v>
      </c>
      <c r="F102" s="72">
        <v>0</v>
      </c>
      <c r="G102" s="72">
        <v>0</v>
      </c>
      <c r="H102" s="72">
        <v>0</v>
      </c>
      <c r="I102" s="72">
        <f t="shared" si="62"/>
        <v>0</v>
      </c>
      <c r="J102" s="190" t="s">
        <v>98</v>
      </c>
      <c r="K102" s="87"/>
      <c r="L102" s="88">
        <v>236</v>
      </c>
      <c r="M102" s="89" t="s">
        <v>813</v>
      </c>
      <c r="N102" s="191" t="s">
        <v>29</v>
      </c>
      <c r="O102" s="90"/>
      <c r="P102" s="91">
        <v>42993</v>
      </c>
      <c r="Q102" s="173">
        <v>7566000</v>
      </c>
      <c r="R102" s="89" t="s">
        <v>814</v>
      </c>
      <c r="S102" s="89" t="s">
        <v>815</v>
      </c>
      <c r="T102" s="89"/>
      <c r="U102" s="103" t="s">
        <v>816</v>
      </c>
      <c r="V102" s="105" t="s">
        <v>817</v>
      </c>
      <c r="W102" s="102">
        <v>4269154.09</v>
      </c>
      <c r="X102" s="102"/>
      <c r="Y102" s="102"/>
      <c r="Z102" s="107" t="s">
        <v>818</v>
      </c>
      <c r="AA102" s="102">
        <v>1783645.91</v>
      </c>
      <c r="AB102" s="102"/>
      <c r="AC102" s="102"/>
      <c r="AD102" s="107" t="s">
        <v>714</v>
      </c>
      <c r="AE102" s="102">
        <v>756600</v>
      </c>
      <c r="AF102" s="102"/>
      <c r="AG102" s="102"/>
      <c r="AH102" s="107" t="s">
        <v>693</v>
      </c>
      <c r="AI102" s="102">
        <v>756600</v>
      </c>
      <c r="AJ102" s="102"/>
      <c r="AK102" s="102"/>
      <c r="AL102" s="107"/>
      <c r="AM102" s="102"/>
      <c r="AN102" s="102"/>
      <c r="AO102" s="102"/>
      <c r="AP102" s="107"/>
      <c r="AQ102" s="102"/>
      <c r="AR102" s="102"/>
      <c r="AS102" s="102"/>
      <c r="AT102" s="107"/>
      <c r="AU102" s="102"/>
      <c r="AV102" s="102"/>
      <c r="AW102" s="102"/>
      <c r="AX102" s="107"/>
      <c r="AY102" s="102"/>
      <c r="AZ102" s="102"/>
      <c r="BA102" s="102"/>
      <c r="BB102" s="102"/>
      <c r="BC102" s="102"/>
      <c r="BD102" s="102"/>
      <c r="BE102" s="102"/>
      <c r="BF102" s="102"/>
      <c r="BG102" s="102"/>
      <c r="BH102" s="102"/>
      <c r="BI102" s="102"/>
      <c r="BJ102" s="102"/>
      <c r="BK102" s="102"/>
      <c r="BL102" s="102"/>
      <c r="BM102" s="102"/>
      <c r="BN102" s="102"/>
      <c r="BO102" s="102"/>
      <c r="BP102" s="102"/>
      <c r="BQ102" s="102"/>
      <c r="BR102" s="102"/>
      <c r="BS102" s="102"/>
      <c r="BT102" s="102"/>
      <c r="BU102" s="102"/>
      <c r="BV102" s="102"/>
      <c r="BW102" s="102"/>
      <c r="BX102" s="102"/>
      <c r="BY102" s="102"/>
      <c r="BZ102" s="102"/>
      <c r="CA102" s="102"/>
      <c r="CB102" s="102"/>
      <c r="CC102" s="122"/>
      <c r="CD102" s="123">
        <f t="shared" si="63"/>
        <v>7566000</v>
      </c>
      <c r="CE102" s="102">
        <f t="shared" si="64"/>
        <v>0</v>
      </c>
      <c r="CF102" s="102">
        <f t="shared" si="65"/>
        <v>0</v>
      </c>
      <c r="CG102" s="102">
        <f t="shared" si="66"/>
        <v>0</v>
      </c>
      <c r="CH102" s="124">
        <f t="shared" si="67"/>
        <v>7566000</v>
      </c>
      <c r="CI102" s="125">
        <f t="shared" si="68"/>
        <v>0</v>
      </c>
      <c r="CJ102" s="126" t="str">
        <f t="shared" si="69"/>
        <v>数据正确</v>
      </c>
    </row>
    <row r="103" s="60" customFormat="1" customHeight="1" spans="1:88">
      <c r="A103" s="60" t="s">
        <v>36</v>
      </c>
      <c r="B103" s="70" t="str">
        <f t="shared" si="59"/>
        <v>申请中</v>
      </c>
      <c r="C103" s="71" t="str">
        <f t="shared" si="60"/>
        <v>-</v>
      </c>
      <c r="D103" s="72">
        <f t="shared" si="61"/>
        <v>0</v>
      </c>
      <c r="E103" s="72">
        <v>0</v>
      </c>
      <c r="F103" s="72">
        <v>0</v>
      </c>
      <c r="G103" s="72">
        <v>0</v>
      </c>
      <c r="H103" s="72">
        <v>0</v>
      </c>
      <c r="I103" s="72">
        <f t="shared" si="62"/>
        <v>85200</v>
      </c>
      <c r="J103" s="190" t="s">
        <v>98</v>
      </c>
      <c r="K103" s="87"/>
      <c r="L103" s="141" t="s">
        <v>819</v>
      </c>
      <c r="M103" s="89" t="s">
        <v>820</v>
      </c>
      <c r="N103" s="191" t="s">
        <v>29</v>
      </c>
      <c r="O103" s="90"/>
      <c r="P103" s="91">
        <v>42979</v>
      </c>
      <c r="Q103" s="173">
        <v>142000</v>
      </c>
      <c r="R103" s="89" t="s">
        <v>821</v>
      </c>
      <c r="S103" s="89" t="s">
        <v>822</v>
      </c>
      <c r="T103" s="89"/>
      <c r="U103" s="103" t="s">
        <v>650</v>
      </c>
      <c r="V103" s="105" t="s">
        <v>823</v>
      </c>
      <c r="W103" s="102">
        <v>85200</v>
      </c>
      <c r="X103" s="102">
        <v>85200</v>
      </c>
      <c r="Y103" s="102"/>
      <c r="Z103" s="107" t="s">
        <v>593</v>
      </c>
      <c r="AA103" s="102">
        <v>42600</v>
      </c>
      <c r="AB103" s="102"/>
      <c r="AC103" s="102"/>
      <c r="AD103" s="107" t="s">
        <v>693</v>
      </c>
      <c r="AE103" s="102">
        <v>14200</v>
      </c>
      <c r="AF103" s="102"/>
      <c r="AG103" s="102"/>
      <c r="AH103" s="107"/>
      <c r="AI103" s="102"/>
      <c r="AJ103" s="102"/>
      <c r="AK103" s="102"/>
      <c r="AL103" s="107"/>
      <c r="AM103" s="102"/>
      <c r="AN103" s="102"/>
      <c r="AO103" s="102"/>
      <c r="AP103" s="107"/>
      <c r="AQ103" s="102"/>
      <c r="AR103" s="102"/>
      <c r="AS103" s="102"/>
      <c r="AT103" s="107"/>
      <c r="AU103" s="102"/>
      <c r="AV103" s="102"/>
      <c r="AW103" s="102"/>
      <c r="AX103" s="107"/>
      <c r="AY103" s="102"/>
      <c r="AZ103" s="102"/>
      <c r="BA103" s="102"/>
      <c r="BB103" s="102"/>
      <c r="BC103" s="102"/>
      <c r="BD103" s="102"/>
      <c r="BE103" s="102"/>
      <c r="BF103" s="102"/>
      <c r="BG103" s="102"/>
      <c r="BH103" s="102"/>
      <c r="BI103" s="102"/>
      <c r="BJ103" s="102"/>
      <c r="BK103" s="102"/>
      <c r="BL103" s="102"/>
      <c r="BM103" s="102"/>
      <c r="BN103" s="102"/>
      <c r="BO103" s="102"/>
      <c r="BP103" s="102"/>
      <c r="BQ103" s="102"/>
      <c r="BR103" s="102"/>
      <c r="BS103" s="102"/>
      <c r="BT103" s="102"/>
      <c r="BU103" s="102"/>
      <c r="BV103" s="102"/>
      <c r="BW103" s="102"/>
      <c r="BX103" s="102"/>
      <c r="BY103" s="102"/>
      <c r="BZ103" s="102"/>
      <c r="CA103" s="102"/>
      <c r="CB103" s="102"/>
      <c r="CC103" s="122"/>
      <c r="CD103" s="123">
        <f t="shared" si="63"/>
        <v>142000</v>
      </c>
      <c r="CE103" s="102">
        <f t="shared" si="64"/>
        <v>85200</v>
      </c>
      <c r="CF103" s="102">
        <f t="shared" si="65"/>
        <v>0</v>
      </c>
      <c r="CG103" s="102">
        <f t="shared" si="66"/>
        <v>0</v>
      </c>
      <c r="CH103" s="124">
        <f t="shared" si="67"/>
        <v>142000</v>
      </c>
      <c r="CI103" s="125">
        <f t="shared" si="68"/>
        <v>0</v>
      </c>
      <c r="CJ103" s="126" t="str">
        <f t="shared" si="69"/>
        <v>数据正确</v>
      </c>
    </row>
    <row r="104" s="60" customFormat="1" customHeight="1" spans="1:88">
      <c r="A104" s="60" t="s">
        <v>36</v>
      </c>
      <c r="B104" s="70" t="str">
        <f t="shared" si="59"/>
        <v>-</v>
      </c>
      <c r="C104" s="71" t="str">
        <f t="shared" si="60"/>
        <v>已付清</v>
      </c>
      <c r="D104" s="72">
        <f t="shared" si="61"/>
        <v>300000</v>
      </c>
      <c r="E104" s="72">
        <v>0</v>
      </c>
      <c r="F104" s="72">
        <v>0</v>
      </c>
      <c r="G104" s="72">
        <v>0</v>
      </c>
      <c r="H104" s="72">
        <v>0</v>
      </c>
      <c r="I104" s="72">
        <f t="shared" si="62"/>
        <v>0</v>
      </c>
      <c r="J104" s="190" t="s">
        <v>98</v>
      </c>
      <c r="K104" s="87"/>
      <c r="L104" s="141" t="s">
        <v>824</v>
      </c>
      <c r="M104" s="89" t="s">
        <v>825</v>
      </c>
      <c r="N104" s="191" t="s">
        <v>29</v>
      </c>
      <c r="O104" s="90"/>
      <c r="P104" s="91">
        <v>42979</v>
      </c>
      <c r="Q104" s="173">
        <v>300000</v>
      </c>
      <c r="R104" s="89" t="s">
        <v>826</v>
      </c>
      <c r="S104" s="89" t="s">
        <v>822</v>
      </c>
      <c r="T104" s="89"/>
      <c r="U104" s="103" t="s">
        <v>650</v>
      </c>
      <c r="V104" s="105" t="s">
        <v>827</v>
      </c>
      <c r="W104" s="102">
        <v>300000</v>
      </c>
      <c r="X104" s="102">
        <v>300000</v>
      </c>
      <c r="Y104" s="102">
        <v>300000</v>
      </c>
      <c r="Z104" s="107"/>
      <c r="AA104" s="102"/>
      <c r="AB104" s="102"/>
      <c r="AC104" s="102"/>
      <c r="AD104" s="107"/>
      <c r="AE104" s="102"/>
      <c r="AF104" s="102"/>
      <c r="AG104" s="102"/>
      <c r="AH104" s="107"/>
      <c r="AI104" s="102"/>
      <c r="AJ104" s="102"/>
      <c r="AK104" s="102"/>
      <c r="AL104" s="107"/>
      <c r="AM104" s="102"/>
      <c r="AN104" s="102"/>
      <c r="AO104" s="102"/>
      <c r="AP104" s="107"/>
      <c r="AQ104" s="102"/>
      <c r="AR104" s="102"/>
      <c r="AS104" s="102"/>
      <c r="AT104" s="107"/>
      <c r="AU104" s="102"/>
      <c r="AV104" s="102"/>
      <c r="AW104" s="102"/>
      <c r="AX104" s="107"/>
      <c r="AY104" s="102"/>
      <c r="AZ104" s="102"/>
      <c r="BA104" s="102"/>
      <c r="BB104" s="102"/>
      <c r="BC104" s="102"/>
      <c r="BD104" s="102"/>
      <c r="BE104" s="102"/>
      <c r="BF104" s="102"/>
      <c r="BG104" s="102"/>
      <c r="BH104" s="102"/>
      <c r="BI104" s="102"/>
      <c r="BJ104" s="102"/>
      <c r="BK104" s="102"/>
      <c r="BL104" s="102"/>
      <c r="BM104" s="102"/>
      <c r="BN104" s="102"/>
      <c r="BO104" s="102"/>
      <c r="BP104" s="102"/>
      <c r="BQ104" s="102"/>
      <c r="BR104" s="102"/>
      <c r="BS104" s="102"/>
      <c r="BT104" s="102"/>
      <c r="BU104" s="102"/>
      <c r="BV104" s="102"/>
      <c r="BW104" s="102"/>
      <c r="BX104" s="102"/>
      <c r="BY104" s="102"/>
      <c r="BZ104" s="102"/>
      <c r="CA104" s="102"/>
      <c r="CB104" s="102"/>
      <c r="CC104" s="122"/>
      <c r="CD104" s="123">
        <f t="shared" si="63"/>
        <v>300000</v>
      </c>
      <c r="CE104" s="102">
        <f t="shared" si="64"/>
        <v>300000</v>
      </c>
      <c r="CF104" s="102">
        <f t="shared" si="65"/>
        <v>300000</v>
      </c>
      <c r="CG104" s="102">
        <f t="shared" si="66"/>
        <v>0</v>
      </c>
      <c r="CH104" s="124">
        <f t="shared" si="67"/>
        <v>0</v>
      </c>
      <c r="CI104" s="125">
        <f t="shared" si="68"/>
        <v>1</v>
      </c>
      <c r="CJ104" s="126" t="str">
        <f t="shared" si="69"/>
        <v>数据正确</v>
      </c>
    </row>
    <row r="105" s="130" customFormat="1" customHeight="1" spans="1:88">
      <c r="A105" s="130" t="s">
        <v>36</v>
      </c>
      <c r="B105" s="132" t="str">
        <f t="shared" si="59"/>
        <v>申请中</v>
      </c>
      <c r="C105" s="133" t="str">
        <f t="shared" si="60"/>
        <v>-</v>
      </c>
      <c r="D105" s="134">
        <f t="shared" si="61"/>
        <v>300000</v>
      </c>
      <c r="E105" s="134">
        <f>SUM(E103:E104)</f>
        <v>0</v>
      </c>
      <c r="F105" s="134">
        <f>SUM(F103:F104)</f>
        <v>0</v>
      </c>
      <c r="G105" s="134">
        <f>SUM(G103:G104)</f>
        <v>0</v>
      </c>
      <c r="H105" s="134">
        <f>SUM(H103:H104)</f>
        <v>0</v>
      </c>
      <c r="I105" s="134">
        <f t="shared" si="62"/>
        <v>85200</v>
      </c>
      <c r="J105" s="198" t="s">
        <v>98</v>
      </c>
      <c r="K105" s="172"/>
      <c r="L105" s="143">
        <v>237</v>
      </c>
      <c r="M105" s="144" t="s">
        <v>825</v>
      </c>
      <c r="N105" s="199" t="s">
        <v>29</v>
      </c>
      <c r="O105" s="145"/>
      <c r="P105" s="146">
        <v>42979</v>
      </c>
      <c r="Q105" s="211">
        <f>SUM(Q103:Q104)</f>
        <v>442000</v>
      </c>
      <c r="R105" s="144" t="s">
        <v>828</v>
      </c>
      <c r="S105" s="144" t="s">
        <v>822</v>
      </c>
      <c r="T105" s="144"/>
      <c r="U105" s="156" t="s">
        <v>650</v>
      </c>
      <c r="V105" s="157" t="s">
        <v>823</v>
      </c>
      <c r="W105" s="158">
        <f>SUM(W103:W104)</f>
        <v>385200</v>
      </c>
      <c r="X105" s="158">
        <f t="shared" ref="X105:BC105" si="74">SUM(X103:X104)</f>
        <v>385200</v>
      </c>
      <c r="Y105" s="158">
        <f t="shared" si="74"/>
        <v>300000</v>
      </c>
      <c r="Z105" s="158">
        <f t="shared" si="74"/>
        <v>0</v>
      </c>
      <c r="AA105" s="158">
        <f t="shared" si="74"/>
        <v>42600</v>
      </c>
      <c r="AB105" s="158">
        <f t="shared" si="74"/>
        <v>0</v>
      </c>
      <c r="AC105" s="158">
        <f t="shared" si="74"/>
        <v>0</v>
      </c>
      <c r="AD105" s="158">
        <f t="shared" si="74"/>
        <v>0</v>
      </c>
      <c r="AE105" s="158">
        <f t="shared" si="74"/>
        <v>14200</v>
      </c>
      <c r="AF105" s="158">
        <f t="shared" si="74"/>
        <v>0</v>
      </c>
      <c r="AG105" s="158">
        <f t="shared" si="74"/>
        <v>0</v>
      </c>
      <c r="AH105" s="158">
        <f t="shared" si="74"/>
        <v>0</v>
      </c>
      <c r="AI105" s="158">
        <f t="shared" si="74"/>
        <v>0</v>
      </c>
      <c r="AJ105" s="158">
        <f t="shared" si="74"/>
        <v>0</v>
      </c>
      <c r="AK105" s="158">
        <f t="shared" si="74"/>
        <v>0</v>
      </c>
      <c r="AL105" s="158">
        <f t="shared" si="74"/>
        <v>0</v>
      </c>
      <c r="AM105" s="158">
        <f t="shared" si="74"/>
        <v>0</v>
      </c>
      <c r="AN105" s="158">
        <f t="shared" si="74"/>
        <v>0</v>
      </c>
      <c r="AO105" s="158">
        <f t="shared" si="74"/>
        <v>0</v>
      </c>
      <c r="AP105" s="158">
        <f t="shared" si="74"/>
        <v>0</v>
      </c>
      <c r="AQ105" s="158">
        <f t="shared" si="74"/>
        <v>0</v>
      </c>
      <c r="AR105" s="158">
        <f t="shared" si="74"/>
        <v>0</v>
      </c>
      <c r="AS105" s="158">
        <f t="shared" si="74"/>
        <v>0</v>
      </c>
      <c r="AT105" s="158">
        <f t="shared" si="74"/>
        <v>0</v>
      </c>
      <c r="AU105" s="158">
        <f t="shared" si="74"/>
        <v>0</v>
      </c>
      <c r="AV105" s="158">
        <f t="shared" si="74"/>
        <v>0</v>
      </c>
      <c r="AW105" s="158">
        <f t="shared" si="74"/>
        <v>0</v>
      </c>
      <c r="AX105" s="158">
        <f t="shared" si="74"/>
        <v>0</v>
      </c>
      <c r="AY105" s="158">
        <f t="shared" si="74"/>
        <v>0</v>
      </c>
      <c r="AZ105" s="158">
        <f t="shared" si="74"/>
        <v>0</v>
      </c>
      <c r="BA105" s="158">
        <f t="shared" si="74"/>
        <v>0</v>
      </c>
      <c r="BB105" s="158">
        <f t="shared" si="74"/>
        <v>0</v>
      </c>
      <c r="BC105" s="158">
        <f t="shared" si="74"/>
        <v>0</v>
      </c>
      <c r="BD105" s="158">
        <f t="shared" ref="BD105:CC105" si="75">SUM(BD103:BD104)</f>
        <v>0</v>
      </c>
      <c r="BE105" s="158">
        <f t="shared" si="75"/>
        <v>0</v>
      </c>
      <c r="BF105" s="158">
        <f t="shared" si="75"/>
        <v>0</v>
      </c>
      <c r="BG105" s="158">
        <f t="shared" si="75"/>
        <v>0</v>
      </c>
      <c r="BH105" s="158">
        <f t="shared" si="75"/>
        <v>0</v>
      </c>
      <c r="BI105" s="158">
        <f t="shared" si="75"/>
        <v>0</v>
      </c>
      <c r="BJ105" s="158">
        <f t="shared" si="75"/>
        <v>0</v>
      </c>
      <c r="BK105" s="158">
        <f t="shared" si="75"/>
        <v>0</v>
      </c>
      <c r="BL105" s="158">
        <f t="shared" si="75"/>
        <v>0</v>
      </c>
      <c r="BM105" s="158">
        <f t="shared" si="75"/>
        <v>0</v>
      </c>
      <c r="BN105" s="158">
        <f t="shared" si="75"/>
        <v>0</v>
      </c>
      <c r="BO105" s="158">
        <f t="shared" si="75"/>
        <v>0</v>
      </c>
      <c r="BP105" s="158">
        <f t="shared" si="75"/>
        <v>0</v>
      </c>
      <c r="BQ105" s="158">
        <f t="shared" si="75"/>
        <v>0</v>
      </c>
      <c r="BR105" s="158">
        <f t="shared" si="75"/>
        <v>0</v>
      </c>
      <c r="BS105" s="158">
        <f t="shared" si="75"/>
        <v>0</v>
      </c>
      <c r="BT105" s="158">
        <f t="shared" si="75"/>
        <v>0</v>
      </c>
      <c r="BU105" s="158">
        <f t="shared" si="75"/>
        <v>0</v>
      </c>
      <c r="BV105" s="158">
        <f t="shared" si="75"/>
        <v>0</v>
      </c>
      <c r="BW105" s="158">
        <f t="shared" si="75"/>
        <v>0</v>
      </c>
      <c r="BX105" s="158">
        <f t="shared" si="75"/>
        <v>0</v>
      </c>
      <c r="BY105" s="158">
        <f t="shared" si="75"/>
        <v>0</v>
      </c>
      <c r="BZ105" s="158">
        <f t="shared" si="75"/>
        <v>0</v>
      </c>
      <c r="CA105" s="158">
        <f t="shared" si="75"/>
        <v>0</v>
      </c>
      <c r="CB105" s="158">
        <f t="shared" si="75"/>
        <v>0</v>
      </c>
      <c r="CC105" s="158">
        <f t="shared" si="75"/>
        <v>0</v>
      </c>
      <c r="CD105" s="165">
        <f t="shared" si="63"/>
        <v>442000</v>
      </c>
      <c r="CE105" s="158">
        <f t="shared" si="64"/>
        <v>385200</v>
      </c>
      <c r="CF105" s="158">
        <f t="shared" si="65"/>
        <v>300000</v>
      </c>
      <c r="CG105" s="158">
        <f t="shared" si="66"/>
        <v>0</v>
      </c>
      <c r="CH105" s="163">
        <f t="shared" si="67"/>
        <v>142000</v>
      </c>
      <c r="CI105" s="166">
        <f t="shared" si="68"/>
        <v>0.678733031674208</v>
      </c>
      <c r="CJ105" s="167" t="str">
        <f t="shared" si="69"/>
        <v>数据正确</v>
      </c>
    </row>
    <row r="106" s="60" customFormat="1" customHeight="1" spans="1:88">
      <c r="A106" s="60" t="s">
        <v>36</v>
      </c>
      <c r="B106" s="70" t="str">
        <f t="shared" si="59"/>
        <v>-</v>
      </c>
      <c r="C106" s="71" t="str">
        <f t="shared" si="60"/>
        <v>-</v>
      </c>
      <c r="D106" s="72">
        <f t="shared" si="61"/>
        <v>2180000</v>
      </c>
      <c r="E106" s="72">
        <v>0</v>
      </c>
      <c r="F106" s="72">
        <v>0</v>
      </c>
      <c r="G106" s="72">
        <v>0</v>
      </c>
      <c r="H106" s="72">
        <v>0</v>
      </c>
      <c r="I106" s="72">
        <f t="shared" si="62"/>
        <v>0</v>
      </c>
      <c r="J106" s="190" t="s">
        <v>98</v>
      </c>
      <c r="K106" s="87"/>
      <c r="L106" s="88">
        <v>238</v>
      </c>
      <c r="M106" s="89" t="s">
        <v>829</v>
      </c>
      <c r="N106" s="191" t="s">
        <v>29</v>
      </c>
      <c r="O106" s="90">
        <v>2017080046</v>
      </c>
      <c r="P106" s="91">
        <v>42985</v>
      </c>
      <c r="Q106" s="173">
        <v>10900000</v>
      </c>
      <c r="R106" s="89" t="s">
        <v>830</v>
      </c>
      <c r="S106" s="89" t="s">
        <v>524</v>
      </c>
      <c r="T106" s="89"/>
      <c r="U106" s="103" t="s">
        <v>831</v>
      </c>
      <c r="V106" s="105" t="s">
        <v>832</v>
      </c>
      <c r="W106" s="102">
        <v>2180000</v>
      </c>
      <c r="X106" s="102">
        <v>2180000</v>
      </c>
      <c r="Y106" s="102">
        <v>2180000</v>
      </c>
      <c r="Z106" s="107" t="s">
        <v>765</v>
      </c>
      <c r="AA106" s="102">
        <v>6540000</v>
      </c>
      <c r="AB106" s="102"/>
      <c r="AC106" s="102"/>
      <c r="AD106" s="107" t="s">
        <v>714</v>
      </c>
      <c r="AE106" s="102">
        <v>1090000</v>
      </c>
      <c r="AF106" s="102"/>
      <c r="AG106" s="102"/>
      <c r="AH106" s="107" t="s">
        <v>693</v>
      </c>
      <c r="AI106" s="102">
        <v>1090000</v>
      </c>
      <c r="AJ106" s="102"/>
      <c r="AK106" s="102"/>
      <c r="AL106" s="107"/>
      <c r="AM106" s="102"/>
      <c r="AN106" s="102"/>
      <c r="AO106" s="102"/>
      <c r="AP106" s="107"/>
      <c r="AQ106" s="102"/>
      <c r="AR106" s="102"/>
      <c r="AS106" s="102"/>
      <c r="AT106" s="107"/>
      <c r="AU106" s="102"/>
      <c r="AV106" s="102"/>
      <c r="AW106" s="102"/>
      <c r="AX106" s="107"/>
      <c r="AY106" s="102"/>
      <c r="AZ106" s="102"/>
      <c r="BA106" s="102"/>
      <c r="BB106" s="102"/>
      <c r="BC106" s="102"/>
      <c r="BD106" s="102"/>
      <c r="BE106" s="102"/>
      <c r="BF106" s="102"/>
      <c r="BG106" s="102"/>
      <c r="BH106" s="102"/>
      <c r="BI106" s="102"/>
      <c r="BJ106" s="102"/>
      <c r="BK106" s="102"/>
      <c r="BL106" s="102"/>
      <c r="BM106" s="102"/>
      <c r="BN106" s="102"/>
      <c r="BO106" s="102"/>
      <c r="BP106" s="102"/>
      <c r="BQ106" s="102"/>
      <c r="BR106" s="102"/>
      <c r="BS106" s="102"/>
      <c r="BT106" s="102"/>
      <c r="BU106" s="102"/>
      <c r="BV106" s="102"/>
      <c r="BW106" s="102"/>
      <c r="BX106" s="102"/>
      <c r="BY106" s="102"/>
      <c r="BZ106" s="102"/>
      <c r="CA106" s="102"/>
      <c r="CB106" s="102"/>
      <c r="CC106" s="122"/>
      <c r="CD106" s="123">
        <f t="shared" si="63"/>
        <v>10900000</v>
      </c>
      <c r="CE106" s="102">
        <f t="shared" si="64"/>
        <v>2180000</v>
      </c>
      <c r="CF106" s="102">
        <f t="shared" si="65"/>
        <v>2180000</v>
      </c>
      <c r="CG106" s="102">
        <f t="shared" si="66"/>
        <v>0</v>
      </c>
      <c r="CH106" s="124">
        <f t="shared" si="67"/>
        <v>8720000</v>
      </c>
      <c r="CI106" s="125">
        <f t="shared" si="68"/>
        <v>0.2</v>
      </c>
      <c r="CJ106" s="126" t="str">
        <f t="shared" si="69"/>
        <v>数据正确</v>
      </c>
    </row>
    <row r="107" s="60" customFormat="1" customHeight="1" spans="1:88">
      <c r="A107" s="60" t="s">
        <v>36</v>
      </c>
      <c r="B107" s="70" t="str">
        <f t="shared" si="59"/>
        <v>-</v>
      </c>
      <c r="C107" s="71" t="str">
        <f t="shared" si="60"/>
        <v>-</v>
      </c>
      <c r="D107" s="72">
        <f t="shared" si="61"/>
        <v>2080000</v>
      </c>
      <c r="E107" s="72">
        <v>0</v>
      </c>
      <c r="F107" s="72">
        <v>0</v>
      </c>
      <c r="G107" s="72">
        <v>0</v>
      </c>
      <c r="H107" s="72">
        <v>0</v>
      </c>
      <c r="I107" s="72">
        <f t="shared" si="62"/>
        <v>0</v>
      </c>
      <c r="J107" s="190" t="s">
        <v>98</v>
      </c>
      <c r="K107" s="87"/>
      <c r="L107" s="88">
        <v>239</v>
      </c>
      <c r="M107" s="89" t="s">
        <v>833</v>
      </c>
      <c r="N107" s="191" t="s">
        <v>29</v>
      </c>
      <c r="O107" s="90"/>
      <c r="P107" s="91">
        <v>42992</v>
      </c>
      <c r="Q107" s="173">
        <v>10400000</v>
      </c>
      <c r="R107" s="89" t="s">
        <v>834</v>
      </c>
      <c r="S107" s="89" t="s">
        <v>717</v>
      </c>
      <c r="T107" s="89"/>
      <c r="U107" s="103" t="s">
        <v>343</v>
      </c>
      <c r="V107" s="105" t="s">
        <v>805</v>
      </c>
      <c r="W107" s="102">
        <v>2080000</v>
      </c>
      <c r="X107" s="102">
        <v>2080000</v>
      </c>
      <c r="Y107" s="102">
        <v>2080000</v>
      </c>
      <c r="Z107" s="107" t="s">
        <v>765</v>
      </c>
      <c r="AA107" s="102">
        <v>6240000</v>
      </c>
      <c r="AB107" s="102"/>
      <c r="AC107" s="102"/>
      <c r="AD107" s="107" t="s">
        <v>714</v>
      </c>
      <c r="AE107" s="102">
        <v>1040000</v>
      </c>
      <c r="AF107" s="102"/>
      <c r="AG107" s="102"/>
      <c r="AH107" s="107" t="s">
        <v>693</v>
      </c>
      <c r="AI107" s="102">
        <v>1040000</v>
      </c>
      <c r="AJ107" s="102"/>
      <c r="AK107" s="102"/>
      <c r="AL107" s="107"/>
      <c r="AM107" s="102"/>
      <c r="AN107" s="102"/>
      <c r="AO107" s="102"/>
      <c r="AP107" s="107"/>
      <c r="AQ107" s="102"/>
      <c r="AR107" s="102"/>
      <c r="AS107" s="102"/>
      <c r="AT107" s="107"/>
      <c r="AU107" s="102"/>
      <c r="AV107" s="102"/>
      <c r="AW107" s="102"/>
      <c r="AX107" s="107"/>
      <c r="AY107" s="102"/>
      <c r="AZ107" s="102"/>
      <c r="BA107" s="102"/>
      <c r="BB107" s="102"/>
      <c r="BC107" s="102"/>
      <c r="BD107" s="102"/>
      <c r="BE107" s="102"/>
      <c r="BF107" s="102"/>
      <c r="BG107" s="102"/>
      <c r="BH107" s="102"/>
      <c r="BI107" s="102"/>
      <c r="BJ107" s="102"/>
      <c r="BK107" s="102"/>
      <c r="BL107" s="102"/>
      <c r="BM107" s="102"/>
      <c r="BN107" s="102"/>
      <c r="BO107" s="102"/>
      <c r="BP107" s="102"/>
      <c r="BQ107" s="102"/>
      <c r="BR107" s="102"/>
      <c r="BS107" s="102"/>
      <c r="BT107" s="102"/>
      <c r="BU107" s="102"/>
      <c r="BV107" s="102"/>
      <c r="BW107" s="102"/>
      <c r="BX107" s="102"/>
      <c r="BY107" s="102"/>
      <c r="BZ107" s="102"/>
      <c r="CA107" s="102"/>
      <c r="CB107" s="102"/>
      <c r="CC107" s="122"/>
      <c r="CD107" s="123">
        <f t="shared" si="63"/>
        <v>10400000</v>
      </c>
      <c r="CE107" s="102">
        <f t="shared" si="64"/>
        <v>2080000</v>
      </c>
      <c r="CF107" s="102">
        <f t="shared" si="65"/>
        <v>2080000</v>
      </c>
      <c r="CG107" s="102">
        <f t="shared" si="66"/>
        <v>0</v>
      </c>
      <c r="CH107" s="124">
        <f t="shared" si="67"/>
        <v>8320000</v>
      </c>
      <c r="CI107" s="125">
        <f t="shared" si="68"/>
        <v>0.2</v>
      </c>
      <c r="CJ107" s="126" t="str">
        <f t="shared" si="69"/>
        <v>数据正确</v>
      </c>
    </row>
    <row r="108" s="60" customFormat="1" customHeight="1" spans="1:88">
      <c r="A108" s="60" t="s">
        <v>36</v>
      </c>
      <c r="B108" s="70" t="str">
        <f t="shared" si="59"/>
        <v>-</v>
      </c>
      <c r="C108" s="71" t="str">
        <f t="shared" si="60"/>
        <v>-</v>
      </c>
      <c r="D108" s="72">
        <f t="shared" si="61"/>
        <v>0</v>
      </c>
      <c r="E108" s="72">
        <v>0</v>
      </c>
      <c r="F108" s="72">
        <v>0</v>
      </c>
      <c r="G108" s="72">
        <v>0</v>
      </c>
      <c r="H108" s="72">
        <v>0</v>
      </c>
      <c r="I108" s="72">
        <f t="shared" si="62"/>
        <v>0</v>
      </c>
      <c r="J108" s="190" t="s">
        <v>98</v>
      </c>
      <c r="K108" s="87"/>
      <c r="L108" s="88">
        <v>244</v>
      </c>
      <c r="M108" s="89" t="s">
        <v>835</v>
      </c>
      <c r="N108" s="191" t="s">
        <v>29</v>
      </c>
      <c r="O108" s="90"/>
      <c r="P108" s="91">
        <v>42983</v>
      </c>
      <c r="Q108" s="173">
        <v>3938</v>
      </c>
      <c r="R108" s="89" t="s">
        <v>836</v>
      </c>
      <c r="S108" s="89" t="s">
        <v>837</v>
      </c>
      <c r="T108" s="89"/>
      <c r="U108" s="103" t="s">
        <v>343</v>
      </c>
      <c r="V108" s="105" t="s">
        <v>838</v>
      </c>
      <c r="W108" s="102">
        <v>3938</v>
      </c>
      <c r="X108" s="102"/>
      <c r="Y108" s="102"/>
      <c r="Z108" s="107"/>
      <c r="AA108" s="102"/>
      <c r="AB108" s="102"/>
      <c r="AC108" s="102"/>
      <c r="AD108" s="107"/>
      <c r="AE108" s="102"/>
      <c r="AF108" s="102"/>
      <c r="AG108" s="102"/>
      <c r="AH108" s="107"/>
      <c r="AI108" s="102"/>
      <c r="AJ108" s="102"/>
      <c r="AK108" s="102"/>
      <c r="AL108" s="107"/>
      <c r="AM108" s="102"/>
      <c r="AN108" s="102"/>
      <c r="AO108" s="102"/>
      <c r="AP108" s="107"/>
      <c r="AQ108" s="102"/>
      <c r="AR108" s="102"/>
      <c r="AS108" s="102"/>
      <c r="AT108" s="107"/>
      <c r="AU108" s="102"/>
      <c r="AV108" s="102"/>
      <c r="AW108" s="102"/>
      <c r="AX108" s="107"/>
      <c r="AY108" s="102"/>
      <c r="AZ108" s="102"/>
      <c r="BA108" s="102"/>
      <c r="BB108" s="102"/>
      <c r="BC108" s="102"/>
      <c r="BD108" s="102"/>
      <c r="BE108" s="102"/>
      <c r="BF108" s="102"/>
      <c r="BG108" s="102"/>
      <c r="BH108" s="102"/>
      <c r="BI108" s="102"/>
      <c r="BJ108" s="102"/>
      <c r="BK108" s="102"/>
      <c r="BL108" s="102"/>
      <c r="BM108" s="102"/>
      <c r="BN108" s="102"/>
      <c r="BO108" s="102"/>
      <c r="BP108" s="102"/>
      <c r="BQ108" s="102"/>
      <c r="BR108" s="102"/>
      <c r="BS108" s="102"/>
      <c r="BT108" s="102"/>
      <c r="BU108" s="102"/>
      <c r="BV108" s="102"/>
      <c r="BW108" s="102"/>
      <c r="BX108" s="102"/>
      <c r="BY108" s="102"/>
      <c r="BZ108" s="102"/>
      <c r="CA108" s="102"/>
      <c r="CB108" s="102"/>
      <c r="CC108" s="122"/>
      <c r="CD108" s="123">
        <f t="shared" si="63"/>
        <v>3938</v>
      </c>
      <c r="CE108" s="102">
        <f t="shared" si="64"/>
        <v>0</v>
      </c>
      <c r="CF108" s="102">
        <f t="shared" si="65"/>
        <v>0</v>
      </c>
      <c r="CG108" s="102">
        <f t="shared" si="66"/>
        <v>0</v>
      </c>
      <c r="CH108" s="124">
        <f t="shared" si="67"/>
        <v>3938</v>
      </c>
      <c r="CI108" s="125">
        <f t="shared" si="68"/>
        <v>0</v>
      </c>
      <c r="CJ108" s="126" t="str">
        <f t="shared" si="69"/>
        <v>数据正确</v>
      </c>
    </row>
    <row r="109" s="60" customFormat="1" customHeight="1" spans="1:88">
      <c r="A109" s="60" t="s">
        <v>36</v>
      </c>
      <c r="B109" s="70" t="str">
        <f t="shared" si="59"/>
        <v>-</v>
      </c>
      <c r="C109" s="71" t="str">
        <f t="shared" si="60"/>
        <v>-</v>
      </c>
      <c r="D109" s="72">
        <f t="shared" si="61"/>
        <v>1222200</v>
      </c>
      <c r="E109" s="72">
        <v>0</v>
      </c>
      <c r="F109" s="72">
        <v>0</v>
      </c>
      <c r="G109" s="72">
        <v>0</v>
      </c>
      <c r="H109" s="72">
        <v>0</v>
      </c>
      <c r="I109" s="72">
        <f t="shared" si="62"/>
        <v>0</v>
      </c>
      <c r="J109" s="190" t="s">
        <v>98</v>
      </c>
      <c r="K109" s="87"/>
      <c r="L109" s="88">
        <v>240</v>
      </c>
      <c r="M109" s="89" t="s">
        <v>839</v>
      </c>
      <c r="N109" s="191" t="s">
        <v>29</v>
      </c>
      <c r="O109" s="90">
        <v>2017050021</v>
      </c>
      <c r="P109" s="91">
        <v>42955</v>
      </c>
      <c r="Q109" s="173">
        <f>6300000-37800</f>
        <v>6262200</v>
      </c>
      <c r="R109" s="89" t="s">
        <v>840</v>
      </c>
      <c r="S109" s="89" t="s">
        <v>841</v>
      </c>
      <c r="T109" s="89"/>
      <c r="U109" s="103" t="s">
        <v>616</v>
      </c>
      <c r="V109" s="105" t="s">
        <v>805</v>
      </c>
      <c r="W109" s="102">
        <v>1222200</v>
      </c>
      <c r="X109" s="102">
        <v>1222200</v>
      </c>
      <c r="Y109" s="102">
        <v>1222200</v>
      </c>
      <c r="Z109" s="107" t="s">
        <v>842</v>
      </c>
      <c r="AA109" s="102">
        <v>4095000</v>
      </c>
      <c r="AB109" s="102"/>
      <c r="AC109" s="102"/>
      <c r="AD109" s="107" t="s">
        <v>780</v>
      </c>
      <c r="AE109" s="102">
        <v>630000</v>
      </c>
      <c r="AF109" s="102"/>
      <c r="AG109" s="102"/>
      <c r="AH109" s="107" t="s">
        <v>843</v>
      </c>
      <c r="AI109" s="102">
        <v>315000</v>
      </c>
      <c r="AJ109" s="102"/>
      <c r="AK109" s="102"/>
      <c r="AL109" s="107"/>
      <c r="AM109" s="102"/>
      <c r="AN109" s="102"/>
      <c r="AO109" s="102"/>
      <c r="AP109" s="107"/>
      <c r="AQ109" s="102"/>
      <c r="AR109" s="102"/>
      <c r="AS109" s="102"/>
      <c r="AT109" s="107"/>
      <c r="AU109" s="102"/>
      <c r="AV109" s="102"/>
      <c r="AW109" s="102"/>
      <c r="AX109" s="107"/>
      <c r="AY109" s="102"/>
      <c r="AZ109" s="102"/>
      <c r="BA109" s="102"/>
      <c r="BB109" s="102"/>
      <c r="BC109" s="102"/>
      <c r="BD109" s="102"/>
      <c r="BE109" s="102"/>
      <c r="BF109" s="102"/>
      <c r="BG109" s="102"/>
      <c r="BH109" s="102"/>
      <c r="BI109" s="102"/>
      <c r="BJ109" s="102"/>
      <c r="BK109" s="102"/>
      <c r="BL109" s="102"/>
      <c r="BM109" s="102"/>
      <c r="BN109" s="102"/>
      <c r="BO109" s="102"/>
      <c r="BP109" s="102"/>
      <c r="BQ109" s="102"/>
      <c r="BR109" s="102"/>
      <c r="BS109" s="102"/>
      <c r="BT109" s="102"/>
      <c r="BU109" s="102"/>
      <c r="BV109" s="102"/>
      <c r="BW109" s="102"/>
      <c r="BX109" s="102"/>
      <c r="BY109" s="102"/>
      <c r="BZ109" s="102"/>
      <c r="CA109" s="102"/>
      <c r="CB109" s="102"/>
      <c r="CC109" s="122"/>
      <c r="CD109" s="123">
        <f t="shared" si="63"/>
        <v>6262200</v>
      </c>
      <c r="CE109" s="102">
        <f t="shared" si="64"/>
        <v>1222200</v>
      </c>
      <c r="CF109" s="102">
        <f t="shared" si="65"/>
        <v>1222200</v>
      </c>
      <c r="CG109" s="102">
        <f t="shared" si="66"/>
        <v>0</v>
      </c>
      <c r="CH109" s="124">
        <f t="shared" si="67"/>
        <v>5040000</v>
      </c>
      <c r="CI109" s="125">
        <f t="shared" si="68"/>
        <v>0.195171026156942</v>
      </c>
      <c r="CJ109" s="126" t="str">
        <f t="shared" si="69"/>
        <v>数据正确</v>
      </c>
    </row>
    <row r="110" s="60" customFormat="1" customHeight="1" spans="1:88">
      <c r="A110" s="60" t="s">
        <v>36</v>
      </c>
      <c r="B110" s="70" t="str">
        <f t="shared" si="59"/>
        <v>-</v>
      </c>
      <c r="C110" s="71" t="str">
        <f t="shared" si="60"/>
        <v>-</v>
      </c>
      <c r="D110" s="72">
        <f t="shared" si="61"/>
        <v>2100000</v>
      </c>
      <c r="E110" s="72">
        <v>0</v>
      </c>
      <c r="F110" s="72">
        <v>0</v>
      </c>
      <c r="G110" s="72">
        <v>0</v>
      </c>
      <c r="H110" s="72">
        <v>0</v>
      </c>
      <c r="I110" s="72">
        <f t="shared" si="62"/>
        <v>0</v>
      </c>
      <c r="J110" s="190" t="s">
        <v>98</v>
      </c>
      <c r="K110" s="87"/>
      <c r="L110" s="88">
        <v>247</v>
      </c>
      <c r="M110" s="89" t="s">
        <v>844</v>
      </c>
      <c r="N110" s="191" t="s">
        <v>29</v>
      </c>
      <c r="O110" s="90">
        <v>2017070056</v>
      </c>
      <c r="P110" s="91">
        <v>42986</v>
      </c>
      <c r="Q110" s="173">
        <v>10500000</v>
      </c>
      <c r="R110" s="89" t="s">
        <v>845</v>
      </c>
      <c r="S110" s="89" t="s">
        <v>846</v>
      </c>
      <c r="T110" s="89"/>
      <c r="U110" s="103" t="s">
        <v>847</v>
      </c>
      <c r="V110" s="105" t="s">
        <v>848</v>
      </c>
      <c r="W110" s="102">
        <v>2100000</v>
      </c>
      <c r="X110" s="102">
        <v>2100000</v>
      </c>
      <c r="Y110" s="102">
        <v>2100000</v>
      </c>
      <c r="Z110" s="107" t="s">
        <v>849</v>
      </c>
      <c r="AA110" s="102">
        <v>6300000</v>
      </c>
      <c r="AB110" s="102"/>
      <c r="AC110" s="102"/>
      <c r="AD110" s="107" t="s">
        <v>850</v>
      </c>
      <c r="AE110" s="102">
        <v>1050000</v>
      </c>
      <c r="AF110" s="102"/>
      <c r="AG110" s="102"/>
      <c r="AH110" s="107" t="s">
        <v>851</v>
      </c>
      <c r="AI110" s="102">
        <v>1050000</v>
      </c>
      <c r="AJ110" s="102"/>
      <c r="AK110" s="102"/>
      <c r="AL110" s="107"/>
      <c r="AM110" s="102"/>
      <c r="AN110" s="102"/>
      <c r="AO110" s="102"/>
      <c r="AP110" s="107"/>
      <c r="AQ110" s="102"/>
      <c r="AR110" s="102"/>
      <c r="AS110" s="102"/>
      <c r="AT110" s="107"/>
      <c r="AU110" s="102"/>
      <c r="AV110" s="102"/>
      <c r="AW110" s="102"/>
      <c r="AX110" s="107"/>
      <c r="AY110" s="102"/>
      <c r="AZ110" s="102"/>
      <c r="BA110" s="102"/>
      <c r="BB110" s="102"/>
      <c r="BC110" s="102"/>
      <c r="BD110" s="102"/>
      <c r="BE110" s="102"/>
      <c r="BF110" s="102"/>
      <c r="BG110" s="102"/>
      <c r="BH110" s="102"/>
      <c r="BI110" s="102"/>
      <c r="BJ110" s="102"/>
      <c r="BK110" s="102"/>
      <c r="BL110" s="102"/>
      <c r="BM110" s="102"/>
      <c r="BN110" s="102"/>
      <c r="BO110" s="102"/>
      <c r="BP110" s="102"/>
      <c r="BQ110" s="102"/>
      <c r="BR110" s="102"/>
      <c r="BS110" s="102"/>
      <c r="BT110" s="102"/>
      <c r="BU110" s="102"/>
      <c r="BV110" s="102"/>
      <c r="BW110" s="102"/>
      <c r="BX110" s="102"/>
      <c r="BY110" s="102"/>
      <c r="BZ110" s="102"/>
      <c r="CA110" s="102"/>
      <c r="CB110" s="102"/>
      <c r="CC110" s="122"/>
      <c r="CD110" s="123">
        <f t="shared" si="63"/>
        <v>10500000</v>
      </c>
      <c r="CE110" s="102">
        <f t="shared" si="64"/>
        <v>2100000</v>
      </c>
      <c r="CF110" s="102">
        <f t="shared" si="65"/>
        <v>2100000</v>
      </c>
      <c r="CG110" s="102">
        <f t="shared" si="66"/>
        <v>0</v>
      </c>
      <c r="CH110" s="124">
        <f t="shared" si="67"/>
        <v>8400000</v>
      </c>
      <c r="CI110" s="125">
        <f t="shared" si="68"/>
        <v>0.2</v>
      </c>
      <c r="CJ110" s="126" t="str">
        <f t="shared" si="69"/>
        <v>数据正确</v>
      </c>
    </row>
    <row r="111" s="60" customFormat="1" customHeight="1" spans="1:88">
      <c r="A111" s="60" t="s">
        <v>36</v>
      </c>
      <c r="B111" s="70" t="str">
        <f t="shared" si="59"/>
        <v>-</v>
      </c>
      <c r="C111" s="71" t="str">
        <f t="shared" si="60"/>
        <v>-</v>
      </c>
      <c r="D111" s="72">
        <f t="shared" si="61"/>
        <v>0</v>
      </c>
      <c r="E111" s="72">
        <v>0</v>
      </c>
      <c r="F111" s="72">
        <v>0</v>
      </c>
      <c r="G111" s="72">
        <v>0</v>
      </c>
      <c r="H111" s="72">
        <v>0</v>
      </c>
      <c r="I111" s="72">
        <f t="shared" si="62"/>
        <v>0</v>
      </c>
      <c r="J111" s="190" t="s">
        <v>98</v>
      </c>
      <c r="K111" s="87"/>
      <c r="L111" s="88">
        <v>248</v>
      </c>
      <c r="M111" s="89" t="s">
        <v>852</v>
      </c>
      <c r="N111" s="191" t="s">
        <v>29</v>
      </c>
      <c r="O111" s="90">
        <v>2017060009</v>
      </c>
      <c r="P111" s="91">
        <v>42921</v>
      </c>
      <c r="Q111" s="173">
        <v>350000</v>
      </c>
      <c r="R111" s="89" t="s">
        <v>853</v>
      </c>
      <c r="S111" s="89" t="s">
        <v>758</v>
      </c>
      <c r="T111" s="89"/>
      <c r="U111" s="103" t="s">
        <v>616</v>
      </c>
      <c r="V111" s="105" t="s">
        <v>805</v>
      </c>
      <c r="W111" s="102">
        <v>70000</v>
      </c>
      <c r="X111" s="102"/>
      <c r="Y111" s="102"/>
      <c r="Z111" s="107" t="s">
        <v>854</v>
      </c>
      <c r="AA111" s="102">
        <v>140000</v>
      </c>
      <c r="AB111" s="102"/>
      <c r="AC111" s="102"/>
      <c r="AD111" s="107" t="s">
        <v>692</v>
      </c>
      <c r="AE111" s="102">
        <v>105000</v>
      </c>
      <c r="AF111" s="102"/>
      <c r="AG111" s="102"/>
      <c r="AH111" s="107" t="s">
        <v>851</v>
      </c>
      <c r="AI111" s="102">
        <v>35000</v>
      </c>
      <c r="AJ111" s="102"/>
      <c r="AK111" s="102"/>
      <c r="AL111" s="107"/>
      <c r="AM111" s="102"/>
      <c r="AN111" s="102"/>
      <c r="AO111" s="102"/>
      <c r="AP111" s="107"/>
      <c r="AQ111" s="102"/>
      <c r="AR111" s="102"/>
      <c r="AS111" s="102"/>
      <c r="AT111" s="107"/>
      <c r="AU111" s="102"/>
      <c r="AV111" s="102"/>
      <c r="AW111" s="102"/>
      <c r="AX111" s="107"/>
      <c r="AY111" s="102"/>
      <c r="AZ111" s="102"/>
      <c r="BA111" s="102"/>
      <c r="BB111" s="102"/>
      <c r="BC111" s="102"/>
      <c r="BD111" s="102"/>
      <c r="BE111" s="102"/>
      <c r="BF111" s="102"/>
      <c r="BG111" s="102"/>
      <c r="BH111" s="102"/>
      <c r="BI111" s="102"/>
      <c r="BJ111" s="102"/>
      <c r="BK111" s="102"/>
      <c r="BL111" s="102"/>
      <c r="BM111" s="102"/>
      <c r="BN111" s="102"/>
      <c r="BO111" s="102"/>
      <c r="BP111" s="102"/>
      <c r="BQ111" s="102"/>
      <c r="BR111" s="102"/>
      <c r="BS111" s="102"/>
      <c r="BT111" s="102"/>
      <c r="BU111" s="102"/>
      <c r="BV111" s="102"/>
      <c r="BW111" s="102"/>
      <c r="BX111" s="102"/>
      <c r="BY111" s="102"/>
      <c r="BZ111" s="102"/>
      <c r="CA111" s="102"/>
      <c r="CB111" s="102"/>
      <c r="CC111" s="122"/>
      <c r="CD111" s="123">
        <f t="shared" si="63"/>
        <v>350000</v>
      </c>
      <c r="CE111" s="102">
        <f t="shared" si="64"/>
        <v>0</v>
      </c>
      <c r="CF111" s="102">
        <f t="shared" si="65"/>
        <v>0</v>
      </c>
      <c r="CG111" s="102">
        <f t="shared" si="66"/>
        <v>0</v>
      </c>
      <c r="CH111" s="124">
        <f t="shared" si="67"/>
        <v>350000</v>
      </c>
      <c r="CI111" s="125">
        <f t="shared" si="68"/>
        <v>0</v>
      </c>
      <c r="CJ111" s="126" t="str">
        <f t="shared" si="69"/>
        <v>数据正确</v>
      </c>
    </row>
    <row r="112" s="60" customFormat="1" customHeight="1" spans="1:88">
      <c r="A112" s="60" t="s">
        <v>36</v>
      </c>
      <c r="B112" s="70" t="str">
        <f t="shared" si="59"/>
        <v>-</v>
      </c>
      <c r="C112" s="71" t="str">
        <f t="shared" si="60"/>
        <v>-</v>
      </c>
      <c r="D112" s="72">
        <f t="shared" si="61"/>
        <v>0</v>
      </c>
      <c r="E112" s="72">
        <v>0</v>
      </c>
      <c r="F112" s="72">
        <v>0</v>
      </c>
      <c r="G112" s="72">
        <v>0</v>
      </c>
      <c r="H112" s="72">
        <v>0</v>
      </c>
      <c r="I112" s="72">
        <f t="shared" si="62"/>
        <v>0</v>
      </c>
      <c r="J112" s="190" t="s">
        <v>98</v>
      </c>
      <c r="K112" s="87"/>
      <c r="L112" s="88">
        <v>249</v>
      </c>
      <c r="M112" s="89" t="s">
        <v>855</v>
      </c>
      <c r="N112" s="191" t="s">
        <v>29</v>
      </c>
      <c r="O112" s="90">
        <v>2017060043</v>
      </c>
      <c r="P112" s="91">
        <v>42929</v>
      </c>
      <c r="Q112" s="173">
        <v>3395000</v>
      </c>
      <c r="R112" s="89" t="s">
        <v>856</v>
      </c>
      <c r="S112" s="89" t="s">
        <v>857</v>
      </c>
      <c r="T112" s="89"/>
      <c r="U112" s="103" t="s">
        <v>343</v>
      </c>
      <c r="V112" s="105" t="s">
        <v>773</v>
      </c>
      <c r="W112" s="102">
        <v>679000</v>
      </c>
      <c r="X112" s="102"/>
      <c r="Y112" s="102"/>
      <c r="Z112" s="107" t="s">
        <v>854</v>
      </c>
      <c r="AA112" s="102">
        <v>1358000</v>
      </c>
      <c r="AB112" s="102"/>
      <c r="AC112" s="102"/>
      <c r="AD112" s="107" t="s">
        <v>692</v>
      </c>
      <c r="AE112" s="102">
        <v>1018500</v>
      </c>
      <c r="AF112" s="102"/>
      <c r="AG112" s="102"/>
      <c r="AH112" s="107" t="s">
        <v>851</v>
      </c>
      <c r="AI112" s="102">
        <v>339500</v>
      </c>
      <c r="AJ112" s="102"/>
      <c r="AK112" s="102"/>
      <c r="AL112" s="107"/>
      <c r="AM112" s="102"/>
      <c r="AN112" s="102"/>
      <c r="AO112" s="102"/>
      <c r="AP112" s="107"/>
      <c r="AQ112" s="102"/>
      <c r="AR112" s="102"/>
      <c r="AS112" s="102"/>
      <c r="AT112" s="107"/>
      <c r="AU112" s="102"/>
      <c r="AV112" s="102"/>
      <c r="AW112" s="102"/>
      <c r="AX112" s="107"/>
      <c r="AY112" s="102"/>
      <c r="AZ112" s="102"/>
      <c r="BA112" s="102"/>
      <c r="BB112" s="102"/>
      <c r="BC112" s="102"/>
      <c r="BD112" s="102"/>
      <c r="BE112" s="102"/>
      <c r="BF112" s="102"/>
      <c r="BG112" s="102"/>
      <c r="BH112" s="102"/>
      <c r="BI112" s="102"/>
      <c r="BJ112" s="102"/>
      <c r="BK112" s="102"/>
      <c r="BL112" s="102"/>
      <c r="BM112" s="102"/>
      <c r="BN112" s="102"/>
      <c r="BO112" s="102"/>
      <c r="BP112" s="102"/>
      <c r="BQ112" s="102"/>
      <c r="BR112" s="102"/>
      <c r="BS112" s="102"/>
      <c r="BT112" s="102"/>
      <c r="BU112" s="102"/>
      <c r="BV112" s="102"/>
      <c r="BW112" s="102"/>
      <c r="BX112" s="102"/>
      <c r="BY112" s="102"/>
      <c r="BZ112" s="102"/>
      <c r="CA112" s="102"/>
      <c r="CB112" s="102"/>
      <c r="CC112" s="122"/>
      <c r="CD112" s="123">
        <f t="shared" si="63"/>
        <v>3395000</v>
      </c>
      <c r="CE112" s="102">
        <f t="shared" si="64"/>
        <v>0</v>
      </c>
      <c r="CF112" s="102">
        <f t="shared" si="65"/>
        <v>0</v>
      </c>
      <c r="CG112" s="102">
        <f t="shared" si="66"/>
        <v>0</v>
      </c>
      <c r="CH112" s="124">
        <f t="shared" si="67"/>
        <v>3395000</v>
      </c>
      <c r="CI112" s="125">
        <f t="shared" si="68"/>
        <v>0</v>
      </c>
      <c r="CJ112" s="126" t="str">
        <f t="shared" si="69"/>
        <v>数据正确</v>
      </c>
    </row>
    <row r="113" s="60" customFormat="1" customHeight="1" spans="1:88">
      <c r="A113" s="60" t="s">
        <v>36</v>
      </c>
      <c r="B113" s="70" t="str">
        <f t="shared" si="59"/>
        <v>-</v>
      </c>
      <c r="C113" s="71" t="str">
        <f t="shared" si="60"/>
        <v>-</v>
      </c>
      <c r="D113" s="72">
        <f t="shared" si="61"/>
        <v>2200000</v>
      </c>
      <c r="E113" s="72">
        <v>0</v>
      </c>
      <c r="F113" s="72">
        <v>0</v>
      </c>
      <c r="G113" s="72">
        <v>0</v>
      </c>
      <c r="H113" s="72">
        <v>0</v>
      </c>
      <c r="I113" s="72">
        <f t="shared" si="62"/>
        <v>0</v>
      </c>
      <c r="J113" s="190" t="s">
        <v>98</v>
      </c>
      <c r="K113" s="87"/>
      <c r="L113" s="88">
        <v>250</v>
      </c>
      <c r="M113" s="89" t="s">
        <v>858</v>
      </c>
      <c r="N113" s="191" t="s">
        <v>29</v>
      </c>
      <c r="O113" s="90">
        <v>2017070006</v>
      </c>
      <c r="P113" s="91">
        <v>42981</v>
      </c>
      <c r="Q113" s="173">
        <v>11000000</v>
      </c>
      <c r="R113" s="89" t="s">
        <v>859</v>
      </c>
      <c r="S113" s="89" t="s">
        <v>860</v>
      </c>
      <c r="T113" s="89"/>
      <c r="U113" s="103" t="s">
        <v>625</v>
      </c>
      <c r="V113" s="105" t="s">
        <v>861</v>
      </c>
      <c r="W113" s="102">
        <v>2200000</v>
      </c>
      <c r="X113" s="102">
        <v>2200000</v>
      </c>
      <c r="Y113" s="102">
        <v>2200000</v>
      </c>
      <c r="Z113" s="107" t="s">
        <v>854</v>
      </c>
      <c r="AA113" s="102">
        <v>4400000</v>
      </c>
      <c r="AB113" s="102"/>
      <c r="AC113" s="102"/>
      <c r="AD113" s="107" t="s">
        <v>692</v>
      </c>
      <c r="AE113" s="102">
        <v>3300000</v>
      </c>
      <c r="AF113" s="102"/>
      <c r="AG113" s="102"/>
      <c r="AH113" s="107" t="s">
        <v>851</v>
      </c>
      <c r="AI113" s="102">
        <v>1100000</v>
      </c>
      <c r="AJ113" s="102"/>
      <c r="AK113" s="102"/>
      <c r="AL113" s="107"/>
      <c r="AM113" s="102"/>
      <c r="AN113" s="102"/>
      <c r="AO113" s="102"/>
      <c r="AP113" s="107"/>
      <c r="AQ113" s="102"/>
      <c r="AR113" s="102"/>
      <c r="AS113" s="102"/>
      <c r="AT113" s="107"/>
      <c r="AU113" s="102"/>
      <c r="AV113" s="102"/>
      <c r="AW113" s="102"/>
      <c r="AX113" s="107"/>
      <c r="AY113" s="102"/>
      <c r="AZ113" s="102"/>
      <c r="BA113" s="102"/>
      <c r="BB113" s="102"/>
      <c r="BC113" s="102"/>
      <c r="BD113" s="102"/>
      <c r="BE113" s="102"/>
      <c r="BF113" s="102"/>
      <c r="BG113" s="102"/>
      <c r="BH113" s="102"/>
      <c r="BI113" s="102"/>
      <c r="BJ113" s="102"/>
      <c r="BK113" s="102"/>
      <c r="BL113" s="102"/>
      <c r="BM113" s="102"/>
      <c r="BN113" s="102"/>
      <c r="BO113" s="102"/>
      <c r="BP113" s="102"/>
      <c r="BQ113" s="102"/>
      <c r="BR113" s="102"/>
      <c r="BS113" s="102"/>
      <c r="BT113" s="102"/>
      <c r="BU113" s="102"/>
      <c r="BV113" s="102"/>
      <c r="BW113" s="102"/>
      <c r="BX113" s="102"/>
      <c r="BY113" s="102"/>
      <c r="BZ113" s="102"/>
      <c r="CA113" s="102"/>
      <c r="CB113" s="102"/>
      <c r="CC113" s="122"/>
      <c r="CD113" s="123">
        <f t="shared" si="63"/>
        <v>11000000</v>
      </c>
      <c r="CE113" s="102">
        <f t="shared" si="64"/>
        <v>2200000</v>
      </c>
      <c r="CF113" s="102">
        <f t="shared" si="65"/>
        <v>2200000</v>
      </c>
      <c r="CG113" s="102">
        <f t="shared" si="66"/>
        <v>0</v>
      </c>
      <c r="CH113" s="124">
        <f t="shared" si="67"/>
        <v>8800000</v>
      </c>
      <c r="CI113" s="125">
        <f t="shared" si="68"/>
        <v>0.2</v>
      </c>
      <c r="CJ113" s="126" t="str">
        <f t="shared" si="69"/>
        <v>数据正确</v>
      </c>
    </row>
    <row r="114" s="60" customFormat="1" customHeight="1" spans="1:88">
      <c r="A114" s="60" t="s">
        <v>36</v>
      </c>
      <c r="B114" s="70" t="str">
        <f t="shared" si="59"/>
        <v>-</v>
      </c>
      <c r="C114" s="71" t="str">
        <f t="shared" si="60"/>
        <v>-</v>
      </c>
      <c r="D114" s="72">
        <f t="shared" si="61"/>
        <v>0</v>
      </c>
      <c r="E114" s="72">
        <v>0</v>
      </c>
      <c r="F114" s="72">
        <v>0</v>
      </c>
      <c r="G114" s="72">
        <v>0</v>
      </c>
      <c r="H114" s="72">
        <v>0</v>
      </c>
      <c r="I114" s="72">
        <f t="shared" si="62"/>
        <v>0</v>
      </c>
      <c r="J114" s="190" t="s">
        <v>98</v>
      </c>
      <c r="K114" s="87"/>
      <c r="L114" s="88">
        <v>251</v>
      </c>
      <c r="M114" s="89" t="s">
        <v>862</v>
      </c>
      <c r="N114" s="191" t="s">
        <v>29</v>
      </c>
      <c r="O114" s="90">
        <v>2017060070</v>
      </c>
      <c r="P114" s="91">
        <v>42963</v>
      </c>
      <c r="Q114" s="173">
        <v>617800</v>
      </c>
      <c r="R114" s="89" t="s">
        <v>863</v>
      </c>
      <c r="S114" s="89" t="s">
        <v>864</v>
      </c>
      <c r="T114" s="89"/>
      <c r="U114" s="103" t="s">
        <v>625</v>
      </c>
      <c r="V114" s="105" t="s">
        <v>861</v>
      </c>
      <c r="W114" s="102">
        <v>123560</v>
      </c>
      <c r="X114" s="102"/>
      <c r="Y114" s="102"/>
      <c r="Z114" s="107" t="s">
        <v>854</v>
      </c>
      <c r="AA114" s="102">
        <v>247120</v>
      </c>
      <c r="AB114" s="102"/>
      <c r="AC114" s="102"/>
      <c r="AD114" s="107" t="s">
        <v>692</v>
      </c>
      <c r="AE114" s="102">
        <v>185340</v>
      </c>
      <c r="AF114" s="102"/>
      <c r="AG114" s="102"/>
      <c r="AH114" s="107" t="s">
        <v>851</v>
      </c>
      <c r="AI114" s="102">
        <v>61780</v>
      </c>
      <c r="AJ114" s="102"/>
      <c r="AK114" s="102"/>
      <c r="AL114" s="107"/>
      <c r="AM114" s="102"/>
      <c r="AN114" s="102"/>
      <c r="AO114" s="102"/>
      <c r="AP114" s="107"/>
      <c r="AQ114" s="102"/>
      <c r="AR114" s="102"/>
      <c r="AS114" s="102"/>
      <c r="AT114" s="107"/>
      <c r="AU114" s="102"/>
      <c r="AV114" s="102"/>
      <c r="AW114" s="102"/>
      <c r="AX114" s="107"/>
      <c r="AY114" s="102"/>
      <c r="AZ114" s="102"/>
      <c r="BA114" s="102"/>
      <c r="BB114" s="102"/>
      <c r="BC114" s="102"/>
      <c r="BD114" s="102"/>
      <c r="BE114" s="102"/>
      <c r="BF114" s="102"/>
      <c r="BG114" s="102"/>
      <c r="BH114" s="102"/>
      <c r="BI114" s="102"/>
      <c r="BJ114" s="102"/>
      <c r="BK114" s="102"/>
      <c r="BL114" s="102"/>
      <c r="BM114" s="102"/>
      <c r="BN114" s="102"/>
      <c r="BO114" s="102"/>
      <c r="BP114" s="102"/>
      <c r="BQ114" s="102"/>
      <c r="BR114" s="102"/>
      <c r="BS114" s="102"/>
      <c r="BT114" s="102"/>
      <c r="BU114" s="102"/>
      <c r="BV114" s="102"/>
      <c r="BW114" s="102"/>
      <c r="BX114" s="102"/>
      <c r="BY114" s="102"/>
      <c r="BZ114" s="102"/>
      <c r="CA114" s="102"/>
      <c r="CB114" s="102"/>
      <c r="CC114" s="122"/>
      <c r="CD114" s="123">
        <f t="shared" si="63"/>
        <v>617800</v>
      </c>
      <c r="CE114" s="102">
        <f t="shared" si="64"/>
        <v>0</v>
      </c>
      <c r="CF114" s="102">
        <f t="shared" si="65"/>
        <v>0</v>
      </c>
      <c r="CG114" s="102">
        <f t="shared" si="66"/>
        <v>0</v>
      </c>
      <c r="CH114" s="124">
        <f t="shared" si="67"/>
        <v>617800</v>
      </c>
      <c r="CI114" s="125">
        <f t="shared" si="68"/>
        <v>0</v>
      </c>
      <c r="CJ114" s="126" t="str">
        <f t="shared" si="69"/>
        <v>数据正确</v>
      </c>
    </row>
    <row r="115" s="60" customFormat="1" customHeight="1" spans="1:88">
      <c r="A115" s="60" t="s">
        <v>36</v>
      </c>
      <c r="B115" s="70" t="str">
        <f t="shared" ref="B115:B146" si="76">IF(I115=0,"-","申请中")</f>
        <v>-</v>
      </c>
      <c r="C115" s="71" t="str">
        <f t="shared" ref="C115:C146" si="77">IF(CI115=100%,"已付清","-")</f>
        <v>-</v>
      </c>
      <c r="D115" s="72">
        <f t="shared" ref="D115:D146" si="78">CF115</f>
        <v>269200</v>
      </c>
      <c r="E115" s="72">
        <v>0</v>
      </c>
      <c r="F115" s="72">
        <v>0</v>
      </c>
      <c r="G115" s="72">
        <v>0</v>
      </c>
      <c r="H115" s="72">
        <v>0</v>
      </c>
      <c r="I115" s="72">
        <f t="shared" ref="I115:I146" si="79">CE115-CF115-CG115</f>
        <v>0</v>
      </c>
      <c r="J115" s="190" t="s">
        <v>98</v>
      </c>
      <c r="K115" s="87"/>
      <c r="L115" s="88">
        <v>252</v>
      </c>
      <c r="M115" s="89" t="s">
        <v>865</v>
      </c>
      <c r="N115" s="191" t="s">
        <v>29</v>
      </c>
      <c r="O115" s="90">
        <v>2017070049</v>
      </c>
      <c r="P115" s="91">
        <v>42965</v>
      </c>
      <c r="Q115" s="173">
        <v>1346000</v>
      </c>
      <c r="R115" s="89" t="s">
        <v>866</v>
      </c>
      <c r="S115" s="89" t="s">
        <v>547</v>
      </c>
      <c r="T115" s="89"/>
      <c r="U115" s="103" t="s">
        <v>650</v>
      </c>
      <c r="V115" s="105" t="s">
        <v>861</v>
      </c>
      <c r="W115" s="102">
        <v>269200</v>
      </c>
      <c r="X115" s="102">
        <v>269200</v>
      </c>
      <c r="Y115" s="102">
        <v>269200</v>
      </c>
      <c r="Z115" s="107" t="s">
        <v>854</v>
      </c>
      <c r="AA115" s="102">
        <v>538400</v>
      </c>
      <c r="AB115" s="102"/>
      <c r="AC115" s="102"/>
      <c r="AD115" s="107" t="s">
        <v>692</v>
      </c>
      <c r="AE115" s="102">
        <v>403800</v>
      </c>
      <c r="AF115" s="102"/>
      <c r="AG115" s="102"/>
      <c r="AH115" s="107" t="s">
        <v>851</v>
      </c>
      <c r="AI115" s="102">
        <v>134600</v>
      </c>
      <c r="AJ115" s="102"/>
      <c r="AK115" s="102"/>
      <c r="AL115" s="107"/>
      <c r="AM115" s="102"/>
      <c r="AN115" s="102"/>
      <c r="AO115" s="102"/>
      <c r="AP115" s="107"/>
      <c r="AQ115" s="102"/>
      <c r="AR115" s="102"/>
      <c r="AS115" s="102"/>
      <c r="AT115" s="107"/>
      <c r="AU115" s="102"/>
      <c r="AV115" s="102"/>
      <c r="AW115" s="102"/>
      <c r="AX115" s="107"/>
      <c r="AY115" s="102"/>
      <c r="AZ115" s="102"/>
      <c r="BA115" s="102"/>
      <c r="BB115" s="102"/>
      <c r="BC115" s="102"/>
      <c r="BD115" s="102"/>
      <c r="BE115" s="102"/>
      <c r="BF115" s="102"/>
      <c r="BG115" s="102"/>
      <c r="BH115" s="102"/>
      <c r="BI115" s="102"/>
      <c r="BJ115" s="102"/>
      <c r="BK115" s="102"/>
      <c r="BL115" s="102"/>
      <c r="BM115" s="102"/>
      <c r="BN115" s="102"/>
      <c r="BO115" s="102"/>
      <c r="BP115" s="102"/>
      <c r="BQ115" s="102"/>
      <c r="BR115" s="102"/>
      <c r="BS115" s="102"/>
      <c r="BT115" s="102"/>
      <c r="BU115" s="102"/>
      <c r="BV115" s="102"/>
      <c r="BW115" s="102"/>
      <c r="BX115" s="102"/>
      <c r="BY115" s="102"/>
      <c r="BZ115" s="102"/>
      <c r="CA115" s="102"/>
      <c r="CB115" s="102"/>
      <c r="CC115" s="122"/>
      <c r="CD115" s="123">
        <f t="shared" ref="CD115:CD146" si="80">W115+AA115+AE115+AI115+AM115+AQ115+AU115+AY115+BC115+BG115+BK115+BO115+BS115+BW115+CA115</f>
        <v>1346000</v>
      </c>
      <c r="CE115" s="102">
        <f t="shared" ref="CE115:CE146" si="81">X115+AB115+AF115+AJ115+AN115+AR115+AV115+AZ115+BD115+BH115+BL115+BP115+BT115+BX115+CB115</f>
        <v>269200</v>
      </c>
      <c r="CF115" s="102">
        <f t="shared" ref="CF115:CF146" si="82">Y115+AC115+AG115+AK115+AO115+AS115+AW115+BA115+BE115+BI115+BM115+BQ115+BU115+BY115+CC115</f>
        <v>269200</v>
      </c>
      <c r="CG115" s="102">
        <f t="shared" ref="CG115:CG146" si="83">E115+F115+G115+H115</f>
        <v>0</v>
      </c>
      <c r="CH115" s="124">
        <f t="shared" ref="CH115:CH146" si="84">Q115-CF115-CG115</f>
        <v>1076800</v>
      </c>
      <c r="CI115" s="125">
        <f t="shared" ref="CI115:CI146" si="85">IF(ISERROR((CF115+CG115)/Q115),"-",(CF115+CG115)/Q115)</f>
        <v>0.2</v>
      </c>
      <c r="CJ115" s="126" t="str">
        <f t="shared" ref="CJ115:CJ146" si="86">IF(Q115-CD115=0,"数据正确","数据错误")</f>
        <v>数据正确</v>
      </c>
    </row>
    <row r="116" s="60" customFormat="1" customHeight="1" spans="1:88">
      <c r="A116" s="60" t="s">
        <v>36</v>
      </c>
      <c r="B116" s="70" t="str">
        <f t="shared" si="76"/>
        <v>申请中</v>
      </c>
      <c r="C116" s="71" t="str">
        <f t="shared" si="77"/>
        <v>-</v>
      </c>
      <c r="D116" s="72">
        <f t="shared" si="78"/>
        <v>0</v>
      </c>
      <c r="E116" s="72">
        <v>0</v>
      </c>
      <c r="F116" s="72">
        <v>0</v>
      </c>
      <c r="G116" s="72">
        <v>0</v>
      </c>
      <c r="H116" s="72">
        <v>0</v>
      </c>
      <c r="I116" s="72">
        <f t="shared" si="79"/>
        <v>1200000</v>
      </c>
      <c r="J116" s="190" t="s">
        <v>98</v>
      </c>
      <c r="K116" s="87"/>
      <c r="L116" s="88">
        <v>253</v>
      </c>
      <c r="M116" s="89" t="s">
        <v>867</v>
      </c>
      <c r="N116" s="191" t="s">
        <v>29</v>
      </c>
      <c r="O116" s="90">
        <v>2017080045</v>
      </c>
      <c r="P116" s="91">
        <v>42983</v>
      </c>
      <c r="Q116" s="173">
        <v>6000000</v>
      </c>
      <c r="R116" s="89" t="s">
        <v>868</v>
      </c>
      <c r="S116" s="89" t="s">
        <v>711</v>
      </c>
      <c r="T116" s="89" t="s">
        <v>490</v>
      </c>
      <c r="U116" s="103" t="s">
        <v>343</v>
      </c>
      <c r="V116" s="105" t="s">
        <v>861</v>
      </c>
      <c r="W116" s="102">
        <v>1200000</v>
      </c>
      <c r="X116" s="102">
        <v>1200000</v>
      </c>
      <c r="Y116" s="102"/>
      <c r="Z116" s="107" t="s">
        <v>869</v>
      </c>
      <c r="AA116" s="102">
        <v>3600000</v>
      </c>
      <c r="AB116" s="102"/>
      <c r="AC116" s="102"/>
      <c r="AD116" s="107" t="s">
        <v>780</v>
      </c>
      <c r="AE116" s="102">
        <v>600000</v>
      </c>
      <c r="AF116" s="102"/>
      <c r="AG116" s="102"/>
      <c r="AH116" s="107" t="s">
        <v>851</v>
      </c>
      <c r="AI116" s="102">
        <v>600000</v>
      </c>
      <c r="AJ116" s="102"/>
      <c r="AK116" s="102"/>
      <c r="AL116" s="107"/>
      <c r="AM116" s="102"/>
      <c r="AN116" s="102"/>
      <c r="AO116" s="102"/>
      <c r="AP116" s="107"/>
      <c r="AQ116" s="102"/>
      <c r="AR116" s="102"/>
      <c r="AS116" s="102"/>
      <c r="AT116" s="107"/>
      <c r="AU116" s="102"/>
      <c r="AV116" s="102"/>
      <c r="AW116" s="102"/>
      <c r="AX116" s="107"/>
      <c r="AY116" s="102"/>
      <c r="AZ116" s="102"/>
      <c r="BA116" s="102"/>
      <c r="BB116" s="102"/>
      <c r="BC116" s="102"/>
      <c r="BD116" s="102"/>
      <c r="BE116" s="102"/>
      <c r="BF116" s="102"/>
      <c r="BG116" s="102"/>
      <c r="BH116" s="102"/>
      <c r="BI116" s="102"/>
      <c r="BJ116" s="102"/>
      <c r="BK116" s="102"/>
      <c r="BL116" s="102"/>
      <c r="BM116" s="102"/>
      <c r="BN116" s="102"/>
      <c r="BO116" s="102"/>
      <c r="BP116" s="102"/>
      <c r="BQ116" s="102"/>
      <c r="BR116" s="102"/>
      <c r="BS116" s="102"/>
      <c r="BT116" s="102"/>
      <c r="BU116" s="102"/>
      <c r="BV116" s="102"/>
      <c r="BW116" s="102"/>
      <c r="BX116" s="102"/>
      <c r="BY116" s="102"/>
      <c r="BZ116" s="102"/>
      <c r="CA116" s="102"/>
      <c r="CB116" s="102"/>
      <c r="CC116" s="122"/>
      <c r="CD116" s="123">
        <f t="shared" si="80"/>
        <v>6000000</v>
      </c>
      <c r="CE116" s="102">
        <f t="shared" si="81"/>
        <v>1200000</v>
      </c>
      <c r="CF116" s="102">
        <f t="shared" si="82"/>
        <v>0</v>
      </c>
      <c r="CG116" s="102">
        <f t="shared" si="83"/>
        <v>0</v>
      </c>
      <c r="CH116" s="124">
        <f t="shared" si="84"/>
        <v>6000000</v>
      </c>
      <c r="CI116" s="125">
        <f t="shared" si="85"/>
        <v>0</v>
      </c>
      <c r="CJ116" s="126" t="str">
        <f t="shared" si="86"/>
        <v>数据正确</v>
      </c>
    </row>
    <row r="117" s="60" customFormat="1" customHeight="1" spans="1:88">
      <c r="A117" s="60" t="s">
        <v>36</v>
      </c>
      <c r="B117" s="70" t="str">
        <f t="shared" si="76"/>
        <v>-</v>
      </c>
      <c r="C117" s="71" t="str">
        <f t="shared" si="77"/>
        <v>-</v>
      </c>
      <c r="D117" s="72">
        <f t="shared" si="78"/>
        <v>194000</v>
      </c>
      <c r="E117" s="72">
        <v>0</v>
      </c>
      <c r="F117" s="72">
        <v>0</v>
      </c>
      <c r="G117" s="72">
        <v>0</v>
      </c>
      <c r="H117" s="72">
        <v>0</v>
      </c>
      <c r="I117" s="72">
        <f t="shared" si="79"/>
        <v>0</v>
      </c>
      <c r="J117" s="190" t="s">
        <v>98</v>
      </c>
      <c r="K117" s="87"/>
      <c r="L117" s="88">
        <v>254</v>
      </c>
      <c r="M117" s="89" t="s">
        <v>870</v>
      </c>
      <c r="N117" s="191" t="s">
        <v>29</v>
      </c>
      <c r="O117" s="90">
        <v>2017080008</v>
      </c>
      <c r="P117" s="91">
        <v>42993</v>
      </c>
      <c r="Q117" s="173">
        <v>970000</v>
      </c>
      <c r="R117" s="89" t="s">
        <v>871</v>
      </c>
      <c r="S117" s="89" t="s">
        <v>872</v>
      </c>
      <c r="T117" s="89" t="s">
        <v>873</v>
      </c>
      <c r="U117" s="103" t="s">
        <v>343</v>
      </c>
      <c r="V117" s="105" t="s">
        <v>861</v>
      </c>
      <c r="W117" s="102">
        <v>194000</v>
      </c>
      <c r="X117" s="102">
        <v>194000</v>
      </c>
      <c r="Y117" s="102">
        <v>194000</v>
      </c>
      <c r="Z117" s="107" t="s">
        <v>869</v>
      </c>
      <c r="AA117" s="102">
        <v>582000</v>
      </c>
      <c r="AB117" s="102"/>
      <c r="AC117" s="102"/>
      <c r="AD117" s="107" t="s">
        <v>874</v>
      </c>
      <c r="AE117" s="102">
        <v>194000</v>
      </c>
      <c r="AF117" s="102"/>
      <c r="AG117" s="102"/>
      <c r="AH117" s="107"/>
      <c r="AI117" s="102"/>
      <c r="AJ117" s="102"/>
      <c r="AK117" s="102"/>
      <c r="AL117" s="107"/>
      <c r="AM117" s="102"/>
      <c r="AN117" s="102"/>
      <c r="AO117" s="102"/>
      <c r="AP117" s="107"/>
      <c r="AQ117" s="102"/>
      <c r="AR117" s="102"/>
      <c r="AS117" s="102"/>
      <c r="AT117" s="107"/>
      <c r="AU117" s="102"/>
      <c r="AV117" s="102"/>
      <c r="AW117" s="102"/>
      <c r="AX117" s="107"/>
      <c r="AY117" s="102"/>
      <c r="AZ117" s="102"/>
      <c r="BA117" s="102"/>
      <c r="BB117" s="102"/>
      <c r="BC117" s="102"/>
      <c r="BD117" s="102"/>
      <c r="BE117" s="102"/>
      <c r="BF117" s="102"/>
      <c r="BG117" s="102"/>
      <c r="BH117" s="102"/>
      <c r="BI117" s="102"/>
      <c r="BJ117" s="102"/>
      <c r="BK117" s="102"/>
      <c r="BL117" s="102"/>
      <c r="BM117" s="102"/>
      <c r="BN117" s="102"/>
      <c r="BO117" s="102"/>
      <c r="BP117" s="102"/>
      <c r="BQ117" s="102"/>
      <c r="BR117" s="102"/>
      <c r="BS117" s="102"/>
      <c r="BT117" s="102"/>
      <c r="BU117" s="102"/>
      <c r="BV117" s="102"/>
      <c r="BW117" s="102"/>
      <c r="BX117" s="102"/>
      <c r="BY117" s="102"/>
      <c r="BZ117" s="102"/>
      <c r="CA117" s="102"/>
      <c r="CB117" s="102"/>
      <c r="CC117" s="122"/>
      <c r="CD117" s="123">
        <f t="shared" si="80"/>
        <v>970000</v>
      </c>
      <c r="CE117" s="102">
        <f t="shared" si="81"/>
        <v>194000</v>
      </c>
      <c r="CF117" s="102">
        <f t="shared" si="82"/>
        <v>194000</v>
      </c>
      <c r="CG117" s="102">
        <f t="shared" si="83"/>
        <v>0</v>
      </c>
      <c r="CH117" s="124">
        <f t="shared" si="84"/>
        <v>776000</v>
      </c>
      <c r="CI117" s="125">
        <f t="shared" si="85"/>
        <v>0.2</v>
      </c>
      <c r="CJ117" s="126" t="str">
        <f t="shared" si="86"/>
        <v>数据正确</v>
      </c>
    </row>
    <row r="118" s="60" customFormat="1" customHeight="1" spans="1:88">
      <c r="A118" s="60" t="s">
        <v>36</v>
      </c>
      <c r="B118" s="70" t="str">
        <f t="shared" si="76"/>
        <v>-</v>
      </c>
      <c r="C118" s="71" t="str">
        <f t="shared" si="77"/>
        <v>-</v>
      </c>
      <c r="D118" s="72">
        <f t="shared" si="78"/>
        <v>152000</v>
      </c>
      <c r="E118" s="72">
        <v>0</v>
      </c>
      <c r="F118" s="72">
        <v>0</v>
      </c>
      <c r="G118" s="72">
        <v>0</v>
      </c>
      <c r="H118" s="72">
        <v>0</v>
      </c>
      <c r="I118" s="72">
        <f t="shared" si="79"/>
        <v>0</v>
      </c>
      <c r="J118" s="190" t="s">
        <v>98</v>
      </c>
      <c r="K118" s="87"/>
      <c r="L118" s="88">
        <v>255</v>
      </c>
      <c r="M118" s="89" t="s">
        <v>875</v>
      </c>
      <c r="N118" s="191" t="s">
        <v>29</v>
      </c>
      <c r="O118" s="90">
        <v>2017080051</v>
      </c>
      <c r="P118" s="91">
        <v>42991</v>
      </c>
      <c r="Q118" s="173">
        <v>760000</v>
      </c>
      <c r="R118" s="89" t="s">
        <v>876</v>
      </c>
      <c r="S118" s="89" t="s">
        <v>877</v>
      </c>
      <c r="T118" s="89"/>
      <c r="U118" s="103" t="s">
        <v>343</v>
      </c>
      <c r="V118" s="105" t="s">
        <v>861</v>
      </c>
      <c r="W118" s="102">
        <v>152000</v>
      </c>
      <c r="X118" s="102">
        <v>152000</v>
      </c>
      <c r="Y118" s="102">
        <v>152000</v>
      </c>
      <c r="Z118" s="107" t="s">
        <v>854</v>
      </c>
      <c r="AA118" s="102">
        <v>304000</v>
      </c>
      <c r="AB118" s="102"/>
      <c r="AC118" s="102"/>
      <c r="AD118" s="107" t="s">
        <v>692</v>
      </c>
      <c r="AE118" s="102">
        <v>228000</v>
      </c>
      <c r="AF118" s="102"/>
      <c r="AG118" s="102"/>
      <c r="AH118" s="107" t="s">
        <v>851</v>
      </c>
      <c r="AI118" s="102">
        <v>76000</v>
      </c>
      <c r="AJ118" s="102"/>
      <c r="AK118" s="102"/>
      <c r="AL118" s="107"/>
      <c r="AM118" s="102"/>
      <c r="AN118" s="102"/>
      <c r="AO118" s="102"/>
      <c r="AP118" s="107"/>
      <c r="AQ118" s="102"/>
      <c r="AR118" s="102"/>
      <c r="AS118" s="102"/>
      <c r="AT118" s="107"/>
      <c r="AU118" s="102"/>
      <c r="AV118" s="102"/>
      <c r="AW118" s="102"/>
      <c r="AX118" s="107"/>
      <c r="AY118" s="102"/>
      <c r="AZ118" s="102"/>
      <c r="BA118" s="102"/>
      <c r="BB118" s="102"/>
      <c r="BC118" s="102"/>
      <c r="BD118" s="102"/>
      <c r="BE118" s="102"/>
      <c r="BF118" s="102"/>
      <c r="BG118" s="102"/>
      <c r="BH118" s="102"/>
      <c r="BI118" s="102"/>
      <c r="BJ118" s="102"/>
      <c r="BK118" s="102"/>
      <c r="BL118" s="102"/>
      <c r="BM118" s="102"/>
      <c r="BN118" s="102"/>
      <c r="BO118" s="102"/>
      <c r="BP118" s="102"/>
      <c r="BQ118" s="102"/>
      <c r="BR118" s="102"/>
      <c r="BS118" s="102"/>
      <c r="BT118" s="102"/>
      <c r="BU118" s="102"/>
      <c r="BV118" s="102"/>
      <c r="BW118" s="102"/>
      <c r="BX118" s="102"/>
      <c r="BY118" s="102"/>
      <c r="BZ118" s="102"/>
      <c r="CA118" s="102"/>
      <c r="CB118" s="102"/>
      <c r="CC118" s="122"/>
      <c r="CD118" s="123">
        <f t="shared" si="80"/>
        <v>760000</v>
      </c>
      <c r="CE118" s="102">
        <f t="shared" si="81"/>
        <v>152000</v>
      </c>
      <c r="CF118" s="102">
        <f t="shared" si="82"/>
        <v>152000</v>
      </c>
      <c r="CG118" s="102">
        <f t="shared" si="83"/>
        <v>0</v>
      </c>
      <c r="CH118" s="124">
        <f t="shared" si="84"/>
        <v>608000</v>
      </c>
      <c r="CI118" s="125">
        <f t="shared" si="85"/>
        <v>0.2</v>
      </c>
      <c r="CJ118" s="126" t="str">
        <f t="shared" si="86"/>
        <v>数据正确</v>
      </c>
    </row>
    <row r="119" s="60" customFormat="1" customHeight="1" spans="1:88">
      <c r="A119" s="60" t="s">
        <v>36</v>
      </c>
      <c r="B119" s="70" t="str">
        <f t="shared" si="76"/>
        <v>-</v>
      </c>
      <c r="C119" s="71" t="str">
        <f t="shared" si="77"/>
        <v>-</v>
      </c>
      <c r="D119" s="72">
        <f t="shared" si="78"/>
        <v>0</v>
      </c>
      <c r="E119" s="72">
        <v>0</v>
      </c>
      <c r="F119" s="72">
        <v>0</v>
      </c>
      <c r="G119" s="72">
        <v>0</v>
      </c>
      <c r="H119" s="72">
        <v>0</v>
      </c>
      <c r="I119" s="72">
        <f t="shared" si="79"/>
        <v>0</v>
      </c>
      <c r="J119" s="190" t="s">
        <v>98</v>
      </c>
      <c r="K119" s="87"/>
      <c r="L119" s="88">
        <v>260</v>
      </c>
      <c r="M119" s="89" t="s">
        <v>878</v>
      </c>
      <c r="N119" s="191" t="s">
        <v>29</v>
      </c>
      <c r="O119" s="90">
        <v>2017080073</v>
      </c>
      <c r="P119" s="91">
        <v>43005</v>
      </c>
      <c r="Q119" s="173">
        <v>3680000</v>
      </c>
      <c r="R119" s="89" t="s">
        <v>879</v>
      </c>
      <c r="S119" s="89" t="s">
        <v>880</v>
      </c>
      <c r="T119" s="89" t="s">
        <v>620</v>
      </c>
      <c r="U119" s="103" t="s">
        <v>881</v>
      </c>
      <c r="V119" s="105" t="s">
        <v>882</v>
      </c>
      <c r="W119" s="102">
        <v>1104000</v>
      </c>
      <c r="X119" s="102"/>
      <c r="Y119" s="102"/>
      <c r="Z119" s="107" t="s">
        <v>790</v>
      </c>
      <c r="AA119" s="102">
        <v>1840000</v>
      </c>
      <c r="AB119" s="102"/>
      <c r="AC119" s="102"/>
      <c r="AD119" s="107" t="s">
        <v>883</v>
      </c>
      <c r="AE119" s="102">
        <v>552000</v>
      </c>
      <c r="AF119" s="102"/>
      <c r="AG119" s="102"/>
      <c r="AH119" s="107" t="s">
        <v>884</v>
      </c>
      <c r="AI119" s="102">
        <v>184000</v>
      </c>
      <c r="AJ119" s="102"/>
      <c r="AK119" s="102"/>
      <c r="AL119" s="107"/>
      <c r="AM119" s="102"/>
      <c r="AN119" s="102"/>
      <c r="AO119" s="102"/>
      <c r="AP119" s="107"/>
      <c r="AQ119" s="102"/>
      <c r="AR119" s="102"/>
      <c r="AS119" s="102"/>
      <c r="AT119" s="107"/>
      <c r="AU119" s="102"/>
      <c r="AV119" s="102"/>
      <c r="AW119" s="102"/>
      <c r="AX119" s="107"/>
      <c r="AY119" s="102"/>
      <c r="AZ119" s="102"/>
      <c r="BA119" s="102"/>
      <c r="BB119" s="102"/>
      <c r="BC119" s="102"/>
      <c r="BD119" s="102"/>
      <c r="BE119" s="102"/>
      <c r="BF119" s="102"/>
      <c r="BG119" s="102"/>
      <c r="BH119" s="102"/>
      <c r="BI119" s="102"/>
      <c r="BJ119" s="102"/>
      <c r="BK119" s="102"/>
      <c r="BL119" s="102"/>
      <c r="BM119" s="102"/>
      <c r="BN119" s="102"/>
      <c r="BO119" s="102"/>
      <c r="BP119" s="102"/>
      <c r="BQ119" s="102"/>
      <c r="BR119" s="102"/>
      <c r="BS119" s="102"/>
      <c r="BT119" s="102"/>
      <c r="BU119" s="102"/>
      <c r="BV119" s="102"/>
      <c r="BW119" s="102"/>
      <c r="BX119" s="102"/>
      <c r="BY119" s="102"/>
      <c r="BZ119" s="102"/>
      <c r="CA119" s="102"/>
      <c r="CB119" s="102"/>
      <c r="CC119" s="122"/>
      <c r="CD119" s="123">
        <f t="shared" si="80"/>
        <v>3680000</v>
      </c>
      <c r="CE119" s="102">
        <f t="shared" si="81"/>
        <v>0</v>
      </c>
      <c r="CF119" s="102">
        <f t="shared" si="82"/>
        <v>0</v>
      </c>
      <c r="CG119" s="102">
        <f t="shared" si="83"/>
        <v>0</v>
      </c>
      <c r="CH119" s="124">
        <f t="shared" si="84"/>
        <v>3680000</v>
      </c>
      <c r="CI119" s="125">
        <f t="shared" si="85"/>
        <v>0</v>
      </c>
      <c r="CJ119" s="126" t="str">
        <f t="shared" si="86"/>
        <v>数据正确</v>
      </c>
    </row>
    <row r="120" s="60" customFormat="1" customHeight="1" spans="1:88">
      <c r="A120" s="60" t="s">
        <v>36</v>
      </c>
      <c r="B120" s="70" t="str">
        <f t="shared" si="76"/>
        <v>-</v>
      </c>
      <c r="C120" s="71" t="str">
        <f t="shared" si="77"/>
        <v>-</v>
      </c>
      <c r="D120" s="72">
        <f t="shared" si="78"/>
        <v>350000</v>
      </c>
      <c r="E120" s="72">
        <v>0</v>
      </c>
      <c r="F120" s="72">
        <v>0</v>
      </c>
      <c r="G120" s="72">
        <v>0</v>
      </c>
      <c r="H120" s="72">
        <v>0</v>
      </c>
      <c r="I120" s="72">
        <f t="shared" si="79"/>
        <v>0</v>
      </c>
      <c r="J120" s="190" t="s">
        <v>98</v>
      </c>
      <c r="K120" s="87"/>
      <c r="L120" s="88">
        <v>287</v>
      </c>
      <c r="M120" s="89" t="s">
        <v>885</v>
      </c>
      <c r="N120" s="191" t="s">
        <v>29</v>
      </c>
      <c r="O120" s="90">
        <v>2017040007</v>
      </c>
      <c r="P120" s="91">
        <v>42980</v>
      </c>
      <c r="Q120" s="173">
        <v>1750000</v>
      </c>
      <c r="R120" s="89" t="s">
        <v>886</v>
      </c>
      <c r="S120" s="89" t="s">
        <v>887</v>
      </c>
      <c r="T120" s="89" t="s">
        <v>525</v>
      </c>
      <c r="U120" s="103" t="s">
        <v>343</v>
      </c>
      <c r="V120" s="105" t="s">
        <v>888</v>
      </c>
      <c r="W120" s="102">
        <v>350000</v>
      </c>
      <c r="X120" s="102">
        <v>350000</v>
      </c>
      <c r="Y120" s="102">
        <v>350000</v>
      </c>
      <c r="Z120" s="107" t="s">
        <v>527</v>
      </c>
      <c r="AA120" s="102">
        <v>700000</v>
      </c>
      <c r="AB120" s="102"/>
      <c r="AC120" s="102"/>
      <c r="AD120" s="107" t="s">
        <v>692</v>
      </c>
      <c r="AE120" s="102">
        <v>525000</v>
      </c>
      <c r="AF120" s="102"/>
      <c r="AG120" s="102"/>
      <c r="AH120" s="107" t="s">
        <v>851</v>
      </c>
      <c r="AI120" s="102">
        <v>175000</v>
      </c>
      <c r="AJ120" s="102"/>
      <c r="AK120" s="102"/>
      <c r="AL120" s="107"/>
      <c r="AM120" s="102"/>
      <c r="AN120" s="102"/>
      <c r="AO120" s="102"/>
      <c r="AP120" s="107"/>
      <c r="AQ120" s="102"/>
      <c r="AR120" s="102"/>
      <c r="AS120" s="102"/>
      <c r="AT120" s="107"/>
      <c r="AU120" s="102"/>
      <c r="AV120" s="102"/>
      <c r="AW120" s="102"/>
      <c r="AX120" s="107"/>
      <c r="AY120" s="102"/>
      <c r="AZ120" s="102"/>
      <c r="BA120" s="102"/>
      <c r="BB120" s="102"/>
      <c r="BC120" s="102"/>
      <c r="BD120" s="102"/>
      <c r="BE120" s="102"/>
      <c r="BF120" s="102"/>
      <c r="BG120" s="102"/>
      <c r="BH120" s="102"/>
      <c r="BI120" s="102"/>
      <c r="BJ120" s="102"/>
      <c r="BK120" s="102"/>
      <c r="BL120" s="102"/>
      <c r="BM120" s="102"/>
      <c r="BN120" s="102"/>
      <c r="BO120" s="102"/>
      <c r="BP120" s="102"/>
      <c r="BQ120" s="102"/>
      <c r="BR120" s="102"/>
      <c r="BS120" s="102"/>
      <c r="BT120" s="102"/>
      <c r="BU120" s="102"/>
      <c r="BV120" s="102"/>
      <c r="BW120" s="102"/>
      <c r="BX120" s="102"/>
      <c r="BY120" s="102"/>
      <c r="BZ120" s="102"/>
      <c r="CA120" s="102"/>
      <c r="CB120" s="102"/>
      <c r="CC120" s="122"/>
      <c r="CD120" s="123">
        <f t="shared" si="80"/>
        <v>1750000</v>
      </c>
      <c r="CE120" s="102">
        <f t="shared" si="81"/>
        <v>350000</v>
      </c>
      <c r="CF120" s="102">
        <f t="shared" si="82"/>
        <v>350000</v>
      </c>
      <c r="CG120" s="102">
        <f t="shared" si="83"/>
        <v>0</v>
      </c>
      <c r="CH120" s="124">
        <f t="shared" si="84"/>
        <v>1400000</v>
      </c>
      <c r="CI120" s="125">
        <f t="shared" si="85"/>
        <v>0.2</v>
      </c>
      <c r="CJ120" s="126" t="str">
        <f t="shared" si="86"/>
        <v>数据正确</v>
      </c>
    </row>
    <row r="121" s="60" customFormat="1" customHeight="1" spans="1:88">
      <c r="A121" s="60" t="s">
        <v>36</v>
      </c>
      <c r="B121" s="70" t="str">
        <f t="shared" si="76"/>
        <v>-</v>
      </c>
      <c r="C121" s="71" t="str">
        <f t="shared" si="77"/>
        <v>-</v>
      </c>
      <c r="D121" s="72">
        <f t="shared" si="78"/>
        <v>0</v>
      </c>
      <c r="E121" s="72">
        <v>0</v>
      </c>
      <c r="F121" s="72">
        <v>0</v>
      </c>
      <c r="G121" s="72">
        <v>0</v>
      </c>
      <c r="H121" s="72">
        <v>0</v>
      </c>
      <c r="I121" s="72">
        <f t="shared" si="79"/>
        <v>0</v>
      </c>
      <c r="J121" s="190" t="s">
        <v>98</v>
      </c>
      <c r="K121" s="87"/>
      <c r="L121" s="88">
        <v>288</v>
      </c>
      <c r="M121" s="89" t="s">
        <v>889</v>
      </c>
      <c r="N121" s="191" t="s">
        <v>29</v>
      </c>
      <c r="O121" s="90"/>
      <c r="P121" s="91">
        <v>42994</v>
      </c>
      <c r="Q121" s="173">
        <v>100000</v>
      </c>
      <c r="R121" s="89" t="s">
        <v>890</v>
      </c>
      <c r="S121" s="89" t="s">
        <v>758</v>
      </c>
      <c r="T121" s="89"/>
      <c r="U121" s="103" t="s">
        <v>343</v>
      </c>
      <c r="V121" s="105" t="s">
        <v>891</v>
      </c>
      <c r="W121" s="102">
        <v>80000</v>
      </c>
      <c r="X121" s="102"/>
      <c r="Y121" s="102"/>
      <c r="Z121" s="107" t="s">
        <v>780</v>
      </c>
      <c r="AA121" s="102">
        <v>10000</v>
      </c>
      <c r="AB121" s="102"/>
      <c r="AC121" s="102"/>
      <c r="AD121" s="107" t="s">
        <v>693</v>
      </c>
      <c r="AE121" s="102">
        <v>10000</v>
      </c>
      <c r="AF121" s="102"/>
      <c r="AG121" s="102"/>
      <c r="AH121" s="107"/>
      <c r="AI121" s="102"/>
      <c r="AJ121" s="102"/>
      <c r="AK121" s="102"/>
      <c r="AL121" s="107"/>
      <c r="AM121" s="102"/>
      <c r="AN121" s="102"/>
      <c r="AO121" s="102"/>
      <c r="AP121" s="107"/>
      <c r="AQ121" s="102"/>
      <c r="AR121" s="102"/>
      <c r="AS121" s="102"/>
      <c r="AT121" s="107"/>
      <c r="AU121" s="102"/>
      <c r="AV121" s="102"/>
      <c r="AW121" s="102"/>
      <c r="AX121" s="107"/>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22"/>
      <c r="CD121" s="123">
        <f t="shared" si="80"/>
        <v>100000</v>
      </c>
      <c r="CE121" s="102">
        <f t="shared" si="81"/>
        <v>0</v>
      </c>
      <c r="CF121" s="102">
        <f t="shared" si="82"/>
        <v>0</v>
      </c>
      <c r="CG121" s="102">
        <f t="shared" si="83"/>
        <v>0</v>
      </c>
      <c r="CH121" s="124">
        <f t="shared" si="84"/>
        <v>100000</v>
      </c>
      <c r="CI121" s="125">
        <f t="shared" si="85"/>
        <v>0</v>
      </c>
      <c r="CJ121" s="126" t="str">
        <f t="shared" si="86"/>
        <v>数据正确</v>
      </c>
    </row>
    <row r="122" s="60" customFormat="1" customHeight="1" spans="1:88">
      <c r="A122" s="60" t="s">
        <v>36</v>
      </c>
      <c r="B122" s="70" t="str">
        <f t="shared" si="76"/>
        <v>-</v>
      </c>
      <c r="C122" s="71" t="str">
        <f t="shared" si="77"/>
        <v>-</v>
      </c>
      <c r="D122" s="72">
        <f t="shared" si="78"/>
        <v>0</v>
      </c>
      <c r="E122" s="72">
        <v>0</v>
      </c>
      <c r="F122" s="72">
        <v>0</v>
      </c>
      <c r="G122" s="72">
        <v>0</v>
      </c>
      <c r="H122" s="72">
        <v>0</v>
      </c>
      <c r="I122" s="72">
        <f t="shared" si="79"/>
        <v>0</v>
      </c>
      <c r="J122" s="190" t="s">
        <v>98</v>
      </c>
      <c r="K122" s="87"/>
      <c r="L122" s="88">
        <v>289</v>
      </c>
      <c r="M122" s="89" t="s">
        <v>892</v>
      </c>
      <c r="N122" s="191" t="s">
        <v>29</v>
      </c>
      <c r="O122" s="90"/>
      <c r="P122" s="91">
        <v>43000</v>
      </c>
      <c r="Q122" s="173">
        <v>240000</v>
      </c>
      <c r="R122" s="89" t="s">
        <v>893</v>
      </c>
      <c r="S122" s="89" t="s">
        <v>894</v>
      </c>
      <c r="T122" s="89"/>
      <c r="U122" s="103" t="s">
        <v>625</v>
      </c>
      <c r="V122" s="105" t="s">
        <v>861</v>
      </c>
      <c r="W122" s="102">
        <v>48000</v>
      </c>
      <c r="X122" s="102"/>
      <c r="Y122" s="102"/>
      <c r="Z122" s="107" t="s">
        <v>527</v>
      </c>
      <c r="AA122" s="102">
        <v>96000</v>
      </c>
      <c r="AB122" s="102"/>
      <c r="AC122" s="102"/>
      <c r="AD122" s="107" t="s">
        <v>692</v>
      </c>
      <c r="AE122" s="102">
        <v>72000</v>
      </c>
      <c r="AF122" s="102"/>
      <c r="AG122" s="102"/>
      <c r="AH122" s="107" t="s">
        <v>851</v>
      </c>
      <c r="AI122" s="102">
        <v>24000</v>
      </c>
      <c r="AJ122" s="102"/>
      <c r="AK122" s="102"/>
      <c r="AL122" s="107"/>
      <c r="AM122" s="102"/>
      <c r="AN122" s="102"/>
      <c r="AO122" s="102"/>
      <c r="AP122" s="107"/>
      <c r="AQ122" s="102"/>
      <c r="AR122" s="102"/>
      <c r="AS122" s="102"/>
      <c r="AT122" s="107"/>
      <c r="AU122" s="102"/>
      <c r="AV122" s="102"/>
      <c r="AW122" s="102"/>
      <c r="AX122" s="107"/>
      <c r="AY122" s="102"/>
      <c r="AZ122" s="102"/>
      <c r="BA122" s="102"/>
      <c r="BB122" s="102"/>
      <c r="BC122" s="102"/>
      <c r="BD122" s="102"/>
      <c r="BE122" s="102"/>
      <c r="BF122" s="102"/>
      <c r="BG122" s="102"/>
      <c r="BH122" s="102"/>
      <c r="BI122" s="102"/>
      <c r="BJ122" s="102"/>
      <c r="BK122" s="102"/>
      <c r="BL122" s="102"/>
      <c r="BM122" s="102"/>
      <c r="BN122" s="102"/>
      <c r="BO122" s="102"/>
      <c r="BP122" s="102"/>
      <c r="BQ122" s="102"/>
      <c r="BR122" s="102"/>
      <c r="BS122" s="102"/>
      <c r="BT122" s="102"/>
      <c r="BU122" s="102"/>
      <c r="BV122" s="102"/>
      <c r="BW122" s="102"/>
      <c r="BX122" s="102"/>
      <c r="BY122" s="102"/>
      <c r="BZ122" s="102"/>
      <c r="CA122" s="102"/>
      <c r="CB122" s="102"/>
      <c r="CC122" s="122"/>
      <c r="CD122" s="123">
        <f t="shared" si="80"/>
        <v>240000</v>
      </c>
      <c r="CE122" s="102">
        <f t="shared" si="81"/>
        <v>0</v>
      </c>
      <c r="CF122" s="102">
        <f t="shared" si="82"/>
        <v>0</v>
      </c>
      <c r="CG122" s="102">
        <f t="shared" si="83"/>
        <v>0</v>
      </c>
      <c r="CH122" s="124">
        <f t="shared" si="84"/>
        <v>240000</v>
      </c>
      <c r="CI122" s="125">
        <f t="shared" si="85"/>
        <v>0</v>
      </c>
      <c r="CJ122" s="126" t="str">
        <f t="shared" si="86"/>
        <v>数据正确</v>
      </c>
    </row>
    <row r="123" s="60" customFormat="1" customHeight="1" spans="1:88">
      <c r="A123" s="60" t="s">
        <v>36</v>
      </c>
      <c r="B123" s="70" t="str">
        <f t="shared" si="76"/>
        <v>-</v>
      </c>
      <c r="C123" s="71" t="str">
        <f t="shared" si="77"/>
        <v>-</v>
      </c>
      <c r="D123" s="72">
        <f t="shared" si="78"/>
        <v>0</v>
      </c>
      <c r="E123" s="72">
        <v>0</v>
      </c>
      <c r="F123" s="72">
        <v>0</v>
      </c>
      <c r="G123" s="72">
        <v>0</v>
      </c>
      <c r="H123" s="72">
        <v>0</v>
      </c>
      <c r="I123" s="72">
        <f t="shared" si="79"/>
        <v>0</v>
      </c>
      <c r="J123" s="190" t="s">
        <v>98</v>
      </c>
      <c r="K123" s="87"/>
      <c r="L123" s="88">
        <v>290</v>
      </c>
      <c r="M123" s="89" t="s">
        <v>895</v>
      </c>
      <c r="N123" s="191" t="s">
        <v>29</v>
      </c>
      <c r="O123" s="90">
        <v>2017090012</v>
      </c>
      <c r="P123" s="91">
        <v>43005</v>
      </c>
      <c r="Q123" s="173">
        <f>1618000+366000</f>
        <v>1984000</v>
      </c>
      <c r="R123" s="89" t="s">
        <v>896</v>
      </c>
      <c r="S123" s="89" t="s">
        <v>897</v>
      </c>
      <c r="T123" s="89"/>
      <c r="U123" s="103" t="s">
        <v>343</v>
      </c>
      <c r="V123" s="105" t="s">
        <v>861</v>
      </c>
      <c r="W123" s="102">
        <f>Q123*0.2</f>
        <v>396800</v>
      </c>
      <c r="X123" s="102"/>
      <c r="Y123" s="102"/>
      <c r="Z123" s="107" t="s">
        <v>869</v>
      </c>
      <c r="AA123" s="102">
        <f>Q123*0.6</f>
        <v>1190400</v>
      </c>
      <c r="AB123" s="102"/>
      <c r="AC123" s="102"/>
      <c r="AD123" s="107" t="s">
        <v>780</v>
      </c>
      <c r="AE123" s="102">
        <f>Q123*0.1</f>
        <v>198400</v>
      </c>
      <c r="AF123" s="102"/>
      <c r="AG123" s="102"/>
      <c r="AH123" s="107" t="s">
        <v>851</v>
      </c>
      <c r="AI123" s="102">
        <f>Q123*0.1</f>
        <v>198400</v>
      </c>
      <c r="AJ123" s="102"/>
      <c r="AK123" s="102"/>
      <c r="AL123" s="107"/>
      <c r="AM123" s="102"/>
      <c r="AN123" s="102"/>
      <c r="AO123" s="102"/>
      <c r="AP123" s="107"/>
      <c r="AQ123" s="102"/>
      <c r="AR123" s="102"/>
      <c r="AS123" s="102"/>
      <c r="AT123" s="107"/>
      <c r="AU123" s="102"/>
      <c r="AV123" s="102"/>
      <c r="AW123" s="102"/>
      <c r="AX123" s="107"/>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22"/>
      <c r="CD123" s="123">
        <f t="shared" si="80"/>
        <v>1984000</v>
      </c>
      <c r="CE123" s="102">
        <f t="shared" si="81"/>
        <v>0</v>
      </c>
      <c r="CF123" s="102">
        <f t="shared" si="82"/>
        <v>0</v>
      </c>
      <c r="CG123" s="102">
        <f t="shared" si="83"/>
        <v>0</v>
      </c>
      <c r="CH123" s="124">
        <f t="shared" si="84"/>
        <v>1984000</v>
      </c>
      <c r="CI123" s="125">
        <f t="shared" si="85"/>
        <v>0</v>
      </c>
      <c r="CJ123" s="126" t="str">
        <f t="shared" si="86"/>
        <v>数据正确</v>
      </c>
    </row>
    <row r="124" s="60" customFormat="1" customHeight="1" spans="1:88">
      <c r="A124" s="60" t="s">
        <v>36</v>
      </c>
      <c r="B124" s="70" t="str">
        <f t="shared" si="76"/>
        <v>-</v>
      </c>
      <c r="C124" s="71" t="str">
        <f t="shared" si="77"/>
        <v>-</v>
      </c>
      <c r="D124" s="72">
        <f t="shared" si="78"/>
        <v>0</v>
      </c>
      <c r="E124" s="72">
        <v>0</v>
      </c>
      <c r="F124" s="72">
        <v>0</v>
      </c>
      <c r="G124" s="72">
        <v>0</v>
      </c>
      <c r="H124" s="72">
        <v>0</v>
      </c>
      <c r="I124" s="72">
        <f t="shared" si="79"/>
        <v>0</v>
      </c>
      <c r="J124" s="190" t="s">
        <v>98</v>
      </c>
      <c r="K124" s="87"/>
      <c r="L124" s="88">
        <v>291</v>
      </c>
      <c r="M124" s="89" t="s">
        <v>898</v>
      </c>
      <c r="N124" s="191" t="s">
        <v>29</v>
      </c>
      <c r="O124" s="90"/>
      <c r="P124" s="91">
        <v>43022</v>
      </c>
      <c r="Q124" s="173">
        <v>2750000</v>
      </c>
      <c r="R124" s="89" t="s">
        <v>899</v>
      </c>
      <c r="S124" s="89" t="s">
        <v>900</v>
      </c>
      <c r="T124" s="89"/>
      <c r="U124" s="103" t="s">
        <v>901</v>
      </c>
      <c r="V124" s="105" t="s">
        <v>902</v>
      </c>
      <c r="W124" s="102">
        <v>550000</v>
      </c>
      <c r="X124" s="102"/>
      <c r="Y124" s="102"/>
      <c r="Z124" s="107" t="s">
        <v>903</v>
      </c>
      <c r="AA124" s="102">
        <v>315936</v>
      </c>
      <c r="AB124" s="102"/>
      <c r="AC124" s="102"/>
      <c r="AD124" s="107" t="s">
        <v>904</v>
      </c>
      <c r="AE124" s="102">
        <v>1609064</v>
      </c>
      <c r="AF124" s="102"/>
      <c r="AG124" s="102"/>
      <c r="AH124" s="107" t="s">
        <v>851</v>
      </c>
      <c r="AI124" s="102">
        <v>58516</v>
      </c>
      <c r="AJ124" s="102"/>
      <c r="AK124" s="102"/>
      <c r="AL124" s="107" t="s">
        <v>905</v>
      </c>
      <c r="AM124" s="102">
        <v>216484</v>
      </c>
      <c r="AN124" s="102"/>
      <c r="AO124" s="102"/>
      <c r="AP124" s="107"/>
      <c r="AQ124" s="102"/>
      <c r="AR124" s="102"/>
      <c r="AS124" s="102"/>
      <c r="AT124" s="107"/>
      <c r="AU124" s="102"/>
      <c r="AV124" s="102"/>
      <c r="AW124" s="102"/>
      <c r="AX124" s="107"/>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22"/>
      <c r="CD124" s="123">
        <f t="shared" si="80"/>
        <v>2750000</v>
      </c>
      <c r="CE124" s="102">
        <f t="shared" si="81"/>
        <v>0</v>
      </c>
      <c r="CF124" s="102">
        <f t="shared" si="82"/>
        <v>0</v>
      </c>
      <c r="CG124" s="102">
        <f t="shared" si="83"/>
        <v>0</v>
      </c>
      <c r="CH124" s="124">
        <f t="shared" si="84"/>
        <v>2750000</v>
      </c>
      <c r="CI124" s="125">
        <f t="shared" si="85"/>
        <v>0</v>
      </c>
      <c r="CJ124" s="126" t="str">
        <f t="shared" si="86"/>
        <v>数据正确</v>
      </c>
    </row>
    <row r="125" s="60" customFormat="1" customHeight="1" spans="1:88">
      <c r="A125" s="60" t="s">
        <v>36</v>
      </c>
      <c r="B125" s="70" t="str">
        <f t="shared" si="76"/>
        <v>-</v>
      </c>
      <c r="C125" s="71" t="str">
        <f t="shared" si="77"/>
        <v>-</v>
      </c>
      <c r="D125" s="72">
        <f t="shared" si="78"/>
        <v>0</v>
      </c>
      <c r="E125" s="72">
        <v>0</v>
      </c>
      <c r="F125" s="72">
        <v>0</v>
      </c>
      <c r="G125" s="72">
        <v>0</v>
      </c>
      <c r="H125" s="72">
        <v>0</v>
      </c>
      <c r="I125" s="72">
        <f t="shared" si="79"/>
        <v>0</v>
      </c>
      <c r="J125" s="190" t="s">
        <v>98</v>
      </c>
      <c r="K125" s="87"/>
      <c r="L125" s="88">
        <v>295</v>
      </c>
      <c r="M125" s="89" t="s">
        <v>906</v>
      </c>
      <c r="N125" s="191" t="s">
        <v>29</v>
      </c>
      <c r="O125" s="90"/>
      <c r="P125" s="91">
        <v>43021</v>
      </c>
      <c r="Q125" s="173">
        <v>108000</v>
      </c>
      <c r="R125" s="89" t="s">
        <v>907</v>
      </c>
      <c r="S125" s="89" t="s">
        <v>908</v>
      </c>
      <c r="T125" s="89"/>
      <c r="U125" s="103" t="s">
        <v>625</v>
      </c>
      <c r="V125" s="105" t="s">
        <v>909</v>
      </c>
      <c r="W125" s="102">
        <v>64800</v>
      </c>
      <c r="X125" s="102"/>
      <c r="Y125" s="102"/>
      <c r="Z125" s="107" t="s">
        <v>692</v>
      </c>
      <c r="AA125" s="102">
        <v>32400</v>
      </c>
      <c r="AB125" s="102"/>
      <c r="AC125" s="102"/>
      <c r="AD125" s="107" t="s">
        <v>693</v>
      </c>
      <c r="AE125" s="102">
        <v>10800</v>
      </c>
      <c r="AF125" s="102"/>
      <c r="AG125" s="102"/>
      <c r="AH125" s="107"/>
      <c r="AI125" s="102"/>
      <c r="AJ125" s="102"/>
      <c r="AK125" s="102"/>
      <c r="AL125" s="107"/>
      <c r="AM125" s="102"/>
      <c r="AN125" s="102"/>
      <c r="AO125" s="102"/>
      <c r="AP125" s="107"/>
      <c r="AQ125" s="102"/>
      <c r="AR125" s="102"/>
      <c r="AS125" s="102"/>
      <c r="AT125" s="107"/>
      <c r="AU125" s="102"/>
      <c r="AV125" s="102"/>
      <c r="AW125" s="102"/>
      <c r="AX125" s="107"/>
      <c r="AY125" s="102"/>
      <c r="AZ125" s="102"/>
      <c r="BA125" s="102"/>
      <c r="BB125" s="102"/>
      <c r="BC125" s="102"/>
      <c r="BD125" s="102"/>
      <c r="BE125" s="102"/>
      <c r="BF125" s="102"/>
      <c r="BG125" s="102"/>
      <c r="BH125" s="102"/>
      <c r="BI125" s="102"/>
      <c r="BJ125" s="102"/>
      <c r="BK125" s="102"/>
      <c r="BL125" s="102"/>
      <c r="BM125" s="102"/>
      <c r="BN125" s="102"/>
      <c r="BO125" s="102"/>
      <c r="BP125" s="102"/>
      <c r="BQ125" s="102"/>
      <c r="BR125" s="102"/>
      <c r="BS125" s="102"/>
      <c r="BT125" s="102"/>
      <c r="BU125" s="102"/>
      <c r="BV125" s="102"/>
      <c r="BW125" s="102"/>
      <c r="BX125" s="102"/>
      <c r="BY125" s="102"/>
      <c r="BZ125" s="102"/>
      <c r="CA125" s="102"/>
      <c r="CB125" s="102"/>
      <c r="CC125" s="122"/>
      <c r="CD125" s="123">
        <f t="shared" si="80"/>
        <v>108000</v>
      </c>
      <c r="CE125" s="102">
        <f t="shared" si="81"/>
        <v>0</v>
      </c>
      <c r="CF125" s="102">
        <f t="shared" si="82"/>
        <v>0</v>
      </c>
      <c r="CG125" s="102">
        <f t="shared" si="83"/>
        <v>0</v>
      </c>
      <c r="CH125" s="124">
        <f t="shared" si="84"/>
        <v>108000</v>
      </c>
      <c r="CI125" s="125">
        <f t="shared" si="85"/>
        <v>0</v>
      </c>
      <c r="CJ125" s="126" t="str">
        <f t="shared" si="86"/>
        <v>数据正确</v>
      </c>
    </row>
    <row r="126" s="60" customFormat="1" customHeight="1" spans="1:88">
      <c r="A126" s="60" t="s">
        <v>36</v>
      </c>
      <c r="B126" s="70" t="str">
        <f t="shared" si="76"/>
        <v>申请中</v>
      </c>
      <c r="C126" s="71" t="str">
        <f t="shared" si="77"/>
        <v>-</v>
      </c>
      <c r="D126" s="72">
        <f t="shared" si="78"/>
        <v>0</v>
      </c>
      <c r="E126" s="72">
        <v>0</v>
      </c>
      <c r="F126" s="72">
        <v>0</v>
      </c>
      <c r="G126" s="72">
        <v>0</v>
      </c>
      <c r="H126" s="72">
        <v>0</v>
      </c>
      <c r="I126" s="72">
        <f t="shared" si="79"/>
        <v>1071800</v>
      </c>
      <c r="J126" s="190" t="s">
        <v>98</v>
      </c>
      <c r="K126" s="87"/>
      <c r="L126" s="88">
        <v>300</v>
      </c>
      <c r="M126" s="89" t="s">
        <v>910</v>
      </c>
      <c r="N126" s="191" t="s">
        <v>29</v>
      </c>
      <c r="O126" s="90">
        <v>2017080015</v>
      </c>
      <c r="P126" s="91">
        <v>43022</v>
      </c>
      <c r="Q126" s="173">
        <v>5359000</v>
      </c>
      <c r="R126" s="89" t="s">
        <v>911</v>
      </c>
      <c r="S126" s="89" t="s">
        <v>912</v>
      </c>
      <c r="T126" s="89" t="s">
        <v>913</v>
      </c>
      <c r="U126" s="103" t="s">
        <v>343</v>
      </c>
      <c r="V126" s="105" t="s">
        <v>914</v>
      </c>
      <c r="W126" s="102">
        <v>1071800</v>
      </c>
      <c r="X126" s="102">
        <v>1071800</v>
      </c>
      <c r="Y126" s="102"/>
      <c r="Z126" s="107" t="s">
        <v>535</v>
      </c>
      <c r="AA126" s="102">
        <v>2143600</v>
      </c>
      <c r="AB126" s="102"/>
      <c r="AC126" s="102"/>
      <c r="AD126" s="107" t="s">
        <v>692</v>
      </c>
      <c r="AE126" s="102">
        <v>1607700</v>
      </c>
      <c r="AF126" s="102"/>
      <c r="AG126" s="102"/>
      <c r="AH126" s="107" t="s">
        <v>851</v>
      </c>
      <c r="AI126" s="102">
        <v>535900</v>
      </c>
      <c r="AJ126" s="102"/>
      <c r="AK126" s="102"/>
      <c r="AL126" s="107"/>
      <c r="AM126" s="102"/>
      <c r="AN126" s="102"/>
      <c r="AO126" s="102"/>
      <c r="AP126" s="107"/>
      <c r="AQ126" s="102"/>
      <c r="AR126" s="102"/>
      <c r="AS126" s="102"/>
      <c r="AT126" s="107"/>
      <c r="AU126" s="102"/>
      <c r="AV126" s="102"/>
      <c r="AW126" s="102"/>
      <c r="AX126" s="107"/>
      <c r="AY126" s="102"/>
      <c r="AZ126" s="102"/>
      <c r="BA126" s="102"/>
      <c r="BB126" s="102"/>
      <c r="BC126" s="102"/>
      <c r="BD126" s="102"/>
      <c r="BE126" s="102"/>
      <c r="BF126" s="102"/>
      <c r="BG126" s="102"/>
      <c r="BH126" s="102"/>
      <c r="BI126" s="102"/>
      <c r="BJ126" s="102"/>
      <c r="BK126" s="102"/>
      <c r="BL126" s="102"/>
      <c r="BM126" s="102"/>
      <c r="BN126" s="102"/>
      <c r="BO126" s="102"/>
      <c r="BP126" s="102"/>
      <c r="BQ126" s="102"/>
      <c r="BR126" s="102"/>
      <c r="BS126" s="102"/>
      <c r="BT126" s="102"/>
      <c r="BU126" s="102"/>
      <c r="BV126" s="102"/>
      <c r="BW126" s="102"/>
      <c r="BX126" s="102"/>
      <c r="BY126" s="102"/>
      <c r="BZ126" s="102"/>
      <c r="CA126" s="102"/>
      <c r="CB126" s="102"/>
      <c r="CC126" s="122"/>
      <c r="CD126" s="123">
        <f t="shared" si="80"/>
        <v>5359000</v>
      </c>
      <c r="CE126" s="102">
        <f t="shared" si="81"/>
        <v>1071800</v>
      </c>
      <c r="CF126" s="102">
        <f t="shared" si="82"/>
        <v>0</v>
      </c>
      <c r="CG126" s="102">
        <f t="shared" si="83"/>
        <v>0</v>
      </c>
      <c r="CH126" s="124">
        <f t="shared" si="84"/>
        <v>5359000</v>
      </c>
      <c r="CI126" s="125">
        <f t="shared" si="85"/>
        <v>0</v>
      </c>
      <c r="CJ126" s="126" t="str">
        <f t="shared" si="86"/>
        <v>数据正确</v>
      </c>
    </row>
    <row r="127" s="60" customFormat="1" customHeight="1" spans="1:88">
      <c r="A127" s="60" t="s">
        <v>36</v>
      </c>
      <c r="B127" s="70" t="str">
        <f t="shared" si="76"/>
        <v>申请中</v>
      </c>
      <c r="C127" s="71" t="str">
        <f t="shared" si="77"/>
        <v>-</v>
      </c>
      <c r="D127" s="72">
        <f t="shared" si="78"/>
        <v>0</v>
      </c>
      <c r="E127" s="72">
        <v>0</v>
      </c>
      <c r="F127" s="72">
        <v>0</v>
      </c>
      <c r="G127" s="72">
        <v>0</v>
      </c>
      <c r="H127" s="72">
        <v>0</v>
      </c>
      <c r="I127" s="72">
        <f t="shared" si="79"/>
        <v>223800</v>
      </c>
      <c r="J127" s="190" t="s">
        <v>98</v>
      </c>
      <c r="K127" s="87"/>
      <c r="L127" s="88">
        <v>301</v>
      </c>
      <c r="M127" s="89" t="s">
        <v>915</v>
      </c>
      <c r="N127" s="191" t="s">
        <v>29</v>
      </c>
      <c r="O127" s="90">
        <v>2017080015</v>
      </c>
      <c r="P127" s="91">
        <v>43026</v>
      </c>
      <c r="Q127" s="173">
        <v>1119000</v>
      </c>
      <c r="R127" s="89" t="s">
        <v>916</v>
      </c>
      <c r="S127" s="89" t="s">
        <v>917</v>
      </c>
      <c r="T127" s="89" t="s">
        <v>913</v>
      </c>
      <c r="U127" s="103" t="s">
        <v>343</v>
      </c>
      <c r="V127" s="105" t="s">
        <v>918</v>
      </c>
      <c r="W127" s="102">
        <v>223800</v>
      </c>
      <c r="X127" s="102">
        <v>223800</v>
      </c>
      <c r="Y127" s="102"/>
      <c r="Z127" s="107" t="s">
        <v>535</v>
      </c>
      <c r="AA127" s="102">
        <v>447600</v>
      </c>
      <c r="AB127" s="102"/>
      <c r="AC127" s="102"/>
      <c r="AD127" s="107" t="s">
        <v>919</v>
      </c>
      <c r="AE127" s="102">
        <v>447600</v>
      </c>
      <c r="AF127" s="102"/>
      <c r="AG127" s="102"/>
      <c r="AH127" s="107"/>
      <c r="AI127" s="102"/>
      <c r="AJ127" s="102"/>
      <c r="AK127" s="102"/>
      <c r="AL127" s="107"/>
      <c r="AM127" s="102"/>
      <c r="AN127" s="102"/>
      <c r="AO127" s="102"/>
      <c r="AP127" s="107"/>
      <c r="AQ127" s="102"/>
      <c r="AR127" s="102"/>
      <c r="AS127" s="102"/>
      <c r="AT127" s="107"/>
      <c r="AU127" s="102"/>
      <c r="AV127" s="102"/>
      <c r="AW127" s="102"/>
      <c r="AX127" s="107"/>
      <c r="AY127" s="102"/>
      <c r="AZ127" s="102"/>
      <c r="BA127" s="102"/>
      <c r="BB127" s="102"/>
      <c r="BC127" s="102"/>
      <c r="BD127" s="102"/>
      <c r="BE127" s="102"/>
      <c r="BF127" s="102"/>
      <c r="BG127" s="102"/>
      <c r="BH127" s="102"/>
      <c r="BI127" s="102"/>
      <c r="BJ127" s="102"/>
      <c r="BK127" s="102"/>
      <c r="BL127" s="102"/>
      <c r="BM127" s="102"/>
      <c r="BN127" s="102"/>
      <c r="BO127" s="102"/>
      <c r="BP127" s="102"/>
      <c r="BQ127" s="102"/>
      <c r="BR127" s="102"/>
      <c r="BS127" s="102"/>
      <c r="BT127" s="102"/>
      <c r="BU127" s="102"/>
      <c r="BV127" s="102"/>
      <c r="BW127" s="102"/>
      <c r="BX127" s="102"/>
      <c r="BY127" s="102"/>
      <c r="BZ127" s="102"/>
      <c r="CA127" s="102"/>
      <c r="CB127" s="102"/>
      <c r="CC127" s="122"/>
      <c r="CD127" s="123">
        <f t="shared" si="80"/>
        <v>1119000</v>
      </c>
      <c r="CE127" s="102">
        <f t="shared" si="81"/>
        <v>223800</v>
      </c>
      <c r="CF127" s="102">
        <f t="shared" si="82"/>
        <v>0</v>
      </c>
      <c r="CG127" s="102">
        <f t="shared" si="83"/>
        <v>0</v>
      </c>
      <c r="CH127" s="124">
        <f t="shared" si="84"/>
        <v>1119000</v>
      </c>
      <c r="CI127" s="125">
        <f t="shared" si="85"/>
        <v>0</v>
      </c>
      <c r="CJ127" s="126" t="str">
        <f t="shared" si="86"/>
        <v>数据正确</v>
      </c>
    </row>
    <row r="128" s="60" customFormat="1" customHeight="1" spans="1:88">
      <c r="A128" s="60" t="s">
        <v>36</v>
      </c>
      <c r="B128" s="70" t="str">
        <f t="shared" si="76"/>
        <v>申请中</v>
      </c>
      <c r="C128" s="71" t="str">
        <f t="shared" si="77"/>
        <v>-</v>
      </c>
      <c r="D128" s="72">
        <f t="shared" si="78"/>
        <v>0</v>
      </c>
      <c r="E128" s="72">
        <v>0</v>
      </c>
      <c r="F128" s="72">
        <v>0</v>
      </c>
      <c r="G128" s="72">
        <v>0</v>
      </c>
      <c r="H128" s="72">
        <v>0</v>
      </c>
      <c r="I128" s="72">
        <f t="shared" si="79"/>
        <v>1300000</v>
      </c>
      <c r="J128" s="190" t="s">
        <v>98</v>
      </c>
      <c r="K128" s="87"/>
      <c r="L128" s="88">
        <v>302</v>
      </c>
      <c r="M128" s="89" t="s">
        <v>920</v>
      </c>
      <c r="N128" s="191" t="s">
        <v>29</v>
      </c>
      <c r="O128" s="90"/>
      <c r="P128" s="91">
        <v>43021</v>
      </c>
      <c r="Q128" s="173">
        <v>6500000</v>
      </c>
      <c r="R128" s="89" t="s">
        <v>921</v>
      </c>
      <c r="S128" s="89" t="s">
        <v>922</v>
      </c>
      <c r="T128" s="89" t="s">
        <v>923</v>
      </c>
      <c r="U128" s="103" t="s">
        <v>924</v>
      </c>
      <c r="V128" s="105" t="s">
        <v>914</v>
      </c>
      <c r="W128" s="102">
        <v>1300000</v>
      </c>
      <c r="X128" s="102">
        <v>1300000</v>
      </c>
      <c r="Y128" s="102"/>
      <c r="Z128" s="107" t="s">
        <v>869</v>
      </c>
      <c r="AA128" s="102">
        <v>3900000</v>
      </c>
      <c r="AB128" s="102"/>
      <c r="AC128" s="102"/>
      <c r="AD128" s="107" t="s">
        <v>874</v>
      </c>
      <c r="AE128" s="102">
        <v>1300000</v>
      </c>
      <c r="AF128" s="102"/>
      <c r="AG128" s="102"/>
      <c r="AH128" s="107"/>
      <c r="AI128" s="102"/>
      <c r="AJ128" s="102"/>
      <c r="AK128" s="102"/>
      <c r="AL128" s="107"/>
      <c r="AM128" s="102"/>
      <c r="AN128" s="102"/>
      <c r="AO128" s="102"/>
      <c r="AP128" s="107"/>
      <c r="AQ128" s="102"/>
      <c r="AR128" s="102"/>
      <c r="AS128" s="102"/>
      <c r="AT128" s="107"/>
      <c r="AU128" s="102"/>
      <c r="AV128" s="102"/>
      <c r="AW128" s="102"/>
      <c r="AX128" s="107"/>
      <c r="AY128" s="102"/>
      <c r="AZ128" s="102"/>
      <c r="BA128" s="102"/>
      <c r="BB128" s="102"/>
      <c r="BC128" s="102"/>
      <c r="BD128" s="102"/>
      <c r="BE128" s="102"/>
      <c r="BF128" s="102"/>
      <c r="BG128" s="102"/>
      <c r="BH128" s="102"/>
      <c r="BI128" s="102"/>
      <c r="BJ128" s="102"/>
      <c r="BK128" s="102"/>
      <c r="BL128" s="102"/>
      <c r="BM128" s="102"/>
      <c r="BN128" s="102"/>
      <c r="BO128" s="102"/>
      <c r="BP128" s="102"/>
      <c r="BQ128" s="102"/>
      <c r="BR128" s="102"/>
      <c r="BS128" s="102"/>
      <c r="BT128" s="102"/>
      <c r="BU128" s="102"/>
      <c r="BV128" s="102"/>
      <c r="BW128" s="102"/>
      <c r="BX128" s="102"/>
      <c r="BY128" s="102"/>
      <c r="BZ128" s="102"/>
      <c r="CA128" s="102"/>
      <c r="CB128" s="102"/>
      <c r="CC128" s="122"/>
      <c r="CD128" s="123">
        <f t="shared" si="80"/>
        <v>6500000</v>
      </c>
      <c r="CE128" s="102">
        <f t="shared" si="81"/>
        <v>1300000</v>
      </c>
      <c r="CF128" s="102">
        <f t="shared" si="82"/>
        <v>0</v>
      </c>
      <c r="CG128" s="102">
        <f t="shared" si="83"/>
        <v>0</v>
      </c>
      <c r="CH128" s="124">
        <f t="shared" si="84"/>
        <v>6500000</v>
      </c>
      <c r="CI128" s="125">
        <f t="shared" si="85"/>
        <v>0</v>
      </c>
      <c r="CJ128" s="126" t="str">
        <f t="shared" si="86"/>
        <v>数据正确</v>
      </c>
    </row>
    <row r="129" s="60" customFormat="1" customHeight="1" spans="1:88">
      <c r="A129" s="60" t="s">
        <v>36</v>
      </c>
      <c r="B129" s="70" t="str">
        <f t="shared" si="76"/>
        <v>-</v>
      </c>
      <c r="C129" s="71" t="str">
        <f t="shared" si="77"/>
        <v>-</v>
      </c>
      <c r="D129" s="72">
        <f t="shared" si="78"/>
        <v>3930000</v>
      </c>
      <c r="E129" s="72">
        <v>0</v>
      </c>
      <c r="F129" s="72">
        <v>0</v>
      </c>
      <c r="G129" s="72">
        <v>0</v>
      </c>
      <c r="H129" s="72">
        <v>0</v>
      </c>
      <c r="I129" s="72">
        <f t="shared" si="79"/>
        <v>0</v>
      </c>
      <c r="J129" s="190" t="s">
        <v>98</v>
      </c>
      <c r="K129" s="87"/>
      <c r="L129" s="88">
        <v>303</v>
      </c>
      <c r="M129" s="89" t="s">
        <v>925</v>
      </c>
      <c r="N129" s="90" t="s">
        <v>29</v>
      </c>
      <c r="O129" s="90"/>
      <c r="P129" s="91">
        <v>43031</v>
      </c>
      <c r="Q129" s="173">
        <v>19650000</v>
      </c>
      <c r="R129" s="89" t="s">
        <v>926</v>
      </c>
      <c r="S129" s="89" t="s">
        <v>927</v>
      </c>
      <c r="T129" s="89" t="s">
        <v>799</v>
      </c>
      <c r="U129" s="103" t="s">
        <v>343</v>
      </c>
      <c r="V129" s="105" t="s">
        <v>914</v>
      </c>
      <c r="W129" s="102">
        <v>3930000</v>
      </c>
      <c r="X129" s="102">
        <v>3930000</v>
      </c>
      <c r="Y129" s="102">
        <v>3930000</v>
      </c>
      <c r="Z129" s="107" t="s">
        <v>854</v>
      </c>
      <c r="AA129" s="102">
        <v>7860000</v>
      </c>
      <c r="AB129" s="102"/>
      <c r="AC129" s="102"/>
      <c r="AD129" s="107" t="s">
        <v>692</v>
      </c>
      <c r="AE129" s="102">
        <v>5895000</v>
      </c>
      <c r="AF129" s="102"/>
      <c r="AG129" s="102"/>
      <c r="AH129" s="107" t="s">
        <v>851</v>
      </c>
      <c r="AI129" s="102">
        <v>1965000</v>
      </c>
      <c r="AJ129" s="102"/>
      <c r="AK129" s="102"/>
      <c r="AL129" s="107"/>
      <c r="AM129" s="102"/>
      <c r="AN129" s="102"/>
      <c r="AO129" s="102"/>
      <c r="AP129" s="107"/>
      <c r="AQ129" s="102"/>
      <c r="AR129" s="102"/>
      <c r="AS129" s="102"/>
      <c r="AT129" s="107"/>
      <c r="AU129" s="102"/>
      <c r="AV129" s="102"/>
      <c r="AW129" s="102"/>
      <c r="AX129" s="107"/>
      <c r="AY129" s="102"/>
      <c r="AZ129" s="102"/>
      <c r="BA129" s="102"/>
      <c r="BB129" s="102"/>
      <c r="BC129" s="102"/>
      <c r="BD129" s="102"/>
      <c r="BE129" s="102"/>
      <c r="BF129" s="102"/>
      <c r="BG129" s="102"/>
      <c r="BH129" s="102"/>
      <c r="BI129" s="102"/>
      <c r="BJ129" s="102"/>
      <c r="BK129" s="102"/>
      <c r="BL129" s="102"/>
      <c r="BM129" s="102"/>
      <c r="BN129" s="102"/>
      <c r="BO129" s="102"/>
      <c r="BP129" s="102"/>
      <c r="BQ129" s="102"/>
      <c r="BR129" s="102"/>
      <c r="BS129" s="102"/>
      <c r="BT129" s="102"/>
      <c r="BU129" s="102"/>
      <c r="BV129" s="102"/>
      <c r="BW129" s="102"/>
      <c r="BX129" s="102"/>
      <c r="BY129" s="102"/>
      <c r="BZ129" s="102"/>
      <c r="CA129" s="102"/>
      <c r="CB129" s="102"/>
      <c r="CC129" s="122"/>
      <c r="CD129" s="123">
        <f t="shared" si="80"/>
        <v>19650000</v>
      </c>
      <c r="CE129" s="102">
        <f t="shared" si="81"/>
        <v>3930000</v>
      </c>
      <c r="CF129" s="102">
        <f t="shared" si="82"/>
        <v>3930000</v>
      </c>
      <c r="CG129" s="102">
        <f t="shared" si="83"/>
        <v>0</v>
      </c>
      <c r="CH129" s="124">
        <f t="shared" si="84"/>
        <v>15720000</v>
      </c>
      <c r="CI129" s="125">
        <f t="shared" si="85"/>
        <v>0.2</v>
      </c>
      <c r="CJ129" s="126" t="str">
        <f t="shared" si="86"/>
        <v>数据正确</v>
      </c>
    </row>
    <row r="130" s="60" customFormat="1" customHeight="1" spans="1:88">
      <c r="A130" s="60" t="s">
        <v>36</v>
      </c>
      <c r="B130" s="70" t="str">
        <f t="shared" si="76"/>
        <v>-</v>
      </c>
      <c r="C130" s="71" t="str">
        <f t="shared" si="77"/>
        <v>-</v>
      </c>
      <c r="D130" s="72">
        <f t="shared" si="78"/>
        <v>0</v>
      </c>
      <c r="E130" s="72">
        <v>0</v>
      </c>
      <c r="F130" s="72">
        <v>0</v>
      </c>
      <c r="G130" s="72">
        <v>0</v>
      </c>
      <c r="H130" s="72">
        <v>0</v>
      </c>
      <c r="I130" s="72">
        <f t="shared" si="79"/>
        <v>0</v>
      </c>
      <c r="J130" s="190" t="s">
        <v>98</v>
      </c>
      <c r="K130" s="87"/>
      <c r="L130" s="88">
        <v>304</v>
      </c>
      <c r="M130" s="89" t="s">
        <v>928</v>
      </c>
      <c r="N130" s="90" t="s">
        <v>29</v>
      </c>
      <c r="O130" s="90"/>
      <c r="P130" s="91">
        <v>43039</v>
      </c>
      <c r="Q130" s="173">
        <v>410000</v>
      </c>
      <c r="R130" s="89" t="s">
        <v>929</v>
      </c>
      <c r="S130" s="89" t="s">
        <v>930</v>
      </c>
      <c r="T130" s="89"/>
      <c r="U130" s="103" t="s">
        <v>343</v>
      </c>
      <c r="V130" s="105" t="s">
        <v>914</v>
      </c>
      <c r="W130" s="102">
        <v>82000</v>
      </c>
      <c r="X130" s="102"/>
      <c r="Y130" s="102"/>
      <c r="Z130" s="107" t="s">
        <v>527</v>
      </c>
      <c r="AA130" s="102">
        <v>164000</v>
      </c>
      <c r="AB130" s="102"/>
      <c r="AC130" s="102"/>
      <c r="AD130" s="107" t="s">
        <v>692</v>
      </c>
      <c r="AE130" s="102">
        <v>123000</v>
      </c>
      <c r="AF130" s="102"/>
      <c r="AG130" s="102"/>
      <c r="AH130" s="107" t="s">
        <v>851</v>
      </c>
      <c r="AI130" s="102">
        <v>41000</v>
      </c>
      <c r="AJ130" s="102"/>
      <c r="AK130" s="102"/>
      <c r="AL130" s="107"/>
      <c r="AM130" s="102"/>
      <c r="AN130" s="102"/>
      <c r="AO130" s="102"/>
      <c r="AP130" s="107"/>
      <c r="AQ130" s="102"/>
      <c r="AR130" s="102"/>
      <c r="AS130" s="102"/>
      <c r="AT130" s="107"/>
      <c r="AU130" s="102"/>
      <c r="AV130" s="102"/>
      <c r="AW130" s="102"/>
      <c r="AX130" s="107"/>
      <c r="AY130" s="102"/>
      <c r="AZ130" s="102"/>
      <c r="BA130" s="102"/>
      <c r="BB130" s="102"/>
      <c r="BC130" s="102"/>
      <c r="BD130" s="102"/>
      <c r="BE130" s="102"/>
      <c r="BF130" s="102"/>
      <c r="BG130" s="102"/>
      <c r="BH130" s="102"/>
      <c r="BI130" s="102"/>
      <c r="BJ130" s="102"/>
      <c r="BK130" s="102"/>
      <c r="BL130" s="102"/>
      <c r="BM130" s="102"/>
      <c r="BN130" s="102"/>
      <c r="BO130" s="102"/>
      <c r="BP130" s="102"/>
      <c r="BQ130" s="102"/>
      <c r="BR130" s="102"/>
      <c r="BS130" s="102"/>
      <c r="BT130" s="102"/>
      <c r="BU130" s="102"/>
      <c r="BV130" s="102"/>
      <c r="BW130" s="102"/>
      <c r="BX130" s="102"/>
      <c r="BY130" s="102"/>
      <c r="BZ130" s="102"/>
      <c r="CA130" s="102"/>
      <c r="CB130" s="102"/>
      <c r="CC130" s="122"/>
      <c r="CD130" s="123">
        <f t="shared" si="80"/>
        <v>410000</v>
      </c>
      <c r="CE130" s="102">
        <f t="shared" si="81"/>
        <v>0</v>
      </c>
      <c r="CF130" s="102">
        <f t="shared" si="82"/>
        <v>0</v>
      </c>
      <c r="CG130" s="102">
        <f t="shared" si="83"/>
        <v>0</v>
      </c>
      <c r="CH130" s="124">
        <f t="shared" si="84"/>
        <v>410000</v>
      </c>
      <c r="CI130" s="125">
        <f t="shared" si="85"/>
        <v>0</v>
      </c>
      <c r="CJ130" s="126" t="str">
        <f t="shared" si="86"/>
        <v>数据正确</v>
      </c>
    </row>
    <row r="131" s="60" customFormat="1" customHeight="1" spans="1:88">
      <c r="A131" s="60" t="s">
        <v>36</v>
      </c>
      <c r="B131" s="70" t="str">
        <f t="shared" si="76"/>
        <v>-</v>
      </c>
      <c r="C131" s="71" t="str">
        <f t="shared" si="77"/>
        <v>-</v>
      </c>
      <c r="D131" s="72">
        <f t="shared" si="78"/>
        <v>0</v>
      </c>
      <c r="E131" s="72">
        <v>0</v>
      </c>
      <c r="F131" s="72">
        <v>0</v>
      </c>
      <c r="G131" s="72">
        <v>0</v>
      </c>
      <c r="H131" s="72">
        <v>0</v>
      </c>
      <c r="I131" s="72">
        <f t="shared" si="79"/>
        <v>0</v>
      </c>
      <c r="J131" s="190" t="s">
        <v>98</v>
      </c>
      <c r="K131" s="87"/>
      <c r="L131" s="88">
        <v>305</v>
      </c>
      <c r="M131" s="89" t="s">
        <v>928</v>
      </c>
      <c r="N131" s="90" t="s">
        <v>29</v>
      </c>
      <c r="O131" s="90"/>
      <c r="P131" s="91">
        <v>42996</v>
      </c>
      <c r="Q131" s="173">
        <v>218250</v>
      </c>
      <c r="R131" s="89" t="s">
        <v>931</v>
      </c>
      <c r="S131" s="89" t="s">
        <v>932</v>
      </c>
      <c r="T131" s="89"/>
      <c r="U131" s="103" t="s">
        <v>343</v>
      </c>
      <c r="V131" s="107" t="s">
        <v>869</v>
      </c>
      <c r="W131" s="102">
        <v>130950</v>
      </c>
      <c r="X131" s="102"/>
      <c r="Y131" s="102"/>
      <c r="Z131" s="107" t="s">
        <v>692</v>
      </c>
      <c r="AA131" s="102">
        <v>65475</v>
      </c>
      <c r="AB131" s="102"/>
      <c r="AC131" s="102"/>
      <c r="AD131" s="107" t="s">
        <v>851</v>
      </c>
      <c r="AE131" s="102">
        <v>21825</v>
      </c>
      <c r="AF131" s="102"/>
      <c r="AG131" s="102"/>
      <c r="AH131" s="107"/>
      <c r="AI131" s="102"/>
      <c r="AJ131" s="102"/>
      <c r="AK131" s="102"/>
      <c r="AL131" s="107"/>
      <c r="AM131" s="102"/>
      <c r="AN131" s="102"/>
      <c r="AO131" s="102"/>
      <c r="AP131" s="107"/>
      <c r="AQ131" s="102"/>
      <c r="AR131" s="102"/>
      <c r="AS131" s="102"/>
      <c r="AT131" s="107"/>
      <c r="AU131" s="102"/>
      <c r="AV131" s="102"/>
      <c r="AW131" s="102"/>
      <c r="AX131" s="107"/>
      <c r="AY131" s="102"/>
      <c r="AZ131" s="102"/>
      <c r="BA131" s="102"/>
      <c r="BB131" s="102"/>
      <c r="BC131" s="102"/>
      <c r="BD131" s="102"/>
      <c r="BE131" s="102"/>
      <c r="BF131" s="102"/>
      <c r="BG131" s="102"/>
      <c r="BH131" s="102"/>
      <c r="BI131" s="102"/>
      <c r="BJ131" s="102"/>
      <c r="BK131" s="102"/>
      <c r="BL131" s="102"/>
      <c r="BM131" s="102"/>
      <c r="BN131" s="102"/>
      <c r="BO131" s="102"/>
      <c r="BP131" s="102"/>
      <c r="BQ131" s="102"/>
      <c r="BR131" s="102"/>
      <c r="BS131" s="102"/>
      <c r="BT131" s="102"/>
      <c r="BU131" s="102"/>
      <c r="BV131" s="102"/>
      <c r="BW131" s="102"/>
      <c r="BX131" s="102"/>
      <c r="BY131" s="102"/>
      <c r="BZ131" s="102"/>
      <c r="CA131" s="102"/>
      <c r="CB131" s="102"/>
      <c r="CC131" s="122"/>
      <c r="CD131" s="123">
        <f t="shared" si="80"/>
        <v>218250</v>
      </c>
      <c r="CE131" s="102">
        <f t="shared" si="81"/>
        <v>0</v>
      </c>
      <c r="CF131" s="102">
        <f t="shared" si="82"/>
        <v>0</v>
      </c>
      <c r="CG131" s="102">
        <f t="shared" si="83"/>
        <v>0</v>
      </c>
      <c r="CH131" s="124">
        <f t="shared" si="84"/>
        <v>218250</v>
      </c>
      <c r="CI131" s="125">
        <f t="shared" si="85"/>
        <v>0</v>
      </c>
      <c r="CJ131" s="126" t="str">
        <f t="shared" si="86"/>
        <v>数据正确</v>
      </c>
    </row>
    <row r="132" s="60" customFormat="1" customHeight="1" spans="1:88">
      <c r="A132" s="60" t="s">
        <v>36</v>
      </c>
      <c r="B132" s="70" t="str">
        <f t="shared" si="76"/>
        <v>-</v>
      </c>
      <c r="C132" s="71" t="str">
        <f t="shared" si="77"/>
        <v>-</v>
      </c>
      <c r="D132" s="72">
        <f t="shared" si="78"/>
        <v>0</v>
      </c>
      <c r="E132" s="72">
        <v>0</v>
      </c>
      <c r="F132" s="72">
        <v>0</v>
      </c>
      <c r="G132" s="72">
        <v>0</v>
      </c>
      <c r="H132" s="72">
        <v>0</v>
      </c>
      <c r="I132" s="72">
        <f t="shared" si="79"/>
        <v>0</v>
      </c>
      <c r="J132" s="190" t="s">
        <v>98</v>
      </c>
      <c r="K132" s="87"/>
      <c r="L132" s="88">
        <v>306</v>
      </c>
      <c r="M132" s="89" t="s">
        <v>928</v>
      </c>
      <c r="N132" s="90" t="s">
        <v>29</v>
      </c>
      <c r="O132" s="90"/>
      <c r="P132" s="91">
        <v>43042</v>
      </c>
      <c r="Q132" s="173">
        <v>2000000</v>
      </c>
      <c r="R132" s="89" t="s">
        <v>933</v>
      </c>
      <c r="S132" s="89" t="s">
        <v>934</v>
      </c>
      <c r="T132" s="89"/>
      <c r="U132" s="103" t="s">
        <v>343</v>
      </c>
      <c r="V132" s="105" t="s">
        <v>914</v>
      </c>
      <c r="W132" s="102">
        <v>400000</v>
      </c>
      <c r="X132" s="102"/>
      <c r="Y132" s="102"/>
      <c r="Z132" s="107" t="s">
        <v>527</v>
      </c>
      <c r="AA132" s="102">
        <v>800000</v>
      </c>
      <c r="AB132" s="102"/>
      <c r="AC132" s="102"/>
      <c r="AD132" s="107" t="s">
        <v>692</v>
      </c>
      <c r="AE132" s="102">
        <v>600000</v>
      </c>
      <c r="AF132" s="102"/>
      <c r="AG132" s="102"/>
      <c r="AH132" s="107" t="s">
        <v>851</v>
      </c>
      <c r="AI132" s="102">
        <v>200000</v>
      </c>
      <c r="AJ132" s="102"/>
      <c r="AK132" s="102"/>
      <c r="AL132" s="107"/>
      <c r="AM132" s="102"/>
      <c r="AN132" s="102"/>
      <c r="AO132" s="102"/>
      <c r="AP132" s="107"/>
      <c r="AQ132" s="102"/>
      <c r="AR132" s="102"/>
      <c r="AS132" s="102"/>
      <c r="AT132" s="107"/>
      <c r="AU132" s="102"/>
      <c r="AV132" s="102"/>
      <c r="AW132" s="102"/>
      <c r="AX132" s="107"/>
      <c r="AY132" s="102"/>
      <c r="AZ132" s="102"/>
      <c r="BA132" s="102"/>
      <c r="BB132" s="102"/>
      <c r="BC132" s="102"/>
      <c r="BD132" s="102"/>
      <c r="BE132" s="102"/>
      <c r="BF132" s="102"/>
      <c r="BG132" s="102"/>
      <c r="BH132" s="102"/>
      <c r="BI132" s="102"/>
      <c r="BJ132" s="102"/>
      <c r="BK132" s="102"/>
      <c r="BL132" s="102"/>
      <c r="BM132" s="102"/>
      <c r="BN132" s="102"/>
      <c r="BO132" s="102"/>
      <c r="BP132" s="102"/>
      <c r="BQ132" s="102"/>
      <c r="BR132" s="102"/>
      <c r="BS132" s="102"/>
      <c r="BT132" s="102"/>
      <c r="BU132" s="102"/>
      <c r="BV132" s="102"/>
      <c r="BW132" s="102"/>
      <c r="BX132" s="102"/>
      <c r="BY132" s="102"/>
      <c r="BZ132" s="102"/>
      <c r="CA132" s="102"/>
      <c r="CB132" s="102"/>
      <c r="CC132" s="122"/>
      <c r="CD132" s="123">
        <f t="shared" si="80"/>
        <v>2000000</v>
      </c>
      <c r="CE132" s="102">
        <f t="shared" si="81"/>
        <v>0</v>
      </c>
      <c r="CF132" s="102">
        <f t="shared" si="82"/>
        <v>0</v>
      </c>
      <c r="CG132" s="102">
        <f t="shared" si="83"/>
        <v>0</v>
      </c>
      <c r="CH132" s="124">
        <f t="shared" si="84"/>
        <v>2000000</v>
      </c>
      <c r="CI132" s="125">
        <f t="shared" si="85"/>
        <v>0</v>
      </c>
      <c r="CJ132" s="126" t="str">
        <f t="shared" si="86"/>
        <v>数据正确</v>
      </c>
    </row>
    <row r="133" s="60" customFormat="1" customHeight="1" spans="1:88">
      <c r="A133" s="60" t="s">
        <v>36</v>
      </c>
      <c r="B133" s="70" t="str">
        <f t="shared" si="76"/>
        <v>-</v>
      </c>
      <c r="C133" s="71" t="str">
        <f t="shared" si="77"/>
        <v>-</v>
      </c>
      <c r="D133" s="72">
        <f t="shared" si="78"/>
        <v>0</v>
      </c>
      <c r="E133" s="72">
        <v>0</v>
      </c>
      <c r="F133" s="72">
        <v>0</v>
      </c>
      <c r="G133" s="72">
        <v>0</v>
      </c>
      <c r="H133" s="72">
        <v>0</v>
      </c>
      <c r="I133" s="72">
        <f t="shared" si="79"/>
        <v>0</v>
      </c>
      <c r="J133" s="190" t="s">
        <v>98</v>
      </c>
      <c r="K133" s="87"/>
      <c r="L133" s="88">
        <v>312</v>
      </c>
      <c r="M133" s="89" t="s">
        <v>935</v>
      </c>
      <c r="N133" s="90" t="s">
        <v>29</v>
      </c>
      <c r="O133" s="90"/>
      <c r="P133" s="91">
        <v>43020</v>
      </c>
      <c r="Q133" s="102">
        <v>257000</v>
      </c>
      <c r="R133" s="89" t="s">
        <v>936</v>
      </c>
      <c r="S133" s="89" t="s">
        <v>937</v>
      </c>
      <c r="T133" s="89"/>
      <c r="U133" s="103" t="s">
        <v>938</v>
      </c>
      <c r="V133" s="104" t="s">
        <v>939</v>
      </c>
      <c r="W133" s="102">
        <f>Q133*0.6</f>
        <v>154200</v>
      </c>
      <c r="X133" s="102"/>
      <c r="Y133" s="102"/>
      <c r="Z133" s="107" t="s">
        <v>940</v>
      </c>
      <c r="AA133" s="102">
        <f>Q133*0.3</f>
        <v>77100</v>
      </c>
      <c r="AB133" s="102"/>
      <c r="AC133" s="102"/>
      <c r="AD133" s="107" t="s">
        <v>851</v>
      </c>
      <c r="AE133" s="102">
        <f>Q133*0.1</f>
        <v>25700</v>
      </c>
      <c r="AF133" s="102"/>
      <c r="AG133" s="102"/>
      <c r="AH133" s="107"/>
      <c r="AI133" s="102"/>
      <c r="AJ133" s="102"/>
      <c r="AK133" s="102"/>
      <c r="AL133" s="107"/>
      <c r="AM133" s="102"/>
      <c r="AN133" s="102"/>
      <c r="AO133" s="102"/>
      <c r="AP133" s="107"/>
      <c r="AQ133" s="102"/>
      <c r="AR133" s="102"/>
      <c r="AS133" s="102"/>
      <c r="AT133" s="107"/>
      <c r="AU133" s="102"/>
      <c r="AV133" s="102"/>
      <c r="AW133" s="102"/>
      <c r="AX133" s="107"/>
      <c r="AY133" s="102"/>
      <c r="AZ133" s="102"/>
      <c r="BA133" s="102"/>
      <c r="BB133" s="102"/>
      <c r="BC133" s="102"/>
      <c r="BD133" s="102"/>
      <c r="BE133" s="102"/>
      <c r="BF133" s="102"/>
      <c r="BG133" s="102"/>
      <c r="BH133" s="102"/>
      <c r="BI133" s="102"/>
      <c r="BJ133" s="102"/>
      <c r="BK133" s="102"/>
      <c r="BL133" s="102"/>
      <c r="BM133" s="102"/>
      <c r="BN133" s="102"/>
      <c r="BO133" s="102"/>
      <c r="BP133" s="102"/>
      <c r="BQ133" s="102"/>
      <c r="BR133" s="102"/>
      <c r="BS133" s="102"/>
      <c r="BT133" s="102"/>
      <c r="BU133" s="102"/>
      <c r="BV133" s="102"/>
      <c r="BW133" s="102"/>
      <c r="BX133" s="102"/>
      <c r="BY133" s="102"/>
      <c r="BZ133" s="102"/>
      <c r="CA133" s="102"/>
      <c r="CB133" s="102"/>
      <c r="CC133" s="122"/>
      <c r="CD133" s="123">
        <f t="shared" si="80"/>
        <v>257000</v>
      </c>
      <c r="CE133" s="102">
        <f t="shared" si="81"/>
        <v>0</v>
      </c>
      <c r="CF133" s="102">
        <f t="shared" si="82"/>
        <v>0</v>
      </c>
      <c r="CG133" s="102">
        <f t="shared" si="83"/>
        <v>0</v>
      </c>
      <c r="CH133" s="124">
        <f t="shared" si="84"/>
        <v>257000</v>
      </c>
      <c r="CI133" s="125">
        <f t="shared" si="85"/>
        <v>0</v>
      </c>
      <c r="CJ133" s="126" t="str">
        <f t="shared" si="86"/>
        <v>数据正确</v>
      </c>
    </row>
    <row r="134" s="60" customFormat="1" customHeight="1" spans="1:88">
      <c r="A134" s="60" t="s">
        <v>36</v>
      </c>
      <c r="B134" s="70" t="str">
        <f t="shared" si="76"/>
        <v>-</v>
      </c>
      <c r="C134" s="71" t="str">
        <f t="shared" si="77"/>
        <v>-</v>
      </c>
      <c r="D134" s="72">
        <f t="shared" si="78"/>
        <v>0</v>
      </c>
      <c r="E134" s="72">
        <v>0</v>
      </c>
      <c r="F134" s="72">
        <v>0</v>
      </c>
      <c r="G134" s="72">
        <v>0</v>
      </c>
      <c r="H134" s="72">
        <v>0</v>
      </c>
      <c r="I134" s="72">
        <f t="shared" si="79"/>
        <v>0</v>
      </c>
      <c r="J134" s="190" t="s">
        <v>98</v>
      </c>
      <c r="K134" s="87"/>
      <c r="L134" s="88">
        <v>313</v>
      </c>
      <c r="M134" s="89" t="s">
        <v>941</v>
      </c>
      <c r="N134" s="90" t="s">
        <v>29</v>
      </c>
      <c r="O134" s="90"/>
      <c r="P134" s="91">
        <v>43050</v>
      </c>
      <c r="Q134" s="102">
        <v>1200000</v>
      </c>
      <c r="R134" s="89" t="s">
        <v>942</v>
      </c>
      <c r="S134" s="89" t="s">
        <v>943</v>
      </c>
      <c r="T134" s="89"/>
      <c r="U134" s="103" t="s">
        <v>343</v>
      </c>
      <c r="V134" s="104" t="s">
        <v>944</v>
      </c>
      <c r="W134" s="102">
        <f>Q134*0.2</f>
        <v>240000</v>
      </c>
      <c r="X134" s="102"/>
      <c r="Y134" s="102"/>
      <c r="Z134" s="107" t="s">
        <v>854</v>
      </c>
      <c r="AA134" s="102">
        <f>Q134*0.4</f>
        <v>480000</v>
      </c>
      <c r="AB134" s="102"/>
      <c r="AC134" s="102"/>
      <c r="AD134" s="107" t="s">
        <v>919</v>
      </c>
      <c r="AE134" s="102">
        <f>Q134*0.4</f>
        <v>480000</v>
      </c>
      <c r="AF134" s="102"/>
      <c r="AG134" s="102"/>
      <c r="AH134" s="107"/>
      <c r="AI134" s="102"/>
      <c r="AJ134" s="102"/>
      <c r="AK134" s="102"/>
      <c r="AL134" s="107"/>
      <c r="AM134" s="102"/>
      <c r="AN134" s="102"/>
      <c r="AO134" s="102"/>
      <c r="AP134" s="107"/>
      <c r="AQ134" s="102"/>
      <c r="AR134" s="102"/>
      <c r="AS134" s="102"/>
      <c r="AT134" s="107"/>
      <c r="AU134" s="102"/>
      <c r="AV134" s="102"/>
      <c r="AW134" s="102"/>
      <c r="AX134" s="107"/>
      <c r="AY134" s="102"/>
      <c r="AZ134" s="102"/>
      <c r="BA134" s="102"/>
      <c r="BB134" s="102"/>
      <c r="BC134" s="102"/>
      <c r="BD134" s="102"/>
      <c r="BE134" s="102"/>
      <c r="BF134" s="102"/>
      <c r="BG134" s="102"/>
      <c r="BH134" s="102"/>
      <c r="BI134" s="102"/>
      <c r="BJ134" s="102"/>
      <c r="BK134" s="102"/>
      <c r="BL134" s="102"/>
      <c r="BM134" s="102"/>
      <c r="BN134" s="102"/>
      <c r="BO134" s="102"/>
      <c r="BP134" s="102"/>
      <c r="BQ134" s="102"/>
      <c r="BR134" s="102"/>
      <c r="BS134" s="102"/>
      <c r="BT134" s="102"/>
      <c r="BU134" s="102"/>
      <c r="BV134" s="102"/>
      <c r="BW134" s="102"/>
      <c r="BX134" s="102"/>
      <c r="BY134" s="102"/>
      <c r="BZ134" s="102"/>
      <c r="CA134" s="102"/>
      <c r="CB134" s="102"/>
      <c r="CC134" s="122"/>
      <c r="CD134" s="123">
        <f t="shared" si="80"/>
        <v>1200000</v>
      </c>
      <c r="CE134" s="102">
        <f t="shared" si="81"/>
        <v>0</v>
      </c>
      <c r="CF134" s="102">
        <f t="shared" si="82"/>
        <v>0</v>
      </c>
      <c r="CG134" s="102">
        <f t="shared" si="83"/>
        <v>0</v>
      </c>
      <c r="CH134" s="124">
        <f t="shared" si="84"/>
        <v>1200000</v>
      </c>
      <c r="CI134" s="125">
        <f t="shared" si="85"/>
        <v>0</v>
      </c>
      <c r="CJ134" s="126" t="str">
        <f t="shared" si="86"/>
        <v>数据正确</v>
      </c>
    </row>
    <row r="135" s="60" customFormat="1" customHeight="1" spans="1:88">
      <c r="A135" s="60" t="s">
        <v>36</v>
      </c>
      <c r="B135" s="70" t="str">
        <f t="shared" si="76"/>
        <v>-</v>
      </c>
      <c r="C135" s="71" t="str">
        <f t="shared" si="77"/>
        <v>-</v>
      </c>
      <c r="D135" s="72">
        <f t="shared" si="78"/>
        <v>0</v>
      </c>
      <c r="E135" s="72">
        <v>0</v>
      </c>
      <c r="F135" s="72">
        <v>0</v>
      </c>
      <c r="G135" s="72">
        <v>0</v>
      </c>
      <c r="H135" s="72">
        <v>0</v>
      </c>
      <c r="I135" s="72">
        <f t="shared" si="79"/>
        <v>0</v>
      </c>
      <c r="J135" s="190" t="s">
        <v>98</v>
      </c>
      <c r="K135" s="87"/>
      <c r="L135" s="88">
        <v>314</v>
      </c>
      <c r="M135" s="89" t="s">
        <v>945</v>
      </c>
      <c r="N135" s="90" t="s">
        <v>29</v>
      </c>
      <c r="O135" s="90"/>
      <c r="P135" s="91">
        <v>43046</v>
      </c>
      <c r="Q135" s="102">
        <v>35000</v>
      </c>
      <c r="R135" s="89" t="s">
        <v>946</v>
      </c>
      <c r="S135" s="89" t="s">
        <v>947</v>
      </c>
      <c r="T135" s="89"/>
      <c r="U135" s="103" t="s">
        <v>343</v>
      </c>
      <c r="V135" s="107" t="s">
        <v>948</v>
      </c>
      <c r="W135" s="102">
        <f>Q135*0.9</f>
        <v>31500</v>
      </c>
      <c r="X135" s="102"/>
      <c r="Y135" s="102"/>
      <c r="Z135" s="107" t="s">
        <v>851</v>
      </c>
      <c r="AA135" s="102">
        <f>Q135*0.1</f>
        <v>3500</v>
      </c>
      <c r="AB135" s="102"/>
      <c r="AC135" s="102"/>
      <c r="AD135" s="107"/>
      <c r="AE135" s="102"/>
      <c r="AF135" s="102"/>
      <c r="AG135" s="102"/>
      <c r="AH135" s="107"/>
      <c r="AI135" s="102"/>
      <c r="AJ135" s="102"/>
      <c r="AK135" s="102"/>
      <c r="AL135" s="107"/>
      <c r="AM135" s="102"/>
      <c r="AN135" s="102"/>
      <c r="AO135" s="102"/>
      <c r="AP135" s="107"/>
      <c r="AQ135" s="102"/>
      <c r="AR135" s="102"/>
      <c r="AS135" s="102"/>
      <c r="AT135" s="107"/>
      <c r="AU135" s="102"/>
      <c r="AV135" s="102"/>
      <c r="AW135" s="102"/>
      <c r="AX135" s="107"/>
      <c r="AY135" s="102"/>
      <c r="AZ135" s="102"/>
      <c r="BA135" s="102"/>
      <c r="BB135" s="102"/>
      <c r="BC135" s="102"/>
      <c r="BD135" s="102"/>
      <c r="BE135" s="102"/>
      <c r="BF135" s="102"/>
      <c r="BG135" s="102"/>
      <c r="BH135" s="102"/>
      <c r="BI135" s="102"/>
      <c r="BJ135" s="102"/>
      <c r="BK135" s="102"/>
      <c r="BL135" s="102"/>
      <c r="BM135" s="102"/>
      <c r="BN135" s="102"/>
      <c r="BO135" s="102"/>
      <c r="BP135" s="102"/>
      <c r="BQ135" s="102"/>
      <c r="BR135" s="102"/>
      <c r="BS135" s="102"/>
      <c r="BT135" s="102"/>
      <c r="BU135" s="102"/>
      <c r="BV135" s="102"/>
      <c r="BW135" s="102"/>
      <c r="BX135" s="102"/>
      <c r="BY135" s="102"/>
      <c r="BZ135" s="102"/>
      <c r="CA135" s="102"/>
      <c r="CB135" s="102"/>
      <c r="CC135" s="122"/>
      <c r="CD135" s="123">
        <f t="shared" si="80"/>
        <v>35000</v>
      </c>
      <c r="CE135" s="102">
        <f t="shared" si="81"/>
        <v>0</v>
      </c>
      <c r="CF135" s="102">
        <f t="shared" si="82"/>
        <v>0</v>
      </c>
      <c r="CG135" s="102">
        <f t="shared" si="83"/>
        <v>0</v>
      </c>
      <c r="CH135" s="124">
        <f t="shared" si="84"/>
        <v>35000</v>
      </c>
      <c r="CI135" s="125">
        <f t="shared" si="85"/>
        <v>0</v>
      </c>
      <c r="CJ135" s="126" t="str">
        <f t="shared" si="86"/>
        <v>数据正确</v>
      </c>
    </row>
    <row r="136" s="60" customFormat="1" customHeight="1" spans="1:88">
      <c r="A136" s="60" t="s">
        <v>36</v>
      </c>
      <c r="B136" s="70" t="str">
        <f t="shared" si="76"/>
        <v>-</v>
      </c>
      <c r="C136" s="71" t="str">
        <f t="shared" si="77"/>
        <v>-</v>
      </c>
      <c r="D136" s="72">
        <f t="shared" si="78"/>
        <v>0</v>
      </c>
      <c r="E136" s="72">
        <v>0</v>
      </c>
      <c r="F136" s="72">
        <v>0</v>
      </c>
      <c r="G136" s="72">
        <v>0</v>
      </c>
      <c r="H136" s="72">
        <v>0</v>
      </c>
      <c r="I136" s="72">
        <f t="shared" si="79"/>
        <v>0</v>
      </c>
      <c r="J136" s="190" t="s">
        <v>98</v>
      </c>
      <c r="K136" s="87"/>
      <c r="L136" s="88">
        <v>325</v>
      </c>
      <c r="M136" s="89" t="s">
        <v>949</v>
      </c>
      <c r="N136" s="90" t="s">
        <v>29</v>
      </c>
      <c r="O136" s="90"/>
      <c r="P136" s="91">
        <v>43023</v>
      </c>
      <c r="Q136" s="102">
        <v>2080000</v>
      </c>
      <c r="R136" s="89" t="s">
        <v>950</v>
      </c>
      <c r="S136" s="89" t="s">
        <v>649</v>
      </c>
      <c r="T136" s="89"/>
      <c r="U136" s="103" t="s">
        <v>343</v>
      </c>
      <c r="V136" s="104" t="s">
        <v>951</v>
      </c>
      <c r="W136" s="102">
        <f>Q136*0.2</f>
        <v>416000</v>
      </c>
      <c r="X136" s="102"/>
      <c r="Y136" s="102"/>
      <c r="Z136" s="107" t="s">
        <v>519</v>
      </c>
      <c r="AA136" s="102">
        <f>Q136*0.4</f>
        <v>832000</v>
      </c>
      <c r="AB136" s="102"/>
      <c r="AC136" s="102"/>
      <c r="AD136" s="107" t="s">
        <v>919</v>
      </c>
      <c r="AE136" s="102">
        <f>Q136*0.4</f>
        <v>832000</v>
      </c>
      <c r="AF136" s="102"/>
      <c r="AG136" s="102"/>
      <c r="AH136" s="107"/>
      <c r="AI136" s="102"/>
      <c r="AJ136" s="102"/>
      <c r="AK136" s="102"/>
      <c r="AL136" s="107"/>
      <c r="AM136" s="102"/>
      <c r="AN136" s="102"/>
      <c r="AO136" s="102"/>
      <c r="AP136" s="107"/>
      <c r="AQ136" s="102"/>
      <c r="AR136" s="102"/>
      <c r="AS136" s="102"/>
      <c r="AT136" s="107"/>
      <c r="AU136" s="102"/>
      <c r="AV136" s="102"/>
      <c r="AW136" s="102"/>
      <c r="AX136" s="107"/>
      <c r="AY136" s="102"/>
      <c r="AZ136" s="102"/>
      <c r="BA136" s="102"/>
      <c r="BB136" s="102"/>
      <c r="BC136" s="102"/>
      <c r="BD136" s="102"/>
      <c r="BE136" s="102"/>
      <c r="BF136" s="102"/>
      <c r="BG136" s="102"/>
      <c r="BH136" s="102"/>
      <c r="BI136" s="102"/>
      <c r="BJ136" s="102"/>
      <c r="BK136" s="102"/>
      <c r="BL136" s="102"/>
      <c r="BM136" s="102"/>
      <c r="BN136" s="102"/>
      <c r="BO136" s="102"/>
      <c r="BP136" s="102"/>
      <c r="BQ136" s="102"/>
      <c r="BR136" s="102"/>
      <c r="BS136" s="102"/>
      <c r="BT136" s="102"/>
      <c r="BU136" s="102"/>
      <c r="BV136" s="102"/>
      <c r="BW136" s="102"/>
      <c r="BX136" s="102"/>
      <c r="BY136" s="102"/>
      <c r="BZ136" s="102"/>
      <c r="CA136" s="102"/>
      <c r="CB136" s="102"/>
      <c r="CC136" s="122"/>
      <c r="CD136" s="123">
        <f t="shared" si="80"/>
        <v>2080000</v>
      </c>
      <c r="CE136" s="102">
        <f t="shared" si="81"/>
        <v>0</v>
      </c>
      <c r="CF136" s="102">
        <f t="shared" si="82"/>
        <v>0</v>
      </c>
      <c r="CG136" s="102">
        <f t="shared" si="83"/>
        <v>0</v>
      </c>
      <c r="CH136" s="124">
        <f t="shared" si="84"/>
        <v>2080000</v>
      </c>
      <c r="CI136" s="125">
        <f t="shared" si="85"/>
        <v>0</v>
      </c>
      <c r="CJ136" s="126" t="str">
        <f t="shared" si="86"/>
        <v>数据正确</v>
      </c>
    </row>
    <row r="137" s="60" customFormat="1" customHeight="1" spans="1:88">
      <c r="A137" s="60" t="s">
        <v>36</v>
      </c>
      <c r="B137" s="70" t="str">
        <f t="shared" si="76"/>
        <v>-</v>
      </c>
      <c r="C137" s="71" t="str">
        <f t="shared" si="77"/>
        <v>-</v>
      </c>
      <c r="D137" s="72">
        <f t="shared" si="78"/>
        <v>0</v>
      </c>
      <c r="E137" s="72">
        <v>0</v>
      </c>
      <c r="F137" s="72">
        <v>0</v>
      </c>
      <c r="G137" s="72">
        <v>0</v>
      </c>
      <c r="H137" s="72">
        <v>0</v>
      </c>
      <c r="I137" s="72">
        <f t="shared" si="79"/>
        <v>0</v>
      </c>
      <c r="J137" s="190" t="s">
        <v>98</v>
      </c>
      <c r="K137" s="87"/>
      <c r="L137" s="88">
        <v>326</v>
      </c>
      <c r="M137" s="89" t="s">
        <v>952</v>
      </c>
      <c r="N137" s="90" t="s">
        <v>29</v>
      </c>
      <c r="O137" s="90"/>
      <c r="P137" s="91">
        <v>43033</v>
      </c>
      <c r="Q137" s="102">
        <v>135000</v>
      </c>
      <c r="R137" s="89" t="s">
        <v>953</v>
      </c>
      <c r="S137" s="89" t="s">
        <v>954</v>
      </c>
      <c r="T137" s="89"/>
      <c r="U137" s="103" t="s">
        <v>625</v>
      </c>
      <c r="V137" s="104" t="s">
        <v>869</v>
      </c>
      <c r="W137" s="102">
        <f>Q137*0.6</f>
        <v>81000</v>
      </c>
      <c r="X137" s="102"/>
      <c r="Y137" s="102"/>
      <c r="Z137" s="107" t="s">
        <v>692</v>
      </c>
      <c r="AA137" s="102">
        <f>Q137*0.3</f>
        <v>40500</v>
      </c>
      <c r="AB137" s="102"/>
      <c r="AC137" s="102"/>
      <c r="AD137" s="107" t="s">
        <v>693</v>
      </c>
      <c r="AE137" s="102">
        <f>Q137*0.1</f>
        <v>13500</v>
      </c>
      <c r="AF137" s="102"/>
      <c r="AG137" s="102"/>
      <c r="AH137" s="107"/>
      <c r="AI137" s="102"/>
      <c r="AJ137" s="102"/>
      <c r="AK137" s="102"/>
      <c r="AL137" s="107"/>
      <c r="AM137" s="102"/>
      <c r="AN137" s="102"/>
      <c r="AO137" s="102"/>
      <c r="AP137" s="107"/>
      <c r="AQ137" s="102"/>
      <c r="AR137" s="102"/>
      <c r="AS137" s="102"/>
      <c r="AT137" s="107"/>
      <c r="AU137" s="102"/>
      <c r="AV137" s="102"/>
      <c r="AW137" s="102"/>
      <c r="AX137" s="107"/>
      <c r="AY137" s="102"/>
      <c r="AZ137" s="102"/>
      <c r="BA137" s="102"/>
      <c r="BB137" s="102"/>
      <c r="BC137" s="102"/>
      <c r="BD137" s="102"/>
      <c r="BE137" s="102"/>
      <c r="BF137" s="102"/>
      <c r="BG137" s="102"/>
      <c r="BH137" s="102"/>
      <c r="BI137" s="102"/>
      <c r="BJ137" s="102"/>
      <c r="BK137" s="102"/>
      <c r="BL137" s="102"/>
      <c r="BM137" s="102"/>
      <c r="BN137" s="102"/>
      <c r="BO137" s="102"/>
      <c r="BP137" s="102"/>
      <c r="BQ137" s="102"/>
      <c r="BR137" s="102"/>
      <c r="BS137" s="102"/>
      <c r="BT137" s="102"/>
      <c r="BU137" s="102"/>
      <c r="BV137" s="102"/>
      <c r="BW137" s="102"/>
      <c r="BX137" s="102"/>
      <c r="BY137" s="102"/>
      <c r="BZ137" s="102"/>
      <c r="CA137" s="102"/>
      <c r="CB137" s="102"/>
      <c r="CC137" s="122"/>
      <c r="CD137" s="123">
        <f t="shared" si="80"/>
        <v>135000</v>
      </c>
      <c r="CE137" s="102">
        <f t="shared" si="81"/>
        <v>0</v>
      </c>
      <c r="CF137" s="102">
        <f t="shared" si="82"/>
        <v>0</v>
      </c>
      <c r="CG137" s="102">
        <f t="shared" si="83"/>
        <v>0</v>
      </c>
      <c r="CH137" s="124">
        <f t="shared" si="84"/>
        <v>135000</v>
      </c>
      <c r="CI137" s="125">
        <f t="shared" si="85"/>
        <v>0</v>
      </c>
      <c r="CJ137" s="126" t="str">
        <f t="shared" si="86"/>
        <v>数据正确</v>
      </c>
    </row>
    <row r="138" s="60" customFormat="1" customHeight="1" spans="1:88">
      <c r="A138" s="60" t="s">
        <v>36</v>
      </c>
      <c r="B138" s="70" t="str">
        <f t="shared" ref="B138:B152" si="87">IF(I138=0,"-","申请中")</f>
        <v>-</v>
      </c>
      <c r="C138" s="71" t="str">
        <f t="shared" ref="C138:C152" si="88">IF(CI138=100%,"已付清","-")</f>
        <v>-</v>
      </c>
      <c r="D138" s="72">
        <f t="shared" ref="D138:D152" si="89">CF138</f>
        <v>0</v>
      </c>
      <c r="E138" s="72">
        <v>0</v>
      </c>
      <c r="F138" s="72">
        <v>0</v>
      </c>
      <c r="G138" s="72">
        <v>0</v>
      </c>
      <c r="H138" s="72">
        <v>0</v>
      </c>
      <c r="I138" s="72">
        <f t="shared" ref="I138:I152" si="90">CE138-CF138-CG138</f>
        <v>0</v>
      </c>
      <c r="J138" s="190" t="s">
        <v>98</v>
      </c>
      <c r="K138" s="87"/>
      <c r="L138" s="88">
        <v>327</v>
      </c>
      <c r="M138" s="89" t="s">
        <v>955</v>
      </c>
      <c r="N138" s="90" t="s">
        <v>29</v>
      </c>
      <c r="O138" s="90"/>
      <c r="P138" s="91">
        <v>43030</v>
      </c>
      <c r="Q138" s="102">
        <v>8100000</v>
      </c>
      <c r="R138" s="89" t="s">
        <v>956</v>
      </c>
      <c r="S138" s="89" t="s">
        <v>957</v>
      </c>
      <c r="T138" s="89"/>
      <c r="U138" s="103" t="s">
        <v>343</v>
      </c>
      <c r="V138" s="104" t="s">
        <v>958</v>
      </c>
      <c r="W138" s="102">
        <f>Q138*0.2</f>
        <v>1620000</v>
      </c>
      <c r="X138" s="102"/>
      <c r="Y138" s="102"/>
      <c r="Z138" s="107" t="s">
        <v>854</v>
      </c>
      <c r="AA138" s="102">
        <f>Q138*0.4</f>
        <v>3240000</v>
      </c>
      <c r="AB138" s="102"/>
      <c r="AC138" s="102"/>
      <c r="AD138" s="107" t="s">
        <v>692</v>
      </c>
      <c r="AE138" s="102">
        <f>Q138*0.3</f>
        <v>2430000</v>
      </c>
      <c r="AF138" s="102"/>
      <c r="AG138" s="102"/>
      <c r="AH138" s="107" t="s">
        <v>693</v>
      </c>
      <c r="AI138" s="102">
        <f>Q138*0.1</f>
        <v>810000</v>
      </c>
      <c r="AJ138" s="102"/>
      <c r="AK138" s="102"/>
      <c r="AL138" s="107"/>
      <c r="AM138" s="102"/>
      <c r="AN138" s="102"/>
      <c r="AO138" s="102"/>
      <c r="AP138" s="107"/>
      <c r="AQ138" s="102"/>
      <c r="AR138" s="102"/>
      <c r="AS138" s="102"/>
      <c r="AT138" s="107"/>
      <c r="AU138" s="102"/>
      <c r="AV138" s="102"/>
      <c r="AW138" s="102"/>
      <c r="AX138" s="107"/>
      <c r="AY138" s="102"/>
      <c r="AZ138" s="102"/>
      <c r="BA138" s="102"/>
      <c r="BB138" s="102"/>
      <c r="BC138" s="102"/>
      <c r="BD138" s="102"/>
      <c r="BE138" s="102"/>
      <c r="BF138" s="102"/>
      <c r="BG138" s="102"/>
      <c r="BH138" s="102"/>
      <c r="BI138" s="102"/>
      <c r="BJ138" s="102"/>
      <c r="BK138" s="102"/>
      <c r="BL138" s="102"/>
      <c r="BM138" s="102"/>
      <c r="BN138" s="102"/>
      <c r="BO138" s="102"/>
      <c r="BP138" s="102"/>
      <c r="BQ138" s="102"/>
      <c r="BR138" s="102"/>
      <c r="BS138" s="102"/>
      <c r="BT138" s="102"/>
      <c r="BU138" s="102"/>
      <c r="BV138" s="102"/>
      <c r="BW138" s="102"/>
      <c r="BX138" s="102"/>
      <c r="BY138" s="102"/>
      <c r="BZ138" s="102"/>
      <c r="CA138" s="102"/>
      <c r="CB138" s="102"/>
      <c r="CC138" s="122"/>
      <c r="CD138" s="123">
        <f t="shared" ref="CD138:CD152" si="91">W138+AA138+AE138+AI138+AM138+AQ138+AU138+AY138+BC138+BG138+BK138+BO138+BS138+BW138+CA138</f>
        <v>8100000</v>
      </c>
      <c r="CE138" s="102">
        <f t="shared" ref="CE138:CE152" si="92">X138+AB138+AF138+AJ138+AN138+AR138+AV138+AZ138+BD138+BH138+BL138+BP138+BT138+BX138+CB138</f>
        <v>0</v>
      </c>
      <c r="CF138" s="102">
        <f t="shared" ref="CF138:CF152" si="93">Y138+AC138+AG138+AK138+AO138+AS138+AW138+BA138+BE138+BI138+BM138+BQ138+BU138+BY138+CC138</f>
        <v>0</v>
      </c>
      <c r="CG138" s="102">
        <f t="shared" ref="CG138:CG152" si="94">E138+F138+G138+H138</f>
        <v>0</v>
      </c>
      <c r="CH138" s="124">
        <f t="shared" ref="CH138:CH152" si="95">Q138-CF138-CG138</f>
        <v>8100000</v>
      </c>
      <c r="CI138" s="125">
        <f t="shared" ref="CI138:CI152" si="96">IF(ISERROR((CF138+CG138)/Q138),"-",(CF138+CG138)/Q138)</f>
        <v>0</v>
      </c>
      <c r="CJ138" s="126" t="str">
        <f t="shared" ref="CJ138:CJ152" si="97">IF(Q138-CD138=0,"数据正确","数据错误")</f>
        <v>数据正确</v>
      </c>
    </row>
    <row r="139" s="60" customFormat="1" customHeight="1" spans="1:88">
      <c r="A139" s="60" t="s">
        <v>36</v>
      </c>
      <c r="B139" s="70" t="str">
        <f t="shared" si="87"/>
        <v>-</v>
      </c>
      <c r="C139" s="71" t="str">
        <f t="shared" si="88"/>
        <v>-</v>
      </c>
      <c r="D139" s="72">
        <f t="shared" si="89"/>
        <v>0</v>
      </c>
      <c r="E139" s="72">
        <v>0</v>
      </c>
      <c r="F139" s="72">
        <v>0</v>
      </c>
      <c r="G139" s="72">
        <v>0</v>
      </c>
      <c r="H139" s="72">
        <v>0</v>
      </c>
      <c r="I139" s="72">
        <f t="shared" si="90"/>
        <v>0</v>
      </c>
      <c r="J139" s="190" t="s">
        <v>98</v>
      </c>
      <c r="K139" s="87"/>
      <c r="L139" s="88">
        <v>328</v>
      </c>
      <c r="M139" s="89" t="s">
        <v>959</v>
      </c>
      <c r="N139" s="90" t="s">
        <v>29</v>
      </c>
      <c r="O139" s="90"/>
      <c r="P139" s="91">
        <v>43042</v>
      </c>
      <c r="Q139" s="102">
        <v>103000</v>
      </c>
      <c r="R139" s="89" t="s">
        <v>960</v>
      </c>
      <c r="S139" s="89" t="s">
        <v>961</v>
      </c>
      <c r="T139" s="89"/>
      <c r="U139" s="103" t="s">
        <v>343</v>
      </c>
      <c r="V139" s="104" t="s">
        <v>962</v>
      </c>
      <c r="W139" s="102">
        <f>Q139*0.6</f>
        <v>61800</v>
      </c>
      <c r="X139" s="102"/>
      <c r="Y139" s="102"/>
      <c r="Z139" s="107" t="s">
        <v>692</v>
      </c>
      <c r="AA139" s="102">
        <f>Q139*0.3</f>
        <v>30900</v>
      </c>
      <c r="AB139" s="102"/>
      <c r="AC139" s="102"/>
      <c r="AD139" s="107" t="s">
        <v>566</v>
      </c>
      <c r="AE139" s="102">
        <f>Q139*0.1</f>
        <v>10300</v>
      </c>
      <c r="AF139" s="102"/>
      <c r="AG139" s="102"/>
      <c r="AH139" s="107"/>
      <c r="AI139" s="102"/>
      <c r="AJ139" s="102"/>
      <c r="AK139" s="102"/>
      <c r="AL139" s="107"/>
      <c r="AM139" s="102"/>
      <c r="AN139" s="102"/>
      <c r="AO139" s="102"/>
      <c r="AP139" s="107"/>
      <c r="AQ139" s="102"/>
      <c r="AR139" s="102"/>
      <c r="AS139" s="102"/>
      <c r="AT139" s="107"/>
      <c r="AU139" s="102"/>
      <c r="AV139" s="102"/>
      <c r="AW139" s="102"/>
      <c r="AX139" s="107"/>
      <c r="AY139" s="102"/>
      <c r="AZ139" s="102"/>
      <c r="BA139" s="102"/>
      <c r="BB139" s="102"/>
      <c r="BC139" s="102"/>
      <c r="BD139" s="102"/>
      <c r="BE139" s="102"/>
      <c r="BF139" s="102"/>
      <c r="BG139" s="102"/>
      <c r="BH139" s="102"/>
      <c r="BI139" s="102"/>
      <c r="BJ139" s="102"/>
      <c r="BK139" s="102"/>
      <c r="BL139" s="102"/>
      <c r="BM139" s="102"/>
      <c r="BN139" s="102"/>
      <c r="BO139" s="102"/>
      <c r="BP139" s="102"/>
      <c r="BQ139" s="102"/>
      <c r="BR139" s="102"/>
      <c r="BS139" s="102"/>
      <c r="BT139" s="102"/>
      <c r="BU139" s="102"/>
      <c r="BV139" s="102"/>
      <c r="BW139" s="102"/>
      <c r="BX139" s="102"/>
      <c r="BY139" s="102"/>
      <c r="BZ139" s="102"/>
      <c r="CA139" s="102"/>
      <c r="CB139" s="102"/>
      <c r="CC139" s="122"/>
      <c r="CD139" s="123">
        <f t="shared" si="91"/>
        <v>103000</v>
      </c>
      <c r="CE139" s="102">
        <f t="shared" si="92"/>
        <v>0</v>
      </c>
      <c r="CF139" s="102">
        <f t="shared" si="93"/>
        <v>0</v>
      </c>
      <c r="CG139" s="102">
        <f t="shared" si="94"/>
        <v>0</v>
      </c>
      <c r="CH139" s="124">
        <f t="shared" si="95"/>
        <v>103000</v>
      </c>
      <c r="CI139" s="125">
        <f t="shared" si="96"/>
        <v>0</v>
      </c>
      <c r="CJ139" s="126" t="str">
        <f t="shared" si="97"/>
        <v>数据正确</v>
      </c>
    </row>
    <row r="140" s="60" customFormat="1" customHeight="1" spans="1:88">
      <c r="A140" s="60" t="s">
        <v>36</v>
      </c>
      <c r="B140" s="70" t="str">
        <f t="shared" si="87"/>
        <v>申请中</v>
      </c>
      <c r="C140" s="71" t="str">
        <f t="shared" si="88"/>
        <v>-</v>
      </c>
      <c r="D140" s="72">
        <f t="shared" si="89"/>
        <v>0</v>
      </c>
      <c r="E140" s="72">
        <v>0</v>
      </c>
      <c r="F140" s="72">
        <v>0</v>
      </c>
      <c r="G140" s="72">
        <v>0</v>
      </c>
      <c r="H140" s="72">
        <v>0</v>
      </c>
      <c r="I140" s="72">
        <f t="shared" si="90"/>
        <v>185932.1</v>
      </c>
      <c r="J140" s="190" t="s">
        <v>98</v>
      </c>
      <c r="K140" s="87"/>
      <c r="L140" s="88">
        <v>329</v>
      </c>
      <c r="M140" s="89" t="s">
        <v>963</v>
      </c>
      <c r="N140" s="90" t="s">
        <v>29</v>
      </c>
      <c r="O140" s="90"/>
      <c r="P140" s="91">
        <v>42986</v>
      </c>
      <c r="Q140" s="102">
        <v>195718</v>
      </c>
      <c r="R140" s="89" t="s">
        <v>964</v>
      </c>
      <c r="S140" s="89" t="s">
        <v>965</v>
      </c>
      <c r="T140" s="89" t="s">
        <v>966</v>
      </c>
      <c r="U140" s="103" t="s">
        <v>625</v>
      </c>
      <c r="V140" s="104" t="s">
        <v>967</v>
      </c>
      <c r="W140" s="102">
        <f>Q140*0.95</f>
        <v>185932.1</v>
      </c>
      <c r="X140" s="102">
        <v>185932.1</v>
      </c>
      <c r="Y140" s="102"/>
      <c r="Z140" s="107" t="s">
        <v>884</v>
      </c>
      <c r="AA140" s="102">
        <f>Q140*0.05</f>
        <v>9785.9</v>
      </c>
      <c r="AB140" s="102"/>
      <c r="AC140" s="102"/>
      <c r="AD140" s="107"/>
      <c r="AE140" s="102"/>
      <c r="AF140" s="102"/>
      <c r="AG140" s="102"/>
      <c r="AH140" s="107"/>
      <c r="AI140" s="102"/>
      <c r="AJ140" s="102"/>
      <c r="AK140" s="102"/>
      <c r="AL140" s="107"/>
      <c r="AM140" s="102"/>
      <c r="AN140" s="102"/>
      <c r="AO140" s="102"/>
      <c r="AP140" s="107"/>
      <c r="AQ140" s="102"/>
      <c r="AR140" s="102"/>
      <c r="AS140" s="102"/>
      <c r="AT140" s="107"/>
      <c r="AU140" s="102"/>
      <c r="AV140" s="102"/>
      <c r="AW140" s="102"/>
      <c r="AX140" s="107"/>
      <c r="AY140" s="102"/>
      <c r="AZ140" s="102"/>
      <c r="BA140" s="102"/>
      <c r="BB140" s="102"/>
      <c r="BC140" s="102"/>
      <c r="BD140" s="102"/>
      <c r="BE140" s="102"/>
      <c r="BF140" s="102"/>
      <c r="BG140" s="102"/>
      <c r="BH140" s="102"/>
      <c r="BI140" s="102"/>
      <c r="BJ140" s="102"/>
      <c r="BK140" s="102"/>
      <c r="BL140" s="102"/>
      <c r="BM140" s="102"/>
      <c r="BN140" s="102"/>
      <c r="BO140" s="102"/>
      <c r="BP140" s="102"/>
      <c r="BQ140" s="102"/>
      <c r="BR140" s="102"/>
      <c r="BS140" s="102"/>
      <c r="BT140" s="102"/>
      <c r="BU140" s="102"/>
      <c r="BV140" s="102"/>
      <c r="BW140" s="102"/>
      <c r="BX140" s="102"/>
      <c r="BY140" s="102"/>
      <c r="BZ140" s="102"/>
      <c r="CA140" s="102"/>
      <c r="CB140" s="102"/>
      <c r="CC140" s="122"/>
      <c r="CD140" s="123">
        <f t="shared" si="91"/>
        <v>195718</v>
      </c>
      <c r="CE140" s="102">
        <f t="shared" si="92"/>
        <v>185932.1</v>
      </c>
      <c r="CF140" s="102">
        <f t="shared" si="93"/>
        <v>0</v>
      </c>
      <c r="CG140" s="102">
        <f t="shared" si="94"/>
        <v>0</v>
      </c>
      <c r="CH140" s="124">
        <f t="shared" si="95"/>
        <v>195718</v>
      </c>
      <c r="CI140" s="125">
        <f t="shared" si="96"/>
        <v>0</v>
      </c>
      <c r="CJ140" s="126" t="str">
        <f t="shared" si="97"/>
        <v>数据正确</v>
      </c>
    </row>
    <row r="141" s="60" customFormat="1" customHeight="1" spans="2:88">
      <c r="B141" s="70" t="str">
        <f t="shared" si="87"/>
        <v>-</v>
      </c>
      <c r="C141" s="71" t="str">
        <f t="shared" si="88"/>
        <v>-</v>
      </c>
      <c r="D141" s="72">
        <f t="shared" si="89"/>
        <v>0</v>
      </c>
      <c r="E141" s="72">
        <v>0</v>
      </c>
      <c r="F141" s="72">
        <v>0</v>
      </c>
      <c r="G141" s="72">
        <v>0</v>
      </c>
      <c r="H141" s="72">
        <v>0</v>
      </c>
      <c r="I141" s="72">
        <f t="shared" si="90"/>
        <v>0</v>
      </c>
      <c r="J141" s="190" t="s">
        <v>98</v>
      </c>
      <c r="K141" s="87"/>
      <c r="L141" s="88"/>
      <c r="M141" s="89"/>
      <c r="N141" s="90"/>
      <c r="O141" s="90"/>
      <c r="P141" s="91"/>
      <c r="Q141" s="102"/>
      <c r="R141" s="89"/>
      <c r="S141" s="89"/>
      <c r="T141" s="89"/>
      <c r="U141" s="103"/>
      <c r="V141" s="104"/>
      <c r="W141" s="102"/>
      <c r="X141" s="102"/>
      <c r="Y141" s="102"/>
      <c r="Z141" s="107"/>
      <c r="AA141" s="102"/>
      <c r="AB141" s="102"/>
      <c r="AC141" s="102"/>
      <c r="AD141" s="107"/>
      <c r="AE141" s="102"/>
      <c r="AF141" s="102"/>
      <c r="AG141" s="102"/>
      <c r="AH141" s="107"/>
      <c r="AI141" s="102"/>
      <c r="AJ141" s="102"/>
      <c r="AK141" s="102"/>
      <c r="AL141" s="107"/>
      <c r="AM141" s="102"/>
      <c r="AN141" s="102"/>
      <c r="AO141" s="102"/>
      <c r="AP141" s="107"/>
      <c r="AQ141" s="102"/>
      <c r="AR141" s="102"/>
      <c r="AS141" s="102"/>
      <c r="AT141" s="107"/>
      <c r="AU141" s="102"/>
      <c r="AV141" s="102"/>
      <c r="AW141" s="102"/>
      <c r="AX141" s="107"/>
      <c r="AY141" s="102"/>
      <c r="AZ141" s="102"/>
      <c r="BA141" s="102"/>
      <c r="BB141" s="102"/>
      <c r="BC141" s="102"/>
      <c r="BD141" s="102"/>
      <c r="BE141" s="102"/>
      <c r="BF141" s="102"/>
      <c r="BG141" s="102"/>
      <c r="BH141" s="102"/>
      <c r="BI141" s="102"/>
      <c r="BJ141" s="102"/>
      <c r="BK141" s="102"/>
      <c r="BL141" s="102"/>
      <c r="BM141" s="102"/>
      <c r="BN141" s="102"/>
      <c r="BO141" s="102"/>
      <c r="BP141" s="102"/>
      <c r="BQ141" s="102"/>
      <c r="BR141" s="102"/>
      <c r="BS141" s="102"/>
      <c r="BT141" s="102"/>
      <c r="BU141" s="102"/>
      <c r="BV141" s="102"/>
      <c r="BW141" s="102"/>
      <c r="BX141" s="102"/>
      <c r="BY141" s="102"/>
      <c r="BZ141" s="102"/>
      <c r="CA141" s="102"/>
      <c r="CB141" s="102"/>
      <c r="CC141" s="122"/>
      <c r="CD141" s="123">
        <f t="shared" si="91"/>
        <v>0</v>
      </c>
      <c r="CE141" s="102">
        <f t="shared" si="92"/>
        <v>0</v>
      </c>
      <c r="CF141" s="102">
        <f t="shared" si="93"/>
        <v>0</v>
      </c>
      <c r="CG141" s="102">
        <f t="shared" si="94"/>
        <v>0</v>
      </c>
      <c r="CH141" s="124">
        <f t="shared" si="95"/>
        <v>0</v>
      </c>
      <c r="CI141" s="125" t="str">
        <f t="shared" si="96"/>
        <v>-</v>
      </c>
      <c r="CJ141" s="126" t="str">
        <f t="shared" si="97"/>
        <v>数据正确</v>
      </c>
    </row>
    <row r="142" s="60" customFormat="1" customHeight="1" spans="2:88">
      <c r="B142" s="70" t="str">
        <f t="shared" si="87"/>
        <v>-</v>
      </c>
      <c r="C142" s="71" t="str">
        <f t="shared" si="88"/>
        <v>-</v>
      </c>
      <c r="D142" s="72">
        <f t="shared" si="89"/>
        <v>0</v>
      </c>
      <c r="E142" s="72">
        <v>0</v>
      </c>
      <c r="F142" s="72">
        <v>0</v>
      </c>
      <c r="G142" s="72">
        <v>0</v>
      </c>
      <c r="H142" s="72">
        <v>0</v>
      </c>
      <c r="I142" s="72">
        <f t="shared" si="90"/>
        <v>0</v>
      </c>
      <c r="J142" s="190" t="s">
        <v>98</v>
      </c>
      <c r="K142" s="87"/>
      <c r="L142" s="88"/>
      <c r="M142" s="89"/>
      <c r="N142" s="90"/>
      <c r="O142" s="90"/>
      <c r="P142" s="91"/>
      <c r="Q142" s="102"/>
      <c r="R142" s="89"/>
      <c r="S142" s="89"/>
      <c r="T142" s="89"/>
      <c r="U142" s="103"/>
      <c r="V142" s="104"/>
      <c r="W142" s="102"/>
      <c r="X142" s="102"/>
      <c r="Y142" s="102"/>
      <c r="Z142" s="107"/>
      <c r="AA142" s="102"/>
      <c r="AB142" s="102"/>
      <c r="AC142" s="102"/>
      <c r="AD142" s="107"/>
      <c r="AE142" s="102"/>
      <c r="AF142" s="102"/>
      <c r="AG142" s="102"/>
      <c r="AH142" s="107"/>
      <c r="AI142" s="102"/>
      <c r="AJ142" s="102"/>
      <c r="AK142" s="102"/>
      <c r="AL142" s="107"/>
      <c r="AM142" s="102"/>
      <c r="AN142" s="102"/>
      <c r="AO142" s="102"/>
      <c r="AP142" s="107"/>
      <c r="AQ142" s="102"/>
      <c r="AR142" s="102"/>
      <c r="AS142" s="102"/>
      <c r="AT142" s="107"/>
      <c r="AU142" s="102"/>
      <c r="AV142" s="102"/>
      <c r="AW142" s="102"/>
      <c r="AX142" s="107"/>
      <c r="AY142" s="102"/>
      <c r="AZ142" s="102"/>
      <c r="BA142" s="102"/>
      <c r="BB142" s="102"/>
      <c r="BC142" s="102"/>
      <c r="BD142" s="102"/>
      <c r="BE142" s="102"/>
      <c r="BF142" s="102"/>
      <c r="BG142" s="102"/>
      <c r="BH142" s="102"/>
      <c r="BI142" s="102"/>
      <c r="BJ142" s="102"/>
      <c r="BK142" s="102"/>
      <c r="BL142" s="102"/>
      <c r="BM142" s="102"/>
      <c r="BN142" s="102"/>
      <c r="BO142" s="102"/>
      <c r="BP142" s="102"/>
      <c r="BQ142" s="102"/>
      <c r="BR142" s="102"/>
      <c r="BS142" s="102"/>
      <c r="BT142" s="102"/>
      <c r="BU142" s="102"/>
      <c r="BV142" s="102"/>
      <c r="BW142" s="102"/>
      <c r="BX142" s="102"/>
      <c r="BY142" s="102"/>
      <c r="BZ142" s="102"/>
      <c r="CA142" s="102"/>
      <c r="CB142" s="102"/>
      <c r="CC142" s="122"/>
      <c r="CD142" s="123">
        <f t="shared" si="91"/>
        <v>0</v>
      </c>
      <c r="CE142" s="102">
        <f t="shared" si="92"/>
        <v>0</v>
      </c>
      <c r="CF142" s="102">
        <f t="shared" si="93"/>
        <v>0</v>
      </c>
      <c r="CG142" s="102">
        <f t="shared" si="94"/>
        <v>0</v>
      </c>
      <c r="CH142" s="124">
        <f t="shared" si="95"/>
        <v>0</v>
      </c>
      <c r="CI142" s="125" t="str">
        <f t="shared" si="96"/>
        <v>-</v>
      </c>
      <c r="CJ142" s="126" t="str">
        <f t="shared" si="97"/>
        <v>数据正确</v>
      </c>
    </row>
    <row r="143" s="60" customFormat="1" customHeight="1" spans="2:88">
      <c r="B143" s="70" t="str">
        <f t="shared" si="87"/>
        <v>-</v>
      </c>
      <c r="C143" s="71" t="str">
        <f t="shared" si="88"/>
        <v>-</v>
      </c>
      <c r="D143" s="72">
        <f t="shared" si="89"/>
        <v>0</v>
      </c>
      <c r="E143" s="72">
        <v>0</v>
      </c>
      <c r="F143" s="72">
        <v>0</v>
      </c>
      <c r="G143" s="72">
        <v>0</v>
      </c>
      <c r="H143" s="72">
        <v>0</v>
      </c>
      <c r="I143" s="72">
        <f t="shared" si="90"/>
        <v>0</v>
      </c>
      <c r="J143" s="190" t="s">
        <v>98</v>
      </c>
      <c r="K143" s="87"/>
      <c r="L143" s="88"/>
      <c r="M143" s="89"/>
      <c r="N143" s="90"/>
      <c r="O143" s="90"/>
      <c r="P143" s="91"/>
      <c r="Q143" s="102"/>
      <c r="R143" s="89"/>
      <c r="S143" s="89"/>
      <c r="T143" s="89"/>
      <c r="U143" s="103"/>
      <c r="V143" s="104"/>
      <c r="W143" s="102"/>
      <c r="X143" s="102"/>
      <c r="Y143" s="102"/>
      <c r="Z143" s="107"/>
      <c r="AA143" s="102"/>
      <c r="AB143" s="102"/>
      <c r="AC143" s="102"/>
      <c r="AD143" s="107"/>
      <c r="AE143" s="102"/>
      <c r="AF143" s="102"/>
      <c r="AG143" s="102"/>
      <c r="AH143" s="107"/>
      <c r="AI143" s="102"/>
      <c r="AJ143" s="102"/>
      <c r="AK143" s="102"/>
      <c r="AL143" s="107"/>
      <c r="AM143" s="102"/>
      <c r="AN143" s="102"/>
      <c r="AO143" s="102"/>
      <c r="AP143" s="107"/>
      <c r="AQ143" s="102"/>
      <c r="AR143" s="102"/>
      <c r="AS143" s="102"/>
      <c r="AT143" s="107"/>
      <c r="AU143" s="102"/>
      <c r="AV143" s="102"/>
      <c r="AW143" s="102"/>
      <c r="AX143" s="107"/>
      <c r="AY143" s="102"/>
      <c r="AZ143" s="102"/>
      <c r="BA143" s="102"/>
      <c r="BB143" s="102"/>
      <c r="BC143" s="102"/>
      <c r="BD143" s="102"/>
      <c r="BE143" s="102"/>
      <c r="BF143" s="102"/>
      <c r="BG143" s="102"/>
      <c r="BH143" s="102"/>
      <c r="BI143" s="102"/>
      <c r="BJ143" s="102"/>
      <c r="BK143" s="102"/>
      <c r="BL143" s="102"/>
      <c r="BM143" s="102"/>
      <c r="BN143" s="102"/>
      <c r="BO143" s="102"/>
      <c r="BP143" s="102"/>
      <c r="BQ143" s="102"/>
      <c r="BR143" s="102"/>
      <c r="BS143" s="102"/>
      <c r="BT143" s="102"/>
      <c r="BU143" s="102"/>
      <c r="BV143" s="102"/>
      <c r="BW143" s="102"/>
      <c r="BX143" s="102"/>
      <c r="BY143" s="102"/>
      <c r="BZ143" s="102"/>
      <c r="CA143" s="102"/>
      <c r="CB143" s="102"/>
      <c r="CC143" s="122"/>
      <c r="CD143" s="123">
        <f t="shared" si="91"/>
        <v>0</v>
      </c>
      <c r="CE143" s="102">
        <f t="shared" si="92"/>
        <v>0</v>
      </c>
      <c r="CF143" s="102">
        <f t="shared" si="93"/>
        <v>0</v>
      </c>
      <c r="CG143" s="102">
        <f t="shared" si="94"/>
        <v>0</v>
      </c>
      <c r="CH143" s="124">
        <f t="shared" si="95"/>
        <v>0</v>
      </c>
      <c r="CI143" s="125" t="str">
        <f t="shared" si="96"/>
        <v>-</v>
      </c>
      <c r="CJ143" s="126" t="str">
        <f t="shared" si="97"/>
        <v>数据正确</v>
      </c>
    </row>
    <row r="144" s="60" customFormat="1" customHeight="1" spans="2:88">
      <c r="B144" s="70" t="str">
        <f t="shared" si="87"/>
        <v>-</v>
      </c>
      <c r="C144" s="71" t="str">
        <f t="shared" si="88"/>
        <v>-</v>
      </c>
      <c r="D144" s="72">
        <f t="shared" si="89"/>
        <v>0</v>
      </c>
      <c r="E144" s="72">
        <v>0</v>
      </c>
      <c r="F144" s="72">
        <v>0</v>
      </c>
      <c r="G144" s="72">
        <v>0</v>
      </c>
      <c r="H144" s="72">
        <v>0</v>
      </c>
      <c r="I144" s="72">
        <f t="shared" si="90"/>
        <v>0</v>
      </c>
      <c r="J144" s="190" t="s">
        <v>98</v>
      </c>
      <c r="K144" s="87"/>
      <c r="L144" s="88"/>
      <c r="M144" s="89"/>
      <c r="N144" s="90"/>
      <c r="O144" s="90"/>
      <c r="P144" s="91"/>
      <c r="Q144" s="102"/>
      <c r="R144" s="89"/>
      <c r="S144" s="89"/>
      <c r="T144" s="89"/>
      <c r="U144" s="103"/>
      <c r="V144" s="104"/>
      <c r="W144" s="102"/>
      <c r="X144" s="102"/>
      <c r="Y144" s="102"/>
      <c r="Z144" s="107"/>
      <c r="AA144" s="102"/>
      <c r="AB144" s="102"/>
      <c r="AC144" s="102"/>
      <c r="AD144" s="107"/>
      <c r="AE144" s="102"/>
      <c r="AF144" s="102"/>
      <c r="AG144" s="102"/>
      <c r="AH144" s="107"/>
      <c r="AI144" s="102"/>
      <c r="AJ144" s="102"/>
      <c r="AK144" s="102"/>
      <c r="AL144" s="107"/>
      <c r="AM144" s="102"/>
      <c r="AN144" s="102"/>
      <c r="AO144" s="102"/>
      <c r="AP144" s="107"/>
      <c r="AQ144" s="102"/>
      <c r="AR144" s="102"/>
      <c r="AS144" s="102"/>
      <c r="AT144" s="107"/>
      <c r="AU144" s="102"/>
      <c r="AV144" s="102"/>
      <c r="AW144" s="102"/>
      <c r="AX144" s="107"/>
      <c r="AY144" s="102"/>
      <c r="AZ144" s="102"/>
      <c r="BA144" s="102"/>
      <c r="BB144" s="102"/>
      <c r="BC144" s="102"/>
      <c r="BD144" s="102"/>
      <c r="BE144" s="102"/>
      <c r="BF144" s="102"/>
      <c r="BG144" s="102"/>
      <c r="BH144" s="102"/>
      <c r="BI144" s="102"/>
      <c r="BJ144" s="102"/>
      <c r="BK144" s="102"/>
      <c r="BL144" s="102"/>
      <c r="BM144" s="102"/>
      <c r="BN144" s="102"/>
      <c r="BO144" s="102"/>
      <c r="BP144" s="102"/>
      <c r="BQ144" s="102"/>
      <c r="BR144" s="102"/>
      <c r="BS144" s="102"/>
      <c r="BT144" s="102"/>
      <c r="BU144" s="102"/>
      <c r="BV144" s="102"/>
      <c r="BW144" s="102"/>
      <c r="BX144" s="102"/>
      <c r="BY144" s="102"/>
      <c r="BZ144" s="102"/>
      <c r="CA144" s="102"/>
      <c r="CB144" s="102"/>
      <c r="CC144" s="122"/>
      <c r="CD144" s="123">
        <f t="shared" si="91"/>
        <v>0</v>
      </c>
      <c r="CE144" s="102">
        <f t="shared" si="92"/>
        <v>0</v>
      </c>
      <c r="CF144" s="102">
        <f t="shared" si="93"/>
        <v>0</v>
      </c>
      <c r="CG144" s="102">
        <f t="shared" si="94"/>
        <v>0</v>
      </c>
      <c r="CH144" s="124">
        <f t="shared" si="95"/>
        <v>0</v>
      </c>
      <c r="CI144" s="125" t="str">
        <f t="shared" si="96"/>
        <v>-</v>
      </c>
      <c r="CJ144" s="126" t="str">
        <f t="shared" si="97"/>
        <v>数据正确</v>
      </c>
    </row>
    <row r="145" s="60" customFormat="1" customHeight="1" spans="2:88">
      <c r="B145" s="70" t="str">
        <f t="shared" si="87"/>
        <v>-</v>
      </c>
      <c r="C145" s="71" t="str">
        <f t="shared" si="88"/>
        <v>-</v>
      </c>
      <c r="D145" s="72">
        <f t="shared" si="89"/>
        <v>0</v>
      </c>
      <c r="E145" s="72">
        <v>0</v>
      </c>
      <c r="F145" s="72">
        <v>0</v>
      </c>
      <c r="G145" s="72">
        <v>0</v>
      </c>
      <c r="H145" s="72">
        <v>0</v>
      </c>
      <c r="I145" s="72">
        <f t="shared" si="90"/>
        <v>0</v>
      </c>
      <c r="J145" s="190" t="s">
        <v>98</v>
      </c>
      <c r="K145" s="87"/>
      <c r="L145" s="88"/>
      <c r="M145" s="89"/>
      <c r="N145" s="90"/>
      <c r="O145" s="90"/>
      <c r="P145" s="91"/>
      <c r="Q145" s="102"/>
      <c r="R145" s="89"/>
      <c r="S145" s="89"/>
      <c r="T145" s="89"/>
      <c r="U145" s="103"/>
      <c r="V145" s="104"/>
      <c r="W145" s="102"/>
      <c r="X145" s="102"/>
      <c r="Y145" s="102"/>
      <c r="Z145" s="107"/>
      <c r="AA145" s="102"/>
      <c r="AB145" s="102"/>
      <c r="AC145" s="102"/>
      <c r="AD145" s="107"/>
      <c r="AE145" s="102"/>
      <c r="AF145" s="102"/>
      <c r="AG145" s="102"/>
      <c r="AH145" s="107"/>
      <c r="AI145" s="102"/>
      <c r="AJ145" s="102"/>
      <c r="AK145" s="102"/>
      <c r="AL145" s="107"/>
      <c r="AM145" s="102"/>
      <c r="AN145" s="102"/>
      <c r="AO145" s="102"/>
      <c r="AP145" s="107"/>
      <c r="AQ145" s="102"/>
      <c r="AR145" s="102"/>
      <c r="AS145" s="102"/>
      <c r="AT145" s="107"/>
      <c r="AU145" s="102"/>
      <c r="AV145" s="102"/>
      <c r="AW145" s="102"/>
      <c r="AX145" s="107"/>
      <c r="AY145" s="102"/>
      <c r="AZ145" s="102"/>
      <c r="BA145" s="102"/>
      <c r="BB145" s="102"/>
      <c r="BC145" s="102"/>
      <c r="BD145" s="102"/>
      <c r="BE145" s="102"/>
      <c r="BF145" s="102"/>
      <c r="BG145" s="102"/>
      <c r="BH145" s="102"/>
      <c r="BI145" s="102"/>
      <c r="BJ145" s="102"/>
      <c r="BK145" s="102"/>
      <c r="BL145" s="102"/>
      <c r="BM145" s="102"/>
      <c r="BN145" s="102"/>
      <c r="BO145" s="102"/>
      <c r="BP145" s="102"/>
      <c r="BQ145" s="102"/>
      <c r="BR145" s="102"/>
      <c r="BS145" s="102"/>
      <c r="BT145" s="102"/>
      <c r="BU145" s="102"/>
      <c r="BV145" s="102"/>
      <c r="BW145" s="102"/>
      <c r="BX145" s="102"/>
      <c r="BY145" s="102"/>
      <c r="BZ145" s="102"/>
      <c r="CA145" s="102"/>
      <c r="CB145" s="102"/>
      <c r="CC145" s="122"/>
      <c r="CD145" s="123">
        <f t="shared" si="91"/>
        <v>0</v>
      </c>
      <c r="CE145" s="102">
        <f t="shared" si="92"/>
        <v>0</v>
      </c>
      <c r="CF145" s="102">
        <f t="shared" si="93"/>
        <v>0</v>
      </c>
      <c r="CG145" s="102">
        <f t="shared" si="94"/>
        <v>0</v>
      </c>
      <c r="CH145" s="124">
        <f t="shared" si="95"/>
        <v>0</v>
      </c>
      <c r="CI145" s="125" t="str">
        <f t="shared" si="96"/>
        <v>-</v>
      </c>
      <c r="CJ145" s="126" t="str">
        <f t="shared" si="97"/>
        <v>数据正确</v>
      </c>
    </row>
    <row r="146" s="60" customFormat="1" customHeight="1" spans="2:88">
      <c r="B146" s="70" t="str">
        <f t="shared" si="87"/>
        <v>-</v>
      </c>
      <c r="C146" s="71" t="str">
        <f t="shared" si="88"/>
        <v>-</v>
      </c>
      <c r="D146" s="72">
        <f t="shared" si="89"/>
        <v>0</v>
      </c>
      <c r="E146" s="72">
        <v>0</v>
      </c>
      <c r="F146" s="72">
        <v>0</v>
      </c>
      <c r="G146" s="72">
        <v>0</v>
      </c>
      <c r="H146" s="72">
        <v>0</v>
      </c>
      <c r="I146" s="72">
        <f t="shared" si="90"/>
        <v>0</v>
      </c>
      <c r="J146" s="190" t="s">
        <v>98</v>
      </c>
      <c r="K146" s="87"/>
      <c r="L146" s="88"/>
      <c r="M146" s="89"/>
      <c r="N146" s="90"/>
      <c r="O146" s="90"/>
      <c r="P146" s="91"/>
      <c r="Q146" s="102"/>
      <c r="R146" s="89"/>
      <c r="S146" s="89"/>
      <c r="T146" s="89"/>
      <c r="U146" s="103"/>
      <c r="V146" s="104"/>
      <c r="W146" s="102"/>
      <c r="X146" s="102"/>
      <c r="Y146" s="102"/>
      <c r="Z146" s="107"/>
      <c r="AA146" s="102"/>
      <c r="AB146" s="102"/>
      <c r="AC146" s="102"/>
      <c r="AD146" s="107"/>
      <c r="AE146" s="102"/>
      <c r="AF146" s="102"/>
      <c r="AG146" s="102"/>
      <c r="AH146" s="107"/>
      <c r="AI146" s="102"/>
      <c r="AJ146" s="102"/>
      <c r="AK146" s="102"/>
      <c r="AL146" s="107"/>
      <c r="AM146" s="102"/>
      <c r="AN146" s="102"/>
      <c r="AO146" s="102"/>
      <c r="AP146" s="107"/>
      <c r="AQ146" s="102"/>
      <c r="AR146" s="102"/>
      <c r="AS146" s="102"/>
      <c r="AT146" s="107"/>
      <c r="AU146" s="102"/>
      <c r="AV146" s="102"/>
      <c r="AW146" s="102"/>
      <c r="AX146" s="107"/>
      <c r="AY146" s="102"/>
      <c r="AZ146" s="102"/>
      <c r="BA146" s="102"/>
      <c r="BB146" s="102"/>
      <c r="BC146" s="102"/>
      <c r="BD146" s="102"/>
      <c r="BE146" s="102"/>
      <c r="BF146" s="102"/>
      <c r="BG146" s="102"/>
      <c r="BH146" s="102"/>
      <c r="BI146" s="102"/>
      <c r="BJ146" s="102"/>
      <c r="BK146" s="102"/>
      <c r="BL146" s="102"/>
      <c r="BM146" s="102"/>
      <c r="BN146" s="102"/>
      <c r="BO146" s="102"/>
      <c r="BP146" s="102"/>
      <c r="BQ146" s="102"/>
      <c r="BR146" s="102"/>
      <c r="BS146" s="102"/>
      <c r="BT146" s="102"/>
      <c r="BU146" s="102"/>
      <c r="BV146" s="102"/>
      <c r="BW146" s="102"/>
      <c r="BX146" s="102"/>
      <c r="BY146" s="102"/>
      <c r="BZ146" s="102"/>
      <c r="CA146" s="102"/>
      <c r="CB146" s="102"/>
      <c r="CC146" s="122"/>
      <c r="CD146" s="123">
        <f t="shared" si="91"/>
        <v>0</v>
      </c>
      <c r="CE146" s="102">
        <f t="shared" si="92"/>
        <v>0</v>
      </c>
      <c r="CF146" s="102">
        <f t="shared" si="93"/>
        <v>0</v>
      </c>
      <c r="CG146" s="102">
        <f t="shared" si="94"/>
        <v>0</v>
      </c>
      <c r="CH146" s="124">
        <f t="shared" si="95"/>
        <v>0</v>
      </c>
      <c r="CI146" s="125" t="str">
        <f t="shared" si="96"/>
        <v>-</v>
      </c>
      <c r="CJ146" s="126" t="str">
        <f t="shared" si="97"/>
        <v>数据正确</v>
      </c>
    </row>
    <row r="147" s="60" customFormat="1" customHeight="1" spans="2:88">
      <c r="B147" s="70" t="str">
        <f t="shared" si="87"/>
        <v>-</v>
      </c>
      <c r="C147" s="71" t="str">
        <f t="shared" si="88"/>
        <v>-</v>
      </c>
      <c r="D147" s="72">
        <f t="shared" si="89"/>
        <v>0</v>
      </c>
      <c r="E147" s="72">
        <v>0</v>
      </c>
      <c r="F147" s="72">
        <v>0</v>
      </c>
      <c r="G147" s="72">
        <v>0</v>
      </c>
      <c r="H147" s="72">
        <v>0</v>
      </c>
      <c r="I147" s="72">
        <f t="shared" si="90"/>
        <v>0</v>
      </c>
      <c r="J147" s="190" t="s">
        <v>98</v>
      </c>
      <c r="K147" s="87"/>
      <c r="L147" s="88"/>
      <c r="M147" s="89"/>
      <c r="N147" s="90"/>
      <c r="O147" s="90"/>
      <c r="P147" s="91"/>
      <c r="Q147" s="102"/>
      <c r="R147" s="89"/>
      <c r="S147" s="89"/>
      <c r="T147" s="89"/>
      <c r="U147" s="103"/>
      <c r="V147" s="104"/>
      <c r="W147" s="102"/>
      <c r="X147" s="102"/>
      <c r="Y147" s="102"/>
      <c r="Z147" s="107"/>
      <c r="AA147" s="102"/>
      <c r="AB147" s="102"/>
      <c r="AC147" s="102"/>
      <c r="AD147" s="107"/>
      <c r="AE147" s="102"/>
      <c r="AF147" s="102"/>
      <c r="AG147" s="102"/>
      <c r="AH147" s="107"/>
      <c r="AI147" s="102"/>
      <c r="AJ147" s="102"/>
      <c r="AK147" s="102"/>
      <c r="AL147" s="107"/>
      <c r="AM147" s="102"/>
      <c r="AN147" s="102"/>
      <c r="AO147" s="102"/>
      <c r="AP147" s="107"/>
      <c r="AQ147" s="102"/>
      <c r="AR147" s="102"/>
      <c r="AS147" s="102"/>
      <c r="AT147" s="107"/>
      <c r="AU147" s="102"/>
      <c r="AV147" s="102"/>
      <c r="AW147" s="102"/>
      <c r="AX147" s="107"/>
      <c r="AY147" s="102"/>
      <c r="AZ147" s="102"/>
      <c r="BA147" s="102"/>
      <c r="BB147" s="102"/>
      <c r="BC147" s="102"/>
      <c r="BD147" s="102"/>
      <c r="BE147" s="102"/>
      <c r="BF147" s="102"/>
      <c r="BG147" s="102"/>
      <c r="BH147" s="102"/>
      <c r="BI147" s="102"/>
      <c r="BJ147" s="102"/>
      <c r="BK147" s="102"/>
      <c r="BL147" s="102"/>
      <c r="BM147" s="102"/>
      <c r="BN147" s="102"/>
      <c r="BO147" s="102"/>
      <c r="BP147" s="102"/>
      <c r="BQ147" s="102"/>
      <c r="BR147" s="102"/>
      <c r="BS147" s="102"/>
      <c r="BT147" s="102"/>
      <c r="BU147" s="102"/>
      <c r="BV147" s="102"/>
      <c r="BW147" s="102"/>
      <c r="BX147" s="102"/>
      <c r="BY147" s="102"/>
      <c r="BZ147" s="102"/>
      <c r="CA147" s="102"/>
      <c r="CB147" s="102"/>
      <c r="CC147" s="122"/>
      <c r="CD147" s="123">
        <f t="shared" si="91"/>
        <v>0</v>
      </c>
      <c r="CE147" s="102">
        <f t="shared" si="92"/>
        <v>0</v>
      </c>
      <c r="CF147" s="102">
        <f t="shared" si="93"/>
        <v>0</v>
      </c>
      <c r="CG147" s="102">
        <f t="shared" si="94"/>
        <v>0</v>
      </c>
      <c r="CH147" s="124">
        <f t="shared" si="95"/>
        <v>0</v>
      </c>
      <c r="CI147" s="125" t="str">
        <f t="shared" si="96"/>
        <v>-</v>
      </c>
      <c r="CJ147" s="126" t="str">
        <f t="shared" si="97"/>
        <v>数据正确</v>
      </c>
    </row>
    <row r="148" s="60" customFormat="1" customHeight="1" spans="2:88">
      <c r="B148" s="70" t="str">
        <f t="shared" si="87"/>
        <v>-</v>
      </c>
      <c r="C148" s="71" t="str">
        <f t="shared" si="88"/>
        <v>-</v>
      </c>
      <c r="D148" s="72">
        <f t="shared" si="89"/>
        <v>0</v>
      </c>
      <c r="E148" s="72">
        <v>0</v>
      </c>
      <c r="F148" s="72">
        <v>0</v>
      </c>
      <c r="G148" s="72">
        <v>0</v>
      </c>
      <c r="H148" s="72">
        <v>0</v>
      </c>
      <c r="I148" s="72">
        <f t="shared" si="90"/>
        <v>0</v>
      </c>
      <c r="J148" s="190" t="s">
        <v>98</v>
      </c>
      <c r="K148" s="87"/>
      <c r="L148" s="88"/>
      <c r="M148" s="89"/>
      <c r="N148" s="90"/>
      <c r="O148" s="90"/>
      <c r="P148" s="91"/>
      <c r="Q148" s="102"/>
      <c r="R148" s="89"/>
      <c r="S148" s="89"/>
      <c r="T148" s="89"/>
      <c r="U148" s="103"/>
      <c r="V148" s="104"/>
      <c r="W148" s="102"/>
      <c r="X148" s="102"/>
      <c r="Y148" s="102"/>
      <c r="Z148" s="107"/>
      <c r="AA148" s="102"/>
      <c r="AB148" s="102"/>
      <c r="AC148" s="102"/>
      <c r="AD148" s="107"/>
      <c r="AE148" s="102"/>
      <c r="AF148" s="102"/>
      <c r="AG148" s="102"/>
      <c r="AH148" s="107"/>
      <c r="AI148" s="102"/>
      <c r="AJ148" s="102"/>
      <c r="AK148" s="102"/>
      <c r="AL148" s="107"/>
      <c r="AM148" s="102"/>
      <c r="AN148" s="102"/>
      <c r="AO148" s="102"/>
      <c r="AP148" s="107"/>
      <c r="AQ148" s="102"/>
      <c r="AR148" s="102"/>
      <c r="AS148" s="102"/>
      <c r="AT148" s="107"/>
      <c r="AU148" s="102"/>
      <c r="AV148" s="102"/>
      <c r="AW148" s="102"/>
      <c r="AX148" s="107"/>
      <c r="AY148" s="102"/>
      <c r="AZ148" s="102"/>
      <c r="BA148" s="102"/>
      <c r="BB148" s="102"/>
      <c r="BC148" s="102"/>
      <c r="BD148" s="102"/>
      <c r="BE148" s="102"/>
      <c r="BF148" s="102"/>
      <c r="BG148" s="102"/>
      <c r="BH148" s="102"/>
      <c r="BI148" s="102"/>
      <c r="BJ148" s="102"/>
      <c r="BK148" s="102"/>
      <c r="BL148" s="102"/>
      <c r="BM148" s="102"/>
      <c r="BN148" s="102"/>
      <c r="BO148" s="102"/>
      <c r="BP148" s="102"/>
      <c r="BQ148" s="102"/>
      <c r="BR148" s="102"/>
      <c r="BS148" s="102"/>
      <c r="BT148" s="102"/>
      <c r="BU148" s="102"/>
      <c r="BV148" s="102"/>
      <c r="BW148" s="102"/>
      <c r="BX148" s="102"/>
      <c r="BY148" s="102"/>
      <c r="BZ148" s="102"/>
      <c r="CA148" s="102"/>
      <c r="CB148" s="102"/>
      <c r="CC148" s="122"/>
      <c r="CD148" s="123">
        <f t="shared" si="91"/>
        <v>0</v>
      </c>
      <c r="CE148" s="102">
        <f t="shared" si="92"/>
        <v>0</v>
      </c>
      <c r="CF148" s="102">
        <f t="shared" si="93"/>
        <v>0</v>
      </c>
      <c r="CG148" s="102">
        <f t="shared" si="94"/>
        <v>0</v>
      </c>
      <c r="CH148" s="124">
        <f t="shared" si="95"/>
        <v>0</v>
      </c>
      <c r="CI148" s="125" t="str">
        <f t="shared" si="96"/>
        <v>-</v>
      </c>
      <c r="CJ148" s="126" t="str">
        <f t="shared" si="97"/>
        <v>数据正确</v>
      </c>
    </row>
    <row r="149" s="60" customFormat="1" customHeight="1" spans="2:88">
      <c r="B149" s="70" t="str">
        <f t="shared" si="87"/>
        <v>-</v>
      </c>
      <c r="C149" s="71" t="str">
        <f t="shared" si="88"/>
        <v>-</v>
      </c>
      <c r="D149" s="72">
        <f t="shared" si="89"/>
        <v>0</v>
      </c>
      <c r="E149" s="72">
        <v>0</v>
      </c>
      <c r="F149" s="72">
        <v>0</v>
      </c>
      <c r="G149" s="72">
        <v>0</v>
      </c>
      <c r="H149" s="72">
        <v>0</v>
      </c>
      <c r="I149" s="72">
        <f t="shared" si="90"/>
        <v>0</v>
      </c>
      <c r="J149" s="190" t="s">
        <v>98</v>
      </c>
      <c r="K149" s="87"/>
      <c r="L149" s="88"/>
      <c r="M149" s="89"/>
      <c r="N149" s="90"/>
      <c r="O149" s="90"/>
      <c r="P149" s="91"/>
      <c r="Q149" s="102"/>
      <c r="R149" s="89"/>
      <c r="S149" s="89"/>
      <c r="T149" s="89"/>
      <c r="U149" s="103"/>
      <c r="V149" s="104"/>
      <c r="W149" s="102"/>
      <c r="X149" s="102"/>
      <c r="Y149" s="102"/>
      <c r="Z149" s="107"/>
      <c r="AA149" s="102"/>
      <c r="AB149" s="102"/>
      <c r="AC149" s="102"/>
      <c r="AD149" s="107"/>
      <c r="AE149" s="102"/>
      <c r="AF149" s="102"/>
      <c r="AG149" s="102"/>
      <c r="AH149" s="107"/>
      <c r="AI149" s="102"/>
      <c r="AJ149" s="102"/>
      <c r="AK149" s="102"/>
      <c r="AL149" s="107"/>
      <c r="AM149" s="102"/>
      <c r="AN149" s="102"/>
      <c r="AO149" s="102"/>
      <c r="AP149" s="107"/>
      <c r="AQ149" s="102"/>
      <c r="AR149" s="102"/>
      <c r="AS149" s="102"/>
      <c r="AT149" s="107"/>
      <c r="AU149" s="102"/>
      <c r="AV149" s="102"/>
      <c r="AW149" s="102"/>
      <c r="AX149" s="107"/>
      <c r="AY149" s="102"/>
      <c r="AZ149" s="102"/>
      <c r="BA149" s="102"/>
      <c r="BB149" s="102"/>
      <c r="BC149" s="102"/>
      <c r="BD149" s="102"/>
      <c r="BE149" s="102"/>
      <c r="BF149" s="102"/>
      <c r="BG149" s="102"/>
      <c r="BH149" s="102"/>
      <c r="BI149" s="102"/>
      <c r="BJ149" s="102"/>
      <c r="BK149" s="102"/>
      <c r="BL149" s="102"/>
      <c r="BM149" s="102"/>
      <c r="BN149" s="102"/>
      <c r="BO149" s="102"/>
      <c r="BP149" s="102"/>
      <c r="BQ149" s="102"/>
      <c r="BR149" s="102"/>
      <c r="BS149" s="102"/>
      <c r="BT149" s="102"/>
      <c r="BU149" s="102"/>
      <c r="BV149" s="102"/>
      <c r="BW149" s="102"/>
      <c r="BX149" s="102"/>
      <c r="BY149" s="102"/>
      <c r="BZ149" s="102"/>
      <c r="CA149" s="102"/>
      <c r="CB149" s="102"/>
      <c r="CC149" s="122"/>
      <c r="CD149" s="123">
        <f t="shared" si="91"/>
        <v>0</v>
      </c>
      <c r="CE149" s="102">
        <f t="shared" si="92"/>
        <v>0</v>
      </c>
      <c r="CF149" s="102">
        <f t="shared" si="93"/>
        <v>0</v>
      </c>
      <c r="CG149" s="102">
        <f t="shared" si="94"/>
        <v>0</v>
      </c>
      <c r="CH149" s="124">
        <f t="shared" si="95"/>
        <v>0</v>
      </c>
      <c r="CI149" s="125" t="str">
        <f t="shared" si="96"/>
        <v>-</v>
      </c>
      <c r="CJ149" s="126" t="str">
        <f t="shared" si="97"/>
        <v>数据正确</v>
      </c>
    </row>
    <row r="150" s="60" customFormat="1" customHeight="1" spans="2:88">
      <c r="B150" s="70" t="str">
        <f t="shared" si="87"/>
        <v>-</v>
      </c>
      <c r="C150" s="71" t="str">
        <f t="shared" si="88"/>
        <v>-</v>
      </c>
      <c r="D150" s="72">
        <f t="shared" si="89"/>
        <v>0</v>
      </c>
      <c r="E150" s="72">
        <v>0</v>
      </c>
      <c r="F150" s="72">
        <v>0</v>
      </c>
      <c r="G150" s="72">
        <v>0</v>
      </c>
      <c r="H150" s="72">
        <v>0</v>
      </c>
      <c r="I150" s="72">
        <f t="shared" si="90"/>
        <v>0</v>
      </c>
      <c r="J150" s="190" t="s">
        <v>98</v>
      </c>
      <c r="K150" s="87"/>
      <c r="L150" s="88"/>
      <c r="M150" s="89"/>
      <c r="N150" s="90"/>
      <c r="O150" s="90"/>
      <c r="P150" s="91"/>
      <c r="Q150" s="102"/>
      <c r="R150" s="89"/>
      <c r="S150" s="89"/>
      <c r="T150" s="89"/>
      <c r="U150" s="103"/>
      <c r="V150" s="104"/>
      <c r="W150" s="102"/>
      <c r="X150" s="102"/>
      <c r="Y150" s="102"/>
      <c r="Z150" s="107"/>
      <c r="AA150" s="102"/>
      <c r="AB150" s="102"/>
      <c r="AC150" s="102"/>
      <c r="AD150" s="107"/>
      <c r="AE150" s="102"/>
      <c r="AF150" s="102"/>
      <c r="AG150" s="102"/>
      <c r="AH150" s="107"/>
      <c r="AI150" s="102"/>
      <c r="AJ150" s="102"/>
      <c r="AK150" s="102"/>
      <c r="AL150" s="107"/>
      <c r="AM150" s="102"/>
      <c r="AN150" s="102"/>
      <c r="AO150" s="102"/>
      <c r="AP150" s="107"/>
      <c r="AQ150" s="102"/>
      <c r="AR150" s="102"/>
      <c r="AS150" s="102"/>
      <c r="AT150" s="107"/>
      <c r="AU150" s="102"/>
      <c r="AV150" s="102"/>
      <c r="AW150" s="102"/>
      <c r="AX150" s="107"/>
      <c r="AY150" s="102"/>
      <c r="AZ150" s="102"/>
      <c r="BA150" s="102"/>
      <c r="BB150" s="102"/>
      <c r="BC150" s="102"/>
      <c r="BD150" s="102"/>
      <c r="BE150" s="102"/>
      <c r="BF150" s="102"/>
      <c r="BG150" s="102"/>
      <c r="BH150" s="102"/>
      <c r="BI150" s="102"/>
      <c r="BJ150" s="102"/>
      <c r="BK150" s="102"/>
      <c r="BL150" s="102"/>
      <c r="BM150" s="102"/>
      <c r="BN150" s="102"/>
      <c r="BO150" s="102"/>
      <c r="BP150" s="102"/>
      <c r="BQ150" s="102"/>
      <c r="BR150" s="102"/>
      <c r="BS150" s="102"/>
      <c r="BT150" s="102"/>
      <c r="BU150" s="102"/>
      <c r="BV150" s="102"/>
      <c r="BW150" s="102"/>
      <c r="BX150" s="102"/>
      <c r="BY150" s="102"/>
      <c r="BZ150" s="102"/>
      <c r="CA150" s="102"/>
      <c r="CB150" s="102"/>
      <c r="CC150" s="122"/>
      <c r="CD150" s="123">
        <f t="shared" si="91"/>
        <v>0</v>
      </c>
      <c r="CE150" s="102">
        <f t="shared" si="92"/>
        <v>0</v>
      </c>
      <c r="CF150" s="102">
        <f t="shared" si="93"/>
        <v>0</v>
      </c>
      <c r="CG150" s="102">
        <f t="shared" si="94"/>
        <v>0</v>
      </c>
      <c r="CH150" s="124">
        <f t="shared" si="95"/>
        <v>0</v>
      </c>
      <c r="CI150" s="125" t="str">
        <f t="shared" si="96"/>
        <v>-</v>
      </c>
      <c r="CJ150" s="126" t="str">
        <f t="shared" si="97"/>
        <v>数据正确</v>
      </c>
    </row>
    <row r="151" s="60" customFormat="1" customHeight="1" spans="2:88">
      <c r="B151" s="70" t="str">
        <f t="shared" si="87"/>
        <v>-</v>
      </c>
      <c r="C151" s="71" t="str">
        <f t="shared" si="88"/>
        <v>-</v>
      </c>
      <c r="D151" s="72">
        <f t="shared" si="89"/>
        <v>0</v>
      </c>
      <c r="E151" s="72">
        <v>0</v>
      </c>
      <c r="F151" s="72">
        <v>0</v>
      </c>
      <c r="G151" s="72">
        <v>0</v>
      </c>
      <c r="H151" s="72">
        <v>0</v>
      </c>
      <c r="I151" s="72">
        <f t="shared" si="90"/>
        <v>0</v>
      </c>
      <c r="J151" s="190" t="s">
        <v>98</v>
      </c>
      <c r="K151" s="87"/>
      <c r="L151" s="88"/>
      <c r="M151" s="89"/>
      <c r="N151" s="90"/>
      <c r="O151" s="90"/>
      <c r="P151" s="91"/>
      <c r="Q151" s="102"/>
      <c r="R151" s="89"/>
      <c r="S151" s="89"/>
      <c r="T151" s="89"/>
      <c r="U151" s="103"/>
      <c r="V151" s="104"/>
      <c r="W151" s="102"/>
      <c r="X151" s="102"/>
      <c r="Y151" s="102"/>
      <c r="Z151" s="107"/>
      <c r="AA151" s="102"/>
      <c r="AB151" s="102"/>
      <c r="AC151" s="102"/>
      <c r="AD151" s="107"/>
      <c r="AE151" s="102"/>
      <c r="AF151" s="102"/>
      <c r="AG151" s="102"/>
      <c r="AH151" s="107"/>
      <c r="AI151" s="102"/>
      <c r="AJ151" s="102"/>
      <c r="AK151" s="102"/>
      <c r="AL151" s="107"/>
      <c r="AM151" s="102"/>
      <c r="AN151" s="102"/>
      <c r="AO151" s="102"/>
      <c r="AP151" s="107"/>
      <c r="AQ151" s="102"/>
      <c r="AR151" s="102"/>
      <c r="AS151" s="102"/>
      <c r="AT151" s="107"/>
      <c r="AU151" s="102"/>
      <c r="AV151" s="102"/>
      <c r="AW151" s="102"/>
      <c r="AX151" s="107"/>
      <c r="AY151" s="102"/>
      <c r="AZ151" s="102"/>
      <c r="BA151" s="102"/>
      <c r="BB151" s="102"/>
      <c r="BC151" s="102"/>
      <c r="BD151" s="102"/>
      <c r="BE151" s="102"/>
      <c r="BF151" s="102"/>
      <c r="BG151" s="102"/>
      <c r="BH151" s="102"/>
      <c r="BI151" s="102"/>
      <c r="BJ151" s="102"/>
      <c r="BK151" s="102"/>
      <c r="BL151" s="102"/>
      <c r="BM151" s="102"/>
      <c r="BN151" s="102"/>
      <c r="BO151" s="102"/>
      <c r="BP151" s="102"/>
      <c r="BQ151" s="102"/>
      <c r="BR151" s="102"/>
      <c r="BS151" s="102"/>
      <c r="BT151" s="102"/>
      <c r="BU151" s="102"/>
      <c r="BV151" s="102"/>
      <c r="BW151" s="102"/>
      <c r="BX151" s="102"/>
      <c r="BY151" s="102"/>
      <c r="BZ151" s="102"/>
      <c r="CA151" s="102"/>
      <c r="CB151" s="102"/>
      <c r="CC151" s="122"/>
      <c r="CD151" s="123">
        <f t="shared" si="91"/>
        <v>0</v>
      </c>
      <c r="CE151" s="102">
        <f t="shared" si="92"/>
        <v>0</v>
      </c>
      <c r="CF151" s="102">
        <f t="shared" si="93"/>
        <v>0</v>
      </c>
      <c r="CG151" s="102">
        <f t="shared" si="94"/>
        <v>0</v>
      </c>
      <c r="CH151" s="124">
        <f t="shared" si="95"/>
        <v>0</v>
      </c>
      <c r="CI151" s="125" t="str">
        <f t="shared" si="96"/>
        <v>-</v>
      </c>
      <c r="CJ151" s="126" t="str">
        <f t="shared" si="97"/>
        <v>数据正确</v>
      </c>
    </row>
    <row r="152" s="60" customFormat="1" customHeight="1" spans="2:88">
      <c r="B152" s="70" t="str">
        <f t="shared" si="87"/>
        <v>-</v>
      </c>
      <c r="C152" s="71" t="str">
        <f t="shared" si="88"/>
        <v>-</v>
      </c>
      <c r="D152" s="72">
        <f t="shared" si="89"/>
        <v>0</v>
      </c>
      <c r="E152" s="72">
        <v>0</v>
      </c>
      <c r="F152" s="72">
        <v>0</v>
      </c>
      <c r="G152" s="72">
        <v>0</v>
      </c>
      <c r="H152" s="72">
        <v>0</v>
      </c>
      <c r="I152" s="72">
        <f t="shared" si="90"/>
        <v>0</v>
      </c>
      <c r="J152" s="190" t="s">
        <v>98</v>
      </c>
      <c r="K152" s="87"/>
      <c r="L152" s="88"/>
      <c r="M152" s="89"/>
      <c r="N152" s="90"/>
      <c r="O152" s="90"/>
      <c r="P152" s="91"/>
      <c r="Q152" s="102"/>
      <c r="R152" s="89"/>
      <c r="S152" s="89"/>
      <c r="T152" s="89"/>
      <c r="U152" s="103"/>
      <c r="V152" s="104"/>
      <c r="W152" s="102"/>
      <c r="X152" s="102"/>
      <c r="Y152" s="102"/>
      <c r="Z152" s="107"/>
      <c r="AA152" s="102"/>
      <c r="AB152" s="102"/>
      <c r="AC152" s="102"/>
      <c r="AD152" s="107"/>
      <c r="AE152" s="102"/>
      <c r="AF152" s="102"/>
      <c r="AG152" s="102"/>
      <c r="AH152" s="107"/>
      <c r="AI152" s="102"/>
      <c r="AJ152" s="102"/>
      <c r="AK152" s="102"/>
      <c r="AL152" s="107"/>
      <c r="AM152" s="102"/>
      <c r="AN152" s="102"/>
      <c r="AO152" s="102"/>
      <c r="AP152" s="107"/>
      <c r="AQ152" s="102"/>
      <c r="AR152" s="102"/>
      <c r="AS152" s="102"/>
      <c r="AT152" s="107"/>
      <c r="AU152" s="102"/>
      <c r="AV152" s="102"/>
      <c r="AW152" s="102"/>
      <c r="AX152" s="107"/>
      <c r="AY152" s="102"/>
      <c r="AZ152" s="102"/>
      <c r="BA152" s="102"/>
      <c r="BB152" s="102"/>
      <c r="BC152" s="102"/>
      <c r="BD152" s="102"/>
      <c r="BE152" s="102"/>
      <c r="BF152" s="102"/>
      <c r="BG152" s="102"/>
      <c r="BH152" s="102"/>
      <c r="BI152" s="102"/>
      <c r="BJ152" s="102"/>
      <c r="BK152" s="102"/>
      <c r="BL152" s="102"/>
      <c r="BM152" s="102"/>
      <c r="BN152" s="102"/>
      <c r="BO152" s="102"/>
      <c r="BP152" s="102"/>
      <c r="BQ152" s="102"/>
      <c r="BR152" s="102"/>
      <c r="BS152" s="102"/>
      <c r="BT152" s="102"/>
      <c r="BU152" s="102"/>
      <c r="BV152" s="102"/>
      <c r="BW152" s="102"/>
      <c r="BX152" s="102"/>
      <c r="BY152" s="102"/>
      <c r="BZ152" s="102"/>
      <c r="CA152" s="102"/>
      <c r="CB152" s="102"/>
      <c r="CC152" s="122"/>
      <c r="CD152" s="123">
        <f t="shared" si="91"/>
        <v>0</v>
      </c>
      <c r="CE152" s="102">
        <f t="shared" si="92"/>
        <v>0</v>
      </c>
      <c r="CF152" s="102">
        <f t="shared" si="93"/>
        <v>0</v>
      </c>
      <c r="CG152" s="102">
        <f t="shared" si="94"/>
        <v>0</v>
      </c>
      <c r="CH152" s="124">
        <f t="shared" si="95"/>
        <v>0</v>
      </c>
      <c r="CI152" s="125" t="str">
        <f t="shared" si="96"/>
        <v>-</v>
      </c>
      <c r="CJ152" s="126" t="str">
        <f t="shared" si="97"/>
        <v>数据正确</v>
      </c>
    </row>
    <row r="153" s="60" customFormat="1" customHeight="1" spans="2:2">
      <c r="B153" s="127"/>
    </row>
    <row r="154" s="60" customFormat="1" customHeight="1" spans="2:2">
      <c r="B154" s="127"/>
    </row>
    <row r="155" s="60" customFormat="1" customHeight="1" spans="2:2">
      <c r="B155" s="127"/>
    </row>
    <row r="156" s="60" customFormat="1" customHeight="1" spans="2:2">
      <c r="B156" s="127"/>
    </row>
    <row r="157" s="60" customFormat="1" customHeight="1" spans="2:2">
      <c r="B157" s="127"/>
    </row>
    <row r="158" s="60" customFormat="1" customHeight="1" spans="2:2">
      <c r="B158" s="127"/>
    </row>
    <row r="159" customHeight="1" spans="15:15">
      <c r="O159" t="s">
        <v>41</v>
      </c>
    </row>
  </sheetData>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75" right="0.75" top="1" bottom="1" header="0.511805555555556" footer="0.511805555555556"/>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K103"/>
  <sheetViews>
    <sheetView topLeftCell="M1" workbookViewId="0">
      <pane ySplit="5" topLeftCell="A9" activePane="bottomLeft" state="frozen"/>
      <selection/>
      <selection pane="bottomLeft" activeCell="S13" sqref="S13"/>
    </sheetView>
  </sheetViews>
  <sheetFormatPr defaultColWidth="9" defaultRowHeight="18" customHeight="1"/>
  <cols>
    <col min="1" max="1" width="4.25" customWidth="1"/>
    <col min="2" max="2" width="5" style="61" customWidth="1"/>
    <col min="3" max="3" width="5.25" customWidth="1"/>
    <col min="4" max="4" width="13" style="176" customWidth="1"/>
    <col min="5" max="5" width="10.25" style="176" customWidth="1"/>
    <col min="6" max="6" width="9.5" style="176" customWidth="1"/>
    <col min="7" max="8" width="8.75" style="176" customWidth="1"/>
    <col min="9" max="9" width="11.625" style="176" customWidth="1"/>
    <col min="10" max="10" width="5.875" customWidth="1"/>
    <col min="11" max="11" width="0.75" style="60" customWidth="1"/>
    <col min="12" max="12" width="5.25" customWidth="1"/>
    <col min="13" max="13" width="17.875" style="131" customWidth="1"/>
    <col min="14" max="14" width="11.125"/>
    <col min="16" max="16" width="11.25" customWidth="1"/>
    <col min="17" max="17" width="16" customWidth="1"/>
    <col min="18" max="18" width="20" customWidth="1"/>
    <col min="19" max="19" width="21.75" customWidth="1"/>
    <col min="20" max="20" width="11.125"/>
    <col min="21" max="21" width="19.125" customWidth="1"/>
    <col min="22" max="81" width="18.125" customWidth="1"/>
    <col min="82" max="84" width="16" customWidth="1"/>
    <col min="85" max="85" width="14" customWidth="1"/>
    <col min="86" max="86" width="17.875" customWidth="1"/>
    <col min="87" max="87" width="9.25"/>
    <col min="89" max="89" width="13.75"/>
  </cols>
  <sheetData>
    <row r="1" customFormat="1" ht="8" customHeight="1" spans="2:13">
      <c r="B1" s="61"/>
      <c r="D1" s="176"/>
      <c r="E1" s="176"/>
      <c r="F1" s="176"/>
      <c r="G1" s="176"/>
      <c r="H1" s="176"/>
      <c r="I1" s="176"/>
      <c r="K1" s="60"/>
      <c r="M1" s="131"/>
    </row>
    <row r="2" s="57" customFormat="1" customHeight="1" spans="2:88">
      <c r="B2" s="62" t="s">
        <v>968</v>
      </c>
      <c r="C2" s="63"/>
      <c r="D2" s="177"/>
      <c r="E2" s="177"/>
      <c r="F2" s="177"/>
      <c r="G2" s="177"/>
      <c r="H2" s="177"/>
      <c r="I2" s="177"/>
      <c r="J2" s="73"/>
      <c r="K2" s="74"/>
      <c r="L2" s="75" t="s">
        <v>969</v>
      </c>
      <c r="M2" s="135"/>
      <c r="N2" s="76"/>
      <c r="O2" s="76"/>
      <c r="P2" s="76"/>
      <c r="Q2" s="76"/>
      <c r="R2" s="76"/>
      <c r="S2" s="76"/>
      <c r="T2" s="76"/>
      <c r="U2" s="92"/>
      <c r="V2" s="93" t="s">
        <v>970</v>
      </c>
      <c r="W2" s="94"/>
      <c r="X2" s="94"/>
      <c r="Y2" s="94"/>
      <c r="Z2" s="94" t="s">
        <v>970</v>
      </c>
      <c r="AA2" s="94"/>
      <c r="AB2" s="94"/>
      <c r="AC2" s="94"/>
      <c r="AD2" s="94" t="s">
        <v>970</v>
      </c>
      <c r="AE2" s="94"/>
      <c r="AF2" s="94"/>
      <c r="AG2" s="94"/>
      <c r="AH2" s="94" t="s">
        <v>970</v>
      </c>
      <c r="AI2" s="94"/>
      <c r="AJ2" s="94"/>
      <c r="AK2" s="94"/>
      <c r="AL2" s="94" t="s">
        <v>970</v>
      </c>
      <c r="AM2" s="94"/>
      <c r="AN2" s="94"/>
      <c r="AO2" s="94"/>
      <c r="AP2" s="94" t="s">
        <v>970</v>
      </c>
      <c r="AQ2" s="94"/>
      <c r="AR2" s="94"/>
      <c r="AS2" s="94"/>
      <c r="AT2" s="94" t="s">
        <v>970</v>
      </c>
      <c r="AU2" s="94"/>
      <c r="AV2" s="94"/>
      <c r="AW2" s="94"/>
      <c r="AX2" s="94" t="s">
        <v>970</v>
      </c>
      <c r="AY2" s="94"/>
      <c r="AZ2" s="94"/>
      <c r="BA2" s="94"/>
      <c r="BB2" s="94" t="s">
        <v>970</v>
      </c>
      <c r="BC2" s="94"/>
      <c r="BD2" s="94"/>
      <c r="BE2" s="94"/>
      <c r="BF2" s="94" t="s">
        <v>970</v>
      </c>
      <c r="BG2" s="94"/>
      <c r="BH2" s="94"/>
      <c r="BI2" s="94"/>
      <c r="BJ2" s="94" t="s">
        <v>970</v>
      </c>
      <c r="BK2" s="94"/>
      <c r="BL2" s="94"/>
      <c r="BM2" s="94"/>
      <c r="BN2" s="94" t="s">
        <v>970</v>
      </c>
      <c r="BO2" s="94"/>
      <c r="BP2" s="94"/>
      <c r="BQ2" s="94"/>
      <c r="BR2" s="94" t="s">
        <v>970</v>
      </c>
      <c r="BS2" s="94"/>
      <c r="BT2" s="94"/>
      <c r="BU2" s="94"/>
      <c r="BV2" s="94" t="s">
        <v>970</v>
      </c>
      <c r="BW2" s="94"/>
      <c r="BX2" s="94"/>
      <c r="BY2" s="94"/>
      <c r="BZ2" s="94" t="s">
        <v>970</v>
      </c>
      <c r="CA2" s="94"/>
      <c r="CB2" s="94"/>
      <c r="CC2" s="94"/>
      <c r="CD2" s="109" t="s">
        <v>56</v>
      </c>
      <c r="CE2" s="110"/>
      <c r="CF2" s="110"/>
      <c r="CG2" s="110"/>
      <c r="CH2" s="110"/>
      <c r="CI2" s="110"/>
      <c r="CJ2" s="111"/>
    </row>
    <row r="3" s="58" customFormat="1" ht="20" customHeight="1" spans="2:88">
      <c r="B3" s="64" t="s">
        <v>57</v>
      </c>
      <c r="C3" s="65" t="s">
        <v>58</v>
      </c>
      <c r="D3" s="178" t="s">
        <v>17</v>
      </c>
      <c r="E3" s="178" t="s">
        <v>59</v>
      </c>
      <c r="F3" s="178" t="s">
        <v>971</v>
      </c>
      <c r="G3" s="178" t="s">
        <v>324</v>
      </c>
      <c r="H3" s="178" t="s">
        <v>972</v>
      </c>
      <c r="I3" s="178" t="s">
        <v>325</v>
      </c>
      <c r="J3" s="77" t="s">
        <v>64</v>
      </c>
      <c r="K3" s="78"/>
      <c r="L3" s="79" t="s">
        <v>65</v>
      </c>
      <c r="M3" s="80" t="s">
        <v>65</v>
      </c>
      <c r="N3" s="80" t="s">
        <v>14</v>
      </c>
      <c r="O3" s="80" t="s">
        <v>66</v>
      </c>
      <c r="P3" s="81" t="s">
        <v>67</v>
      </c>
      <c r="Q3" s="85" t="s">
        <v>44</v>
      </c>
      <c r="R3" s="80" t="s">
        <v>68</v>
      </c>
      <c r="S3" s="80" t="s">
        <v>69</v>
      </c>
      <c r="T3" s="80" t="s">
        <v>70</v>
      </c>
      <c r="U3" s="95" t="s">
        <v>71</v>
      </c>
      <c r="V3" s="96" t="s">
        <v>72</v>
      </c>
      <c r="W3" s="97"/>
      <c r="X3" s="97"/>
      <c r="Y3" s="97"/>
      <c r="Z3" s="97" t="s">
        <v>73</v>
      </c>
      <c r="AA3" s="97"/>
      <c r="AB3" s="97"/>
      <c r="AC3" s="97"/>
      <c r="AD3" s="97" t="s">
        <v>74</v>
      </c>
      <c r="AE3" s="97"/>
      <c r="AF3" s="97"/>
      <c r="AG3" s="97"/>
      <c r="AH3" s="97" t="s">
        <v>75</v>
      </c>
      <c r="AI3" s="97"/>
      <c r="AJ3" s="97"/>
      <c r="AK3" s="97"/>
      <c r="AL3" s="97" t="s">
        <v>76</v>
      </c>
      <c r="AM3" s="97"/>
      <c r="AN3" s="97"/>
      <c r="AO3" s="97"/>
      <c r="AP3" s="97" t="s">
        <v>77</v>
      </c>
      <c r="AQ3" s="97"/>
      <c r="AR3" s="97"/>
      <c r="AS3" s="97"/>
      <c r="AT3" s="97" t="s">
        <v>78</v>
      </c>
      <c r="AU3" s="97"/>
      <c r="AV3" s="97"/>
      <c r="AW3" s="97"/>
      <c r="AX3" s="97" t="s">
        <v>79</v>
      </c>
      <c r="AY3" s="97"/>
      <c r="AZ3" s="97"/>
      <c r="BA3" s="97"/>
      <c r="BB3" s="97" t="s">
        <v>80</v>
      </c>
      <c r="BC3" s="97"/>
      <c r="BD3" s="97"/>
      <c r="BE3" s="97"/>
      <c r="BF3" s="97" t="s">
        <v>81</v>
      </c>
      <c r="BG3" s="97"/>
      <c r="BH3" s="97"/>
      <c r="BI3" s="97"/>
      <c r="BJ3" s="97" t="s">
        <v>82</v>
      </c>
      <c r="BK3" s="97"/>
      <c r="BL3" s="97"/>
      <c r="BM3" s="97"/>
      <c r="BN3" s="97" t="s">
        <v>83</v>
      </c>
      <c r="BO3" s="97"/>
      <c r="BP3" s="97"/>
      <c r="BQ3" s="97"/>
      <c r="BR3" s="97" t="s">
        <v>84</v>
      </c>
      <c r="BS3" s="97"/>
      <c r="BT3" s="97"/>
      <c r="BU3" s="97"/>
      <c r="BV3" s="97" t="s">
        <v>85</v>
      </c>
      <c r="BW3" s="97"/>
      <c r="BX3" s="97"/>
      <c r="BY3" s="97"/>
      <c r="BZ3" s="97" t="s">
        <v>86</v>
      </c>
      <c r="CA3" s="97"/>
      <c r="CB3" s="97"/>
      <c r="CC3" s="112"/>
      <c r="CD3" s="113" t="s">
        <v>87</v>
      </c>
      <c r="CE3" s="114" t="s">
        <v>88</v>
      </c>
      <c r="CF3" s="85" t="s">
        <v>17</v>
      </c>
      <c r="CG3" s="85" t="s">
        <v>90</v>
      </c>
      <c r="CH3" s="85" t="s">
        <v>91</v>
      </c>
      <c r="CI3" s="114" t="s">
        <v>24</v>
      </c>
      <c r="CJ3" s="115" t="s">
        <v>92</v>
      </c>
    </row>
    <row r="4" s="58" customFormat="1" ht="20" customHeight="1" spans="2:88">
      <c r="B4" s="64"/>
      <c r="C4" s="65"/>
      <c r="D4" s="178"/>
      <c r="E4" s="178"/>
      <c r="F4" s="178"/>
      <c r="G4" s="178"/>
      <c r="H4" s="178"/>
      <c r="I4" s="178"/>
      <c r="J4" s="77"/>
      <c r="K4" s="78"/>
      <c r="L4" s="79"/>
      <c r="M4" s="80"/>
      <c r="N4" s="80"/>
      <c r="O4" s="80"/>
      <c r="P4" s="81"/>
      <c r="Q4" s="85"/>
      <c r="R4" s="80"/>
      <c r="S4" s="80"/>
      <c r="T4" s="80"/>
      <c r="U4" s="95"/>
      <c r="V4" s="98" t="s">
        <v>93</v>
      </c>
      <c r="W4" s="99" t="s">
        <v>94</v>
      </c>
      <c r="X4" s="99" t="s">
        <v>95</v>
      </c>
      <c r="Y4" s="99" t="s">
        <v>96</v>
      </c>
      <c r="Z4" s="106" t="s">
        <v>93</v>
      </c>
      <c r="AA4" s="99" t="s">
        <v>94</v>
      </c>
      <c r="AB4" s="99" t="s">
        <v>95</v>
      </c>
      <c r="AC4" s="99" t="s">
        <v>96</v>
      </c>
      <c r="AD4" s="106" t="s">
        <v>93</v>
      </c>
      <c r="AE4" s="99" t="s">
        <v>94</v>
      </c>
      <c r="AF4" s="99" t="s">
        <v>95</v>
      </c>
      <c r="AG4" s="99" t="s">
        <v>96</v>
      </c>
      <c r="AH4" s="106" t="s">
        <v>93</v>
      </c>
      <c r="AI4" s="99" t="s">
        <v>94</v>
      </c>
      <c r="AJ4" s="99" t="s">
        <v>95</v>
      </c>
      <c r="AK4" s="99" t="s">
        <v>96</v>
      </c>
      <c r="AL4" s="106" t="s">
        <v>93</v>
      </c>
      <c r="AM4" s="99" t="s">
        <v>94</v>
      </c>
      <c r="AN4" s="99" t="s">
        <v>95</v>
      </c>
      <c r="AO4" s="99" t="s">
        <v>96</v>
      </c>
      <c r="AP4" s="106" t="s">
        <v>93</v>
      </c>
      <c r="AQ4" s="99" t="s">
        <v>94</v>
      </c>
      <c r="AR4" s="99" t="s">
        <v>95</v>
      </c>
      <c r="AS4" s="99" t="s">
        <v>96</v>
      </c>
      <c r="AT4" s="106" t="s">
        <v>93</v>
      </c>
      <c r="AU4" s="99" t="s">
        <v>94</v>
      </c>
      <c r="AV4" s="99" t="s">
        <v>95</v>
      </c>
      <c r="AW4" s="99" t="s">
        <v>96</v>
      </c>
      <c r="AX4" s="106" t="s">
        <v>93</v>
      </c>
      <c r="AY4" s="99" t="s">
        <v>94</v>
      </c>
      <c r="AZ4" s="99" t="s">
        <v>95</v>
      </c>
      <c r="BA4" s="99" t="s">
        <v>96</v>
      </c>
      <c r="BB4" s="106" t="s">
        <v>93</v>
      </c>
      <c r="BC4" s="99" t="s">
        <v>94</v>
      </c>
      <c r="BD4" s="99" t="s">
        <v>95</v>
      </c>
      <c r="BE4" s="99" t="s">
        <v>96</v>
      </c>
      <c r="BF4" s="106" t="s">
        <v>93</v>
      </c>
      <c r="BG4" s="99" t="s">
        <v>94</v>
      </c>
      <c r="BH4" s="99" t="s">
        <v>95</v>
      </c>
      <c r="BI4" s="99" t="s">
        <v>96</v>
      </c>
      <c r="BJ4" s="106" t="s">
        <v>93</v>
      </c>
      <c r="BK4" s="99" t="s">
        <v>94</v>
      </c>
      <c r="BL4" s="99" t="s">
        <v>95</v>
      </c>
      <c r="BM4" s="99" t="s">
        <v>96</v>
      </c>
      <c r="BN4" s="106" t="s">
        <v>93</v>
      </c>
      <c r="BO4" s="99" t="s">
        <v>94</v>
      </c>
      <c r="BP4" s="99" t="s">
        <v>95</v>
      </c>
      <c r="BQ4" s="99" t="s">
        <v>96</v>
      </c>
      <c r="BR4" s="106" t="s">
        <v>93</v>
      </c>
      <c r="BS4" s="99" t="s">
        <v>94</v>
      </c>
      <c r="BT4" s="99" t="s">
        <v>95</v>
      </c>
      <c r="BU4" s="99" t="s">
        <v>96</v>
      </c>
      <c r="BV4" s="106" t="s">
        <v>93</v>
      </c>
      <c r="BW4" s="99" t="s">
        <v>94</v>
      </c>
      <c r="BX4" s="99" t="s">
        <v>95</v>
      </c>
      <c r="BY4" s="99" t="s">
        <v>96</v>
      </c>
      <c r="BZ4" s="106" t="s">
        <v>93</v>
      </c>
      <c r="CA4" s="99" t="s">
        <v>94</v>
      </c>
      <c r="CB4" s="99" t="s">
        <v>95</v>
      </c>
      <c r="CC4" s="116" t="s">
        <v>96</v>
      </c>
      <c r="CD4" s="113"/>
      <c r="CE4" s="114"/>
      <c r="CF4" s="85"/>
      <c r="CG4" s="85"/>
      <c r="CH4" s="85"/>
      <c r="CI4" s="114"/>
      <c r="CJ4" s="115"/>
    </row>
    <row r="5" s="59" customFormat="1" customHeight="1" spans="2:88">
      <c r="B5" s="67" t="s">
        <v>97</v>
      </c>
      <c r="C5" s="68" t="s">
        <v>35</v>
      </c>
      <c r="D5" s="179">
        <f>IF(ISERROR(SUM(D6:D298)-D28-D52-D68-D81),"-",SUM(D6:D298)-D28-D52-D68-D81)</f>
        <v>443436965.784</v>
      </c>
      <c r="E5" s="179">
        <f>IF(ISERROR(SUM(E6:E231)-E28-E52-E68-E81),"-",SUM(E6:E231)-E28-E52-E68-E81)</f>
        <v>896000</v>
      </c>
      <c r="F5" s="179">
        <f>IF(ISERROR(SUM(F6:F231)-F28-F52-F68-F81),"-",SUM(F6:F231)-F28-F52-F68-F81)</f>
        <v>374301</v>
      </c>
      <c r="G5" s="179">
        <f>IF(ISERROR(SUM(G6:G231)-G28-G52-G68-G81),"-",SUM(G6:G231)-G28-G52-G68-G81)</f>
        <v>285695.039999999</v>
      </c>
      <c r="H5" s="179">
        <f>IF(ISERROR(SUM(H6:H231)-H28-H52-H68-H81),"-",SUM(H6:H231)-H28-H52-H68-H81)</f>
        <v>32918.7999999998</v>
      </c>
      <c r="I5" s="179">
        <f>IF(ISERROR(SUM(I6:I231)-I28-I52-I68-I81),"-",SUM(I6:I231)-I28-I52-I68-I81)</f>
        <v>14366576</v>
      </c>
      <c r="J5" s="82" t="s">
        <v>97</v>
      </c>
      <c r="K5" s="83"/>
      <c r="L5" s="84" t="s">
        <v>35</v>
      </c>
      <c r="M5" s="137"/>
      <c r="N5" s="85">
        <v>0</v>
      </c>
      <c r="O5" s="85">
        <v>0</v>
      </c>
      <c r="P5" s="85">
        <v>0</v>
      </c>
      <c r="Q5" s="85">
        <f>IF(ISERROR(SUM(Q6:Q298)-Q28-Q52-Q68-Q81),"-",SUM(Q6:Q298)-Q28-Q52-Q68-Q81)</f>
        <v>788506438.072</v>
      </c>
      <c r="R5" s="85" t="str">
        <f t="shared" ref="R5:AW5" si="0">IF(ISERROR(SUM(R6:R298)-R28-R52-R68-R81),"-",SUM(R6:R298)-R28-R52-R68-R81)</f>
        <v>-</v>
      </c>
      <c r="S5" s="85" t="str">
        <f t="shared" si="0"/>
        <v>-</v>
      </c>
      <c r="T5" s="85">
        <f t="shared" si="0"/>
        <v>0</v>
      </c>
      <c r="U5" s="100" t="str">
        <f t="shared" si="0"/>
        <v>-</v>
      </c>
      <c r="V5" s="128" t="str">
        <f t="shared" si="0"/>
        <v>-</v>
      </c>
      <c r="W5" s="85">
        <f t="shared" si="0"/>
        <v>537350577.59</v>
      </c>
      <c r="X5" s="85">
        <f t="shared" si="0"/>
        <v>423622165.124</v>
      </c>
      <c r="Y5" s="85">
        <f t="shared" si="0"/>
        <v>414999310.984</v>
      </c>
      <c r="Z5" s="85">
        <f t="shared" si="0"/>
        <v>0</v>
      </c>
      <c r="AA5" s="85">
        <f t="shared" si="0"/>
        <v>54106261.0245</v>
      </c>
      <c r="AB5" s="85">
        <f t="shared" si="0"/>
        <v>19421770.5</v>
      </c>
      <c r="AC5" s="85">
        <f t="shared" si="0"/>
        <v>15508032.58</v>
      </c>
      <c r="AD5" s="85">
        <f t="shared" si="0"/>
        <v>0</v>
      </c>
      <c r="AE5" s="85">
        <f t="shared" si="0"/>
        <v>11184070.2975</v>
      </c>
      <c r="AF5" s="85">
        <f t="shared" si="0"/>
        <v>10329531</v>
      </c>
      <c r="AG5" s="85">
        <f t="shared" si="0"/>
        <v>6989622.22</v>
      </c>
      <c r="AH5" s="85">
        <f t="shared" si="0"/>
        <v>0</v>
      </c>
      <c r="AI5" s="85">
        <f t="shared" si="0"/>
        <v>7135597.8</v>
      </c>
      <c r="AJ5" s="85">
        <f t="shared" si="0"/>
        <v>6018990</v>
      </c>
      <c r="AK5" s="85">
        <f t="shared" si="0"/>
        <v>5940000</v>
      </c>
      <c r="AL5" s="85">
        <f t="shared" si="0"/>
        <v>0</v>
      </c>
      <c r="AM5" s="85">
        <f t="shared" si="0"/>
        <v>4575870.44</v>
      </c>
      <c r="AN5" s="85">
        <f t="shared" si="0"/>
        <v>0</v>
      </c>
      <c r="AO5" s="85">
        <f t="shared" si="0"/>
        <v>0</v>
      </c>
      <c r="AP5" s="85">
        <f t="shared" si="0"/>
        <v>0</v>
      </c>
      <c r="AQ5" s="85">
        <f t="shared" si="0"/>
        <v>3509373.14</v>
      </c>
      <c r="AR5" s="85">
        <f t="shared" si="0"/>
        <v>0</v>
      </c>
      <c r="AS5" s="85">
        <f t="shared" si="0"/>
        <v>0</v>
      </c>
      <c r="AT5" s="85">
        <f t="shared" si="0"/>
        <v>0</v>
      </c>
      <c r="AU5" s="85">
        <f t="shared" si="0"/>
        <v>2365039.27</v>
      </c>
      <c r="AV5" s="85">
        <f t="shared" si="0"/>
        <v>0</v>
      </c>
      <c r="AW5" s="85">
        <f t="shared" si="0"/>
        <v>0</v>
      </c>
      <c r="AX5" s="85">
        <f t="shared" ref="AX5:CC5" si="1">IF(ISERROR(SUM(AX6:AX298)-AX28-AX52-AX68-AX81),"-",SUM(AX6:AX298)-AX28-AX52-AX68-AX81)</f>
        <v>0</v>
      </c>
      <c r="AY5" s="85">
        <f t="shared" si="1"/>
        <v>162289296.59</v>
      </c>
      <c r="AZ5" s="85">
        <f t="shared" si="1"/>
        <v>0</v>
      </c>
      <c r="BA5" s="85">
        <f t="shared" si="1"/>
        <v>0</v>
      </c>
      <c r="BB5" s="85">
        <f t="shared" si="1"/>
        <v>0</v>
      </c>
      <c r="BC5" s="85">
        <f t="shared" si="1"/>
        <v>4925746.72</v>
      </c>
      <c r="BD5" s="85">
        <f t="shared" si="1"/>
        <v>0</v>
      </c>
      <c r="BE5" s="85">
        <f t="shared" si="1"/>
        <v>0</v>
      </c>
      <c r="BF5" s="85">
        <f t="shared" si="1"/>
        <v>0</v>
      </c>
      <c r="BG5" s="85">
        <f t="shared" si="1"/>
        <v>177434.2</v>
      </c>
      <c r="BH5" s="85">
        <f t="shared" si="1"/>
        <v>0</v>
      </c>
      <c r="BI5" s="85">
        <f t="shared" si="1"/>
        <v>0</v>
      </c>
      <c r="BJ5" s="85">
        <f t="shared" si="1"/>
        <v>0</v>
      </c>
      <c r="BK5" s="85">
        <f t="shared" si="1"/>
        <v>248407.88</v>
      </c>
      <c r="BL5" s="85">
        <f t="shared" si="1"/>
        <v>0</v>
      </c>
      <c r="BM5" s="85">
        <f t="shared" si="1"/>
        <v>0</v>
      </c>
      <c r="BN5" s="85">
        <f t="shared" si="1"/>
        <v>0</v>
      </c>
      <c r="BO5" s="85">
        <f t="shared" si="1"/>
        <v>638763.12</v>
      </c>
      <c r="BP5" s="85">
        <f t="shared" si="1"/>
        <v>0</v>
      </c>
      <c r="BQ5" s="85">
        <f t="shared" si="1"/>
        <v>0</v>
      </c>
      <c r="BR5" s="85">
        <f t="shared" si="1"/>
        <v>0</v>
      </c>
      <c r="BS5" s="85">
        <f t="shared" si="1"/>
        <v>0</v>
      </c>
      <c r="BT5" s="85">
        <f t="shared" si="1"/>
        <v>0</v>
      </c>
      <c r="BU5" s="85">
        <f t="shared" si="1"/>
        <v>0</v>
      </c>
      <c r="BV5" s="85">
        <f t="shared" si="1"/>
        <v>0</v>
      </c>
      <c r="BW5" s="85">
        <f t="shared" si="1"/>
        <v>0</v>
      </c>
      <c r="BX5" s="85">
        <f t="shared" si="1"/>
        <v>0</v>
      </c>
      <c r="BY5" s="85">
        <f t="shared" si="1"/>
        <v>0</v>
      </c>
      <c r="BZ5" s="85">
        <f t="shared" si="1"/>
        <v>0</v>
      </c>
      <c r="CA5" s="85">
        <f t="shared" si="1"/>
        <v>0</v>
      </c>
      <c r="CB5" s="85">
        <f t="shared" si="1"/>
        <v>0</v>
      </c>
      <c r="CC5" s="85">
        <f t="shared" si="1"/>
        <v>0</v>
      </c>
      <c r="CD5" s="117">
        <f t="shared" ref="CD5:CF5" si="2">W5+AA5+AE5+AI5+AM5+AQ5+AU5+AY5+BC5+BG5+BK5+BO5+BS5+BW5+CA5</f>
        <v>788506438.072</v>
      </c>
      <c r="CE5" s="118">
        <f t="shared" si="2"/>
        <v>459392456.624</v>
      </c>
      <c r="CF5" s="118">
        <f t="shared" si="2"/>
        <v>443436965.784</v>
      </c>
      <c r="CG5" s="118">
        <f t="shared" ref="CG5:CG56" si="3">E5+F5+G5+H5</f>
        <v>1588914.84</v>
      </c>
      <c r="CH5" s="119">
        <f t="shared" ref="CH5:CH56" si="4">Q5-CF5-CG5</f>
        <v>343480557.448</v>
      </c>
      <c r="CI5" s="120">
        <f t="shared" ref="CI5:CI56" si="5">IF(ISERROR((CF5+CG5)/Q5),"-",(CF5+CG5)/Q5)</f>
        <v>0.564390928388798</v>
      </c>
      <c r="CJ5" s="121" t="str">
        <f t="shared" ref="CJ5:CJ56" si="6">IF(Q5-CD5=0,"数据正确","数据错误")</f>
        <v>数据正确</v>
      </c>
    </row>
    <row r="6" s="60" customFormat="1" customHeight="1" spans="1:88">
      <c r="A6" s="60" t="s">
        <v>36</v>
      </c>
      <c r="B6" s="70" t="str">
        <f>IF(I6=0,"-","申请中")</f>
        <v>-</v>
      </c>
      <c r="C6" s="71" t="str">
        <f>IF(CI6=100%,"已付清","-")</f>
        <v>已付清</v>
      </c>
      <c r="D6" s="180">
        <f>CF6</f>
        <v>55683141</v>
      </c>
      <c r="E6" s="180">
        <v>0</v>
      </c>
      <c r="F6" s="180">
        <v>0</v>
      </c>
      <c r="G6" s="180">
        <v>0</v>
      </c>
      <c r="H6" s="180">
        <v>0</v>
      </c>
      <c r="I6" s="180">
        <f>CE6-CF6-CG6</f>
        <v>0</v>
      </c>
      <c r="J6" s="86" t="s">
        <v>98</v>
      </c>
      <c r="K6" s="87"/>
      <c r="L6" s="88">
        <v>87</v>
      </c>
      <c r="M6" s="89" t="s">
        <v>973</v>
      </c>
      <c r="N6" s="90" t="s">
        <v>30</v>
      </c>
      <c r="O6" s="90" t="s">
        <v>97</v>
      </c>
      <c r="P6" s="91">
        <v>42073</v>
      </c>
      <c r="Q6" s="102">
        <v>55683141</v>
      </c>
      <c r="R6" s="89" t="s">
        <v>974</v>
      </c>
      <c r="S6" s="89" t="s">
        <v>975</v>
      </c>
      <c r="T6" s="89" t="s">
        <v>976</v>
      </c>
      <c r="U6" s="103" t="s">
        <v>977</v>
      </c>
      <c r="V6" s="104" t="s">
        <v>978</v>
      </c>
      <c r="W6" s="102">
        <v>50114826.9</v>
      </c>
      <c r="X6" s="102">
        <v>55683141</v>
      </c>
      <c r="Y6" s="129">
        <v>55683141</v>
      </c>
      <c r="Z6" s="107" t="s">
        <v>979</v>
      </c>
      <c r="AA6" s="102">
        <v>5568314.1</v>
      </c>
      <c r="AB6" s="102"/>
      <c r="AC6" s="129"/>
      <c r="AD6" s="107"/>
      <c r="AE6" s="102"/>
      <c r="AF6" s="102"/>
      <c r="AG6" s="129"/>
      <c r="AH6" s="107"/>
      <c r="AI6" s="102"/>
      <c r="AJ6" s="102"/>
      <c r="AK6" s="129"/>
      <c r="AL6" s="107"/>
      <c r="AM6" s="102"/>
      <c r="AN6" s="102"/>
      <c r="AO6" s="102"/>
      <c r="AP6" s="107"/>
      <c r="AQ6" s="102"/>
      <c r="AR6" s="102"/>
      <c r="AS6" s="102"/>
      <c r="AT6" s="107"/>
      <c r="AU6" s="102"/>
      <c r="AV6" s="102"/>
      <c r="AW6" s="102"/>
      <c r="AX6" s="107"/>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22"/>
      <c r="CD6" s="123">
        <f t="shared" ref="CD6:CF6" si="7">W6+AA6+AE6+AI6+AM6+AQ6+AU6+AY6+BC6+BG6+BK6+BO6+BS6+BW6+CA6</f>
        <v>55683141</v>
      </c>
      <c r="CE6" s="102">
        <f t="shared" si="7"/>
        <v>55683141</v>
      </c>
      <c r="CF6" s="102">
        <f t="shared" si="7"/>
        <v>55683141</v>
      </c>
      <c r="CG6" s="102">
        <f t="shared" si="3"/>
        <v>0</v>
      </c>
      <c r="CH6" s="124">
        <f t="shared" si="4"/>
        <v>0</v>
      </c>
      <c r="CI6" s="125">
        <f t="shared" si="5"/>
        <v>1</v>
      </c>
      <c r="CJ6" s="126" t="str">
        <f t="shared" si="6"/>
        <v>数据正确</v>
      </c>
    </row>
    <row r="7" s="60" customFormat="1" customHeight="1" spans="1:88">
      <c r="A7" s="60" t="s">
        <v>36</v>
      </c>
      <c r="B7" s="70" t="str">
        <f>IF(I7=0,"-","申请中")</f>
        <v>-</v>
      </c>
      <c r="C7" s="71" t="str">
        <f>IF(CI7=100%,"已付清","-")</f>
        <v>已付清</v>
      </c>
      <c r="D7" s="180">
        <f>CF7</f>
        <v>50295910.32</v>
      </c>
      <c r="E7" s="180">
        <v>0</v>
      </c>
      <c r="F7" s="180">
        <v>0</v>
      </c>
      <c r="G7" s="180">
        <v>0</v>
      </c>
      <c r="H7" s="180">
        <v>0</v>
      </c>
      <c r="I7" s="180">
        <f>CE7-CF7-CG7</f>
        <v>0</v>
      </c>
      <c r="J7" s="86" t="s">
        <v>98</v>
      </c>
      <c r="K7" s="87"/>
      <c r="L7" s="88">
        <v>102</v>
      </c>
      <c r="M7" s="89" t="s">
        <v>980</v>
      </c>
      <c r="N7" s="90" t="s">
        <v>30</v>
      </c>
      <c r="O7" s="90" t="s">
        <v>97</v>
      </c>
      <c r="P7" s="91">
        <v>42073</v>
      </c>
      <c r="Q7" s="102">
        <v>50295910.32</v>
      </c>
      <c r="R7" s="89" t="s">
        <v>981</v>
      </c>
      <c r="S7" s="89" t="s">
        <v>982</v>
      </c>
      <c r="T7" s="89" t="s">
        <v>976</v>
      </c>
      <c r="U7" s="103" t="s">
        <v>977</v>
      </c>
      <c r="V7" s="104" t="s">
        <v>978</v>
      </c>
      <c r="W7" s="102">
        <v>45266319.288</v>
      </c>
      <c r="X7" s="102">
        <v>50295910.32</v>
      </c>
      <c r="Y7" s="102">
        <v>50295910.32</v>
      </c>
      <c r="Z7" s="107" t="s">
        <v>979</v>
      </c>
      <c r="AA7" s="102">
        <v>5029591.032</v>
      </c>
      <c r="AB7" s="102"/>
      <c r="AC7" s="102"/>
      <c r="AD7" s="107"/>
      <c r="AE7" s="102"/>
      <c r="AF7" s="102"/>
      <c r="AG7" s="102"/>
      <c r="AH7" s="107"/>
      <c r="AI7" s="102"/>
      <c r="AJ7" s="102"/>
      <c r="AK7" s="102"/>
      <c r="AL7" s="107"/>
      <c r="AM7" s="102"/>
      <c r="AN7" s="102"/>
      <c r="AO7" s="102"/>
      <c r="AP7" s="107"/>
      <c r="AQ7" s="102"/>
      <c r="AR7" s="102"/>
      <c r="AS7" s="102"/>
      <c r="AT7" s="107"/>
      <c r="AU7" s="102"/>
      <c r="AV7" s="102"/>
      <c r="AW7" s="102"/>
      <c r="AX7" s="107"/>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22"/>
      <c r="CD7" s="123">
        <f t="shared" ref="CD7:CF7" si="8">W7+AA7+AE7+AI7+AM7+AQ7+AU7+AY7+BC7+BG7+BK7+BO7+BS7+BW7+CA7</f>
        <v>50295910.32</v>
      </c>
      <c r="CE7" s="102">
        <f t="shared" si="8"/>
        <v>50295910.32</v>
      </c>
      <c r="CF7" s="102">
        <f t="shared" si="8"/>
        <v>50295910.32</v>
      </c>
      <c r="CG7" s="102">
        <f t="shared" si="3"/>
        <v>0</v>
      </c>
      <c r="CH7" s="124">
        <f t="shared" si="4"/>
        <v>0</v>
      </c>
      <c r="CI7" s="125">
        <f t="shared" si="5"/>
        <v>1</v>
      </c>
      <c r="CJ7" s="126" t="str">
        <f t="shared" si="6"/>
        <v>数据正确</v>
      </c>
    </row>
    <row r="8" s="60" customFormat="1" customHeight="1" spans="1:88">
      <c r="A8" s="60" t="s">
        <v>36</v>
      </c>
      <c r="B8" s="70" t="str">
        <f>IF(I8=0,"-","申请中")</f>
        <v>-</v>
      </c>
      <c r="C8" s="71" t="str">
        <f>IF(CI8=100%,"已付清","-")</f>
        <v>已付清</v>
      </c>
      <c r="D8" s="180">
        <f>CF8</f>
        <v>140676349.8</v>
      </c>
      <c r="E8" s="180">
        <v>0</v>
      </c>
      <c r="F8" s="180">
        <v>0</v>
      </c>
      <c r="G8" s="180">
        <v>0</v>
      </c>
      <c r="H8" s="180">
        <v>0</v>
      </c>
      <c r="I8" s="180">
        <f>CE8-CF8-CG8</f>
        <v>0</v>
      </c>
      <c r="J8" s="86" t="s">
        <v>98</v>
      </c>
      <c r="K8" s="87"/>
      <c r="L8" s="88">
        <v>93</v>
      </c>
      <c r="M8" s="89" t="s">
        <v>983</v>
      </c>
      <c r="N8" s="90" t="s">
        <v>30</v>
      </c>
      <c r="O8" s="90" t="s">
        <v>984</v>
      </c>
      <c r="P8" s="91">
        <v>42109</v>
      </c>
      <c r="Q8" s="102">
        <v>140676349.8</v>
      </c>
      <c r="R8" s="89" t="s">
        <v>985</v>
      </c>
      <c r="S8" s="89" t="s">
        <v>986</v>
      </c>
      <c r="T8" s="89" t="s">
        <v>976</v>
      </c>
      <c r="U8" s="103" t="s">
        <v>977</v>
      </c>
      <c r="V8" s="104" t="s">
        <v>987</v>
      </c>
      <c r="W8" s="102">
        <v>140676349.8</v>
      </c>
      <c r="X8" s="102">
        <v>140676349.8</v>
      </c>
      <c r="Y8" s="102">
        <v>140676349.8</v>
      </c>
      <c r="Z8" s="107"/>
      <c r="AA8" s="102"/>
      <c r="AB8" s="102"/>
      <c r="AC8" s="102"/>
      <c r="AD8" s="107"/>
      <c r="AE8" s="102"/>
      <c r="AF8" s="102"/>
      <c r="AG8" s="102"/>
      <c r="AH8" s="107"/>
      <c r="AI8" s="102"/>
      <c r="AJ8" s="102"/>
      <c r="AK8" s="102"/>
      <c r="AL8" s="107"/>
      <c r="AM8" s="102"/>
      <c r="AN8" s="102"/>
      <c r="AO8" s="102"/>
      <c r="AP8" s="107"/>
      <c r="AQ8" s="102"/>
      <c r="AR8" s="102"/>
      <c r="AS8" s="102"/>
      <c r="AT8" s="107"/>
      <c r="AU8" s="102"/>
      <c r="AV8" s="102"/>
      <c r="AW8" s="102"/>
      <c r="AX8" s="107"/>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22"/>
      <c r="CD8" s="123">
        <f t="shared" ref="CD8:CF8" si="9">W8+AA8+AE8+AI8+AM8+AQ8+AU8+AY8+BC8+BG8+BK8+BO8+BS8+BW8+CA8</f>
        <v>140676349.8</v>
      </c>
      <c r="CE8" s="102">
        <f t="shared" si="9"/>
        <v>140676349.8</v>
      </c>
      <c r="CF8" s="102">
        <f t="shared" si="9"/>
        <v>140676349.8</v>
      </c>
      <c r="CG8" s="102">
        <f t="shared" si="3"/>
        <v>0</v>
      </c>
      <c r="CH8" s="124">
        <f t="shared" si="4"/>
        <v>0</v>
      </c>
      <c r="CI8" s="125">
        <f t="shared" si="5"/>
        <v>1</v>
      </c>
      <c r="CJ8" s="126" t="str">
        <f t="shared" si="6"/>
        <v>数据正确</v>
      </c>
    </row>
    <row r="9" s="60" customFormat="1" customHeight="1" spans="1:88">
      <c r="A9" s="60" t="s">
        <v>36</v>
      </c>
      <c r="B9" s="70" t="str">
        <f>IF(I9=0,"-","申请中")</f>
        <v>-</v>
      </c>
      <c r="C9" s="71" t="str">
        <f>IF(CI9=100%,"已付清","-")</f>
        <v>已付清</v>
      </c>
      <c r="D9" s="180">
        <f>CF9</f>
        <v>64977000</v>
      </c>
      <c r="E9" s="180">
        <v>0</v>
      </c>
      <c r="F9" s="180">
        <v>0</v>
      </c>
      <c r="G9" s="180">
        <v>0</v>
      </c>
      <c r="H9" s="180">
        <v>0</v>
      </c>
      <c r="I9" s="180">
        <f>CE9-CF9-CG9</f>
        <v>0</v>
      </c>
      <c r="J9" s="86" t="s">
        <v>98</v>
      </c>
      <c r="K9" s="87"/>
      <c r="L9" s="88">
        <v>96</v>
      </c>
      <c r="M9" s="89" t="s">
        <v>988</v>
      </c>
      <c r="N9" s="90" t="s">
        <v>30</v>
      </c>
      <c r="O9" s="90" t="s">
        <v>97</v>
      </c>
      <c r="P9" s="91">
        <v>42136</v>
      </c>
      <c r="Q9" s="102">
        <v>64977000</v>
      </c>
      <c r="R9" s="89" t="s">
        <v>989</v>
      </c>
      <c r="S9" s="89" t="s">
        <v>982</v>
      </c>
      <c r="T9" s="89" t="s">
        <v>976</v>
      </c>
      <c r="U9" s="103" t="s">
        <v>977</v>
      </c>
      <c r="V9" s="104" t="s">
        <v>978</v>
      </c>
      <c r="W9" s="102">
        <v>58479300</v>
      </c>
      <c r="X9" s="102">
        <v>64977000</v>
      </c>
      <c r="Y9" s="102">
        <v>64977000</v>
      </c>
      <c r="Z9" s="107" t="s">
        <v>979</v>
      </c>
      <c r="AA9" s="102">
        <v>6497700</v>
      </c>
      <c r="AB9" s="102"/>
      <c r="AC9" s="102"/>
      <c r="AD9" s="107"/>
      <c r="AE9" s="102"/>
      <c r="AF9" s="102"/>
      <c r="AG9" s="102"/>
      <c r="AH9" s="107"/>
      <c r="AI9" s="102"/>
      <c r="AJ9" s="102"/>
      <c r="AK9" s="102"/>
      <c r="AL9" s="107"/>
      <c r="AM9" s="102"/>
      <c r="AN9" s="102"/>
      <c r="AO9" s="102"/>
      <c r="AP9" s="107"/>
      <c r="AQ9" s="102"/>
      <c r="AR9" s="102"/>
      <c r="AS9" s="102"/>
      <c r="AT9" s="107"/>
      <c r="AU9" s="102"/>
      <c r="AV9" s="102"/>
      <c r="AW9" s="102"/>
      <c r="AX9" s="107"/>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22"/>
      <c r="CD9" s="123">
        <f t="shared" ref="CD9:CF9" si="10">W9+AA9+AE9+AI9+AM9+AQ9+AU9+AY9+BC9+BG9+BK9+BO9+BS9+BW9+CA9</f>
        <v>64977000</v>
      </c>
      <c r="CE9" s="102">
        <f t="shared" si="10"/>
        <v>64977000</v>
      </c>
      <c r="CF9" s="102">
        <f t="shared" si="10"/>
        <v>64977000</v>
      </c>
      <c r="CG9" s="102">
        <f t="shared" si="3"/>
        <v>0</v>
      </c>
      <c r="CH9" s="124">
        <f t="shared" si="4"/>
        <v>0</v>
      </c>
      <c r="CI9" s="125">
        <f t="shared" si="5"/>
        <v>1</v>
      </c>
      <c r="CJ9" s="126" t="str">
        <f t="shared" si="6"/>
        <v>数据正确</v>
      </c>
    </row>
    <row r="10" s="60" customFormat="1" customHeight="1" spans="1:88">
      <c r="A10" s="60" t="s">
        <v>36</v>
      </c>
      <c r="B10" s="70" t="str">
        <f>IF(I10=0,"-","申请中")</f>
        <v>-</v>
      </c>
      <c r="C10" s="71" t="str">
        <f>IF(CI10=100%,"已付清","-")</f>
        <v>已付清</v>
      </c>
      <c r="D10" s="180">
        <f>CF10</f>
        <v>0.001</v>
      </c>
      <c r="E10" s="180">
        <v>0</v>
      </c>
      <c r="F10" s="180">
        <v>0</v>
      </c>
      <c r="G10" s="180">
        <v>0</v>
      </c>
      <c r="H10" s="180">
        <v>0</v>
      </c>
      <c r="I10" s="180">
        <f>CE10-CF10-CG10</f>
        <v>0</v>
      </c>
      <c r="J10" s="86" t="s">
        <v>98</v>
      </c>
      <c r="K10" s="87"/>
      <c r="L10" s="88">
        <v>257</v>
      </c>
      <c r="M10" s="89" t="s">
        <v>988</v>
      </c>
      <c r="N10" s="90" t="s">
        <v>30</v>
      </c>
      <c r="O10" s="90" t="s">
        <v>97</v>
      </c>
      <c r="P10" s="91">
        <v>42136</v>
      </c>
      <c r="Q10" s="102">
        <v>0.001</v>
      </c>
      <c r="R10" s="89" t="s">
        <v>990</v>
      </c>
      <c r="S10" s="89" t="s">
        <v>97</v>
      </c>
      <c r="T10" s="89" t="s">
        <v>976</v>
      </c>
      <c r="U10" s="103" t="s">
        <v>977</v>
      </c>
      <c r="V10" s="104" t="s">
        <v>97</v>
      </c>
      <c r="W10" s="102">
        <v>0.001</v>
      </c>
      <c r="X10" s="102">
        <v>0.001</v>
      </c>
      <c r="Y10" s="102">
        <v>0.001</v>
      </c>
      <c r="Z10" s="107"/>
      <c r="AA10" s="102"/>
      <c r="AB10" s="102"/>
      <c r="AC10" s="102"/>
      <c r="AD10" s="107"/>
      <c r="AE10" s="102"/>
      <c r="AF10" s="102"/>
      <c r="AG10" s="102"/>
      <c r="AH10" s="107"/>
      <c r="AI10" s="102"/>
      <c r="AJ10" s="102"/>
      <c r="AK10" s="102"/>
      <c r="AL10" s="107"/>
      <c r="AM10" s="102"/>
      <c r="AN10" s="102"/>
      <c r="AO10" s="102"/>
      <c r="AP10" s="107"/>
      <c r="AQ10" s="102"/>
      <c r="AR10" s="102"/>
      <c r="AS10" s="102"/>
      <c r="AT10" s="107"/>
      <c r="AU10" s="102"/>
      <c r="AV10" s="102"/>
      <c r="AW10" s="102"/>
      <c r="AX10" s="107"/>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22"/>
      <c r="CD10" s="123">
        <f t="shared" ref="CD10:CF10" si="11">W10+AA10+AE10+AI10+AM10+AQ10+AU10+AY10+BC10+BG10+BK10+BO10+BS10+BW10+CA10</f>
        <v>0.001</v>
      </c>
      <c r="CE10" s="102">
        <f t="shared" si="11"/>
        <v>0.001</v>
      </c>
      <c r="CF10" s="102">
        <f t="shared" si="11"/>
        <v>0.001</v>
      </c>
      <c r="CG10" s="102">
        <f t="shared" si="3"/>
        <v>0</v>
      </c>
      <c r="CH10" s="124">
        <f t="shared" si="4"/>
        <v>0</v>
      </c>
      <c r="CI10" s="125">
        <f t="shared" si="5"/>
        <v>1</v>
      </c>
      <c r="CJ10" s="126" t="str">
        <f t="shared" si="6"/>
        <v>数据正确</v>
      </c>
    </row>
    <row r="11" s="60" customFormat="1" customHeight="1" spans="1:88">
      <c r="A11" s="60" t="s">
        <v>36</v>
      </c>
      <c r="B11" s="70" t="str">
        <f t="shared" ref="B11:B42" si="12">IF(I11=0,"-","申请中")</f>
        <v>-</v>
      </c>
      <c r="C11" s="71" t="str">
        <f t="shared" ref="C11:C42" si="13">IF(CI11=100%,"已付清","-")</f>
        <v>-</v>
      </c>
      <c r="D11" s="180">
        <f t="shared" ref="D11:D42" si="14">CF11</f>
        <v>168000</v>
      </c>
      <c r="E11" s="180">
        <v>0</v>
      </c>
      <c r="F11" s="180">
        <v>0</v>
      </c>
      <c r="G11" s="180">
        <v>0</v>
      </c>
      <c r="H11" s="180">
        <v>0</v>
      </c>
      <c r="I11" s="180">
        <f t="shared" ref="I11:I42" si="15">CE11-CF11-CG11</f>
        <v>0</v>
      </c>
      <c r="J11" s="86" t="s">
        <v>98</v>
      </c>
      <c r="K11" s="87"/>
      <c r="L11" s="88">
        <v>132</v>
      </c>
      <c r="M11" s="89" t="s">
        <v>991</v>
      </c>
      <c r="N11" s="90" t="s">
        <v>30</v>
      </c>
      <c r="O11" s="90" t="s">
        <v>97</v>
      </c>
      <c r="P11" s="91">
        <v>42299</v>
      </c>
      <c r="Q11" s="102">
        <v>265000</v>
      </c>
      <c r="R11" s="89" t="s">
        <v>992</v>
      </c>
      <c r="S11" s="89" t="s">
        <v>982</v>
      </c>
      <c r="T11" s="89"/>
      <c r="U11" s="103" t="s">
        <v>354</v>
      </c>
      <c r="V11" s="104" t="s">
        <v>993</v>
      </c>
      <c r="W11" s="102">
        <v>212000</v>
      </c>
      <c r="X11" s="102">
        <v>168000</v>
      </c>
      <c r="Y11" s="102">
        <f>92000+76000</f>
        <v>168000</v>
      </c>
      <c r="Z11" s="107" t="s">
        <v>994</v>
      </c>
      <c r="AA11" s="102">
        <v>39750</v>
      </c>
      <c r="AB11" s="102"/>
      <c r="AC11" s="102"/>
      <c r="AD11" s="107" t="s">
        <v>995</v>
      </c>
      <c r="AE11" s="102">
        <v>13250</v>
      </c>
      <c r="AF11" s="102"/>
      <c r="AG11" s="102"/>
      <c r="AH11" s="107"/>
      <c r="AI11" s="102"/>
      <c r="AJ11" s="102"/>
      <c r="AK11" s="102"/>
      <c r="AL11" s="107"/>
      <c r="AM11" s="102"/>
      <c r="AN11" s="102"/>
      <c r="AO11" s="102"/>
      <c r="AP11" s="107"/>
      <c r="AQ11" s="102"/>
      <c r="AR11" s="102"/>
      <c r="AS11" s="102"/>
      <c r="AT11" s="107"/>
      <c r="AU11" s="102"/>
      <c r="AV11" s="102"/>
      <c r="AW11" s="102"/>
      <c r="AX11" s="107"/>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22"/>
      <c r="CD11" s="123">
        <f t="shared" ref="CD11:CD17" si="16">W11+AA11+AE11+AI11+AM11+AQ11+AU11+AY11+BC11+BG11+BK11+BO11+BS11+BW11+CA11</f>
        <v>265000</v>
      </c>
      <c r="CE11" s="102">
        <f t="shared" ref="CE11:CE17" si="17">X11+AB11+AF11+AJ11+AN11+AR11+AV11+AZ11+BD11+BH11+BL11+BP11+BT11+BX11+CB11</f>
        <v>168000</v>
      </c>
      <c r="CF11" s="102">
        <f t="shared" ref="CF11:CF17" si="18">Y11+AC11+AG11+AK11+AO11+AS11+AW11+BA11+BE11+BI11+BM11+BQ11+BU11+BY11+CC11</f>
        <v>168000</v>
      </c>
      <c r="CG11" s="102">
        <f t="shared" si="3"/>
        <v>0</v>
      </c>
      <c r="CH11" s="124">
        <f t="shared" si="4"/>
        <v>97000</v>
      </c>
      <c r="CI11" s="125">
        <f t="shared" si="5"/>
        <v>0.633962264150943</v>
      </c>
      <c r="CJ11" s="126" t="str">
        <f t="shared" si="6"/>
        <v>数据正确</v>
      </c>
    </row>
    <row r="12" s="60" customFormat="1" customHeight="1" spans="1:88">
      <c r="A12" s="60" t="s">
        <v>36</v>
      </c>
      <c r="B12" s="70" t="str">
        <f t="shared" si="12"/>
        <v>-</v>
      </c>
      <c r="C12" s="71" t="str">
        <f t="shared" si="13"/>
        <v>已付清</v>
      </c>
      <c r="D12" s="180">
        <f t="shared" si="14"/>
        <v>65880000</v>
      </c>
      <c r="E12" s="180">
        <v>0</v>
      </c>
      <c r="F12" s="180">
        <v>0</v>
      </c>
      <c r="G12" s="180">
        <v>0</v>
      </c>
      <c r="H12" s="180">
        <v>0</v>
      </c>
      <c r="I12" s="180">
        <f t="shared" si="15"/>
        <v>0</v>
      </c>
      <c r="J12" s="86" t="s">
        <v>98</v>
      </c>
      <c r="K12" s="87"/>
      <c r="L12" s="88">
        <v>88</v>
      </c>
      <c r="M12" s="89" t="s">
        <v>996</v>
      </c>
      <c r="N12" s="90" t="s">
        <v>30</v>
      </c>
      <c r="O12" s="90" t="s">
        <v>97</v>
      </c>
      <c r="P12" s="91">
        <v>42302</v>
      </c>
      <c r="Q12" s="102">
        <v>65880000</v>
      </c>
      <c r="R12" s="89" t="s">
        <v>997</v>
      </c>
      <c r="S12" s="89" t="s">
        <v>998</v>
      </c>
      <c r="T12" s="89"/>
      <c r="U12" s="103" t="s">
        <v>977</v>
      </c>
      <c r="V12" s="104" t="s">
        <v>978</v>
      </c>
      <c r="W12" s="102">
        <v>59292000</v>
      </c>
      <c r="X12" s="102">
        <v>65880000</v>
      </c>
      <c r="Y12" s="102">
        <v>65880000</v>
      </c>
      <c r="Z12" s="107" t="s">
        <v>979</v>
      </c>
      <c r="AA12" s="102">
        <v>6588000</v>
      </c>
      <c r="AB12" s="102"/>
      <c r="AC12" s="102"/>
      <c r="AD12" s="107"/>
      <c r="AE12" s="102"/>
      <c r="AF12" s="102"/>
      <c r="AG12" s="102"/>
      <c r="AH12" s="107"/>
      <c r="AI12" s="102"/>
      <c r="AJ12" s="102"/>
      <c r="AK12" s="102"/>
      <c r="AL12" s="107"/>
      <c r="AM12" s="102"/>
      <c r="AN12" s="102"/>
      <c r="AO12" s="102"/>
      <c r="AP12" s="107"/>
      <c r="AQ12" s="102"/>
      <c r="AR12" s="102"/>
      <c r="AS12" s="102"/>
      <c r="AT12" s="107"/>
      <c r="AU12" s="102"/>
      <c r="AV12" s="102"/>
      <c r="AW12" s="102"/>
      <c r="AX12" s="107"/>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22"/>
      <c r="CD12" s="123">
        <f t="shared" si="16"/>
        <v>65880000</v>
      </c>
      <c r="CE12" s="102">
        <f t="shared" si="17"/>
        <v>65880000</v>
      </c>
      <c r="CF12" s="102">
        <f t="shared" si="18"/>
        <v>65880000</v>
      </c>
      <c r="CG12" s="102">
        <f t="shared" si="3"/>
        <v>0</v>
      </c>
      <c r="CH12" s="124">
        <f t="shared" si="4"/>
        <v>0</v>
      </c>
      <c r="CI12" s="125">
        <f t="shared" si="5"/>
        <v>1</v>
      </c>
      <c r="CJ12" s="126" t="str">
        <f t="shared" si="6"/>
        <v>数据正确</v>
      </c>
    </row>
    <row r="13" s="60" customFormat="1" customHeight="1" spans="1:88">
      <c r="A13" s="60" t="s">
        <v>36</v>
      </c>
      <c r="B13" s="70" t="str">
        <f t="shared" si="12"/>
        <v>申请中</v>
      </c>
      <c r="C13" s="71" t="str">
        <f t="shared" si="13"/>
        <v>-</v>
      </c>
      <c r="D13" s="180">
        <f t="shared" si="14"/>
        <v>10815588</v>
      </c>
      <c r="E13" s="180">
        <v>0</v>
      </c>
      <c r="F13" s="181">
        <f>4192+2220</f>
        <v>6412</v>
      </c>
      <c r="G13" s="181">
        <f>78300</f>
        <v>78300</v>
      </c>
      <c r="H13" s="181">
        <f>700</f>
        <v>700</v>
      </c>
      <c r="I13" s="180">
        <f t="shared" si="15"/>
        <v>3774000</v>
      </c>
      <c r="J13" s="86" t="s">
        <v>98</v>
      </c>
      <c r="K13" s="87"/>
      <c r="L13" s="88">
        <v>104</v>
      </c>
      <c r="M13" s="89" t="s">
        <v>988</v>
      </c>
      <c r="N13" s="90" t="s">
        <v>30</v>
      </c>
      <c r="O13" s="90" t="s">
        <v>97</v>
      </c>
      <c r="P13" s="91">
        <v>42302</v>
      </c>
      <c r="Q13" s="154">
        <v>37329838</v>
      </c>
      <c r="R13" s="89" t="s">
        <v>999</v>
      </c>
      <c r="S13" s="89" t="s">
        <v>1000</v>
      </c>
      <c r="T13" s="89"/>
      <c r="U13" s="103" t="s">
        <v>354</v>
      </c>
      <c r="V13" s="104" t="s">
        <v>1001</v>
      </c>
      <c r="W13" s="102">
        <v>29863870.4</v>
      </c>
      <c r="X13" s="102">
        <f>2610000+1980000+2510000+1670000+1718000+413000+3774000</f>
        <v>14675000</v>
      </c>
      <c r="Y13" s="102">
        <f>2531700+1979300+2510000+1670000+1711588+413000</f>
        <v>10815588</v>
      </c>
      <c r="Z13" s="107" t="s">
        <v>1002</v>
      </c>
      <c r="AA13" s="102">
        <v>5599475.7</v>
      </c>
      <c r="AB13" s="102"/>
      <c r="AC13" s="102"/>
      <c r="AD13" s="107" t="s">
        <v>335</v>
      </c>
      <c r="AE13" s="102">
        <v>1866491.9</v>
      </c>
      <c r="AF13" s="102"/>
      <c r="AG13" s="102"/>
      <c r="AH13" s="107"/>
      <c r="AI13" s="102"/>
      <c r="AJ13" s="102"/>
      <c r="AK13" s="102"/>
      <c r="AL13" s="107"/>
      <c r="AM13" s="102"/>
      <c r="AN13" s="102"/>
      <c r="AO13" s="102"/>
      <c r="AP13" s="107"/>
      <c r="AQ13" s="102"/>
      <c r="AR13" s="102"/>
      <c r="AS13" s="102"/>
      <c r="AT13" s="107"/>
      <c r="AU13" s="102"/>
      <c r="AV13" s="102"/>
      <c r="AW13" s="102"/>
      <c r="AX13" s="107"/>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22"/>
      <c r="CD13" s="123">
        <f t="shared" si="16"/>
        <v>37329838</v>
      </c>
      <c r="CE13" s="102">
        <f t="shared" si="17"/>
        <v>14675000</v>
      </c>
      <c r="CF13" s="102">
        <f t="shared" si="18"/>
        <v>10815588</v>
      </c>
      <c r="CG13" s="102">
        <f t="shared" si="3"/>
        <v>85412</v>
      </c>
      <c r="CH13" s="124">
        <f t="shared" si="4"/>
        <v>26428838</v>
      </c>
      <c r="CI13" s="125">
        <f t="shared" si="5"/>
        <v>0.292018411652362</v>
      </c>
      <c r="CJ13" s="126" t="str">
        <f t="shared" si="6"/>
        <v>数据正确</v>
      </c>
    </row>
    <row r="14" s="60" customFormat="1" customHeight="1" spans="1:88">
      <c r="A14" s="60" t="s">
        <v>36</v>
      </c>
      <c r="B14" s="70" t="str">
        <f t="shared" si="12"/>
        <v>-</v>
      </c>
      <c r="C14" s="71" t="str">
        <f t="shared" si="13"/>
        <v>-</v>
      </c>
      <c r="D14" s="180">
        <f t="shared" si="14"/>
        <v>10724000</v>
      </c>
      <c r="E14" s="180">
        <v>0</v>
      </c>
      <c r="F14" s="180">
        <v>0</v>
      </c>
      <c r="G14" s="180">
        <v>0</v>
      </c>
      <c r="H14" s="180">
        <v>0</v>
      </c>
      <c r="I14" s="180">
        <f t="shared" si="15"/>
        <v>0</v>
      </c>
      <c r="J14" s="86" t="s">
        <v>98</v>
      </c>
      <c r="K14" s="87"/>
      <c r="L14" s="88">
        <v>89</v>
      </c>
      <c r="M14" s="89" t="s">
        <v>980</v>
      </c>
      <c r="N14" s="90" t="s">
        <v>30</v>
      </c>
      <c r="O14" s="90" t="s">
        <v>97</v>
      </c>
      <c r="P14" s="91">
        <v>42397</v>
      </c>
      <c r="Q14" s="102">
        <v>10836000</v>
      </c>
      <c r="R14" s="89" t="s">
        <v>1003</v>
      </c>
      <c r="S14" s="89" t="s">
        <v>1004</v>
      </c>
      <c r="T14" s="89"/>
      <c r="U14" s="103" t="s">
        <v>977</v>
      </c>
      <c r="V14" s="104" t="s">
        <v>1005</v>
      </c>
      <c r="W14" s="102">
        <v>8668800</v>
      </c>
      <c r="X14" s="102">
        <v>8638000</v>
      </c>
      <c r="Y14" s="102">
        <v>8638000</v>
      </c>
      <c r="Z14" s="107" t="s">
        <v>1006</v>
      </c>
      <c r="AA14" s="102">
        <v>1625400</v>
      </c>
      <c r="AB14" s="102">
        <v>2086000</v>
      </c>
      <c r="AC14" s="102">
        <v>2086000</v>
      </c>
      <c r="AD14" s="107" t="s">
        <v>1007</v>
      </c>
      <c r="AE14" s="102">
        <v>541800</v>
      </c>
      <c r="AF14" s="102"/>
      <c r="AG14" s="102"/>
      <c r="AH14" s="107"/>
      <c r="AI14" s="102"/>
      <c r="AJ14" s="102"/>
      <c r="AK14" s="102"/>
      <c r="AL14" s="107"/>
      <c r="AM14" s="102"/>
      <c r="AN14" s="102"/>
      <c r="AO14" s="102"/>
      <c r="AP14" s="107"/>
      <c r="AQ14" s="102"/>
      <c r="AR14" s="102"/>
      <c r="AS14" s="102"/>
      <c r="AT14" s="107"/>
      <c r="AU14" s="102"/>
      <c r="AV14" s="102"/>
      <c r="AW14" s="102"/>
      <c r="AX14" s="107"/>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22"/>
      <c r="CD14" s="123">
        <f t="shared" si="16"/>
        <v>10836000</v>
      </c>
      <c r="CE14" s="102">
        <f t="shared" si="17"/>
        <v>10724000</v>
      </c>
      <c r="CF14" s="102">
        <f t="shared" si="18"/>
        <v>10724000</v>
      </c>
      <c r="CG14" s="102">
        <f t="shared" si="3"/>
        <v>0</v>
      </c>
      <c r="CH14" s="124">
        <f t="shared" si="4"/>
        <v>112000</v>
      </c>
      <c r="CI14" s="125">
        <f t="shared" si="5"/>
        <v>0.989664082687339</v>
      </c>
      <c r="CJ14" s="126" t="str">
        <f t="shared" si="6"/>
        <v>数据正确</v>
      </c>
    </row>
    <row r="15" s="60" customFormat="1" customHeight="1" spans="1:88">
      <c r="A15" s="60" t="s">
        <v>36</v>
      </c>
      <c r="B15" s="70" t="str">
        <f t="shared" si="12"/>
        <v>-</v>
      </c>
      <c r="C15" s="71" t="str">
        <f t="shared" si="13"/>
        <v>-</v>
      </c>
      <c r="D15" s="180">
        <f t="shared" si="14"/>
        <v>6247238.16</v>
      </c>
      <c r="E15" s="180">
        <v>0</v>
      </c>
      <c r="F15" s="180">
        <v>0</v>
      </c>
      <c r="G15" s="180">
        <f>47970+46893.04</f>
        <v>94863.04</v>
      </c>
      <c r="H15" s="180">
        <f>26898.8-0.00000000016071</f>
        <v>26898.7999999998</v>
      </c>
      <c r="I15" s="180">
        <f t="shared" si="15"/>
        <v>0</v>
      </c>
      <c r="J15" s="86" t="s">
        <v>98</v>
      </c>
      <c r="K15" s="87"/>
      <c r="L15" s="88">
        <v>127</v>
      </c>
      <c r="M15" s="89" t="s">
        <v>1008</v>
      </c>
      <c r="N15" s="90" t="s">
        <v>30</v>
      </c>
      <c r="O15" s="90" t="s">
        <v>97</v>
      </c>
      <c r="P15" s="91">
        <v>42505</v>
      </c>
      <c r="Q15" s="102">
        <v>7996800</v>
      </c>
      <c r="R15" s="89" t="s">
        <v>1009</v>
      </c>
      <c r="S15" s="89" t="s">
        <v>1010</v>
      </c>
      <c r="T15" s="89"/>
      <c r="U15" s="103" t="s">
        <v>354</v>
      </c>
      <c r="V15" s="104" t="s">
        <v>1011</v>
      </c>
      <c r="W15" s="102">
        <v>1599360</v>
      </c>
      <c r="X15" s="102">
        <v>1599000</v>
      </c>
      <c r="Y15" s="129">
        <f>1551030</f>
        <v>1551030</v>
      </c>
      <c r="Z15" s="107" t="s">
        <v>1012</v>
      </c>
      <c r="AA15" s="102">
        <v>1599360</v>
      </c>
      <c r="AB15" s="102">
        <v>1590000</v>
      </c>
      <c r="AC15" s="129">
        <v>1590000</v>
      </c>
      <c r="AD15" s="107" t="s">
        <v>1013</v>
      </c>
      <c r="AE15" s="102">
        <v>1599360</v>
      </c>
      <c r="AF15" s="102">
        <v>1590000</v>
      </c>
      <c r="AG15" s="129">
        <f>1516208.16</f>
        <v>1516208.16</v>
      </c>
      <c r="AH15" s="107" t="s">
        <v>1014</v>
      </c>
      <c r="AI15" s="102">
        <v>1599360</v>
      </c>
      <c r="AJ15" s="102">
        <v>1590000</v>
      </c>
      <c r="AK15" s="129">
        <v>1590000</v>
      </c>
      <c r="AL15" s="107" t="s">
        <v>1015</v>
      </c>
      <c r="AM15" s="102">
        <v>1199520</v>
      </c>
      <c r="AN15" s="102"/>
      <c r="AO15" s="102"/>
      <c r="AP15" s="107" t="s">
        <v>1016</v>
      </c>
      <c r="AQ15" s="102">
        <v>399840</v>
      </c>
      <c r="AR15" s="102"/>
      <c r="AS15" s="102"/>
      <c r="AT15" s="107"/>
      <c r="AU15" s="102"/>
      <c r="AV15" s="102"/>
      <c r="AW15" s="102"/>
      <c r="AX15" s="107"/>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22"/>
      <c r="CD15" s="123">
        <f t="shared" si="16"/>
        <v>7996800</v>
      </c>
      <c r="CE15" s="102">
        <f t="shared" si="17"/>
        <v>6369000</v>
      </c>
      <c r="CF15" s="102">
        <f t="shared" si="18"/>
        <v>6247238.16</v>
      </c>
      <c r="CG15" s="102">
        <f t="shared" si="3"/>
        <v>121761.84</v>
      </c>
      <c r="CH15" s="124">
        <f t="shared" si="4"/>
        <v>1627800</v>
      </c>
      <c r="CI15" s="125">
        <f t="shared" si="5"/>
        <v>0.796443577430972</v>
      </c>
      <c r="CJ15" s="126" t="str">
        <f t="shared" si="6"/>
        <v>数据正确</v>
      </c>
    </row>
    <row r="16" s="60" customFormat="1" customHeight="1" spans="1:88">
      <c r="A16" s="60" t="s">
        <v>36</v>
      </c>
      <c r="B16" s="70" t="str">
        <f t="shared" si="12"/>
        <v>-</v>
      </c>
      <c r="C16" s="71" t="str">
        <f t="shared" si="13"/>
        <v>-</v>
      </c>
      <c r="D16" s="180">
        <f t="shared" ref="D16:D27" si="19">CF16</f>
        <v>268000</v>
      </c>
      <c r="E16" s="181">
        <v>30000</v>
      </c>
      <c r="F16" s="181">
        <v>0</v>
      </c>
      <c r="G16" s="181">
        <v>0</v>
      </c>
      <c r="H16" s="181">
        <f>400</f>
        <v>400</v>
      </c>
      <c r="I16" s="180">
        <f t="shared" si="15"/>
        <v>0</v>
      </c>
      <c r="J16" s="86" t="s">
        <v>98</v>
      </c>
      <c r="K16" s="87"/>
      <c r="L16" s="88">
        <v>144</v>
      </c>
      <c r="M16" s="89" t="s">
        <v>1017</v>
      </c>
      <c r="N16" s="90" t="s">
        <v>30</v>
      </c>
      <c r="O16" s="90" t="s">
        <v>97</v>
      </c>
      <c r="P16" s="91">
        <v>42620</v>
      </c>
      <c r="Q16" s="102">
        <v>506000</v>
      </c>
      <c r="R16" s="89" t="s">
        <v>1018</v>
      </c>
      <c r="S16" s="89" t="s">
        <v>982</v>
      </c>
      <c r="T16" s="89"/>
      <c r="U16" s="103" t="s">
        <v>354</v>
      </c>
      <c r="V16" s="104" t="s">
        <v>993</v>
      </c>
      <c r="W16" s="102">
        <v>404800</v>
      </c>
      <c r="X16" s="102">
        <v>298400</v>
      </c>
      <c r="Y16" s="102">
        <f>194000+74000</f>
        <v>268000</v>
      </c>
      <c r="Z16" s="107" t="s">
        <v>994</v>
      </c>
      <c r="AA16" s="102">
        <v>75900</v>
      </c>
      <c r="AB16" s="102"/>
      <c r="AC16" s="102"/>
      <c r="AD16" s="107" t="s">
        <v>995</v>
      </c>
      <c r="AE16" s="102">
        <v>25300</v>
      </c>
      <c r="AF16" s="102"/>
      <c r="AG16" s="102"/>
      <c r="AH16" s="107"/>
      <c r="AI16" s="102"/>
      <c r="AJ16" s="102"/>
      <c r="AK16" s="102"/>
      <c r="AL16" s="107"/>
      <c r="AM16" s="102"/>
      <c r="AN16" s="102"/>
      <c r="AO16" s="102"/>
      <c r="AP16" s="107"/>
      <c r="AQ16" s="102"/>
      <c r="AR16" s="102"/>
      <c r="AS16" s="102"/>
      <c r="AT16" s="107"/>
      <c r="AU16" s="102"/>
      <c r="AV16" s="102"/>
      <c r="AW16" s="102"/>
      <c r="AX16" s="107"/>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22"/>
      <c r="CD16" s="123">
        <f t="shared" si="16"/>
        <v>506000</v>
      </c>
      <c r="CE16" s="102">
        <f t="shared" si="17"/>
        <v>298400</v>
      </c>
      <c r="CF16" s="102">
        <f t="shared" si="18"/>
        <v>268000</v>
      </c>
      <c r="CG16" s="102">
        <f t="shared" si="3"/>
        <v>30400</v>
      </c>
      <c r="CH16" s="124">
        <f t="shared" si="4"/>
        <v>207600</v>
      </c>
      <c r="CI16" s="125">
        <f t="shared" si="5"/>
        <v>0.589723320158103</v>
      </c>
      <c r="CJ16" s="126" t="str">
        <f t="shared" si="6"/>
        <v>数据正确</v>
      </c>
    </row>
    <row r="17" s="60" customFormat="1" customHeight="1" spans="2:88">
      <c r="B17" s="70" t="str">
        <f t="shared" si="12"/>
        <v>-</v>
      </c>
      <c r="C17" s="71" t="str">
        <f t="shared" si="13"/>
        <v>-</v>
      </c>
      <c r="D17" s="180">
        <f t="shared" si="19"/>
        <v>141934.5</v>
      </c>
      <c r="E17" s="180">
        <v>0</v>
      </c>
      <c r="F17" s="180">
        <v>0</v>
      </c>
      <c r="G17" s="180">
        <v>0</v>
      </c>
      <c r="H17" s="180">
        <v>0</v>
      </c>
      <c r="I17" s="180">
        <f t="shared" si="15"/>
        <v>0</v>
      </c>
      <c r="J17" s="86" t="s">
        <v>98</v>
      </c>
      <c r="K17" s="87"/>
      <c r="L17" s="88">
        <v>166</v>
      </c>
      <c r="M17" s="89" t="s">
        <v>1019</v>
      </c>
      <c r="N17" s="90" t="s">
        <v>30</v>
      </c>
      <c r="O17" s="90"/>
      <c r="P17" s="91">
        <v>42679</v>
      </c>
      <c r="Q17" s="154">
        <v>157705</v>
      </c>
      <c r="R17" s="89" t="s">
        <v>1020</v>
      </c>
      <c r="S17" s="89" t="s">
        <v>1021</v>
      </c>
      <c r="T17" s="89"/>
      <c r="U17" s="103" t="s">
        <v>1022</v>
      </c>
      <c r="V17" s="104" t="s">
        <v>1023</v>
      </c>
      <c r="W17" s="102">
        <v>126164</v>
      </c>
      <c r="X17" s="102">
        <v>126164</v>
      </c>
      <c r="Y17" s="102">
        <v>126164</v>
      </c>
      <c r="Z17" s="107" t="s">
        <v>1024</v>
      </c>
      <c r="AA17" s="102">
        <v>15770.5</v>
      </c>
      <c r="AB17" s="102">
        <v>15770.5</v>
      </c>
      <c r="AC17" s="102">
        <v>15770.5</v>
      </c>
      <c r="AD17" s="107" t="s">
        <v>1025</v>
      </c>
      <c r="AE17" s="102">
        <v>15770.5</v>
      </c>
      <c r="AF17" s="102"/>
      <c r="AG17" s="102"/>
      <c r="AH17" s="107"/>
      <c r="AI17" s="102"/>
      <c r="AJ17" s="102"/>
      <c r="AK17" s="102"/>
      <c r="AL17" s="107"/>
      <c r="AM17" s="102"/>
      <c r="AN17" s="102"/>
      <c r="AO17" s="102"/>
      <c r="AP17" s="107"/>
      <c r="AQ17" s="102"/>
      <c r="AR17" s="102"/>
      <c r="AS17" s="102"/>
      <c r="AT17" s="107"/>
      <c r="AU17" s="102"/>
      <c r="AV17" s="102"/>
      <c r="AW17" s="102"/>
      <c r="AX17" s="107"/>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22"/>
      <c r="CD17" s="123">
        <f t="shared" si="16"/>
        <v>157705</v>
      </c>
      <c r="CE17" s="102">
        <f t="shared" si="17"/>
        <v>141934.5</v>
      </c>
      <c r="CF17" s="102">
        <f t="shared" si="18"/>
        <v>141934.5</v>
      </c>
      <c r="CG17" s="102">
        <f t="shared" si="3"/>
        <v>0</v>
      </c>
      <c r="CH17" s="124">
        <f t="shared" si="4"/>
        <v>15770.5</v>
      </c>
      <c r="CI17" s="125">
        <f t="shared" si="5"/>
        <v>0.9</v>
      </c>
      <c r="CJ17" s="126" t="str">
        <f t="shared" si="6"/>
        <v>数据正确</v>
      </c>
    </row>
    <row r="18" s="60" customFormat="1" customHeight="1" spans="2:88">
      <c r="B18" s="70" t="str">
        <f t="shared" si="12"/>
        <v>-</v>
      </c>
      <c r="C18" s="71" t="str">
        <f t="shared" si="13"/>
        <v>-</v>
      </c>
      <c r="D18" s="180">
        <f t="shared" si="19"/>
        <v>456000</v>
      </c>
      <c r="E18" s="181">
        <v>8000</v>
      </c>
      <c r="F18" s="181">
        <v>3180</v>
      </c>
      <c r="G18" s="181">
        <v>0</v>
      </c>
      <c r="H18" s="181">
        <f>3650+770</f>
        <v>4420</v>
      </c>
      <c r="I18" s="180">
        <f t="shared" si="15"/>
        <v>0</v>
      </c>
      <c r="J18" s="86" t="s">
        <v>98</v>
      </c>
      <c r="K18" s="87"/>
      <c r="L18" s="88">
        <v>143</v>
      </c>
      <c r="M18" s="89" t="s">
        <v>1026</v>
      </c>
      <c r="N18" s="90" t="s">
        <v>30</v>
      </c>
      <c r="O18" s="90" t="s">
        <v>97</v>
      </c>
      <c r="P18" s="91">
        <v>42690</v>
      </c>
      <c r="Q18" s="102">
        <v>660000</v>
      </c>
      <c r="R18" s="89" t="s">
        <v>1027</v>
      </c>
      <c r="S18" s="89" t="s">
        <v>982</v>
      </c>
      <c r="T18" s="89"/>
      <c r="U18" s="103" t="s">
        <v>354</v>
      </c>
      <c r="V18" s="104" t="s">
        <v>993</v>
      </c>
      <c r="W18" s="102">
        <v>528000</v>
      </c>
      <c r="X18" s="102">
        <v>471600</v>
      </c>
      <c r="Y18" s="102">
        <f>456000</f>
        <v>456000</v>
      </c>
      <c r="Z18" s="107" t="s">
        <v>994</v>
      </c>
      <c r="AA18" s="102">
        <v>99000</v>
      </c>
      <c r="AB18" s="102"/>
      <c r="AC18" s="102"/>
      <c r="AD18" s="107" t="s">
        <v>995</v>
      </c>
      <c r="AE18" s="102">
        <v>33000</v>
      </c>
      <c r="AF18" s="102"/>
      <c r="AG18" s="102"/>
      <c r="AH18" s="107"/>
      <c r="AI18" s="102"/>
      <c r="AJ18" s="102"/>
      <c r="AK18" s="102"/>
      <c r="AL18" s="107"/>
      <c r="AM18" s="102"/>
      <c r="AN18" s="102"/>
      <c r="AO18" s="102"/>
      <c r="AP18" s="107"/>
      <c r="AQ18" s="102"/>
      <c r="AR18" s="102"/>
      <c r="AS18" s="102"/>
      <c r="AT18" s="107"/>
      <c r="AU18" s="102"/>
      <c r="AV18" s="102"/>
      <c r="AW18" s="102"/>
      <c r="AX18" s="107"/>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22"/>
      <c r="CD18" s="123">
        <f t="shared" ref="CD18:CD42" si="20">W18+AA18+AE18+AI18+AM18+AQ18+AU18+AY18+BC18+BG18+BK18+BO18+BS18+BW18+CA18</f>
        <v>660000</v>
      </c>
      <c r="CE18" s="102">
        <f t="shared" ref="CE18:CE42" si="21">X18+AB18+AF18+AJ18+AN18+AR18+AV18+AZ18+BD18+BH18+BL18+BP18+BT18+BX18+CB18</f>
        <v>471600</v>
      </c>
      <c r="CF18" s="102">
        <f t="shared" ref="CF18:CF42" si="22">Y18+AC18+AG18+AK18+AO18+AS18+AW18+BA18+BE18+BI18+BM18+BQ18+BU18+BY18+CC18</f>
        <v>456000</v>
      </c>
      <c r="CG18" s="102">
        <f t="shared" ref="CG18:CG42" si="23">E18+F18+G18+H18</f>
        <v>15600</v>
      </c>
      <c r="CH18" s="124">
        <f t="shared" ref="CH18:CH42" si="24">Q18-CF18-CG18</f>
        <v>188400</v>
      </c>
      <c r="CI18" s="125">
        <f t="shared" ref="CI18:CI42" si="25">IF(ISERROR((CF18+CG18)/Q18),"-",(CF18+CG18)/Q18)</f>
        <v>0.714545454545455</v>
      </c>
      <c r="CJ18" s="126" t="str">
        <f t="shared" ref="CJ18:CJ42" si="26">IF(Q18-CD18=0,"数据正确","数据错误")</f>
        <v>数据正确</v>
      </c>
    </row>
    <row r="19" s="60" customFormat="1" customHeight="1" spans="2:88">
      <c r="B19" s="70" t="str">
        <f t="shared" si="12"/>
        <v>-</v>
      </c>
      <c r="C19" s="71" t="str">
        <f t="shared" si="13"/>
        <v>-</v>
      </c>
      <c r="D19" s="180">
        <f t="shared" si="19"/>
        <v>135800</v>
      </c>
      <c r="E19" s="181">
        <v>0</v>
      </c>
      <c r="F19" s="181">
        <v>0</v>
      </c>
      <c r="G19" s="181">
        <f>4200</f>
        <v>4200</v>
      </c>
      <c r="H19" s="181">
        <v>0</v>
      </c>
      <c r="I19" s="180">
        <f t="shared" si="15"/>
        <v>0</v>
      </c>
      <c r="J19" s="86" t="s">
        <v>98</v>
      </c>
      <c r="K19" s="87"/>
      <c r="L19" s="88">
        <v>145</v>
      </c>
      <c r="M19" s="89" t="s">
        <v>1028</v>
      </c>
      <c r="N19" s="90" t="s">
        <v>30</v>
      </c>
      <c r="O19" s="90" t="s">
        <v>97</v>
      </c>
      <c r="P19" s="91">
        <v>42745</v>
      </c>
      <c r="Q19" s="154">
        <v>177693.95</v>
      </c>
      <c r="R19" s="89" t="s">
        <v>1029</v>
      </c>
      <c r="S19" s="89" t="s">
        <v>1030</v>
      </c>
      <c r="T19" s="89"/>
      <c r="U19" s="103" t="s">
        <v>354</v>
      </c>
      <c r="V19" s="104" t="s">
        <v>1031</v>
      </c>
      <c r="W19" s="102">
        <v>142155.16</v>
      </c>
      <c r="X19" s="102">
        <v>140000</v>
      </c>
      <c r="Y19" s="102">
        <v>135800</v>
      </c>
      <c r="Z19" s="107" t="s">
        <v>994</v>
      </c>
      <c r="AA19" s="102">
        <v>26654.0925</v>
      </c>
      <c r="AB19" s="102"/>
      <c r="AC19" s="102"/>
      <c r="AD19" s="107" t="s">
        <v>1032</v>
      </c>
      <c r="AE19" s="102">
        <v>8884.6975</v>
      </c>
      <c r="AF19" s="102"/>
      <c r="AG19" s="102"/>
      <c r="AH19" s="107"/>
      <c r="AI19" s="102"/>
      <c r="AJ19" s="102"/>
      <c r="AK19" s="102"/>
      <c r="AL19" s="107"/>
      <c r="AM19" s="102"/>
      <c r="AN19" s="102"/>
      <c r="AO19" s="102"/>
      <c r="AP19" s="107"/>
      <c r="AQ19" s="102"/>
      <c r="AR19" s="102"/>
      <c r="AS19" s="102"/>
      <c r="AT19" s="107"/>
      <c r="AU19" s="102"/>
      <c r="AV19" s="102"/>
      <c r="AW19" s="102"/>
      <c r="AX19" s="107"/>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22"/>
      <c r="CD19" s="123">
        <f t="shared" si="20"/>
        <v>177693.95</v>
      </c>
      <c r="CE19" s="102">
        <f t="shared" si="21"/>
        <v>140000</v>
      </c>
      <c r="CF19" s="102">
        <f t="shared" si="22"/>
        <v>135800</v>
      </c>
      <c r="CG19" s="102">
        <f t="shared" si="23"/>
        <v>4200</v>
      </c>
      <c r="CH19" s="124">
        <f t="shared" si="24"/>
        <v>37693.95</v>
      </c>
      <c r="CI19" s="125">
        <f t="shared" si="25"/>
        <v>0.78787150603608</v>
      </c>
      <c r="CJ19" s="126" t="str">
        <f t="shared" si="26"/>
        <v>数据正确</v>
      </c>
    </row>
    <row r="20" s="60" customFormat="1" customHeight="1" outlineLevel="1" spans="1:88">
      <c r="A20" s="60" t="s">
        <v>36</v>
      </c>
      <c r="B20" s="70" t="str">
        <f t="shared" si="12"/>
        <v>-</v>
      </c>
      <c r="C20" s="71" t="str">
        <f t="shared" si="13"/>
        <v>-</v>
      </c>
      <c r="D20" s="180">
        <f t="shared" si="19"/>
        <v>1664924.04</v>
      </c>
      <c r="E20" s="180">
        <f>180000</f>
        <v>180000</v>
      </c>
      <c r="F20" s="180">
        <v>38043</v>
      </c>
      <c r="G20" s="180">
        <v>0</v>
      </c>
      <c r="H20" s="180">
        <f>38261.92-38261.92</f>
        <v>0</v>
      </c>
      <c r="I20" s="180">
        <f t="shared" si="15"/>
        <v>0</v>
      </c>
      <c r="J20" s="86" t="s">
        <v>98</v>
      </c>
      <c r="K20" s="87"/>
      <c r="L20" s="141" t="s">
        <v>1033</v>
      </c>
      <c r="M20" s="89" t="s">
        <v>1034</v>
      </c>
      <c r="N20" s="90" t="s">
        <v>30</v>
      </c>
      <c r="O20" s="90" t="s">
        <v>97</v>
      </c>
      <c r="P20" s="91">
        <v>42758</v>
      </c>
      <c r="Q20" s="102">
        <v>3922848</v>
      </c>
      <c r="R20" s="89" t="s">
        <v>1035</v>
      </c>
      <c r="S20" s="89" t="s">
        <v>1036</v>
      </c>
      <c r="T20" s="89"/>
      <c r="U20" s="183" t="s">
        <v>616</v>
      </c>
      <c r="V20" s="184" t="s">
        <v>41</v>
      </c>
      <c r="W20" s="184"/>
      <c r="X20" s="184"/>
      <c r="Y20" s="184"/>
      <c r="Z20" s="104" t="s">
        <v>1037</v>
      </c>
      <c r="AA20" s="102">
        <f>784569.6+784569.6</f>
        <v>1569139.2</v>
      </c>
      <c r="AB20" s="102">
        <f>627655.68+627655.68</f>
        <v>1255311.36</v>
      </c>
      <c r="AC20" s="102">
        <f>AB20-180000-38043-38261.92</f>
        <v>999006.44</v>
      </c>
      <c r="AD20" s="184"/>
      <c r="AE20" s="184"/>
      <c r="AF20" s="184"/>
      <c r="AG20" s="184">
        <v>38261.92</v>
      </c>
      <c r="AH20" s="107" t="s">
        <v>1038</v>
      </c>
      <c r="AI20" s="102">
        <v>784569.6</v>
      </c>
      <c r="AJ20" s="102">
        <v>627655.68</v>
      </c>
      <c r="AK20" s="102">
        <f>AJ20</f>
        <v>627655.68</v>
      </c>
      <c r="AL20" s="107" t="s">
        <v>1039</v>
      </c>
      <c r="AM20" s="102">
        <v>784569.6</v>
      </c>
      <c r="AN20" s="102"/>
      <c r="AO20" s="102"/>
      <c r="AP20" s="107" t="s">
        <v>1040</v>
      </c>
      <c r="AQ20" s="102">
        <v>588427.2</v>
      </c>
      <c r="AR20" s="102"/>
      <c r="AS20" s="102"/>
      <c r="AT20" s="107" t="s">
        <v>1041</v>
      </c>
      <c r="AU20" s="102">
        <v>196142.4</v>
      </c>
      <c r="AV20" s="184"/>
      <c r="AW20" s="184"/>
      <c r="AX20" s="184"/>
      <c r="AY20" s="184"/>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22"/>
      <c r="CD20" s="123">
        <f t="shared" si="20"/>
        <v>3922848</v>
      </c>
      <c r="CE20" s="102">
        <f t="shared" si="21"/>
        <v>1882967.04</v>
      </c>
      <c r="CF20" s="102">
        <f t="shared" si="22"/>
        <v>1664924.04</v>
      </c>
      <c r="CG20" s="102">
        <f t="shared" si="23"/>
        <v>218043</v>
      </c>
      <c r="CH20" s="124">
        <f t="shared" si="24"/>
        <v>2039880.96</v>
      </c>
      <c r="CI20" s="125">
        <f t="shared" si="25"/>
        <v>0.48</v>
      </c>
      <c r="CJ20" s="126" t="str">
        <f t="shared" si="26"/>
        <v>数据正确</v>
      </c>
    </row>
    <row r="21" s="60" customFormat="1" customHeight="1" outlineLevel="1" spans="1:89">
      <c r="A21" s="60" t="s">
        <v>36</v>
      </c>
      <c r="B21" s="70" t="str">
        <f t="shared" si="12"/>
        <v>-</v>
      </c>
      <c r="C21" s="71" t="str">
        <f t="shared" si="13"/>
        <v>-</v>
      </c>
      <c r="D21" s="180">
        <f t="shared" si="19"/>
        <v>5780382.24</v>
      </c>
      <c r="E21" s="180">
        <v>0</v>
      </c>
      <c r="F21" s="180">
        <v>0</v>
      </c>
      <c r="G21" s="180">
        <v>0</v>
      </c>
      <c r="H21" s="180">
        <v>0</v>
      </c>
      <c r="I21" s="180">
        <f t="shared" si="15"/>
        <v>0</v>
      </c>
      <c r="J21" s="86" t="s">
        <v>98</v>
      </c>
      <c r="K21" s="87"/>
      <c r="L21" s="141" t="s">
        <v>1042</v>
      </c>
      <c r="M21" s="89" t="s">
        <v>1034</v>
      </c>
      <c r="N21" s="90" t="s">
        <v>30</v>
      </c>
      <c r="O21" s="90" t="s">
        <v>97</v>
      </c>
      <c r="P21" s="91">
        <v>42758</v>
      </c>
      <c r="Q21" s="102">
        <v>12042463</v>
      </c>
      <c r="R21" s="89" t="s">
        <v>1043</v>
      </c>
      <c r="S21" s="89" t="s">
        <v>1036</v>
      </c>
      <c r="T21" s="89"/>
      <c r="U21" s="183" t="s">
        <v>616</v>
      </c>
      <c r="V21" s="185" t="s">
        <v>1044</v>
      </c>
      <c r="W21" s="102">
        <v>2408492.6</v>
      </c>
      <c r="X21" s="102">
        <v>1926794.08</v>
      </c>
      <c r="Y21" s="102">
        <v>1926794.08</v>
      </c>
      <c r="Z21" s="187" t="s">
        <v>1045</v>
      </c>
      <c r="AA21" s="102">
        <v>2408492.6</v>
      </c>
      <c r="AB21" s="102">
        <v>1926794.08</v>
      </c>
      <c r="AC21" s="102">
        <f>AB21</f>
        <v>1926794.08</v>
      </c>
      <c r="AD21" s="184"/>
      <c r="AE21" s="184"/>
      <c r="AF21" s="184"/>
      <c r="AG21" s="184"/>
      <c r="AH21" s="107" t="s">
        <v>1038</v>
      </c>
      <c r="AI21" s="102">
        <v>2408492.6</v>
      </c>
      <c r="AJ21" s="102">
        <v>1926794.08</v>
      </c>
      <c r="AK21" s="102">
        <f>AJ21</f>
        <v>1926794.08</v>
      </c>
      <c r="AL21" s="107" t="s">
        <v>1046</v>
      </c>
      <c r="AM21" s="102">
        <v>602123.15</v>
      </c>
      <c r="AN21" s="102"/>
      <c r="AO21" s="102"/>
      <c r="AP21" s="107" t="s">
        <v>1047</v>
      </c>
      <c r="AQ21" s="102">
        <v>602123.15</v>
      </c>
      <c r="AR21" s="102"/>
      <c r="AS21" s="102"/>
      <c r="AT21" s="107" t="s">
        <v>1048</v>
      </c>
      <c r="AU21" s="102">
        <v>602123.15</v>
      </c>
      <c r="AV21" s="102"/>
      <c r="AW21" s="102"/>
      <c r="AX21" s="107" t="s">
        <v>1049</v>
      </c>
      <c r="AY21" s="102">
        <v>842972.41</v>
      </c>
      <c r="AZ21" s="102"/>
      <c r="BA21" s="102"/>
      <c r="BB21" s="107" t="s">
        <v>1050</v>
      </c>
      <c r="BC21" s="102">
        <v>2167643.34</v>
      </c>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22"/>
      <c r="CD21" s="123">
        <f t="shared" si="20"/>
        <v>12042463</v>
      </c>
      <c r="CE21" s="102">
        <f t="shared" si="21"/>
        <v>5780382.24</v>
      </c>
      <c r="CF21" s="102">
        <f t="shared" si="22"/>
        <v>5780382.24</v>
      </c>
      <c r="CG21" s="102">
        <f t="shared" si="23"/>
        <v>0</v>
      </c>
      <c r="CH21" s="124">
        <f t="shared" si="24"/>
        <v>6262080.76</v>
      </c>
      <c r="CI21" s="125">
        <f t="shared" si="25"/>
        <v>0.48</v>
      </c>
      <c r="CJ21" s="126" t="str">
        <f t="shared" si="26"/>
        <v>数据正确</v>
      </c>
      <c r="CK21" s="60">
        <f>CE21-CF21-CG21</f>
        <v>0</v>
      </c>
    </row>
    <row r="22" s="60" customFormat="1" customHeight="1" outlineLevel="1" spans="1:88">
      <c r="A22" s="60" t="s">
        <v>36</v>
      </c>
      <c r="B22" s="70" t="str">
        <f t="shared" si="12"/>
        <v>-</v>
      </c>
      <c r="C22" s="71" t="str">
        <f t="shared" si="13"/>
        <v>-</v>
      </c>
      <c r="D22" s="180">
        <f t="shared" si="19"/>
        <v>4487123.82</v>
      </c>
      <c r="E22" s="180">
        <v>0</v>
      </c>
      <c r="F22" s="180">
        <f>19531+47417</f>
        <v>66948</v>
      </c>
      <c r="G22" s="180">
        <f>54847.86-0.000000000596629</f>
        <v>54847.8599999994</v>
      </c>
      <c r="H22" s="180">
        <v>0</v>
      </c>
      <c r="I22" s="180">
        <f t="shared" si="15"/>
        <v>0</v>
      </c>
      <c r="J22" s="86" t="s">
        <v>98</v>
      </c>
      <c r="K22" s="87"/>
      <c r="L22" s="141" t="s">
        <v>1051</v>
      </c>
      <c r="M22" s="89" t="s">
        <v>1034</v>
      </c>
      <c r="N22" s="90" t="s">
        <v>30</v>
      </c>
      <c r="O22" s="90" t="s">
        <v>97</v>
      </c>
      <c r="P22" s="91">
        <v>42758</v>
      </c>
      <c r="Q22" s="102">
        <v>10484692</v>
      </c>
      <c r="R22" s="89" t="s">
        <v>913</v>
      </c>
      <c r="S22" s="89" t="s">
        <v>1036</v>
      </c>
      <c r="T22" s="89"/>
      <c r="U22" s="183" t="s">
        <v>616</v>
      </c>
      <c r="V22" s="185" t="s">
        <v>1044</v>
      </c>
      <c r="W22" s="102">
        <v>2096938.4</v>
      </c>
      <c r="X22" s="102">
        <v>1673205.92</v>
      </c>
      <c r="Y22" s="102">
        <v>1673205.92</v>
      </c>
      <c r="Z22" s="184"/>
      <c r="AA22" s="184"/>
      <c r="AB22" s="184"/>
      <c r="AC22" s="184"/>
      <c r="AD22" s="188" t="s">
        <v>1045</v>
      </c>
      <c r="AE22" s="102">
        <v>2096938.4</v>
      </c>
      <c r="AF22" s="102">
        <v>1677550.72</v>
      </c>
      <c r="AG22" s="102">
        <f>AF22-19531-54847.86</f>
        <v>1603171.86</v>
      </c>
      <c r="AH22" s="107" t="s">
        <v>1038</v>
      </c>
      <c r="AI22" s="102">
        <v>1572703.8</v>
      </c>
      <c r="AJ22" s="102">
        <v>1258163.04</v>
      </c>
      <c r="AK22" s="102">
        <f>AJ22-47417</f>
        <v>1210746.04</v>
      </c>
      <c r="AL22" s="107" t="s">
        <v>1046</v>
      </c>
      <c r="AM22" s="102">
        <v>733928.44</v>
      </c>
      <c r="AN22" s="102"/>
      <c r="AO22" s="102"/>
      <c r="AP22" s="107" t="s">
        <v>1047</v>
      </c>
      <c r="AQ22" s="102">
        <v>733928.44</v>
      </c>
      <c r="AR22" s="102"/>
      <c r="AS22" s="102"/>
      <c r="AT22" s="107" t="s">
        <v>1048</v>
      </c>
      <c r="AU22" s="102">
        <v>629081.52</v>
      </c>
      <c r="AV22" s="102"/>
      <c r="AW22" s="102"/>
      <c r="AX22" s="107" t="s">
        <v>1049</v>
      </c>
      <c r="AY22" s="102">
        <v>733928.44</v>
      </c>
      <c r="AZ22" s="102"/>
      <c r="BA22" s="102"/>
      <c r="BB22" s="107" t="s">
        <v>1050</v>
      </c>
      <c r="BC22" s="102">
        <v>1887244.56</v>
      </c>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22"/>
      <c r="CD22" s="123">
        <f t="shared" si="20"/>
        <v>10484692</v>
      </c>
      <c r="CE22" s="102">
        <f t="shared" si="21"/>
        <v>4608919.68</v>
      </c>
      <c r="CF22" s="102">
        <f t="shared" si="22"/>
        <v>4487123.82</v>
      </c>
      <c r="CG22" s="102">
        <f t="shared" si="23"/>
        <v>121795.859999999</v>
      </c>
      <c r="CH22" s="124">
        <f t="shared" si="24"/>
        <v>5875772.32</v>
      </c>
      <c r="CI22" s="125">
        <f t="shared" si="25"/>
        <v>0.439585605375914</v>
      </c>
      <c r="CJ22" s="126" t="str">
        <f t="shared" si="26"/>
        <v>数据正确</v>
      </c>
    </row>
    <row r="23" s="60" customFormat="1" customHeight="1" outlineLevel="1" spans="1:88">
      <c r="A23" s="60" t="s">
        <v>36</v>
      </c>
      <c r="B23" s="70" t="str">
        <f t="shared" si="12"/>
        <v>-</v>
      </c>
      <c r="C23" s="71" t="str">
        <f t="shared" si="13"/>
        <v>-</v>
      </c>
      <c r="D23" s="180">
        <f t="shared" si="19"/>
        <v>198123.8</v>
      </c>
      <c r="E23" s="180">
        <v>0</v>
      </c>
      <c r="F23" s="180">
        <v>0</v>
      </c>
      <c r="G23" s="180">
        <v>0</v>
      </c>
      <c r="H23" s="180">
        <v>0</v>
      </c>
      <c r="I23" s="180">
        <f t="shared" si="15"/>
        <v>0</v>
      </c>
      <c r="J23" s="86" t="s">
        <v>98</v>
      </c>
      <c r="K23" s="87"/>
      <c r="L23" s="141" t="s">
        <v>1052</v>
      </c>
      <c r="M23" s="89" t="s">
        <v>1034</v>
      </c>
      <c r="N23" s="90" t="s">
        <v>30</v>
      </c>
      <c r="O23" s="90" t="s">
        <v>97</v>
      </c>
      <c r="P23" s="91">
        <v>42758</v>
      </c>
      <c r="Q23" s="102">
        <v>413397</v>
      </c>
      <c r="R23" s="89" t="s">
        <v>794</v>
      </c>
      <c r="S23" s="89" t="s">
        <v>1036</v>
      </c>
      <c r="T23" s="89"/>
      <c r="U23" s="183" t="s">
        <v>616</v>
      </c>
      <c r="V23" s="184"/>
      <c r="W23" s="184"/>
      <c r="X23" s="184"/>
      <c r="Y23" s="184"/>
      <c r="Z23" s="184"/>
      <c r="AA23" s="184"/>
      <c r="AB23" s="184"/>
      <c r="AC23" s="184"/>
      <c r="AD23" s="104" t="s">
        <v>1037</v>
      </c>
      <c r="AE23" s="102">
        <f>82679.4+82679.4</f>
        <v>165358.8</v>
      </c>
      <c r="AF23" s="102">
        <f>65836.76+66143.52</f>
        <v>131980.28</v>
      </c>
      <c r="AG23" s="102">
        <f>AF23</f>
        <v>131980.28</v>
      </c>
      <c r="AH23" s="107" t="s">
        <v>1038</v>
      </c>
      <c r="AI23" s="102">
        <v>82679.4</v>
      </c>
      <c r="AJ23" s="102">
        <v>66143.52</v>
      </c>
      <c r="AK23" s="102">
        <f>AJ23</f>
        <v>66143.52</v>
      </c>
      <c r="AL23" s="107" t="s">
        <v>1046</v>
      </c>
      <c r="AM23" s="102">
        <v>20669.85</v>
      </c>
      <c r="AN23" s="102"/>
      <c r="AO23" s="102"/>
      <c r="AP23" s="107" t="s">
        <v>1047</v>
      </c>
      <c r="AQ23" s="102">
        <v>20669.85</v>
      </c>
      <c r="AR23" s="102"/>
      <c r="AS23" s="102"/>
      <c r="AT23" s="107" t="s">
        <v>1048</v>
      </c>
      <c r="AU23" s="102">
        <v>20669.85</v>
      </c>
      <c r="AV23" s="102"/>
      <c r="AW23" s="102"/>
      <c r="AX23" s="107" t="s">
        <v>1049</v>
      </c>
      <c r="AY23" s="102">
        <v>28937.79</v>
      </c>
      <c r="AZ23" s="102"/>
      <c r="BA23" s="102"/>
      <c r="BB23" s="107" t="s">
        <v>1050</v>
      </c>
      <c r="BC23" s="102">
        <v>74411.46</v>
      </c>
      <c r="BD23" s="102"/>
      <c r="BI23" s="102"/>
      <c r="BJ23" s="102"/>
      <c r="BK23" s="102"/>
      <c r="BL23" s="102"/>
      <c r="BM23" s="102"/>
      <c r="BN23" s="102"/>
      <c r="BO23" s="102"/>
      <c r="BP23" s="102"/>
      <c r="BQ23" s="102"/>
      <c r="BR23" s="102"/>
      <c r="BS23" s="102"/>
      <c r="BT23" s="102"/>
      <c r="BU23" s="102"/>
      <c r="BV23" s="102"/>
      <c r="BW23" s="102"/>
      <c r="BX23" s="102"/>
      <c r="BY23" s="102"/>
      <c r="BZ23" s="102"/>
      <c r="CA23" s="102"/>
      <c r="CB23" s="102"/>
      <c r="CC23" s="122"/>
      <c r="CD23" s="123">
        <f t="shared" si="20"/>
        <v>413397</v>
      </c>
      <c r="CE23" s="102">
        <f t="shared" si="21"/>
        <v>198123.8</v>
      </c>
      <c r="CF23" s="102">
        <f t="shared" si="22"/>
        <v>198123.8</v>
      </c>
      <c r="CG23" s="102">
        <f t="shared" si="23"/>
        <v>0</v>
      </c>
      <c r="CH23" s="124">
        <f t="shared" si="24"/>
        <v>215273.2</v>
      </c>
      <c r="CI23" s="125">
        <f t="shared" si="25"/>
        <v>0.479257953008851</v>
      </c>
      <c r="CJ23" s="126" t="str">
        <f t="shared" si="26"/>
        <v>数据正确</v>
      </c>
    </row>
    <row r="24" s="60" customFormat="1" customHeight="1" outlineLevel="1" spans="1:88">
      <c r="A24" s="60" t="s">
        <v>36</v>
      </c>
      <c r="B24" s="70" t="str">
        <f t="shared" si="12"/>
        <v>申请中</v>
      </c>
      <c r="C24" s="71" t="str">
        <f t="shared" si="13"/>
        <v>-</v>
      </c>
      <c r="D24" s="180">
        <f t="shared" si="19"/>
        <v>1618555.24</v>
      </c>
      <c r="E24" s="180">
        <v>0</v>
      </c>
      <c r="F24" s="180">
        <v>0</v>
      </c>
      <c r="G24" s="180">
        <v>0</v>
      </c>
      <c r="H24" s="180">
        <v>0</v>
      </c>
      <c r="I24" s="180">
        <f t="shared" si="15"/>
        <v>31573</v>
      </c>
      <c r="J24" s="86" t="s">
        <v>98</v>
      </c>
      <c r="K24" s="87"/>
      <c r="L24" s="141" t="s">
        <v>1053</v>
      </c>
      <c r="M24" s="89" t="s">
        <v>1034</v>
      </c>
      <c r="N24" s="90" t="s">
        <v>30</v>
      </c>
      <c r="O24" s="90" t="s">
        <v>97</v>
      </c>
      <c r="P24" s="91">
        <v>42758</v>
      </c>
      <c r="Q24" s="102">
        <v>3438962</v>
      </c>
      <c r="R24" s="89" t="s">
        <v>1054</v>
      </c>
      <c r="S24" s="89" t="s">
        <v>1036</v>
      </c>
      <c r="T24" s="89"/>
      <c r="U24" s="183" t="s">
        <v>616</v>
      </c>
      <c r="V24" s="184"/>
      <c r="W24" s="184"/>
      <c r="X24" s="184"/>
      <c r="Y24" s="184"/>
      <c r="Z24" s="104" t="s">
        <v>1037</v>
      </c>
      <c r="AA24" s="102">
        <f>687792.4+687792.4</f>
        <v>1375584.8</v>
      </c>
      <c r="AB24" s="102">
        <f>549660.64+550233.92</f>
        <v>1099894.56</v>
      </c>
      <c r="AC24" s="102">
        <f>AB24</f>
        <v>1099894.56</v>
      </c>
      <c r="AD24" s="107"/>
      <c r="AE24" s="102"/>
      <c r="AF24" s="102"/>
      <c r="AG24" s="102"/>
      <c r="AH24" s="107" t="s">
        <v>1038</v>
      </c>
      <c r="AI24" s="102">
        <v>687792.4</v>
      </c>
      <c r="AJ24" s="102">
        <f>550233.92-0.24</f>
        <v>550233.68</v>
      </c>
      <c r="AK24" s="102">
        <f>AJ24-31573</f>
        <v>518660.68</v>
      </c>
      <c r="AL24" s="107" t="s">
        <v>1046</v>
      </c>
      <c r="AM24" s="102">
        <v>171948.1</v>
      </c>
      <c r="AN24" s="102"/>
      <c r="AO24" s="102"/>
      <c r="AP24" s="107" t="s">
        <v>1047</v>
      </c>
      <c r="AQ24" s="102">
        <v>171948.1</v>
      </c>
      <c r="AR24" s="102"/>
      <c r="AS24" s="102"/>
      <c r="AT24" s="107" t="s">
        <v>1048</v>
      </c>
      <c r="AU24" s="102">
        <v>171948.1</v>
      </c>
      <c r="AV24" s="102"/>
      <c r="AW24" s="102"/>
      <c r="AX24" s="107" t="s">
        <v>1049</v>
      </c>
      <c r="AY24" s="102">
        <v>240727.34</v>
      </c>
      <c r="AZ24" s="102"/>
      <c r="BA24" s="102"/>
      <c r="BB24" s="107" t="s">
        <v>1050</v>
      </c>
      <c r="BC24" s="102">
        <v>619013.16</v>
      </c>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22"/>
      <c r="CD24" s="123">
        <f t="shared" si="20"/>
        <v>3438962</v>
      </c>
      <c r="CE24" s="102">
        <f t="shared" si="21"/>
        <v>1650128.24</v>
      </c>
      <c r="CF24" s="102">
        <f t="shared" si="22"/>
        <v>1618555.24</v>
      </c>
      <c r="CG24" s="102">
        <f t="shared" si="23"/>
        <v>0</v>
      </c>
      <c r="CH24" s="124">
        <f t="shared" si="24"/>
        <v>1820406.76</v>
      </c>
      <c r="CI24" s="125">
        <f t="shared" si="25"/>
        <v>0.470652260769383</v>
      </c>
      <c r="CJ24" s="126" t="str">
        <f t="shared" si="26"/>
        <v>数据正确</v>
      </c>
    </row>
    <row r="25" s="60" customFormat="1" customHeight="1" outlineLevel="1" spans="1:88">
      <c r="A25" s="60" t="s">
        <v>36</v>
      </c>
      <c r="B25" s="70" t="str">
        <f t="shared" si="12"/>
        <v>-</v>
      </c>
      <c r="C25" s="71" t="str">
        <f t="shared" si="13"/>
        <v>-</v>
      </c>
      <c r="D25" s="180">
        <f t="shared" si="19"/>
        <v>0</v>
      </c>
      <c r="E25" s="180">
        <v>0</v>
      </c>
      <c r="F25" s="180">
        <v>0</v>
      </c>
      <c r="G25" s="180">
        <v>0</v>
      </c>
      <c r="H25" s="180">
        <v>0</v>
      </c>
      <c r="I25" s="180">
        <f t="shared" si="15"/>
        <v>0</v>
      </c>
      <c r="J25" s="86" t="s">
        <v>98</v>
      </c>
      <c r="K25" s="87"/>
      <c r="L25" s="141" t="s">
        <v>1055</v>
      </c>
      <c r="M25" s="89" t="s">
        <v>1034</v>
      </c>
      <c r="N25" s="90" t="s">
        <v>30</v>
      </c>
      <c r="O25" s="90" t="s">
        <v>97</v>
      </c>
      <c r="P25" s="91">
        <v>42758</v>
      </c>
      <c r="Q25" s="102">
        <v>3548684</v>
      </c>
      <c r="R25" s="89" t="s">
        <v>1056</v>
      </c>
      <c r="S25" s="89" t="s">
        <v>1036</v>
      </c>
      <c r="T25" s="89"/>
      <c r="U25" s="183" t="s">
        <v>616</v>
      </c>
      <c r="V25" s="184"/>
      <c r="W25" s="184"/>
      <c r="X25" s="184"/>
      <c r="Y25" s="184"/>
      <c r="Z25" s="184"/>
      <c r="AA25" s="184"/>
      <c r="AB25" s="184"/>
      <c r="AC25" s="184"/>
      <c r="AD25" s="184"/>
      <c r="AE25" s="184"/>
      <c r="AF25" s="184"/>
      <c r="AG25" s="184"/>
      <c r="AH25" s="184"/>
      <c r="AI25" s="184"/>
      <c r="AJ25" s="184"/>
      <c r="AK25" s="184"/>
      <c r="AL25" s="104" t="s">
        <v>1044</v>
      </c>
      <c r="AM25" s="102">
        <v>709736.8</v>
      </c>
      <c r="AN25" s="102"/>
      <c r="AO25" s="102"/>
      <c r="AP25" s="107" t="s">
        <v>1045</v>
      </c>
      <c r="AQ25" s="102">
        <v>709736.8</v>
      </c>
      <c r="AR25" s="102"/>
      <c r="AS25" s="102"/>
      <c r="AT25" s="107" t="s">
        <v>1038</v>
      </c>
      <c r="AU25" s="102">
        <v>709736.8</v>
      </c>
      <c r="AV25" s="102"/>
      <c r="AW25" s="102"/>
      <c r="AX25" s="107" t="s">
        <v>1046</v>
      </c>
      <c r="AY25" s="102">
        <v>177434.2</v>
      </c>
      <c r="AZ25" s="102"/>
      <c r="BA25" s="102"/>
      <c r="BB25" s="107" t="s">
        <v>1047</v>
      </c>
      <c r="BC25" s="102">
        <v>177434.2</v>
      </c>
      <c r="BD25" s="102"/>
      <c r="BE25" s="102"/>
      <c r="BF25" s="107" t="s">
        <v>1048</v>
      </c>
      <c r="BG25" s="102">
        <v>177434.2</v>
      </c>
      <c r="BH25" s="102"/>
      <c r="BI25" s="102"/>
      <c r="BJ25" s="107" t="s">
        <v>1049</v>
      </c>
      <c r="BK25" s="102">
        <v>248407.88</v>
      </c>
      <c r="BL25" s="102"/>
      <c r="BM25" s="102"/>
      <c r="BN25" s="107" t="s">
        <v>1050</v>
      </c>
      <c r="BO25" s="102">
        <v>638763.12</v>
      </c>
      <c r="BP25" s="102"/>
      <c r="BQ25" s="102"/>
      <c r="BR25" s="102"/>
      <c r="BS25" s="102"/>
      <c r="BT25" s="102"/>
      <c r="BU25" s="102"/>
      <c r="BV25" s="102"/>
      <c r="BW25" s="102"/>
      <c r="BX25" s="102"/>
      <c r="BY25" s="102"/>
      <c r="BZ25" s="102"/>
      <c r="CA25" s="102"/>
      <c r="CB25" s="102"/>
      <c r="CC25" s="122"/>
      <c r="CD25" s="123">
        <f t="shared" si="20"/>
        <v>3548684</v>
      </c>
      <c r="CE25" s="102">
        <f t="shared" si="21"/>
        <v>0</v>
      </c>
      <c r="CF25" s="102">
        <f t="shared" si="22"/>
        <v>0</v>
      </c>
      <c r="CG25" s="102">
        <f t="shared" si="23"/>
        <v>0</v>
      </c>
      <c r="CH25" s="124">
        <f t="shared" si="24"/>
        <v>3548684</v>
      </c>
      <c r="CI25" s="125">
        <f t="shared" si="25"/>
        <v>0</v>
      </c>
      <c r="CJ25" s="126" t="str">
        <f t="shared" si="26"/>
        <v>数据正确</v>
      </c>
    </row>
    <row r="26" s="60" customFormat="1" customHeight="1" outlineLevel="1" spans="1:88">
      <c r="A26" s="60" t="s">
        <v>36</v>
      </c>
      <c r="B26" s="70" t="str">
        <f t="shared" si="12"/>
        <v>-</v>
      </c>
      <c r="C26" s="71" t="str">
        <f t="shared" si="13"/>
        <v>-</v>
      </c>
      <c r="D26" s="180">
        <f t="shared" si="19"/>
        <v>0</v>
      </c>
      <c r="E26" s="180">
        <v>0</v>
      </c>
      <c r="F26" s="180">
        <v>0</v>
      </c>
      <c r="G26" s="180">
        <v>0</v>
      </c>
      <c r="H26" s="180">
        <v>0</v>
      </c>
      <c r="I26" s="180">
        <f t="shared" si="15"/>
        <v>0</v>
      </c>
      <c r="J26" s="86" t="s">
        <v>98</v>
      </c>
      <c r="K26" s="87"/>
      <c r="L26" s="141" t="s">
        <v>1057</v>
      </c>
      <c r="M26" s="89" t="s">
        <v>1034</v>
      </c>
      <c r="N26" s="90" t="s">
        <v>30</v>
      </c>
      <c r="O26" s="90" t="s">
        <v>97</v>
      </c>
      <c r="P26" s="91">
        <v>42758</v>
      </c>
      <c r="Q26" s="102">
        <v>706749</v>
      </c>
      <c r="R26" s="89" t="s">
        <v>1058</v>
      </c>
      <c r="S26" s="89" t="s">
        <v>1036</v>
      </c>
      <c r="T26" s="89"/>
      <c r="U26" s="183" t="s">
        <v>616</v>
      </c>
      <c r="V26" s="184"/>
      <c r="W26" s="184"/>
      <c r="X26" s="184"/>
      <c r="Y26" s="184"/>
      <c r="Z26" s="184"/>
      <c r="AA26" s="184"/>
      <c r="AB26" s="184"/>
      <c r="AC26" s="184"/>
      <c r="AD26" s="184"/>
      <c r="AE26" s="184"/>
      <c r="AF26" s="184"/>
      <c r="AG26" s="184"/>
      <c r="AH26" s="184"/>
      <c r="AI26" s="184"/>
      <c r="AJ26" s="184"/>
      <c r="AK26" s="184"/>
      <c r="AL26" s="104" t="s">
        <v>1044</v>
      </c>
      <c r="AM26" s="102">
        <v>353374.5</v>
      </c>
      <c r="AN26" s="102"/>
      <c r="AO26" s="102"/>
      <c r="AP26" s="107" t="s">
        <v>1059</v>
      </c>
      <c r="AQ26" s="102">
        <v>282699.6</v>
      </c>
      <c r="AR26" s="102"/>
      <c r="AS26" s="102"/>
      <c r="AT26" s="107" t="s">
        <v>1060</v>
      </c>
      <c r="AU26" s="102">
        <v>35337.45</v>
      </c>
      <c r="AV26" s="102"/>
      <c r="AW26" s="102"/>
      <c r="AX26" s="107" t="s">
        <v>1041</v>
      </c>
      <c r="AY26" s="102">
        <v>35337.45</v>
      </c>
      <c r="AZ26" s="102"/>
      <c r="BA26" s="102"/>
      <c r="BB26" s="107"/>
      <c r="BC26" s="102"/>
      <c r="BD26" s="102"/>
      <c r="BE26" s="102"/>
      <c r="BF26" s="107"/>
      <c r="BG26" s="102"/>
      <c r="BH26" s="102"/>
      <c r="BI26" s="102"/>
      <c r="BJ26" s="107"/>
      <c r="BK26" s="102"/>
      <c r="BL26" s="102"/>
      <c r="BM26" s="102"/>
      <c r="BN26" s="107"/>
      <c r="BO26" s="102"/>
      <c r="BP26" s="102"/>
      <c r="BQ26" s="102"/>
      <c r="BR26" s="102"/>
      <c r="BS26" s="102"/>
      <c r="BT26" s="102"/>
      <c r="BU26" s="102"/>
      <c r="BV26" s="102"/>
      <c r="BW26" s="102"/>
      <c r="BX26" s="102"/>
      <c r="BY26" s="102"/>
      <c r="BZ26" s="102"/>
      <c r="CA26" s="102"/>
      <c r="CB26" s="102"/>
      <c r="CC26" s="122"/>
      <c r="CD26" s="123">
        <f t="shared" si="20"/>
        <v>706749</v>
      </c>
      <c r="CE26" s="102">
        <f t="shared" si="21"/>
        <v>0</v>
      </c>
      <c r="CF26" s="102">
        <f t="shared" si="22"/>
        <v>0</v>
      </c>
      <c r="CG26" s="102">
        <f t="shared" si="23"/>
        <v>0</v>
      </c>
      <c r="CH26" s="124">
        <f t="shared" si="24"/>
        <v>706749</v>
      </c>
      <c r="CI26" s="125">
        <f t="shared" si="25"/>
        <v>0</v>
      </c>
      <c r="CJ26" s="126" t="str">
        <f t="shared" si="26"/>
        <v>数据正确</v>
      </c>
    </row>
    <row r="27" s="60" customFormat="1" customHeight="1" outlineLevel="1" spans="1:88">
      <c r="A27" s="60" t="s">
        <v>36</v>
      </c>
      <c r="B27" s="70" t="str">
        <f t="shared" si="12"/>
        <v>-</v>
      </c>
      <c r="C27" s="71" t="str">
        <f t="shared" si="13"/>
        <v>-</v>
      </c>
      <c r="D27" s="180">
        <f t="shared" si="19"/>
        <v>0</v>
      </c>
      <c r="E27" s="180">
        <v>0</v>
      </c>
      <c r="F27" s="180">
        <v>0</v>
      </c>
      <c r="G27" s="180">
        <v>0</v>
      </c>
      <c r="H27" s="180">
        <v>0</v>
      </c>
      <c r="I27" s="180">
        <f t="shared" si="15"/>
        <v>0</v>
      </c>
      <c r="J27" s="86" t="s">
        <v>98</v>
      </c>
      <c r="K27" s="87"/>
      <c r="L27" s="141" t="s">
        <v>1061</v>
      </c>
      <c r="M27" s="89" t="s">
        <v>1034</v>
      </c>
      <c r="N27" s="90" t="s">
        <v>30</v>
      </c>
      <c r="O27" s="90" t="s">
        <v>97</v>
      </c>
      <c r="P27" s="91">
        <v>42758</v>
      </c>
      <c r="Q27" s="102">
        <v>17002205</v>
      </c>
      <c r="R27" s="89" t="s">
        <v>1062</v>
      </c>
      <c r="S27" s="89" t="s">
        <v>1036</v>
      </c>
      <c r="T27" s="89"/>
      <c r="U27" s="103" t="s">
        <v>616</v>
      </c>
      <c r="V27" s="104" t="s">
        <v>97</v>
      </c>
      <c r="W27" s="102">
        <v>17002205</v>
      </c>
      <c r="X27" s="102"/>
      <c r="Y27" s="102"/>
      <c r="Z27" s="107"/>
      <c r="AA27" s="102"/>
      <c r="AB27" s="102"/>
      <c r="AC27" s="102"/>
      <c r="AD27" s="107"/>
      <c r="AE27" s="102"/>
      <c r="AF27" s="102"/>
      <c r="AG27" s="102"/>
      <c r="AH27" s="107"/>
      <c r="AI27" s="102"/>
      <c r="AJ27" s="102"/>
      <c r="AK27" s="102"/>
      <c r="AL27" s="107"/>
      <c r="AM27" s="102"/>
      <c r="AN27" s="102"/>
      <c r="AO27" s="102"/>
      <c r="AP27" s="107"/>
      <c r="AQ27" s="102"/>
      <c r="AR27" s="102"/>
      <c r="AS27" s="102"/>
      <c r="AT27" s="107"/>
      <c r="AU27" s="102"/>
      <c r="AV27" s="102"/>
      <c r="AW27" s="102"/>
      <c r="AX27" s="107"/>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22"/>
      <c r="CD27" s="123">
        <f t="shared" si="20"/>
        <v>17002205</v>
      </c>
      <c r="CE27" s="102">
        <f t="shared" si="21"/>
        <v>0</v>
      </c>
      <c r="CF27" s="102">
        <f t="shared" si="22"/>
        <v>0</v>
      </c>
      <c r="CG27" s="102">
        <f t="shared" si="23"/>
        <v>0</v>
      </c>
      <c r="CH27" s="124">
        <f t="shared" si="24"/>
        <v>17002205</v>
      </c>
      <c r="CI27" s="125">
        <f t="shared" si="25"/>
        <v>0</v>
      </c>
      <c r="CJ27" s="126" t="str">
        <f t="shared" si="26"/>
        <v>数据正确</v>
      </c>
    </row>
    <row r="28" s="130" customFormat="1" customHeight="1" spans="1:88">
      <c r="A28" s="130" t="s">
        <v>36</v>
      </c>
      <c r="B28" s="132" t="str">
        <f t="shared" si="12"/>
        <v>申请中</v>
      </c>
      <c r="C28" s="133" t="str">
        <f t="shared" si="13"/>
        <v>-</v>
      </c>
      <c r="D28" s="182">
        <f t="shared" si="14"/>
        <v>13749109.14</v>
      </c>
      <c r="E28" s="182">
        <f>SUM(E20:E27)</f>
        <v>180000</v>
      </c>
      <c r="F28" s="182">
        <f>SUM(F20:F27)</f>
        <v>104991</v>
      </c>
      <c r="G28" s="182">
        <f>SUM(G20:G27)</f>
        <v>54847.8599999994</v>
      </c>
      <c r="H28" s="182">
        <f>SUM(H20:H27)</f>
        <v>0</v>
      </c>
      <c r="I28" s="182">
        <f t="shared" si="15"/>
        <v>31573</v>
      </c>
      <c r="J28" s="142" t="s">
        <v>98</v>
      </c>
      <c r="K28" s="172"/>
      <c r="L28" s="143">
        <v>139</v>
      </c>
      <c r="M28" s="144" t="s">
        <v>1034</v>
      </c>
      <c r="N28" s="145" t="s">
        <v>30</v>
      </c>
      <c r="O28" s="145" t="s">
        <v>97</v>
      </c>
      <c r="P28" s="146">
        <v>42758</v>
      </c>
      <c r="Q28" s="158">
        <f>SUM(Q20:Q27)</f>
        <v>51560000</v>
      </c>
      <c r="R28" s="144" t="s">
        <v>1063</v>
      </c>
      <c r="S28" s="144" t="s">
        <v>1036</v>
      </c>
      <c r="T28" s="144"/>
      <c r="U28" s="156" t="s">
        <v>616</v>
      </c>
      <c r="V28" s="186" t="s">
        <v>97</v>
      </c>
      <c r="W28" s="158">
        <f>SUM(W20:W27)</f>
        <v>21507636</v>
      </c>
      <c r="X28" s="158">
        <f t="shared" ref="X28:BC28" si="27">SUM(X20:X27)</f>
        <v>3600000</v>
      </c>
      <c r="Y28" s="158">
        <f t="shared" si="27"/>
        <v>3600000</v>
      </c>
      <c r="Z28" s="158">
        <f t="shared" si="27"/>
        <v>0</v>
      </c>
      <c r="AA28" s="158">
        <f t="shared" si="27"/>
        <v>5353216.6</v>
      </c>
      <c r="AB28" s="158">
        <f t="shared" si="27"/>
        <v>4282000</v>
      </c>
      <c r="AC28" s="158">
        <f t="shared" si="27"/>
        <v>4025695.08</v>
      </c>
      <c r="AD28" s="158">
        <f t="shared" si="27"/>
        <v>0</v>
      </c>
      <c r="AE28" s="158">
        <f t="shared" si="27"/>
        <v>2262297.2</v>
      </c>
      <c r="AF28" s="158">
        <f t="shared" si="27"/>
        <v>1809531</v>
      </c>
      <c r="AG28" s="158">
        <f t="shared" si="27"/>
        <v>1773414.06</v>
      </c>
      <c r="AH28" s="158">
        <f t="shared" si="27"/>
        <v>0</v>
      </c>
      <c r="AI28" s="158">
        <f t="shared" si="27"/>
        <v>5536237.8</v>
      </c>
      <c r="AJ28" s="158">
        <f t="shared" si="27"/>
        <v>4428990</v>
      </c>
      <c r="AK28" s="158">
        <f t="shared" si="27"/>
        <v>4350000</v>
      </c>
      <c r="AL28" s="158">
        <f t="shared" si="27"/>
        <v>0</v>
      </c>
      <c r="AM28" s="158">
        <f t="shared" si="27"/>
        <v>3376350.44</v>
      </c>
      <c r="AN28" s="158">
        <f t="shared" si="27"/>
        <v>0</v>
      </c>
      <c r="AO28" s="158">
        <f t="shared" si="27"/>
        <v>0</v>
      </c>
      <c r="AP28" s="158">
        <f t="shared" si="27"/>
        <v>0</v>
      </c>
      <c r="AQ28" s="158">
        <f t="shared" si="27"/>
        <v>3109533.14</v>
      </c>
      <c r="AR28" s="158">
        <f t="shared" si="27"/>
        <v>0</v>
      </c>
      <c r="AS28" s="158">
        <f t="shared" si="27"/>
        <v>0</v>
      </c>
      <c r="AT28" s="158">
        <f t="shared" si="27"/>
        <v>0</v>
      </c>
      <c r="AU28" s="158">
        <f t="shared" si="27"/>
        <v>2365039.27</v>
      </c>
      <c r="AV28" s="158">
        <f t="shared" si="27"/>
        <v>0</v>
      </c>
      <c r="AW28" s="158">
        <f t="shared" si="27"/>
        <v>0</v>
      </c>
      <c r="AX28" s="158">
        <f t="shared" si="27"/>
        <v>0</v>
      </c>
      <c r="AY28" s="158">
        <f t="shared" si="27"/>
        <v>2059337.63</v>
      </c>
      <c r="AZ28" s="158">
        <f t="shared" si="27"/>
        <v>0</v>
      </c>
      <c r="BA28" s="158">
        <f t="shared" si="27"/>
        <v>0</v>
      </c>
      <c r="BB28" s="158">
        <f t="shared" si="27"/>
        <v>0</v>
      </c>
      <c r="BC28" s="158">
        <f t="shared" si="27"/>
        <v>4925746.72</v>
      </c>
      <c r="BD28" s="158">
        <f t="shared" ref="BD28:CC28" si="28">SUM(BD20:BD27)</f>
        <v>0</v>
      </c>
      <c r="BE28" s="158">
        <f t="shared" si="28"/>
        <v>0</v>
      </c>
      <c r="BF28" s="158">
        <f t="shared" si="28"/>
        <v>0</v>
      </c>
      <c r="BG28" s="158">
        <f t="shared" si="28"/>
        <v>177434.2</v>
      </c>
      <c r="BH28" s="158">
        <f t="shared" si="28"/>
        <v>0</v>
      </c>
      <c r="BI28" s="158">
        <f t="shared" si="28"/>
        <v>0</v>
      </c>
      <c r="BJ28" s="158">
        <f t="shared" si="28"/>
        <v>0</v>
      </c>
      <c r="BK28" s="158">
        <f t="shared" si="28"/>
        <v>248407.88</v>
      </c>
      <c r="BL28" s="158">
        <f t="shared" si="28"/>
        <v>0</v>
      </c>
      <c r="BM28" s="158">
        <f t="shared" si="28"/>
        <v>0</v>
      </c>
      <c r="BN28" s="158">
        <f t="shared" si="28"/>
        <v>0</v>
      </c>
      <c r="BO28" s="158">
        <f t="shared" si="28"/>
        <v>638763.12</v>
      </c>
      <c r="BP28" s="158">
        <f t="shared" si="28"/>
        <v>0</v>
      </c>
      <c r="BQ28" s="158">
        <f t="shared" si="28"/>
        <v>0</v>
      </c>
      <c r="BR28" s="158">
        <f t="shared" si="28"/>
        <v>0</v>
      </c>
      <c r="BS28" s="158">
        <f t="shared" si="28"/>
        <v>0</v>
      </c>
      <c r="BT28" s="158">
        <f t="shared" si="28"/>
        <v>0</v>
      </c>
      <c r="BU28" s="158">
        <f t="shared" si="28"/>
        <v>0</v>
      </c>
      <c r="BV28" s="158">
        <f t="shared" si="28"/>
        <v>0</v>
      </c>
      <c r="BW28" s="158">
        <f t="shared" si="28"/>
        <v>0</v>
      </c>
      <c r="BX28" s="158">
        <f t="shared" si="28"/>
        <v>0</v>
      </c>
      <c r="BY28" s="158">
        <f t="shared" si="28"/>
        <v>0</v>
      </c>
      <c r="BZ28" s="158">
        <f t="shared" si="28"/>
        <v>0</v>
      </c>
      <c r="CA28" s="158">
        <f t="shared" si="28"/>
        <v>0</v>
      </c>
      <c r="CB28" s="158">
        <f t="shared" si="28"/>
        <v>0</v>
      </c>
      <c r="CC28" s="158">
        <f t="shared" si="28"/>
        <v>0</v>
      </c>
      <c r="CD28" s="123">
        <f t="shared" si="20"/>
        <v>51560000</v>
      </c>
      <c r="CE28" s="102">
        <f t="shared" si="21"/>
        <v>14120521</v>
      </c>
      <c r="CF28" s="102">
        <f t="shared" si="22"/>
        <v>13749109.14</v>
      </c>
      <c r="CG28" s="102">
        <f t="shared" si="23"/>
        <v>339838.859999999</v>
      </c>
      <c r="CH28" s="124">
        <f t="shared" si="24"/>
        <v>37471052</v>
      </c>
      <c r="CI28" s="125">
        <f t="shared" si="25"/>
        <v>0.273253452288596</v>
      </c>
      <c r="CJ28" s="126" t="str">
        <f t="shared" si="26"/>
        <v>数据正确</v>
      </c>
    </row>
    <row r="29" s="60" customFormat="1" customHeight="1" spans="2:88">
      <c r="B29" s="70" t="str">
        <f t="shared" si="12"/>
        <v>-</v>
      </c>
      <c r="C29" s="71" t="str">
        <f t="shared" si="13"/>
        <v>-</v>
      </c>
      <c r="D29" s="180">
        <f t="shared" si="14"/>
        <v>2614039.86</v>
      </c>
      <c r="E29" s="181">
        <f>50000</f>
        <v>50000</v>
      </c>
      <c r="F29" s="181">
        <f>27068+21056+21452</f>
        <v>69576</v>
      </c>
      <c r="G29" s="181">
        <f>21140+21200.14+11144</f>
        <v>53484.14</v>
      </c>
      <c r="H29" s="181">
        <f>500</f>
        <v>500</v>
      </c>
      <c r="I29" s="180">
        <f t="shared" si="15"/>
        <v>0</v>
      </c>
      <c r="J29" s="86" t="s">
        <v>98</v>
      </c>
      <c r="K29" s="87"/>
      <c r="L29" s="88">
        <v>62</v>
      </c>
      <c r="M29" s="89" t="s">
        <v>1064</v>
      </c>
      <c r="N29" s="90" t="s">
        <v>30</v>
      </c>
      <c r="O29" s="90" t="s">
        <v>97</v>
      </c>
      <c r="P29" s="91">
        <v>42814</v>
      </c>
      <c r="Q29" s="102">
        <v>3360000</v>
      </c>
      <c r="R29" s="89" t="s">
        <v>1065</v>
      </c>
      <c r="S29" s="89" t="s">
        <v>1066</v>
      </c>
      <c r="T29" s="89"/>
      <c r="U29" s="103" t="s">
        <v>354</v>
      </c>
      <c r="V29" s="104" t="s">
        <v>1067</v>
      </c>
      <c r="W29" s="102">
        <v>2688000</v>
      </c>
      <c r="X29" s="102">
        <v>2787600</v>
      </c>
      <c r="Y29" s="102">
        <v>2614039.86</v>
      </c>
      <c r="Z29" s="107" t="s">
        <v>1067</v>
      </c>
      <c r="AA29" s="102">
        <v>672000</v>
      </c>
      <c r="AB29" s="102"/>
      <c r="AC29" s="102"/>
      <c r="AD29" s="107"/>
      <c r="AE29" s="102"/>
      <c r="AF29" s="102"/>
      <c r="AG29" s="102"/>
      <c r="AH29" s="107"/>
      <c r="AI29" s="102"/>
      <c r="AJ29" s="102"/>
      <c r="AK29" s="102"/>
      <c r="AL29" s="107"/>
      <c r="AM29" s="102"/>
      <c r="AN29" s="102"/>
      <c r="AO29" s="102"/>
      <c r="AP29" s="107"/>
      <c r="AQ29" s="102"/>
      <c r="AR29" s="102"/>
      <c r="AS29" s="102"/>
      <c r="AT29" s="107"/>
      <c r="AU29" s="102"/>
      <c r="AV29" s="102"/>
      <c r="AW29" s="102"/>
      <c r="AX29" s="107"/>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22"/>
      <c r="CD29" s="123">
        <f t="shared" si="20"/>
        <v>3360000</v>
      </c>
      <c r="CE29" s="102">
        <f t="shared" si="21"/>
        <v>2787600</v>
      </c>
      <c r="CF29" s="102">
        <f t="shared" si="22"/>
        <v>2614039.86</v>
      </c>
      <c r="CG29" s="102">
        <f t="shared" si="23"/>
        <v>173560.14</v>
      </c>
      <c r="CH29" s="124">
        <f t="shared" si="24"/>
        <v>572400</v>
      </c>
      <c r="CI29" s="125">
        <f t="shared" si="25"/>
        <v>0.829642857142857</v>
      </c>
      <c r="CJ29" s="126" t="str">
        <f t="shared" si="26"/>
        <v>数据正确</v>
      </c>
    </row>
    <row r="30" s="60" customFormat="1" customHeight="1" spans="2:88">
      <c r="B30" s="70" t="str">
        <f t="shared" si="12"/>
        <v>申请中</v>
      </c>
      <c r="C30" s="71" t="str">
        <f t="shared" si="13"/>
        <v>-</v>
      </c>
      <c r="D30" s="180">
        <f t="shared" si="14"/>
        <v>2987398</v>
      </c>
      <c r="E30" s="181">
        <v>68000</v>
      </c>
      <c r="F30" s="181">
        <f>37602</f>
        <v>37602</v>
      </c>
      <c r="G30" s="181">
        <v>0</v>
      </c>
      <c r="H30" s="181">
        <v>0</v>
      </c>
      <c r="I30" s="180">
        <f t="shared" si="15"/>
        <v>3807000</v>
      </c>
      <c r="J30" s="86" t="s">
        <v>98</v>
      </c>
      <c r="K30" s="87"/>
      <c r="L30" s="88">
        <v>66</v>
      </c>
      <c r="M30" s="89" t="s">
        <v>1068</v>
      </c>
      <c r="N30" s="90" t="s">
        <v>30</v>
      </c>
      <c r="O30" s="90" t="s">
        <v>97</v>
      </c>
      <c r="P30" s="91">
        <v>42814</v>
      </c>
      <c r="Q30" s="102">
        <v>8625000</v>
      </c>
      <c r="R30" s="89" t="s">
        <v>41</v>
      </c>
      <c r="S30" s="89" t="s">
        <v>1069</v>
      </c>
      <c r="T30" s="89"/>
      <c r="U30" s="103" t="s">
        <v>354</v>
      </c>
      <c r="V30" s="104" t="s">
        <v>1070</v>
      </c>
      <c r="W30" s="102">
        <v>6900000</v>
      </c>
      <c r="X30" s="102">
        <v>6900000</v>
      </c>
      <c r="Y30" s="102">
        <v>2987398</v>
      </c>
      <c r="Z30" s="107" t="s">
        <v>1070</v>
      </c>
      <c r="AA30" s="102">
        <v>1725000</v>
      </c>
      <c r="AB30" s="102"/>
      <c r="AC30" s="102"/>
      <c r="AD30" s="107"/>
      <c r="AE30" s="102"/>
      <c r="AF30" s="102"/>
      <c r="AG30" s="102"/>
      <c r="AH30" s="107"/>
      <c r="AI30" s="102"/>
      <c r="AJ30" s="102"/>
      <c r="AK30" s="102"/>
      <c r="AL30" s="107"/>
      <c r="AM30" s="102"/>
      <c r="AN30" s="102"/>
      <c r="AO30" s="102"/>
      <c r="AP30" s="107"/>
      <c r="AQ30" s="102"/>
      <c r="AR30" s="102"/>
      <c r="AS30" s="102"/>
      <c r="AT30" s="107"/>
      <c r="AU30" s="102"/>
      <c r="AV30" s="102"/>
      <c r="AW30" s="102"/>
      <c r="AX30" s="107"/>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22"/>
      <c r="CD30" s="123">
        <f t="shared" si="20"/>
        <v>8625000</v>
      </c>
      <c r="CE30" s="102">
        <f t="shared" si="21"/>
        <v>6900000</v>
      </c>
      <c r="CF30" s="102">
        <f t="shared" si="22"/>
        <v>2987398</v>
      </c>
      <c r="CG30" s="102">
        <f t="shared" si="23"/>
        <v>105602</v>
      </c>
      <c r="CH30" s="124">
        <f t="shared" si="24"/>
        <v>5532000</v>
      </c>
      <c r="CI30" s="125">
        <f t="shared" si="25"/>
        <v>0.358608695652174</v>
      </c>
      <c r="CJ30" s="126" t="str">
        <f t="shared" si="26"/>
        <v>数据正确</v>
      </c>
    </row>
    <row r="31" s="60" customFormat="1" customHeight="1" spans="2:88">
      <c r="B31" s="70" t="str">
        <f t="shared" si="12"/>
        <v>-</v>
      </c>
      <c r="C31" s="71" t="str">
        <f t="shared" si="13"/>
        <v>已付清</v>
      </c>
      <c r="D31" s="180">
        <f t="shared" si="14"/>
        <v>0.001</v>
      </c>
      <c r="E31" s="180">
        <v>0</v>
      </c>
      <c r="F31" s="180">
        <v>0</v>
      </c>
      <c r="G31" s="180">
        <v>0</v>
      </c>
      <c r="H31" s="180">
        <v>0</v>
      </c>
      <c r="I31" s="180">
        <f t="shared" si="15"/>
        <v>0</v>
      </c>
      <c r="J31" s="86" t="s">
        <v>98</v>
      </c>
      <c r="K31" s="87"/>
      <c r="L31" s="88">
        <v>152</v>
      </c>
      <c r="M31" s="89" t="s">
        <v>1071</v>
      </c>
      <c r="N31" s="90" t="s">
        <v>30</v>
      </c>
      <c r="O31" s="90" t="s">
        <v>97</v>
      </c>
      <c r="P31" s="91">
        <v>42824</v>
      </c>
      <c r="Q31" s="102">
        <v>0.001</v>
      </c>
      <c r="R31" s="89" t="s">
        <v>1072</v>
      </c>
      <c r="S31" s="89" t="s">
        <v>1066</v>
      </c>
      <c r="T31" s="89"/>
      <c r="U31" s="103" t="s">
        <v>1073</v>
      </c>
      <c r="V31" s="104" t="s">
        <v>1074</v>
      </c>
      <c r="W31" s="102">
        <v>0.001</v>
      </c>
      <c r="X31" s="102">
        <v>0.001</v>
      </c>
      <c r="Y31" s="102">
        <v>0.001</v>
      </c>
      <c r="Z31" s="107"/>
      <c r="AA31" s="102"/>
      <c r="AB31" s="102"/>
      <c r="AC31" s="102"/>
      <c r="AD31" s="107"/>
      <c r="AE31" s="102"/>
      <c r="AF31" s="102"/>
      <c r="AG31" s="102"/>
      <c r="AH31" s="107"/>
      <c r="AI31" s="102"/>
      <c r="AJ31" s="102"/>
      <c r="AK31" s="102"/>
      <c r="AL31" s="107"/>
      <c r="AM31" s="102"/>
      <c r="AN31" s="102"/>
      <c r="AO31" s="102"/>
      <c r="AP31" s="107"/>
      <c r="AQ31" s="102"/>
      <c r="AR31" s="102"/>
      <c r="AS31" s="102"/>
      <c r="AT31" s="107"/>
      <c r="AU31" s="102"/>
      <c r="AV31" s="102"/>
      <c r="AW31" s="102"/>
      <c r="AX31" s="107"/>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22"/>
      <c r="CD31" s="123">
        <f t="shared" si="20"/>
        <v>0.001</v>
      </c>
      <c r="CE31" s="102">
        <f t="shared" si="21"/>
        <v>0.001</v>
      </c>
      <c r="CF31" s="102">
        <f t="shared" si="22"/>
        <v>0.001</v>
      </c>
      <c r="CG31" s="102">
        <f t="shared" si="23"/>
        <v>0</v>
      </c>
      <c r="CH31" s="124">
        <f t="shared" si="24"/>
        <v>0</v>
      </c>
      <c r="CI31" s="125">
        <f t="shared" si="25"/>
        <v>1</v>
      </c>
      <c r="CJ31" s="126" t="str">
        <f t="shared" si="26"/>
        <v>数据正确</v>
      </c>
    </row>
    <row r="32" s="60" customFormat="1" customHeight="1" outlineLevel="1" spans="1:88">
      <c r="A32" s="60" t="s">
        <v>36</v>
      </c>
      <c r="B32" s="70" t="str">
        <f t="shared" si="12"/>
        <v>申请中</v>
      </c>
      <c r="C32" s="71" t="str">
        <f t="shared" si="13"/>
        <v>-</v>
      </c>
      <c r="D32" s="180">
        <f t="shared" si="14"/>
        <v>0</v>
      </c>
      <c r="E32" s="180">
        <v>0</v>
      </c>
      <c r="F32" s="180">
        <v>0</v>
      </c>
      <c r="G32" s="180">
        <v>0</v>
      </c>
      <c r="H32" s="180">
        <v>0</v>
      </c>
      <c r="I32" s="180">
        <f t="shared" si="15"/>
        <v>954972.8</v>
      </c>
      <c r="J32" s="86" t="s">
        <v>98</v>
      </c>
      <c r="K32" s="87"/>
      <c r="L32" s="141" t="s">
        <v>1075</v>
      </c>
      <c r="M32" s="89" t="s">
        <v>1076</v>
      </c>
      <c r="N32" s="90" t="s">
        <v>30</v>
      </c>
      <c r="O32" s="90" t="s">
        <v>97</v>
      </c>
      <c r="P32" s="91">
        <v>42886</v>
      </c>
      <c r="Q32" s="102">
        <v>3000000</v>
      </c>
      <c r="R32" s="89" t="s">
        <v>1077</v>
      </c>
      <c r="S32" s="89" t="s">
        <v>1078</v>
      </c>
      <c r="T32" s="89"/>
      <c r="U32" s="103" t="s">
        <v>354</v>
      </c>
      <c r="V32" s="104" t="s">
        <v>1079</v>
      </c>
      <c r="W32" s="102">
        <v>0</v>
      </c>
      <c r="X32" s="102">
        <v>0</v>
      </c>
      <c r="Y32" s="102">
        <v>0</v>
      </c>
      <c r="Z32" s="107" t="s">
        <v>1079</v>
      </c>
      <c r="AA32" s="102">
        <v>1193716</v>
      </c>
      <c r="AB32" s="102">
        <v>954972.8</v>
      </c>
      <c r="AC32" s="102"/>
      <c r="AD32" s="107" t="s">
        <v>1079</v>
      </c>
      <c r="AE32" s="102"/>
      <c r="AF32" s="102"/>
      <c r="AG32" s="102"/>
      <c r="AH32" s="107" t="s">
        <v>1079</v>
      </c>
      <c r="AI32" s="102"/>
      <c r="AJ32" s="102"/>
      <c r="AK32" s="102"/>
      <c r="AL32" s="107" t="s">
        <v>1079</v>
      </c>
      <c r="AM32" s="102"/>
      <c r="AN32" s="102"/>
      <c r="AO32" s="102"/>
      <c r="AP32" s="107" t="s">
        <v>1079</v>
      </c>
      <c r="AQ32" s="102"/>
      <c r="AR32" s="102"/>
      <c r="AS32" s="102"/>
      <c r="AT32" s="107" t="s">
        <v>1079</v>
      </c>
      <c r="AU32" s="102"/>
      <c r="AV32" s="102"/>
      <c r="AW32" s="102"/>
      <c r="AX32" s="107" t="s">
        <v>1080</v>
      </c>
      <c r="AY32" s="102">
        <v>1806284</v>
      </c>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22"/>
      <c r="CD32" s="123">
        <f t="shared" si="20"/>
        <v>3000000</v>
      </c>
      <c r="CE32" s="102">
        <f t="shared" si="21"/>
        <v>954972.8</v>
      </c>
      <c r="CF32" s="102">
        <f t="shared" si="22"/>
        <v>0</v>
      </c>
      <c r="CG32" s="102">
        <f t="shared" si="23"/>
        <v>0</v>
      </c>
      <c r="CH32" s="124">
        <f t="shared" si="24"/>
        <v>3000000</v>
      </c>
      <c r="CI32" s="125">
        <f t="shared" si="25"/>
        <v>0</v>
      </c>
      <c r="CJ32" s="126" t="str">
        <f t="shared" si="26"/>
        <v>数据正确</v>
      </c>
    </row>
    <row r="33" s="60" customFormat="1" customHeight="1" outlineLevel="1" spans="1:88">
      <c r="A33" s="60" t="s">
        <v>36</v>
      </c>
      <c r="B33" s="70" t="str">
        <f t="shared" si="12"/>
        <v>申请中</v>
      </c>
      <c r="C33" s="71" t="str">
        <f t="shared" si="13"/>
        <v>-</v>
      </c>
      <c r="D33" s="180">
        <f t="shared" si="14"/>
        <v>1374870.392</v>
      </c>
      <c r="E33" s="180">
        <v>0</v>
      </c>
      <c r="F33" s="180">
        <v>0</v>
      </c>
      <c r="G33" s="180">
        <v>0</v>
      </c>
      <c r="H33" s="180">
        <v>0</v>
      </c>
      <c r="I33" s="180">
        <f t="shared" si="15"/>
        <v>1360095.2</v>
      </c>
      <c r="J33" s="86" t="s">
        <v>98</v>
      </c>
      <c r="K33" s="87"/>
      <c r="L33" s="141" t="s">
        <v>1081</v>
      </c>
      <c r="M33" s="89" t="s">
        <v>1076</v>
      </c>
      <c r="N33" s="90" t="s">
        <v>30</v>
      </c>
      <c r="O33" s="90" t="s">
        <v>97</v>
      </c>
      <c r="P33" s="91">
        <v>42886</v>
      </c>
      <c r="Q33" s="102">
        <v>3000000</v>
      </c>
      <c r="R33" s="89" t="s">
        <v>1082</v>
      </c>
      <c r="S33" s="89" t="s">
        <v>1078</v>
      </c>
      <c r="T33" s="89"/>
      <c r="U33" s="103" t="s">
        <v>354</v>
      </c>
      <c r="V33" s="104" t="s">
        <v>1079</v>
      </c>
      <c r="W33" s="102">
        <v>1718587.99</v>
      </c>
      <c r="X33" s="102">
        <v>1374870.392</v>
      </c>
      <c r="Y33" s="102">
        <v>1374870.392</v>
      </c>
      <c r="Z33" s="107" t="s">
        <v>1079</v>
      </c>
      <c r="AA33" s="102">
        <v>1700119</v>
      </c>
      <c r="AB33" s="102">
        <v>1360095.2</v>
      </c>
      <c r="AC33" s="102"/>
      <c r="AD33" s="107" t="s">
        <v>1079</v>
      </c>
      <c r="AE33" s="102"/>
      <c r="AF33" s="102"/>
      <c r="AG33" s="102"/>
      <c r="AH33" s="107" t="s">
        <v>1079</v>
      </c>
      <c r="AI33" s="102"/>
      <c r="AJ33" s="102"/>
      <c r="AK33" s="102"/>
      <c r="AL33" s="107" t="s">
        <v>1079</v>
      </c>
      <c r="AM33" s="102"/>
      <c r="AN33" s="102"/>
      <c r="AO33" s="102"/>
      <c r="AP33" s="107" t="s">
        <v>1079</v>
      </c>
      <c r="AQ33" s="102"/>
      <c r="AR33" s="102"/>
      <c r="AS33" s="102"/>
      <c r="AT33" s="107" t="s">
        <v>1079</v>
      </c>
      <c r="AU33" s="102"/>
      <c r="AV33" s="102"/>
      <c r="AW33" s="102"/>
      <c r="AX33" s="107" t="s">
        <v>1080</v>
      </c>
      <c r="AY33" s="102">
        <v>-418706.99</v>
      </c>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22"/>
      <c r="CD33" s="123">
        <f t="shared" si="20"/>
        <v>3000000</v>
      </c>
      <c r="CE33" s="102">
        <f t="shared" si="21"/>
        <v>2734965.592</v>
      </c>
      <c r="CF33" s="102">
        <f t="shared" si="22"/>
        <v>1374870.392</v>
      </c>
      <c r="CG33" s="102">
        <f t="shared" si="23"/>
        <v>0</v>
      </c>
      <c r="CH33" s="124">
        <f t="shared" si="24"/>
        <v>1625129.608</v>
      </c>
      <c r="CI33" s="125">
        <f t="shared" si="25"/>
        <v>0.458290130666667</v>
      </c>
      <c r="CJ33" s="126" t="str">
        <f t="shared" si="26"/>
        <v>数据正确</v>
      </c>
    </row>
    <row r="34" s="60" customFormat="1" customHeight="1" outlineLevel="1" spans="1:88">
      <c r="A34" s="60" t="s">
        <v>36</v>
      </c>
      <c r="B34" s="70" t="str">
        <f t="shared" si="12"/>
        <v>申请中</v>
      </c>
      <c r="C34" s="71" t="str">
        <f t="shared" si="13"/>
        <v>-</v>
      </c>
      <c r="D34" s="180">
        <f t="shared" si="14"/>
        <v>882116.496</v>
      </c>
      <c r="E34" s="180">
        <v>0</v>
      </c>
      <c r="F34" s="180">
        <v>0</v>
      </c>
      <c r="G34" s="180">
        <v>0</v>
      </c>
      <c r="H34" s="180">
        <v>0</v>
      </c>
      <c r="I34" s="180">
        <f t="shared" si="15"/>
        <v>463858.4</v>
      </c>
      <c r="J34" s="86" t="s">
        <v>98</v>
      </c>
      <c r="K34" s="87"/>
      <c r="L34" s="141" t="s">
        <v>1083</v>
      </c>
      <c r="M34" s="89" t="s">
        <v>1076</v>
      </c>
      <c r="N34" s="90" t="s">
        <v>30</v>
      </c>
      <c r="O34" s="90" t="s">
        <v>97</v>
      </c>
      <c r="P34" s="91">
        <v>42886</v>
      </c>
      <c r="Q34" s="102">
        <v>3000000</v>
      </c>
      <c r="R34" s="89" t="s">
        <v>1084</v>
      </c>
      <c r="S34" s="89" t="s">
        <v>1078</v>
      </c>
      <c r="T34" s="89"/>
      <c r="U34" s="103" t="s">
        <v>354</v>
      </c>
      <c r="V34" s="104" t="s">
        <v>1079</v>
      </c>
      <c r="W34" s="102">
        <v>1102645.62</v>
      </c>
      <c r="X34" s="102">
        <v>882116.496</v>
      </c>
      <c r="Y34" s="102">
        <v>882116.496</v>
      </c>
      <c r="Z34" s="107" t="s">
        <v>1079</v>
      </c>
      <c r="AA34" s="102">
        <v>579823</v>
      </c>
      <c r="AB34" s="102">
        <v>463858.4</v>
      </c>
      <c r="AC34" s="102"/>
      <c r="AD34" s="107" t="s">
        <v>1079</v>
      </c>
      <c r="AE34" s="102"/>
      <c r="AF34" s="102"/>
      <c r="AG34" s="102"/>
      <c r="AH34" s="107" t="s">
        <v>1079</v>
      </c>
      <c r="AI34" s="102"/>
      <c r="AJ34" s="102"/>
      <c r="AK34" s="102"/>
      <c r="AL34" s="107" t="s">
        <v>1079</v>
      </c>
      <c r="AM34" s="102"/>
      <c r="AN34" s="102"/>
      <c r="AO34" s="102"/>
      <c r="AP34" s="107" t="s">
        <v>1079</v>
      </c>
      <c r="AQ34" s="102"/>
      <c r="AR34" s="102"/>
      <c r="AS34" s="102"/>
      <c r="AT34" s="107" t="s">
        <v>1079</v>
      </c>
      <c r="AU34" s="102"/>
      <c r="AV34" s="102"/>
      <c r="AW34" s="102"/>
      <c r="AX34" s="107" t="s">
        <v>1080</v>
      </c>
      <c r="AY34" s="102">
        <v>1317531.38</v>
      </c>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22"/>
      <c r="CD34" s="123">
        <f t="shared" si="20"/>
        <v>3000000</v>
      </c>
      <c r="CE34" s="102">
        <f t="shared" si="21"/>
        <v>1345974.896</v>
      </c>
      <c r="CF34" s="102">
        <f t="shared" si="22"/>
        <v>882116.496</v>
      </c>
      <c r="CG34" s="102">
        <f t="shared" si="23"/>
        <v>0</v>
      </c>
      <c r="CH34" s="124">
        <f t="shared" si="24"/>
        <v>2117883.504</v>
      </c>
      <c r="CI34" s="125">
        <f t="shared" si="25"/>
        <v>0.294038832</v>
      </c>
      <c r="CJ34" s="126" t="str">
        <f t="shared" si="26"/>
        <v>数据正确</v>
      </c>
    </row>
    <row r="35" s="60" customFormat="1" customHeight="1" outlineLevel="1" spans="1:88">
      <c r="A35" s="60" t="s">
        <v>36</v>
      </c>
      <c r="B35" s="70" t="str">
        <f t="shared" si="12"/>
        <v>-</v>
      </c>
      <c r="C35" s="71" t="str">
        <f t="shared" si="13"/>
        <v>-</v>
      </c>
      <c r="D35" s="180">
        <f t="shared" si="14"/>
        <v>0</v>
      </c>
      <c r="E35" s="180">
        <v>0</v>
      </c>
      <c r="F35" s="180">
        <v>0</v>
      </c>
      <c r="G35" s="180">
        <v>0</v>
      </c>
      <c r="H35" s="180">
        <v>0</v>
      </c>
      <c r="I35" s="180">
        <f t="shared" si="15"/>
        <v>0</v>
      </c>
      <c r="J35" s="86" t="s">
        <v>98</v>
      </c>
      <c r="K35" s="87"/>
      <c r="L35" s="141" t="s">
        <v>1085</v>
      </c>
      <c r="M35" s="89" t="s">
        <v>1076</v>
      </c>
      <c r="N35" s="90" t="s">
        <v>30</v>
      </c>
      <c r="O35" s="90" t="s">
        <v>97</v>
      </c>
      <c r="P35" s="91">
        <v>42886</v>
      </c>
      <c r="Q35" s="102">
        <v>3000000</v>
      </c>
      <c r="R35" s="89" t="s">
        <v>1086</v>
      </c>
      <c r="S35" s="89" t="s">
        <v>1078</v>
      </c>
      <c r="T35" s="89"/>
      <c r="U35" s="103" t="s">
        <v>354</v>
      </c>
      <c r="V35" s="104" t="s">
        <v>41</v>
      </c>
      <c r="W35" s="102">
        <v>0</v>
      </c>
      <c r="X35" s="102">
        <v>0</v>
      </c>
      <c r="Y35" s="102">
        <v>0</v>
      </c>
      <c r="Z35" s="107" t="s">
        <v>1079</v>
      </c>
      <c r="AA35" s="102">
        <v>0</v>
      </c>
      <c r="AB35" s="102">
        <v>0</v>
      </c>
      <c r="AC35" s="102"/>
      <c r="AD35" s="107" t="s">
        <v>1079</v>
      </c>
      <c r="AE35" s="102"/>
      <c r="AF35" s="102"/>
      <c r="AG35" s="102"/>
      <c r="AH35" s="107" t="s">
        <v>1079</v>
      </c>
      <c r="AI35" s="102"/>
      <c r="AJ35" s="102"/>
      <c r="AK35" s="102"/>
      <c r="AL35" s="107" t="s">
        <v>1079</v>
      </c>
      <c r="AM35" s="102"/>
      <c r="AN35" s="102"/>
      <c r="AO35" s="102"/>
      <c r="AP35" s="107" t="s">
        <v>1079</v>
      </c>
      <c r="AQ35" s="102"/>
      <c r="AR35" s="102"/>
      <c r="AS35" s="102"/>
      <c r="AT35" s="107" t="s">
        <v>1079</v>
      </c>
      <c r="AU35" s="102"/>
      <c r="AV35" s="102"/>
      <c r="AW35" s="102"/>
      <c r="AX35" s="107" t="s">
        <v>1080</v>
      </c>
      <c r="AY35" s="102">
        <v>3000000</v>
      </c>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22"/>
      <c r="CD35" s="123">
        <f t="shared" si="20"/>
        <v>3000000</v>
      </c>
      <c r="CE35" s="102">
        <f t="shared" si="21"/>
        <v>0</v>
      </c>
      <c r="CF35" s="102">
        <f t="shared" si="22"/>
        <v>0</v>
      </c>
      <c r="CG35" s="102">
        <f t="shared" si="23"/>
        <v>0</v>
      </c>
      <c r="CH35" s="124">
        <f t="shared" si="24"/>
        <v>3000000</v>
      </c>
      <c r="CI35" s="125">
        <f t="shared" si="25"/>
        <v>0</v>
      </c>
      <c r="CJ35" s="126" t="str">
        <f t="shared" si="26"/>
        <v>数据正确</v>
      </c>
    </row>
    <row r="36" s="60" customFormat="1" customHeight="1" outlineLevel="1" spans="1:88">
      <c r="A36" s="60" t="s">
        <v>36</v>
      </c>
      <c r="B36" s="70" t="str">
        <f t="shared" si="12"/>
        <v>申请中</v>
      </c>
      <c r="C36" s="71" t="str">
        <f t="shared" si="13"/>
        <v>-</v>
      </c>
      <c r="D36" s="180">
        <f t="shared" si="14"/>
        <v>227297.944</v>
      </c>
      <c r="E36" s="180">
        <v>0</v>
      </c>
      <c r="F36" s="180">
        <v>0</v>
      </c>
      <c r="G36" s="180">
        <v>0</v>
      </c>
      <c r="H36" s="180">
        <v>0</v>
      </c>
      <c r="I36" s="180">
        <f t="shared" si="15"/>
        <v>316096.8</v>
      </c>
      <c r="J36" s="86" t="s">
        <v>98</v>
      </c>
      <c r="K36" s="87"/>
      <c r="L36" s="141" t="s">
        <v>1087</v>
      </c>
      <c r="M36" s="89" t="s">
        <v>1076</v>
      </c>
      <c r="N36" s="90" t="s">
        <v>30</v>
      </c>
      <c r="O36" s="90" t="s">
        <v>97</v>
      </c>
      <c r="P36" s="91">
        <v>42886</v>
      </c>
      <c r="Q36" s="102">
        <v>3000000</v>
      </c>
      <c r="R36" s="89" t="s">
        <v>1088</v>
      </c>
      <c r="S36" s="89" t="s">
        <v>1078</v>
      </c>
      <c r="T36" s="89"/>
      <c r="U36" s="103" t="s">
        <v>354</v>
      </c>
      <c r="V36" s="104" t="s">
        <v>1079</v>
      </c>
      <c r="W36" s="102">
        <v>284122.43</v>
      </c>
      <c r="X36" s="102">
        <v>227297.944</v>
      </c>
      <c r="Y36" s="102">
        <v>227297.944</v>
      </c>
      <c r="Z36" s="107" t="s">
        <v>1079</v>
      </c>
      <c r="AA36" s="102">
        <v>395121</v>
      </c>
      <c r="AB36" s="102">
        <v>316096.8</v>
      </c>
      <c r="AC36" s="102"/>
      <c r="AD36" s="107" t="s">
        <v>1079</v>
      </c>
      <c r="AE36" s="102"/>
      <c r="AF36" s="102"/>
      <c r="AG36" s="102"/>
      <c r="AH36" s="107" t="s">
        <v>1079</v>
      </c>
      <c r="AI36" s="102"/>
      <c r="AJ36" s="102"/>
      <c r="AK36" s="102"/>
      <c r="AL36" s="107" t="s">
        <v>1079</v>
      </c>
      <c r="AM36" s="102"/>
      <c r="AN36" s="102"/>
      <c r="AO36" s="102"/>
      <c r="AP36" s="107" t="s">
        <v>1079</v>
      </c>
      <c r="AQ36" s="102"/>
      <c r="AR36" s="102"/>
      <c r="AS36" s="102"/>
      <c r="AT36" s="107" t="s">
        <v>1079</v>
      </c>
      <c r="AU36" s="102"/>
      <c r="AV36" s="102"/>
      <c r="AW36" s="102"/>
      <c r="AX36" s="107" t="s">
        <v>1080</v>
      </c>
      <c r="AY36" s="102">
        <v>2320756.57</v>
      </c>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22"/>
      <c r="CD36" s="123">
        <f t="shared" si="20"/>
        <v>3000000</v>
      </c>
      <c r="CE36" s="102">
        <f t="shared" si="21"/>
        <v>543394.744</v>
      </c>
      <c r="CF36" s="102">
        <f t="shared" si="22"/>
        <v>227297.944</v>
      </c>
      <c r="CG36" s="102">
        <f t="shared" si="23"/>
        <v>0</v>
      </c>
      <c r="CH36" s="124">
        <f t="shared" si="24"/>
        <v>2772702.056</v>
      </c>
      <c r="CI36" s="125">
        <f t="shared" si="25"/>
        <v>0.0757659813333333</v>
      </c>
      <c r="CJ36" s="126" t="str">
        <f t="shared" si="26"/>
        <v>数据正确</v>
      </c>
    </row>
    <row r="37" s="60" customFormat="1" customHeight="1" outlineLevel="1" spans="1:88">
      <c r="A37" s="60" t="s">
        <v>36</v>
      </c>
      <c r="B37" s="70" t="str">
        <f t="shared" si="12"/>
        <v>-</v>
      </c>
      <c r="C37" s="71" t="str">
        <f t="shared" si="13"/>
        <v>-</v>
      </c>
      <c r="D37" s="180">
        <f t="shared" si="14"/>
        <v>0</v>
      </c>
      <c r="E37" s="180">
        <v>0</v>
      </c>
      <c r="F37" s="180">
        <v>0</v>
      </c>
      <c r="G37" s="180">
        <v>0</v>
      </c>
      <c r="H37" s="180">
        <v>0</v>
      </c>
      <c r="I37" s="180">
        <f t="shared" si="15"/>
        <v>0</v>
      </c>
      <c r="J37" s="86" t="s">
        <v>98</v>
      </c>
      <c r="K37" s="87"/>
      <c r="L37" s="141" t="s">
        <v>1089</v>
      </c>
      <c r="M37" s="89" t="s">
        <v>1076</v>
      </c>
      <c r="N37" s="90" t="s">
        <v>30</v>
      </c>
      <c r="O37" s="90" t="s">
        <v>97</v>
      </c>
      <c r="P37" s="91">
        <v>42886</v>
      </c>
      <c r="Q37" s="102">
        <v>3000000</v>
      </c>
      <c r="R37" s="89" t="s">
        <v>1090</v>
      </c>
      <c r="S37" s="89" t="s">
        <v>1078</v>
      </c>
      <c r="T37" s="89"/>
      <c r="U37" s="103" t="s">
        <v>354</v>
      </c>
      <c r="V37" s="104" t="s">
        <v>1079</v>
      </c>
      <c r="W37" s="102">
        <v>0</v>
      </c>
      <c r="X37" s="102">
        <v>0</v>
      </c>
      <c r="Y37" s="102">
        <v>0</v>
      </c>
      <c r="Z37" s="107" t="s">
        <v>1079</v>
      </c>
      <c r="AA37" s="102">
        <v>0</v>
      </c>
      <c r="AB37" s="102">
        <v>0</v>
      </c>
      <c r="AC37" s="102"/>
      <c r="AD37" s="107" t="s">
        <v>1079</v>
      </c>
      <c r="AE37" s="102"/>
      <c r="AF37" s="102"/>
      <c r="AG37" s="102"/>
      <c r="AH37" s="107" t="s">
        <v>1079</v>
      </c>
      <c r="AI37" s="102"/>
      <c r="AJ37" s="102"/>
      <c r="AK37" s="102"/>
      <c r="AL37" s="107" t="s">
        <v>1079</v>
      </c>
      <c r="AM37" s="102"/>
      <c r="AN37" s="102"/>
      <c r="AO37" s="102"/>
      <c r="AP37" s="107" t="s">
        <v>1079</v>
      </c>
      <c r="AQ37" s="102"/>
      <c r="AR37" s="102"/>
      <c r="AS37" s="102"/>
      <c r="AT37" s="107" t="s">
        <v>1079</v>
      </c>
      <c r="AU37" s="102"/>
      <c r="AV37" s="102"/>
      <c r="AW37" s="102"/>
      <c r="AX37" s="107" t="s">
        <v>1080</v>
      </c>
      <c r="AY37" s="102">
        <v>3000000</v>
      </c>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22"/>
      <c r="CD37" s="123">
        <f t="shared" si="20"/>
        <v>3000000</v>
      </c>
      <c r="CE37" s="102">
        <f t="shared" si="21"/>
        <v>0</v>
      </c>
      <c r="CF37" s="102">
        <f t="shared" si="22"/>
        <v>0</v>
      </c>
      <c r="CG37" s="102">
        <f t="shared" si="23"/>
        <v>0</v>
      </c>
      <c r="CH37" s="124">
        <f t="shared" si="24"/>
        <v>3000000</v>
      </c>
      <c r="CI37" s="125">
        <f t="shared" si="25"/>
        <v>0</v>
      </c>
      <c r="CJ37" s="126" t="str">
        <f t="shared" si="26"/>
        <v>数据正确</v>
      </c>
    </row>
    <row r="38" s="60" customFormat="1" customHeight="1" outlineLevel="1" spans="1:88">
      <c r="A38" s="60" t="s">
        <v>36</v>
      </c>
      <c r="B38" s="70" t="str">
        <f t="shared" si="12"/>
        <v>-</v>
      </c>
      <c r="C38" s="71" t="str">
        <f t="shared" si="13"/>
        <v>-</v>
      </c>
      <c r="D38" s="180">
        <f t="shared" si="14"/>
        <v>0</v>
      </c>
      <c r="E38" s="180">
        <v>0</v>
      </c>
      <c r="F38" s="180">
        <v>0</v>
      </c>
      <c r="G38" s="180">
        <v>0</v>
      </c>
      <c r="H38" s="180">
        <v>0</v>
      </c>
      <c r="I38" s="180">
        <f t="shared" si="15"/>
        <v>0</v>
      </c>
      <c r="J38" s="86" t="s">
        <v>98</v>
      </c>
      <c r="K38" s="87"/>
      <c r="L38" s="141" t="s">
        <v>1091</v>
      </c>
      <c r="M38" s="89" t="s">
        <v>1076</v>
      </c>
      <c r="N38" s="90" t="s">
        <v>30</v>
      </c>
      <c r="O38" s="90" t="s">
        <v>97</v>
      </c>
      <c r="P38" s="91">
        <v>42886</v>
      </c>
      <c r="Q38" s="102">
        <v>3000000</v>
      </c>
      <c r="R38" s="89" t="s">
        <v>1092</v>
      </c>
      <c r="S38" s="89" t="s">
        <v>1078</v>
      </c>
      <c r="T38" s="89"/>
      <c r="U38" s="103" t="s">
        <v>354</v>
      </c>
      <c r="V38" s="104" t="s">
        <v>1079</v>
      </c>
      <c r="W38" s="102">
        <v>0</v>
      </c>
      <c r="X38" s="102">
        <v>0</v>
      </c>
      <c r="Y38" s="102">
        <v>0</v>
      </c>
      <c r="Z38" s="107" t="s">
        <v>1079</v>
      </c>
      <c r="AA38" s="102">
        <v>0</v>
      </c>
      <c r="AB38" s="102">
        <v>0</v>
      </c>
      <c r="AC38" s="102"/>
      <c r="AD38" s="107" t="s">
        <v>1079</v>
      </c>
      <c r="AE38" s="102"/>
      <c r="AF38" s="102"/>
      <c r="AG38" s="102"/>
      <c r="AH38" s="107" t="s">
        <v>1079</v>
      </c>
      <c r="AI38" s="102"/>
      <c r="AJ38" s="102"/>
      <c r="AK38" s="102"/>
      <c r="AL38" s="107" t="s">
        <v>1079</v>
      </c>
      <c r="AM38" s="102"/>
      <c r="AN38" s="102"/>
      <c r="AO38" s="102"/>
      <c r="AP38" s="107" t="s">
        <v>1079</v>
      </c>
      <c r="AQ38" s="102"/>
      <c r="AR38" s="102"/>
      <c r="AS38" s="102"/>
      <c r="AT38" s="107" t="s">
        <v>1079</v>
      </c>
      <c r="AU38" s="102"/>
      <c r="AV38" s="102"/>
      <c r="AW38" s="102"/>
      <c r="AX38" s="107" t="s">
        <v>1080</v>
      </c>
      <c r="AY38" s="102">
        <v>3000000</v>
      </c>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22"/>
      <c r="CD38" s="123">
        <f t="shared" si="20"/>
        <v>3000000</v>
      </c>
      <c r="CE38" s="102">
        <f t="shared" si="21"/>
        <v>0</v>
      </c>
      <c r="CF38" s="102">
        <f t="shared" si="22"/>
        <v>0</v>
      </c>
      <c r="CG38" s="102">
        <f t="shared" si="23"/>
        <v>0</v>
      </c>
      <c r="CH38" s="124">
        <f t="shared" si="24"/>
        <v>3000000</v>
      </c>
      <c r="CI38" s="125">
        <f t="shared" si="25"/>
        <v>0</v>
      </c>
      <c r="CJ38" s="126" t="str">
        <f t="shared" si="26"/>
        <v>数据正确</v>
      </c>
    </row>
    <row r="39" s="60" customFormat="1" customHeight="1" outlineLevel="1" spans="1:88">
      <c r="A39" s="60" t="s">
        <v>36</v>
      </c>
      <c r="B39" s="70" t="str">
        <f t="shared" si="12"/>
        <v>-</v>
      </c>
      <c r="C39" s="71" t="str">
        <f t="shared" si="13"/>
        <v>-</v>
      </c>
      <c r="D39" s="180">
        <f t="shared" si="14"/>
        <v>0</v>
      </c>
      <c r="E39" s="180">
        <v>0</v>
      </c>
      <c r="F39" s="180">
        <v>0</v>
      </c>
      <c r="G39" s="180">
        <v>0</v>
      </c>
      <c r="H39" s="180">
        <v>0</v>
      </c>
      <c r="I39" s="180">
        <f t="shared" si="15"/>
        <v>0</v>
      </c>
      <c r="J39" s="86" t="s">
        <v>98</v>
      </c>
      <c r="K39" s="87"/>
      <c r="L39" s="141" t="s">
        <v>1093</v>
      </c>
      <c r="M39" s="89" t="s">
        <v>1076</v>
      </c>
      <c r="N39" s="90" t="s">
        <v>30</v>
      </c>
      <c r="O39" s="90" t="s">
        <v>97</v>
      </c>
      <c r="P39" s="91">
        <v>42886</v>
      </c>
      <c r="Q39" s="102">
        <v>3000000</v>
      </c>
      <c r="R39" s="89" t="s">
        <v>1094</v>
      </c>
      <c r="S39" s="89" t="s">
        <v>1078</v>
      </c>
      <c r="T39" s="89"/>
      <c r="U39" s="103" t="s">
        <v>354</v>
      </c>
      <c r="V39" s="104" t="s">
        <v>1079</v>
      </c>
      <c r="W39" s="102">
        <v>0</v>
      </c>
      <c r="X39" s="102">
        <v>0</v>
      </c>
      <c r="Y39" s="102">
        <v>0</v>
      </c>
      <c r="Z39" s="107" t="s">
        <v>1079</v>
      </c>
      <c r="AA39" s="102">
        <v>0</v>
      </c>
      <c r="AB39" s="102">
        <v>0</v>
      </c>
      <c r="AC39" s="102"/>
      <c r="AD39" s="107" t="s">
        <v>1079</v>
      </c>
      <c r="AE39" s="102"/>
      <c r="AF39" s="102"/>
      <c r="AG39" s="102"/>
      <c r="AH39" s="107" t="s">
        <v>1079</v>
      </c>
      <c r="AI39" s="102"/>
      <c r="AJ39" s="102"/>
      <c r="AK39" s="102"/>
      <c r="AL39" s="107" t="s">
        <v>1079</v>
      </c>
      <c r="AM39" s="102"/>
      <c r="AN39" s="102"/>
      <c r="AO39" s="102"/>
      <c r="AP39" s="107" t="s">
        <v>1079</v>
      </c>
      <c r="AQ39" s="102"/>
      <c r="AR39" s="102"/>
      <c r="AS39" s="102"/>
      <c r="AT39" s="107" t="s">
        <v>1079</v>
      </c>
      <c r="AU39" s="102"/>
      <c r="AV39" s="102"/>
      <c r="AW39" s="102"/>
      <c r="AX39" s="107" t="s">
        <v>1080</v>
      </c>
      <c r="AY39" s="102">
        <v>3000000</v>
      </c>
      <c r="AZ39" s="102"/>
      <c r="BA39" s="102"/>
      <c r="BB39" s="102"/>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22"/>
      <c r="CD39" s="123">
        <f t="shared" si="20"/>
        <v>3000000</v>
      </c>
      <c r="CE39" s="102">
        <f t="shared" si="21"/>
        <v>0</v>
      </c>
      <c r="CF39" s="102">
        <f t="shared" si="22"/>
        <v>0</v>
      </c>
      <c r="CG39" s="102">
        <f t="shared" si="23"/>
        <v>0</v>
      </c>
      <c r="CH39" s="124">
        <f t="shared" si="24"/>
        <v>3000000</v>
      </c>
      <c r="CI39" s="125">
        <f t="shared" si="25"/>
        <v>0</v>
      </c>
      <c r="CJ39" s="126" t="str">
        <f t="shared" si="26"/>
        <v>数据正确</v>
      </c>
    </row>
    <row r="40" s="60" customFormat="1" customHeight="1" outlineLevel="1" spans="1:88">
      <c r="A40" s="60" t="s">
        <v>36</v>
      </c>
      <c r="B40" s="70" t="str">
        <f t="shared" si="12"/>
        <v>-</v>
      </c>
      <c r="C40" s="71" t="str">
        <f t="shared" si="13"/>
        <v>-</v>
      </c>
      <c r="D40" s="180">
        <f t="shared" si="14"/>
        <v>0</v>
      </c>
      <c r="E40" s="180">
        <v>0</v>
      </c>
      <c r="F40" s="180">
        <v>0</v>
      </c>
      <c r="G40" s="180">
        <v>0</v>
      </c>
      <c r="H40" s="180">
        <v>0</v>
      </c>
      <c r="I40" s="180">
        <f t="shared" si="15"/>
        <v>0</v>
      </c>
      <c r="J40" s="86" t="s">
        <v>98</v>
      </c>
      <c r="K40" s="87"/>
      <c r="L40" s="141" t="s">
        <v>1095</v>
      </c>
      <c r="M40" s="89" t="s">
        <v>1076</v>
      </c>
      <c r="N40" s="90" t="s">
        <v>30</v>
      </c>
      <c r="O40" s="90" t="s">
        <v>97</v>
      </c>
      <c r="P40" s="91">
        <v>42886</v>
      </c>
      <c r="Q40" s="102">
        <v>3000000</v>
      </c>
      <c r="R40" s="89" t="s">
        <v>1096</v>
      </c>
      <c r="S40" s="89" t="s">
        <v>1078</v>
      </c>
      <c r="T40" s="89"/>
      <c r="U40" s="103" t="s">
        <v>354</v>
      </c>
      <c r="V40" s="104" t="s">
        <v>1079</v>
      </c>
      <c r="W40" s="102">
        <v>0</v>
      </c>
      <c r="X40" s="102">
        <v>0</v>
      </c>
      <c r="Y40" s="102">
        <v>0</v>
      </c>
      <c r="Z40" s="107" t="s">
        <v>1079</v>
      </c>
      <c r="AA40" s="102">
        <v>0</v>
      </c>
      <c r="AB40" s="102">
        <v>0</v>
      </c>
      <c r="AC40" s="102"/>
      <c r="AD40" s="107" t="s">
        <v>1079</v>
      </c>
      <c r="AE40" s="102"/>
      <c r="AF40" s="102"/>
      <c r="AG40" s="102"/>
      <c r="AH40" s="107" t="s">
        <v>1079</v>
      </c>
      <c r="AI40" s="102"/>
      <c r="AJ40" s="102"/>
      <c r="AK40" s="102"/>
      <c r="AL40" s="107" t="s">
        <v>1079</v>
      </c>
      <c r="AM40" s="102"/>
      <c r="AN40" s="102"/>
      <c r="AO40" s="102"/>
      <c r="AP40" s="107" t="s">
        <v>1079</v>
      </c>
      <c r="AQ40" s="102"/>
      <c r="AR40" s="102"/>
      <c r="AS40" s="102"/>
      <c r="AT40" s="107" t="s">
        <v>1079</v>
      </c>
      <c r="AU40" s="102"/>
      <c r="AV40" s="102"/>
      <c r="AW40" s="102"/>
      <c r="AX40" s="107" t="s">
        <v>1080</v>
      </c>
      <c r="AY40" s="102">
        <v>3000000</v>
      </c>
      <c r="AZ40" s="102"/>
      <c r="BA40" s="102"/>
      <c r="BB40" s="102"/>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22"/>
      <c r="CD40" s="123">
        <f t="shared" si="20"/>
        <v>3000000</v>
      </c>
      <c r="CE40" s="102">
        <f t="shared" si="21"/>
        <v>0</v>
      </c>
      <c r="CF40" s="102">
        <f t="shared" si="22"/>
        <v>0</v>
      </c>
      <c r="CG40" s="102">
        <f t="shared" si="23"/>
        <v>0</v>
      </c>
      <c r="CH40" s="124">
        <f t="shared" si="24"/>
        <v>3000000</v>
      </c>
      <c r="CI40" s="125">
        <f t="shared" si="25"/>
        <v>0</v>
      </c>
      <c r="CJ40" s="126" t="str">
        <f t="shared" si="26"/>
        <v>数据正确</v>
      </c>
    </row>
    <row r="41" s="60" customFormat="1" customHeight="1" outlineLevel="1" spans="1:88">
      <c r="A41" s="60" t="s">
        <v>36</v>
      </c>
      <c r="B41" s="70" t="str">
        <f t="shared" si="12"/>
        <v>申请中</v>
      </c>
      <c r="C41" s="71" t="str">
        <f t="shared" si="13"/>
        <v>-</v>
      </c>
      <c r="D41" s="180">
        <f t="shared" si="14"/>
        <v>0</v>
      </c>
      <c r="E41" s="180">
        <v>0</v>
      </c>
      <c r="F41" s="180">
        <v>0</v>
      </c>
      <c r="G41" s="180">
        <v>0</v>
      </c>
      <c r="H41" s="180">
        <v>0</v>
      </c>
      <c r="I41" s="180">
        <f t="shared" si="15"/>
        <v>284175.2</v>
      </c>
      <c r="J41" s="86" t="s">
        <v>98</v>
      </c>
      <c r="K41" s="87"/>
      <c r="L41" s="141" t="s">
        <v>1097</v>
      </c>
      <c r="M41" s="89" t="s">
        <v>1076</v>
      </c>
      <c r="N41" s="90" t="s">
        <v>30</v>
      </c>
      <c r="O41" s="90" t="s">
        <v>97</v>
      </c>
      <c r="P41" s="91">
        <v>42886</v>
      </c>
      <c r="Q41" s="102">
        <v>3000000</v>
      </c>
      <c r="R41" s="89" t="s">
        <v>1098</v>
      </c>
      <c r="S41" s="89" t="s">
        <v>1078</v>
      </c>
      <c r="T41" s="89"/>
      <c r="U41" s="103" t="s">
        <v>354</v>
      </c>
      <c r="V41" s="104" t="s">
        <v>1079</v>
      </c>
      <c r="W41" s="102">
        <v>0</v>
      </c>
      <c r="X41" s="102">
        <v>0</v>
      </c>
      <c r="Y41" s="102">
        <v>0</v>
      </c>
      <c r="Z41" s="107" t="s">
        <v>1079</v>
      </c>
      <c r="AA41" s="102">
        <v>355219</v>
      </c>
      <c r="AB41" s="102">
        <v>284175.2</v>
      </c>
      <c r="AC41" s="102"/>
      <c r="AD41" s="107" t="s">
        <v>1079</v>
      </c>
      <c r="AE41" s="102"/>
      <c r="AF41" s="102"/>
      <c r="AG41" s="102"/>
      <c r="AH41" s="107" t="s">
        <v>1079</v>
      </c>
      <c r="AI41" s="102"/>
      <c r="AJ41" s="102"/>
      <c r="AK41" s="102"/>
      <c r="AL41" s="107" t="s">
        <v>1079</v>
      </c>
      <c r="AM41" s="102"/>
      <c r="AN41" s="102"/>
      <c r="AO41" s="102"/>
      <c r="AP41" s="107" t="s">
        <v>1079</v>
      </c>
      <c r="AQ41" s="102"/>
      <c r="AR41" s="102"/>
      <c r="AS41" s="102"/>
      <c r="AT41" s="107" t="s">
        <v>1079</v>
      </c>
      <c r="AU41" s="102"/>
      <c r="AV41" s="102"/>
      <c r="AW41" s="102"/>
      <c r="AX41" s="107" t="s">
        <v>1080</v>
      </c>
      <c r="AY41" s="102">
        <v>2644781</v>
      </c>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22"/>
      <c r="CD41" s="123">
        <f t="shared" si="20"/>
        <v>3000000</v>
      </c>
      <c r="CE41" s="102">
        <f t="shared" si="21"/>
        <v>284175.2</v>
      </c>
      <c r="CF41" s="102">
        <f t="shared" si="22"/>
        <v>0</v>
      </c>
      <c r="CG41" s="102">
        <f t="shared" si="23"/>
        <v>0</v>
      </c>
      <c r="CH41" s="124">
        <f t="shared" si="24"/>
        <v>3000000</v>
      </c>
      <c r="CI41" s="125">
        <f t="shared" si="25"/>
        <v>0</v>
      </c>
      <c r="CJ41" s="126" t="str">
        <f t="shared" si="26"/>
        <v>数据正确</v>
      </c>
    </row>
    <row r="42" s="60" customFormat="1" customHeight="1" outlineLevel="1" spans="1:88">
      <c r="A42" s="60" t="s">
        <v>36</v>
      </c>
      <c r="B42" s="70" t="str">
        <f t="shared" si="12"/>
        <v>申请中</v>
      </c>
      <c r="C42" s="71" t="str">
        <f t="shared" si="13"/>
        <v>-</v>
      </c>
      <c r="D42" s="180">
        <f t="shared" si="14"/>
        <v>0</v>
      </c>
      <c r="E42" s="180">
        <v>0</v>
      </c>
      <c r="F42" s="180">
        <v>0</v>
      </c>
      <c r="G42" s="180">
        <v>0</v>
      </c>
      <c r="H42" s="180">
        <v>0</v>
      </c>
      <c r="I42" s="180">
        <f t="shared" si="15"/>
        <v>143451.2</v>
      </c>
      <c r="J42" s="86" t="s">
        <v>98</v>
      </c>
      <c r="K42" s="87"/>
      <c r="L42" s="141" t="s">
        <v>1099</v>
      </c>
      <c r="M42" s="89" t="s">
        <v>1076</v>
      </c>
      <c r="N42" s="90" t="s">
        <v>30</v>
      </c>
      <c r="O42" s="90" t="s">
        <v>97</v>
      </c>
      <c r="P42" s="91">
        <v>42886</v>
      </c>
      <c r="Q42" s="102">
        <v>3000000</v>
      </c>
      <c r="R42" s="89" t="s">
        <v>1100</v>
      </c>
      <c r="S42" s="89" t="s">
        <v>1078</v>
      </c>
      <c r="T42" s="89"/>
      <c r="U42" s="103" t="s">
        <v>354</v>
      </c>
      <c r="V42" s="104" t="s">
        <v>1079</v>
      </c>
      <c r="W42" s="102">
        <v>0</v>
      </c>
      <c r="X42" s="102">
        <v>0</v>
      </c>
      <c r="Y42" s="102">
        <v>0</v>
      </c>
      <c r="Z42" s="107" t="s">
        <v>1079</v>
      </c>
      <c r="AA42" s="102">
        <v>179314</v>
      </c>
      <c r="AB42" s="102">
        <v>143451.2</v>
      </c>
      <c r="AC42" s="102"/>
      <c r="AD42" s="107" t="s">
        <v>1079</v>
      </c>
      <c r="AE42" s="102"/>
      <c r="AF42" s="102"/>
      <c r="AG42" s="102"/>
      <c r="AH42" s="107" t="s">
        <v>1079</v>
      </c>
      <c r="AI42" s="102"/>
      <c r="AJ42" s="102"/>
      <c r="AK42" s="102"/>
      <c r="AL42" s="107" t="s">
        <v>1079</v>
      </c>
      <c r="AM42" s="102"/>
      <c r="AN42" s="102"/>
      <c r="AO42" s="102"/>
      <c r="AP42" s="107" t="s">
        <v>1079</v>
      </c>
      <c r="AQ42" s="102"/>
      <c r="AR42" s="102"/>
      <c r="AS42" s="102"/>
      <c r="AT42" s="107" t="s">
        <v>1079</v>
      </c>
      <c r="AU42" s="102"/>
      <c r="AV42" s="102"/>
      <c r="AW42" s="102"/>
      <c r="AX42" s="107" t="s">
        <v>1080</v>
      </c>
      <c r="AY42" s="102">
        <v>2820686</v>
      </c>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22"/>
      <c r="CD42" s="123">
        <f t="shared" si="20"/>
        <v>3000000</v>
      </c>
      <c r="CE42" s="102">
        <f t="shared" si="21"/>
        <v>143451.2</v>
      </c>
      <c r="CF42" s="102">
        <f t="shared" si="22"/>
        <v>0</v>
      </c>
      <c r="CG42" s="102">
        <f t="shared" si="23"/>
        <v>0</v>
      </c>
      <c r="CH42" s="124">
        <f t="shared" si="24"/>
        <v>3000000</v>
      </c>
      <c r="CI42" s="125">
        <f t="shared" si="25"/>
        <v>0</v>
      </c>
      <c r="CJ42" s="126" t="str">
        <f t="shared" si="26"/>
        <v>数据正确</v>
      </c>
    </row>
    <row r="43" s="60" customFormat="1" customHeight="1" outlineLevel="1" spans="1:88">
      <c r="A43" s="60" t="s">
        <v>36</v>
      </c>
      <c r="B43" s="70" t="str">
        <f t="shared" ref="B43:B80" si="29">IF(I43=0,"-","申请中")</f>
        <v>申请中</v>
      </c>
      <c r="C43" s="71" t="str">
        <f t="shared" ref="C43:C80" si="30">IF(CI43=100%,"已付清","-")</f>
        <v>-</v>
      </c>
      <c r="D43" s="180">
        <f t="shared" ref="D43:D83" si="31">CF43</f>
        <v>0</v>
      </c>
      <c r="E43" s="180">
        <v>0</v>
      </c>
      <c r="F43" s="180">
        <v>0</v>
      </c>
      <c r="G43" s="180">
        <v>0</v>
      </c>
      <c r="H43" s="180">
        <v>0</v>
      </c>
      <c r="I43" s="180">
        <f t="shared" ref="I43:I80" si="32">CE43-CF43-CG43</f>
        <v>50145.6</v>
      </c>
      <c r="J43" s="86" t="s">
        <v>98</v>
      </c>
      <c r="K43" s="87"/>
      <c r="L43" s="141" t="s">
        <v>1101</v>
      </c>
      <c r="M43" s="89" t="s">
        <v>1076</v>
      </c>
      <c r="N43" s="90" t="s">
        <v>30</v>
      </c>
      <c r="O43" s="90" t="s">
        <v>97</v>
      </c>
      <c r="P43" s="91">
        <v>42886</v>
      </c>
      <c r="Q43" s="102">
        <v>3000000</v>
      </c>
      <c r="R43" s="89" t="s">
        <v>1102</v>
      </c>
      <c r="S43" s="89" t="s">
        <v>1078</v>
      </c>
      <c r="T43" s="89"/>
      <c r="U43" s="103" t="s">
        <v>354</v>
      </c>
      <c r="V43" s="104" t="s">
        <v>1079</v>
      </c>
      <c r="W43" s="102">
        <v>0</v>
      </c>
      <c r="X43" s="102">
        <v>0</v>
      </c>
      <c r="Y43" s="102">
        <v>0</v>
      </c>
      <c r="Z43" s="107" t="s">
        <v>1079</v>
      </c>
      <c r="AA43" s="102">
        <v>62682</v>
      </c>
      <c r="AB43" s="102">
        <v>50145.6</v>
      </c>
      <c r="AC43" s="102"/>
      <c r="AD43" s="107" t="s">
        <v>1079</v>
      </c>
      <c r="AE43" s="102"/>
      <c r="AF43" s="102"/>
      <c r="AG43" s="102"/>
      <c r="AH43" s="107" t="s">
        <v>1079</v>
      </c>
      <c r="AI43" s="102"/>
      <c r="AJ43" s="102"/>
      <c r="AK43" s="102"/>
      <c r="AL43" s="107" t="s">
        <v>1079</v>
      </c>
      <c r="AM43" s="102"/>
      <c r="AN43" s="102"/>
      <c r="AO43" s="102"/>
      <c r="AP43" s="107" t="s">
        <v>1079</v>
      </c>
      <c r="AQ43" s="102"/>
      <c r="AR43" s="102"/>
      <c r="AS43" s="102"/>
      <c r="AT43" s="107" t="s">
        <v>1079</v>
      </c>
      <c r="AU43" s="102"/>
      <c r="AV43" s="102"/>
      <c r="AW43" s="102"/>
      <c r="AX43" s="107" t="s">
        <v>1080</v>
      </c>
      <c r="AY43" s="102">
        <v>2937318</v>
      </c>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22"/>
      <c r="CD43" s="123">
        <f t="shared" ref="CD43:CD80" si="33">W43+AA43+AE43+AI43+AM43+AQ43+AU43+AY43+BC43+BG43+BK43+BO43+BS43+BW43+CA43</f>
        <v>3000000</v>
      </c>
      <c r="CE43" s="102">
        <f t="shared" ref="CE43:CE80" si="34">X43+AB43+AF43+AJ43+AN43+AR43+AV43+AZ43+BD43+BH43+BL43+BP43+BT43+BX43+CB43</f>
        <v>50145.6</v>
      </c>
      <c r="CF43" s="102">
        <f t="shared" ref="CF43:CF80" si="35">Y43+AC43+AG43+AK43+AO43+AS43+AW43+BA43+BE43+BI43+BM43+BQ43+BU43+BY43+CC43</f>
        <v>0</v>
      </c>
      <c r="CG43" s="102">
        <f t="shared" ref="CG43:CG80" si="36">E43+F43+G43+H43</f>
        <v>0</v>
      </c>
      <c r="CH43" s="124">
        <f t="shared" ref="CH43:CH80" si="37">Q43-CF43-CG43</f>
        <v>3000000</v>
      </c>
      <c r="CI43" s="125">
        <f t="shared" ref="CI43:CI80" si="38">IF(ISERROR((CF43+CG43)/Q43),"-",(CF43+CG43)/Q43)</f>
        <v>0</v>
      </c>
      <c r="CJ43" s="126" t="str">
        <f t="shared" ref="CJ43:CJ80" si="39">IF(Q43-CD43=0,"数据正确","数据错误")</f>
        <v>数据正确</v>
      </c>
    </row>
    <row r="44" s="60" customFormat="1" customHeight="1" outlineLevel="1" spans="1:88">
      <c r="A44" s="60" t="s">
        <v>36</v>
      </c>
      <c r="B44" s="70" t="str">
        <f t="shared" si="29"/>
        <v>-</v>
      </c>
      <c r="C44" s="71" t="str">
        <f t="shared" si="30"/>
        <v>-</v>
      </c>
      <c r="D44" s="180">
        <f t="shared" si="31"/>
        <v>0</v>
      </c>
      <c r="E44" s="180">
        <v>0</v>
      </c>
      <c r="F44" s="180">
        <v>0</v>
      </c>
      <c r="G44" s="180">
        <v>0</v>
      </c>
      <c r="H44" s="180">
        <v>0</v>
      </c>
      <c r="I44" s="180">
        <f t="shared" si="32"/>
        <v>0</v>
      </c>
      <c r="J44" s="86" t="s">
        <v>98</v>
      </c>
      <c r="K44" s="87"/>
      <c r="L44" s="141" t="s">
        <v>1103</v>
      </c>
      <c r="M44" s="89" t="s">
        <v>1076</v>
      </c>
      <c r="N44" s="90" t="s">
        <v>30</v>
      </c>
      <c r="O44" s="90" t="s">
        <v>97</v>
      </c>
      <c r="P44" s="91">
        <v>42886</v>
      </c>
      <c r="Q44" s="102">
        <v>3000000</v>
      </c>
      <c r="R44" s="89" t="s">
        <v>1104</v>
      </c>
      <c r="S44" s="89" t="s">
        <v>1078</v>
      </c>
      <c r="T44" s="89"/>
      <c r="U44" s="103" t="s">
        <v>354</v>
      </c>
      <c r="V44" s="104" t="s">
        <v>1079</v>
      </c>
      <c r="W44" s="102">
        <v>0</v>
      </c>
      <c r="X44" s="102">
        <v>0</v>
      </c>
      <c r="Y44" s="102">
        <v>0</v>
      </c>
      <c r="Z44" s="107" t="s">
        <v>1079</v>
      </c>
      <c r="AA44" s="102">
        <v>0</v>
      </c>
      <c r="AB44" s="102">
        <v>0</v>
      </c>
      <c r="AC44" s="102"/>
      <c r="AD44" s="107" t="s">
        <v>1079</v>
      </c>
      <c r="AE44" s="102"/>
      <c r="AF44" s="102"/>
      <c r="AG44" s="102"/>
      <c r="AH44" s="107" t="s">
        <v>1079</v>
      </c>
      <c r="AI44" s="102"/>
      <c r="AJ44" s="102"/>
      <c r="AK44" s="102"/>
      <c r="AL44" s="107" t="s">
        <v>1079</v>
      </c>
      <c r="AM44" s="102"/>
      <c r="AN44" s="102"/>
      <c r="AO44" s="102"/>
      <c r="AP44" s="107" t="s">
        <v>1079</v>
      </c>
      <c r="AQ44" s="102"/>
      <c r="AR44" s="102"/>
      <c r="AS44" s="102"/>
      <c r="AT44" s="107" t="s">
        <v>1079</v>
      </c>
      <c r="AU44" s="102"/>
      <c r="AV44" s="102"/>
      <c r="AW44" s="102"/>
      <c r="AX44" s="107" t="s">
        <v>1080</v>
      </c>
      <c r="AY44" s="102">
        <v>3000000</v>
      </c>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22"/>
      <c r="CD44" s="123">
        <f t="shared" si="33"/>
        <v>3000000</v>
      </c>
      <c r="CE44" s="102">
        <f t="shared" si="34"/>
        <v>0</v>
      </c>
      <c r="CF44" s="102">
        <f t="shared" si="35"/>
        <v>0</v>
      </c>
      <c r="CG44" s="102">
        <f t="shared" si="36"/>
        <v>0</v>
      </c>
      <c r="CH44" s="124">
        <f t="shared" si="37"/>
        <v>3000000</v>
      </c>
      <c r="CI44" s="125">
        <f t="shared" si="38"/>
        <v>0</v>
      </c>
      <c r="CJ44" s="126" t="str">
        <f t="shared" si="39"/>
        <v>数据正确</v>
      </c>
    </row>
    <row r="45" s="60" customFormat="1" customHeight="1" outlineLevel="1" spans="1:88">
      <c r="A45" s="60" t="s">
        <v>36</v>
      </c>
      <c r="B45" s="70" t="str">
        <f t="shared" si="29"/>
        <v>-</v>
      </c>
      <c r="C45" s="71" t="str">
        <f t="shared" si="30"/>
        <v>-</v>
      </c>
      <c r="D45" s="180">
        <f t="shared" si="31"/>
        <v>0</v>
      </c>
      <c r="E45" s="180">
        <v>0</v>
      </c>
      <c r="F45" s="180">
        <v>0</v>
      </c>
      <c r="G45" s="180">
        <v>0</v>
      </c>
      <c r="H45" s="180">
        <v>0</v>
      </c>
      <c r="I45" s="180">
        <f t="shared" si="32"/>
        <v>0</v>
      </c>
      <c r="J45" s="86" t="s">
        <v>98</v>
      </c>
      <c r="K45" s="87"/>
      <c r="L45" s="141" t="s">
        <v>1105</v>
      </c>
      <c r="M45" s="89" t="s">
        <v>1076</v>
      </c>
      <c r="N45" s="90" t="s">
        <v>30</v>
      </c>
      <c r="O45" s="90" t="s">
        <v>97</v>
      </c>
      <c r="P45" s="91">
        <v>42886</v>
      </c>
      <c r="Q45" s="102">
        <v>3000000</v>
      </c>
      <c r="R45" s="89" t="s">
        <v>1106</v>
      </c>
      <c r="S45" s="89" t="s">
        <v>1078</v>
      </c>
      <c r="T45" s="89"/>
      <c r="U45" s="103" t="s">
        <v>354</v>
      </c>
      <c r="V45" s="104" t="s">
        <v>1079</v>
      </c>
      <c r="W45" s="102">
        <v>0</v>
      </c>
      <c r="X45" s="102">
        <v>0</v>
      </c>
      <c r="Y45" s="102">
        <v>0</v>
      </c>
      <c r="Z45" s="107" t="s">
        <v>1079</v>
      </c>
      <c r="AA45" s="102">
        <v>0</v>
      </c>
      <c r="AB45" s="102">
        <v>0</v>
      </c>
      <c r="AC45" s="102"/>
      <c r="AD45" s="107" t="s">
        <v>1079</v>
      </c>
      <c r="AE45" s="102"/>
      <c r="AF45" s="102"/>
      <c r="AG45" s="102"/>
      <c r="AH45" s="107" t="s">
        <v>1079</v>
      </c>
      <c r="AI45" s="102"/>
      <c r="AJ45" s="102"/>
      <c r="AK45" s="102"/>
      <c r="AL45" s="107" t="s">
        <v>1079</v>
      </c>
      <c r="AM45" s="102"/>
      <c r="AN45" s="102"/>
      <c r="AO45" s="102"/>
      <c r="AP45" s="107" t="s">
        <v>1079</v>
      </c>
      <c r="AQ45" s="102"/>
      <c r="AR45" s="102"/>
      <c r="AS45" s="102"/>
      <c r="AT45" s="107" t="s">
        <v>1079</v>
      </c>
      <c r="AU45" s="102"/>
      <c r="AV45" s="102"/>
      <c r="AW45" s="102"/>
      <c r="AX45" s="107" t="s">
        <v>1080</v>
      </c>
      <c r="AY45" s="102">
        <v>3000000</v>
      </c>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22"/>
      <c r="CD45" s="123">
        <f t="shared" si="33"/>
        <v>3000000</v>
      </c>
      <c r="CE45" s="102">
        <f t="shared" si="34"/>
        <v>0</v>
      </c>
      <c r="CF45" s="102">
        <f t="shared" si="35"/>
        <v>0</v>
      </c>
      <c r="CG45" s="102">
        <f t="shared" si="36"/>
        <v>0</v>
      </c>
      <c r="CH45" s="124">
        <f t="shared" si="37"/>
        <v>3000000</v>
      </c>
      <c r="CI45" s="125">
        <f t="shared" si="38"/>
        <v>0</v>
      </c>
      <c r="CJ45" s="126" t="str">
        <f t="shared" si="39"/>
        <v>数据正确</v>
      </c>
    </row>
    <row r="46" s="60" customFormat="1" customHeight="1" outlineLevel="1" spans="1:88">
      <c r="A46" s="60" t="s">
        <v>36</v>
      </c>
      <c r="B46" s="70" t="str">
        <f t="shared" si="29"/>
        <v>-</v>
      </c>
      <c r="C46" s="71" t="str">
        <f t="shared" si="30"/>
        <v>-</v>
      </c>
      <c r="D46" s="180">
        <f t="shared" si="31"/>
        <v>0</v>
      </c>
      <c r="E46" s="180">
        <v>0</v>
      </c>
      <c r="F46" s="180">
        <v>0</v>
      </c>
      <c r="G46" s="180">
        <v>0</v>
      </c>
      <c r="H46" s="180">
        <v>0</v>
      </c>
      <c r="I46" s="180">
        <f t="shared" si="32"/>
        <v>0</v>
      </c>
      <c r="J46" s="86" t="s">
        <v>98</v>
      </c>
      <c r="K46" s="87"/>
      <c r="L46" s="141" t="s">
        <v>1107</v>
      </c>
      <c r="M46" s="89" t="s">
        <v>1076</v>
      </c>
      <c r="N46" s="90" t="s">
        <v>30</v>
      </c>
      <c r="O46" s="90" t="s">
        <v>97</v>
      </c>
      <c r="P46" s="91">
        <v>42886</v>
      </c>
      <c r="Q46" s="102">
        <v>3000000</v>
      </c>
      <c r="R46" s="89" t="s">
        <v>1108</v>
      </c>
      <c r="S46" s="89" t="s">
        <v>1078</v>
      </c>
      <c r="T46" s="89"/>
      <c r="U46" s="103" t="s">
        <v>354</v>
      </c>
      <c r="V46" s="104" t="s">
        <v>1079</v>
      </c>
      <c r="W46" s="102">
        <v>0</v>
      </c>
      <c r="X46" s="102">
        <v>0</v>
      </c>
      <c r="Y46" s="102">
        <v>0</v>
      </c>
      <c r="Z46" s="107" t="s">
        <v>1079</v>
      </c>
      <c r="AA46" s="102">
        <v>0</v>
      </c>
      <c r="AB46" s="102">
        <v>0</v>
      </c>
      <c r="AC46" s="102"/>
      <c r="AD46" s="107" t="s">
        <v>1079</v>
      </c>
      <c r="AE46" s="102"/>
      <c r="AF46" s="102"/>
      <c r="AG46" s="102"/>
      <c r="AH46" s="107" t="s">
        <v>1079</v>
      </c>
      <c r="AI46" s="102"/>
      <c r="AJ46" s="102"/>
      <c r="AK46" s="102"/>
      <c r="AL46" s="107" t="s">
        <v>1079</v>
      </c>
      <c r="AM46" s="102"/>
      <c r="AN46" s="102"/>
      <c r="AO46" s="102"/>
      <c r="AP46" s="107" t="s">
        <v>1079</v>
      </c>
      <c r="AQ46" s="102"/>
      <c r="AR46" s="102"/>
      <c r="AS46" s="102"/>
      <c r="AT46" s="107" t="s">
        <v>1079</v>
      </c>
      <c r="AU46" s="102"/>
      <c r="AV46" s="102"/>
      <c r="AW46" s="102"/>
      <c r="AX46" s="107" t="s">
        <v>1080</v>
      </c>
      <c r="AY46" s="102">
        <v>3000000</v>
      </c>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22"/>
      <c r="CD46" s="123">
        <f t="shared" si="33"/>
        <v>3000000</v>
      </c>
      <c r="CE46" s="102">
        <f t="shared" si="34"/>
        <v>0</v>
      </c>
      <c r="CF46" s="102">
        <f t="shared" si="35"/>
        <v>0</v>
      </c>
      <c r="CG46" s="102">
        <f t="shared" si="36"/>
        <v>0</v>
      </c>
      <c r="CH46" s="124">
        <f t="shared" si="37"/>
        <v>3000000</v>
      </c>
      <c r="CI46" s="125">
        <f t="shared" si="38"/>
        <v>0</v>
      </c>
      <c r="CJ46" s="126" t="str">
        <f t="shared" si="39"/>
        <v>数据正确</v>
      </c>
    </row>
    <row r="47" s="60" customFormat="1" customHeight="1" outlineLevel="1" spans="1:88">
      <c r="A47" s="60" t="s">
        <v>36</v>
      </c>
      <c r="B47" s="70" t="str">
        <f t="shared" si="29"/>
        <v>-</v>
      </c>
      <c r="C47" s="71" t="str">
        <f t="shared" si="30"/>
        <v>-</v>
      </c>
      <c r="D47" s="180">
        <f t="shared" si="31"/>
        <v>0</v>
      </c>
      <c r="E47" s="180">
        <v>0</v>
      </c>
      <c r="F47" s="180">
        <v>0</v>
      </c>
      <c r="G47" s="180">
        <v>0</v>
      </c>
      <c r="H47" s="180">
        <v>0</v>
      </c>
      <c r="I47" s="180">
        <f t="shared" si="32"/>
        <v>0</v>
      </c>
      <c r="J47" s="86" t="s">
        <v>98</v>
      </c>
      <c r="K47" s="87"/>
      <c r="L47" s="141" t="s">
        <v>1109</v>
      </c>
      <c r="M47" s="89" t="s">
        <v>1076</v>
      </c>
      <c r="N47" s="90" t="s">
        <v>30</v>
      </c>
      <c r="O47" s="90" t="s">
        <v>97</v>
      </c>
      <c r="P47" s="91">
        <v>42886</v>
      </c>
      <c r="Q47" s="102">
        <v>3000000</v>
      </c>
      <c r="R47" s="89" t="s">
        <v>1110</v>
      </c>
      <c r="S47" s="89" t="s">
        <v>1078</v>
      </c>
      <c r="T47" s="89"/>
      <c r="U47" s="103" t="s">
        <v>354</v>
      </c>
      <c r="V47" s="104" t="s">
        <v>1079</v>
      </c>
      <c r="W47" s="102">
        <v>0</v>
      </c>
      <c r="X47" s="102">
        <v>0</v>
      </c>
      <c r="Y47" s="102">
        <v>0</v>
      </c>
      <c r="Z47" s="107" t="s">
        <v>1079</v>
      </c>
      <c r="AA47" s="102">
        <v>0</v>
      </c>
      <c r="AB47" s="102">
        <v>0</v>
      </c>
      <c r="AC47" s="102"/>
      <c r="AD47" s="107" t="s">
        <v>1079</v>
      </c>
      <c r="AE47" s="102"/>
      <c r="AF47" s="102"/>
      <c r="AG47" s="102"/>
      <c r="AH47" s="107" t="s">
        <v>1079</v>
      </c>
      <c r="AI47" s="102"/>
      <c r="AJ47" s="102"/>
      <c r="AK47" s="102"/>
      <c r="AL47" s="107" t="s">
        <v>1079</v>
      </c>
      <c r="AM47" s="102"/>
      <c r="AN47" s="102"/>
      <c r="AO47" s="102"/>
      <c r="AP47" s="107" t="s">
        <v>1079</v>
      </c>
      <c r="AQ47" s="102"/>
      <c r="AR47" s="102"/>
      <c r="AS47" s="102"/>
      <c r="AT47" s="107" t="s">
        <v>1079</v>
      </c>
      <c r="AU47" s="102"/>
      <c r="AV47" s="102"/>
      <c r="AW47" s="102"/>
      <c r="AX47" s="107" t="s">
        <v>1080</v>
      </c>
      <c r="AY47" s="102">
        <v>3000000</v>
      </c>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22"/>
      <c r="CD47" s="123">
        <f t="shared" si="33"/>
        <v>3000000</v>
      </c>
      <c r="CE47" s="102">
        <f t="shared" si="34"/>
        <v>0</v>
      </c>
      <c r="CF47" s="102">
        <f t="shared" si="35"/>
        <v>0</v>
      </c>
      <c r="CG47" s="102">
        <f t="shared" si="36"/>
        <v>0</v>
      </c>
      <c r="CH47" s="124">
        <f t="shared" si="37"/>
        <v>3000000</v>
      </c>
      <c r="CI47" s="125">
        <f t="shared" si="38"/>
        <v>0</v>
      </c>
      <c r="CJ47" s="126" t="str">
        <f t="shared" si="39"/>
        <v>数据正确</v>
      </c>
    </row>
    <row r="48" s="60" customFormat="1" customHeight="1" outlineLevel="1" spans="1:88">
      <c r="A48" s="60" t="s">
        <v>36</v>
      </c>
      <c r="B48" s="70" t="str">
        <f t="shared" si="29"/>
        <v>-</v>
      </c>
      <c r="C48" s="71" t="str">
        <f t="shared" si="30"/>
        <v>-</v>
      </c>
      <c r="D48" s="180">
        <f t="shared" si="31"/>
        <v>0</v>
      </c>
      <c r="E48" s="180">
        <v>0</v>
      </c>
      <c r="F48" s="180">
        <v>0</v>
      </c>
      <c r="G48" s="180">
        <v>0</v>
      </c>
      <c r="H48" s="180">
        <v>0</v>
      </c>
      <c r="I48" s="180">
        <f t="shared" si="32"/>
        <v>0</v>
      </c>
      <c r="J48" s="86" t="s">
        <v>98</v>
      </c>
      <c r="K48" s="87"/>
      <c r="L48" s="141" t="s">
        <v>1111</v>
      </c>
      <c r="M48" s="89" t="s">
        <v>1076</v>
      </c>
      <c r="N48" s="90" t="s">
        <v>30</v>
      </c>
      <c r="O48" s="90" t="s">
        <v>97</v>
      </c>
      <c r="P48" s="91">
        <v>42886</v>
      </c>
      <c r="Q48" s="102">
        <v>3000000</v>
      </c>
      <c r="R48" s="89" t="s">
        <v>1112</v>
      </c>
      <c r="S48" s="89" t="s">
        <v>1078</v>
      </c>
      <c r="T48" s="89"/>
      <c r="U48" s="103" t="s">
        <v>354</v>
      </c>
      <c r="V48" s="104" t="s">
        <v>1079</v>
      </c>
      <c r="W48" s="102">
        <v>0</v>
      </c>
      <c r="X48" s="102">
        <v>0</v>
      </c>
      <c r="Y48" s="102">
        <v>0</v>
      </c>
      <c r="Z48" s="107" t="s">
        <v>1079</v>
      </c>
      <c r="AA48" s="102">
        <v>0</v>
      </c>
      <c r="AB48" s="102">
        <v>0</v>
      </c>
      <c r="AC48" s="102"/>
      <c r="AD48" s="107" t="s">
        <v>1079</v>
      </c>
      <c r="AE48" s="102"/>
      <c r="AF48" s="102"/>
      <c r="AG48" s="102"/>
      <c r="AH48" s="107" t="s">
        <v>1079</v>
      </c>
      <c r="AI48" s="102"/>
      <c r="AJ48" s="102"/>
      <c r="AK48" s="102"/>
      <c r="AL48" s="107" t="s">
        <v>1079</v>
      </c>
      <c r="AM48" s="102"/>
      <c r="AN48" s="102"/>
      <c r="AO48" s="102"/>
      <c r="AP48" s="107" t="s">
        <v>1079</v>
      </c>
      <c r="AQ48" s="102"/>
      <c r="AR48" s="102"/>
      <c r="AS48" s="102"/>
      <c r="AT48" s="107" t="s">
        <v>1079</v>
      </c>
      <c r="AU48" s="102"/>
      <c r="AV48" s="102"/>
      <c r="AW48" s="102"/>
      <c r="AX48" s="107" t="s">
        <v>1080</v>
      </c>
      <c r="AY48" s="102">
        <v>3000000</v>
      </c>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22"/>
      <c r="CD48" s="123">
        <f t="shared" si="33"/>
        <v>3000000</v>
      </c>
      <c r="CE48" s="102">
        <f t="shared" si="34"/>
        <v>0</v>
      </c>
      <c r="CF48" s="102">
        <f t="shared" si="35"/>
        <v>0</v>
      </c>
      <c r="CG48" s="102">
        <f t="shared" si="36"/>
        <v>0</v>
      </c>
      <c r="CH48" s="124">
        <f t="shared" si="37"/>
        <v>3000000</v>
      </c>
      <c r="CI48" s="125">
        <f t="shared" si="38"/>
        <v>0</v>
      </c>
      <c r="CJ48" s="126" t="str">
        <f t="shared" si="39"/>
        <v>数据正确</v>
      </c>
    </row>
    <row r="49" s="60" customFormat="1" customHeight="1" outlineLevel="1" spans="1:88">
      <c r="A49" s="60" t="s">
        <v>36</v>
      </c>
      <c r="B49" s="70" t="str">
        <f t="shared" si="29"/>
        <v>-</v>
      </c>
      <c r="C49" s="71" t="str">
        <f t="shared" si="30"/>
        <v>-</v>
      </c>
      <c r="D49" s="180">
        <f t="shared" si="31"/>
        <v>0</v>
      </c>
      <c r="E49" s="180">
        <v>0</v>
      </c>
      <c r="F49" s="180">
        <v>0</v>
      </c>
      <c r="G49" s="180">
        <v>0</v>
      </c>
      <c r="H49" s="180">
        <v>0</v>
      </c>
      <c r="I49" s="180">
        <f t="shared" si="32"/>
        <v>0</v>
      </c>
      <c r="J49" s="86" t="s">
        <v>98</v>
      </c>
      <c r="K49" s="87"/>
      <c r="L49" s="141" t="s">
        <v>1113</v>
      </c>
      <c r="M49" s="89" t="s">
        <v>1076</v>
      </c>
      <c r="N49" s="90" t="s">
        <v>30</v>
      </c>
      <c r="O49" s="90" t="s">
        <v>97</v>
      </c>
      <c r="P49" s="91">
        <v>42886</v>
      </c>
      <c r="Q49" s="102">
        <v>3000000</v>
      </c>
      <c r="R49" s="89" t="s">
        <v>1114</v>
      </c>
      <c r="S49" s="89" t="s">
        <v>1078</v>
      </c>
      <c r="T49" s="89"/>
      <c r="U49" s="103" t="s">
        <v>354</v>
      </c>
      <c r="V49" s="104" t="s">
        <v>1079</v>
      </c>
      <c r="W49" s="102">
        <v>0</v>
      </c>
      <c r="X49" s="102">
        <v>0</v>
      </c>
      <c r="Y49" s="102">
        <v>0</v>
      </c>
      <c r="Z49" s="107" t="s">
        <v>1079</v>
      </c>
      <c r="AA49" s="102">
        <v>0</v>
      </c>
      <c r="AB49" s="102">
        <v>0</v>
      </c>
      <c r="AC49" s="102"/>
      <c r="AD49" s="107" t="s">
        <v>1079</v>
      </c>
      <c r="AE49" s="102"/>
      <c r="AF49" s="102"/>
      <c r="AG49" s="102"/>
      <c r="AH49" s="107" t="s">
        <v>1079</v>
      </c>
      <c r="AI49" s="102"/>
      <c r="AJ49" s="102"/>
      <c r="AK49" s="102"/>
      <c r="AL49" s="107" t="s">
        <v>1079</v>
      </c>
      <c r="AM49" s="102"/>
      <c r="AN49" s="102"/>
      <c r="AO49" s="102"/>
      <c r="AP49" s="107" t="s">
        <v>1079</v>
      </c>
      <c r="AQ49" s="102"/>
      <c r="AR49" s="102"/>
      <c r="AS49" s="102"/>
      <c r="AT49" s="107" t="s">
        <v>1079</v>
      </c>
      <c r="AU49" s="102"/>
      <c r="AV49" s="102"/>
      <c r="AW49" s="102"/>
      <c r="AX49" s="107" t="s">
        <v>1080</v>
      </c>
      <c r="AY49" s="102">
        <v>3000000</v>
      </c>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22"/>
      <c r="CD49" s="123">
        <f t="shared" si="33"/>
        <v>3000000</v>
      </c>
      <c r="CE49" s="102">
        <f t="shared" si="34"/>
        <v>0</v>
      </c>
      <c r="CF49" s="102">
        <f t="shared" si="35"/>
        <v>0</v>
      </c>
      <c r="CG49" s="102">
        <f t="shared" si="36"/>
        <v>0</v>
      </c>
      <c r="CH49" s="124">
        <f t="shared" si="37"/>
        <v>3000000</v>
      </c>
      <c r="CI49" s="125">
        <f t="shared" si="38"/>
        <v>0</v>
      </c>
      <c r="CJ49" s="126" t="str">
        <f t="shared" si="39"/>
        <v>数据正确</v>
      </c>
    </row>
    <row r="50" s="60" customFormat="1" customHeight="1" outlineLevel="1" spans="1:88">
      <c r="A50" s="60" t="s">
        <v>36</v>
      </c>
      <c r="B50" s="70" t="str">
        <f t="shared" si="29"/>
        <v>-</v>
      </c>
      <c r="C50" s="71" t="str">
        <f t="shared" si="30"/>
        <v>-</v>
      </c>
      <c r="D50" s="180">
        <f t="shared" si="31"/>
        <v>0</v>
      </c>
      <c r="E50" s="180">
        <v>0</v>
      </c>
      <c r="F50" s="180">
        <v>0</v>
      </c>
      <c r="G50" s="180">
        <v>0</v>
      </c>
      <c r="H50" s="180">
        <v>0</v>
      </c>
      <c r="I50" s="180">
        <f t="shared" si="32"/>
        <v>0</v>
      </c>
      <c r="J50" s="86" t="s">
        <v>98</v>
      </c>
      <c r="K50" s="87"/>
      <c r="L50" s="141" t="s">
        <v>1115</v>
      </c>
      <c r="M50" s="89" t="s">
        <v>1076</v>
      </c>
      <c r="N50" s="90" t="s">
        <v>30</v>
      </c>
      <c r="O50" s="90" t="s">
        <v>97</v>
      </c>
      <c r="P50" s="91">
        <v>42886</v>
      </c>
      <c r="Q50" s="102">
        <v>3000000</v>
      </c>
      <c r="R50" s="89" t="s">
        <v>1116</v>
      </c>
      <c r="S50" s="89" t="s">
        <v>1078</v>
      </c>
      <c r="T50" s="89"/>
      <c r="U50" s="103" t="s">
        <v>354</v>
      </c>
      <c r="V50" s="104" t="s">
        <v>1079</v>
      </c>
      <c r="W50" s="102">
        <v>0</v>
      </c>
      <c r="X50" s="102">
        <v>0</v>
      </c>
      <c r="Y50" s="102">
        <v>0</v>
      </c>
      <c r="Z50" s="107" t="s">
        <v>1079</v>
      </c>
      <c r="AA50" s="102">
        <v>0</v>
      </c>
      <c r="AB50" s="102">
        <v>0</v>
      </c>
      <c r="AC50" s="102"/>
      <c r="AD50" s="107" t="s">
        <v>1079</v>
      </c>
      <c r="AE50" s="102"/>
      <c r="AF50" s="102"/>
      <c r="AG50" s="102"/>
      <c r="AH50" s="107" t="s">
        <v>1079</v>
      </c>
      <c r="AI50" s="102"/>
      <c r="AJ50" s="102"/>
      <c r="AK50" s="102"/>
      <c r="AL50" s="107" t="s">
        <v>1079</v>
      </c>
      <c r="AM50" s="102"/>
      <c r="AN50" s="102"/>
      <c r="AO50" s="102"/>
      <c r="AP50" s="107" t="s">
        <v>1079</v>
      </c>
      <c r="AQ50" s="102"/>
      <c r="AR50" s="102"/>
      <c r="AS50" s="102"/>
      <c r="AT50" s="107" t="s">
        <v>1079</v>
      </c>
      <c r="AU50" s="102"/>
      <c r="AV50" s="102"/>
      <c r="AW50" s="102"/>
      <c r="AX50" s="107" t="s">
        <v>1080</v>
      </c>
      <c r="AY50" s="102">
        <v>3000000</v>
      </c>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22"/>
      <c r="CD50" s="123">
        <f t="shared" si="33"/>
        <v>3000000</v>
      </c>
      <c r="CE50" s="102">
        <f t="shared" si="34"/>
        <v>0</v>
      </c>
      <c r="CF50" s="102">
        <f t="shared" si="35"/>
        <v>0</v>
      </c>
      <c r="CG50" s="102">
        <f t="shared" si="36"/>
        <v>0</v>
      </c>
      <c r="CH50" s="124">
        <f t="shared" si="37"/>
        <v>3000000</v>
      </c>
      <c r="CI50" s="125">
        <f t="shared" si="38"/>
        <v>0</v>
      </c>
      <c r="CJ50" s="126" t="str">
        <f t="shared" si="39"/>
        <v>数据正确</v>
      </c>
    </row>
    <row r="51" s="60" customFormat="1" customHeight="1" outlineLevel="1" spans="1:88">
      <c r="A51" s="60" t="s">
        <v>36</v>
      </c>
      <c r="B51" s="70" t="str">
        <f t="shared" si="29"/>
        <v>申请中</v>
      </c>
      <c r="C51" s="71" t="str">
        <f t="shared" si="30"/>
        <v>-</v>
      </c>
      <c r="D51" s="180">
        <f t="shared" si="31"/>
        <v>-284.83</v>
      </c>
      <c r="E51" s="180">
        <v>0</v>
      </c>
      <c r="F51" s="180">
        <v>0</v>
      </c>
      <c r="G51" s="180">
        <v>0</v>
      </c>
      <c r="H51" s="180">
        <v>0</v>
      </c>
      <c r="I51" s="180">
        <f t="shared" si="32"/>
        <v>-795.2</v>
      </c>
      <c r="J51" s="86" t="s">
        <v>98</v>
      </c>
      <c r="K51" s="87"/>
      <c r="L51" s="141" t="s">
        <v>1117</v>
      </c>
      <c r="M51" s="89" t="s">
        <v>1076</v>
      </c>
      <c r="N51" s="90" t="s">
        <v>30</v>
      </c>
      <c r="O51" s="90" t="s">
        <v>97</v>
      </c>
      <c r="P51" s="91">
        <v>42886</v>
      </c>
      <c r="Q51" s="102">
        <v>0</v>
      </c>
      <c r="R51" s="89" t="s">
        <v>1118</v>
      </c>
      <c r="S51" s="89" t="s">
        <v>1078</v>
      </c>
      <c r="T51" s="89"/>
      <c r="U51" s="103" t="s">
        <v>354</v>
      </c>
      <c r="V51" s="104" t="s">
        <v>1079</v>
      </c>
      <c r="W51" s="102">
        <v>0</v>
      </c>
      <c r="X51" s="102">
        <v>-284.83</v>
      </c>
      <c r="Y51" s="102">
        <v>-284.83</v>
      </c>
      <c r="Z51" s="107" t="s">
        <v>1079</v>
      </c>
      <c r="AA51" s="102">
        <v>0</v>
      </c>
      <c r="AB51" s="102">
        <v>-795.2</v>
      </c>
      <c r="AC51" s="102"/>
      <c r="AD51" s="107" t="s">
        <v>1079</v>
      </c>
      <c r="AE51" s="102"/>
      <c r="AF51" s="102"/>
      <c r="AG51" s="102"/>
      <c r="AH51" s="107" t="s">
        <v>1079</v>
      </c>
      <c r="AI51" s="102"/>
      <c r="AJ51" s="102"/>
      <c r="AK51" s="102"/>
      <c r="AL51" s="107" t="s">
        <v>1079</v>
      </c>
      <c r="AM51" s="102"/>
      <c r="AN51" s="102"/>
      <c r="AO51" s="102"/>
      <c r="AP51" s="107" t="s">
        <v>1079</v>
      </c>
      <c r="AQ51" s="102"/>
      <c r="AR51" s="102"/>
      <c r="AS51" s="102"/>
      <c r="AT51" s="107" t="s">
        <v>1079</v>
      </c>
      <c r="AU51" s="102"/>
      <c r="AV51" s="102"/>
      <c r="AW51" s="102"/>
      <c r="AX51" s="107" t="s">
        <v>1080</v>
      </c>
      <c r="AY51" s="102">
        <v>0</v>
      </c>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22"/>
      <c r="CD51" s="123">
        <f t="shared" si="33"/>
        <v>0</v>
      </c>
      <c r="CE51" s="102">
        <f t="shared" si="34"/>
        <v>-1080.03</v>
      </c>
      <c r="CF51" s="102">
        <f t="shared" si="35"/>
        <v>-284.83</v>
      </c>
      <c r="CG51" s="102">
        <f t="shared" si="36"/>
        <v>0</v>
      </c>
      <c r="CH51" s="124">
        <f t="shared" si="37"/>
        <v>284.83</v>
      </c>
      <c r="CI51" s="125" t="str">
        <f t="shared" si="38"/>
        <v>-</v>
      </c>
      <c r="CJ51" s="126" t="str">
        <f t="shared" si="39"/>
        <v>数据正确</v>
      </c>
    </row>
    <row r="52" s="130" customFormat="1" customHeight="1" spans="1:88">
      <c r="A52" s="130" t="s">
        <v>36</v>
      </c>
      <c r="B52" s="132" t="str">
        <f t="shared" si="29"/>
        <v>申请中</v>
      </c>
      <c r="C52" s="133" t="str">
        <f t="shared" si="30"/>
        <v>-</v>
      </c>
      <c r="D52" s="182">
        <f t="shared" si="31"/>
        <v>2484000.002</v>
      </c>
      <c r="E52" s="182">
        <f>SUM(E32:E51)</f>
        <v>0</v>
      </c>
      <c r="F52" s="182">
        <f>SUM(F32:F51)</f>
        <v>0</v>
      </c>
      <c r="G52" s="182">
        <f>SUM(G32:G51)</f>
        <v>0</v>
      </c>
      <c r="H52" s="182">
        <f>SUM(H32:H51)</f>
        <v>0</v>
      </c>
      <c r="I52" s="182">
        <f t="shared" si="32"/>
        <v>3572000</v>
      </c>
      <c r="J52" s="142" t="s">
        <v>98</v>
      </c>
      <c r="K52" s="172"/>
      <c r="L52" s="143">
        <v>156</v>
      </c>
      <c r="M52" s="144" t="s">
        <v>1076</v>
      </c>
      <c r="N52" s="145" t="s">
        <v>30</v>
      </c>
      <c r="O52" s="145" t="s">
        <v>97</v>
      </c>
      <c r="P52" s="146">
        <v>42886</v>
      </c>
      <c r="Q52" s="158">
        <f>SUM(Q32:Q51)</f>
        <v>57000000</v>
      </c>
      <c r="R52" s="144" t="s">
        <v>1119</v>
      </c>
      <c r="S52" s="144" t="s">
        <v>1078</v>
      </c>
      <c r="T52" s="144"/>
      <c r="U52" s="156" t="s">
        <v>354</v>
      </c>
      <c r="V52" s="186" t="s">
        <v>1079</v>
      </c>
      <c r="W52" s="158">
        <f t="shared" ref="W52:AB52" si="40">SUM(W32:W51)</f>
        <v>3105356.04</v>
      </c>
      <c r="X52" s="158">
        <f t="shared" si="40"/>
        <v>2484000.002</v>
      </c>
      <c r="Y52" s="158">
        <f t="shared" si="40"/>
        <v>2484000.002</v>
      </c>
      <c r="Z52" s="158">
        <f t="shared" si="40"/>
        <v>0</v>
      </c>
      <c r="AA52" s="158">
        <f t="shared" si="40"/>
        <v>4465994</v>
      </c>
      <c r="AB52" s="158">
        <f t="shared" si="40"/>
        <v>3572000</v>
      </c>
      <c r="AC52" s="158">
        <f t="shared" ref="AC52:BH52" si="41">SUM(AC32:AC51)</f>
        <v>0</v>
      </c>
      <c r="AD52" s="158">
        <f t="shared" si="41"/>
        <v>0</v>
      </c>
      <c r="AE52" s="158">
        <f t="shared" si="41"/>
        <v>0</v>
      </c>
      <c r="AF52" s="158">
        <f t="shared" si="41"/>
        <v>0</v>
      </c>
      <c r="AG52" s="158">
        <f t="shared" si="41"/>
        <v>0</v>
      </c>
      <c r="AH52" s="158">
        <f t="shared" si="41"/>
        <v>0</v>
      </c>
      <c r="AI52" s="158">
        <f t="shared" si="41"/>
        <v>0</v>
      </c>
      <c r="AJ52" s="158">
        <f t="shared" si="41"/>
        <v>0</v>
      </c>
      <c r="AK52" s="158">
        <f t="shared" si="41"/>
        <v>0</v>
      </c>
      <c r="AL52" s="158">
        <f t="shared" si="41"/>
        <v>0</v>
      </c>
      <c r="AM52" s="158">
        <f t="shared" si="41"/>
        <v>0</v>
      </c>
      <c r="AN52" s="158">
        <f t="shared" si="41"/>
        <v>0</v>
      </c>
      <c r="AO52" s="158">
        <f t="shared" si="41"/>
        <v>0</v>
      </c>
      <c r="AP52" s="158">
        <f t="shared" si="41"/>
        <v>0</v>
      </c>
      <c r="AQ52" s="158">
        <f t="shared" si="41"/>
        <v>0</v>
      </c>
      <c r="AR52" s="158">
        <f t="shared" si="41"/>
        <v>0</v>
      </c>
      <c r="AS52" s="158">
        <f t="shared" si="41"/>
        <v>0</v>
      </c>
      <c r="AT52" s="158">
        <f t="shared" si="41"/>
        <v>0</v>
      </c>
      <c r="AU52" s="158">
        <f t="shared" si="41"/>
        <v>0</v>
      </c>
      <c r="AV52" s="158">
        <f t="shared" si="41"/>
        <v>0</v>
      </c>
      <c r="AW52" s="158">
        <f t="shared" si="41"/>
        <v>0</v>
      </c>
      <c r="AX52" s="158">
        <f t="shared" si="41"/>
        <v>0</v>
      </c>
      <c r="AY52" s="158">
        <f t="shared" si="41"/>
        <v>49428649.96</v>
      </c>
      <c r="AZ52" s="158">
        <f t="shared" si="41"/>
        <v>0</v>
      </c>
      <c r="BA52" s="158">
        <f t="shared" si="41"/>
        <v>0</v>
      </c>
      <c r="BB52" s="158">
        <f t="shared" si="41"/>
        <v>0</v>
      </c>
      <c r="BC52" s="158">
        <f t="shared" si="41"/>
        <v>0</v>
      </c>
      <c r="BD52" s="158">
        <f t="shared" si="41"/>
        <v>0</v>
      </c>
      <c r="BE52" s="158">
        <f t="shared" si="41"/>
        <v>0</v>
      </c>
      <c r="BF52" s="158">
        <f t="shared" si="41"/>
        <v>0</v>
      </c>
      <c r="BG52" s="158">
        <f t="shared" si="41"/>
        <v>0</v>
      </c>
      <c r="BH52" s="158">
        <f t="shared" si="41"/>
        <v>0</v>
      </c>
      <c r="BI52" s="158">
        <f t="shared" ref="BI52:CC52" si="42">SUM(BI32:BI51)</f>
        <v>0</v>
      </c>
      <c r="BJ52" s="158">
        <f t="shared" si="42"/>
        <v>0</v>
      </c>
      <c r="BK52" s="158">
        <f t="shared" si="42"/>
        <v>0</v>
      </c>
      <c r="BL52" s="158">
        <f t="shared" si="42"/>
        <v>0</v>
      </c>
      <c r="BM52" s="158">
        <f t="shared" si="42"/>
        <v>0</v>
      </c>
      <c r="BN52" s="158">
        <f t="shared" si="42"/>
        <v>0</v>
      </c>
      <c r="BO52" s="158">
        <f t="shared" si="42"/>
        <v>0</v>
      </c>
      <c r="BP52" s="158">
        <f t="shared" si="42"/>
        <v>0</v>
      </c>
      <c r="BQ52" s="158">
        <f t="shared" si="42"/>
        <v>0</v>
      </c>
      <c r="BR52" s="158">
        <f t="shared" si="42"/>
        <v>0</v>
      </c>
      <c r="BS52" s="158">
        <f t="shared" si="42"/>
        <v>0</v>
      </c>
      <c r="BT52" s="158">
        <f t="shared" si="42"/>
        <v>0</v>
      </c>
      <c r="BU52" s="158">
        <f t="shared" si="42"/>
        <v>0</v>
      </c>
      <c r="BV52" s="158">
        <f t="shared" si="42"/>
        <v>0</v>
      </c>
      <c r="BW52" s="158">
        <f t="shared" si="42"/>
        <v>0</v>
      </c>
      <c r="BX52" s="158">
        <f t="shared" si="42"/>
        <v>0</v>
      </c>
      <c r="BY52" s="158">
        <f t="shared" si="42"/>
        <v>0</v>
      </c>
      <c r="BZ52" s="158">
        <f t="shared" si="42"/>
        <v>0</v>
      </c>
      <c r="CA52" s="158">
        <f t="shared" si="42"/>
        <v>0</v>
      </c>
      <c r="CB52" s="158">
        <f t="shared" si="42"/>
        <v>0</v>
      </c>
      <c r="CC52" s="158">
        <f t="shared" si="42"/>
        <v>0</v>
      </c>
      <c r="CD52" s="165">
        <f t="shared" si="33"/>
        <v>57000000</v>
      </c>
      <c r="CE52" s="158">
        <f t="shared" si="34"/>
        <v>6056000.002</v>
      </c>
      <c r="CF52" s="158">
        <f t="shared" si="35"/>
        <v>2484000.002</v>
      </c>
      <c r="CG52" s="158">
        <f t="shared" si="36"/>
        <v>0</v>
      </c>
      <c r="CH52" s="163">
        <f t="shared" si="37"/>
        <v>54515999.998</v>
      </c>
      <c r="CI52" s="166">
        <f t="shared" si="38"/>
        <v>0.0435789474035088</v>
      </c>
      <c r="CJ52" s="167" t="str">
        <f t="shared" si="39"/>
        <v>数据正确</v>
      </c>
    </row>
    <row r="53" s="60" customFormat="1" customHeight="1" outlineLevel="1" spans="1:88">
      <c r="A53" s="60" t="s">
        <v>36</v>
      </c>
      <c r="B53" s="70" t="str">
        <f t="shared" si="29"/>
        <v>-</v>
      </c>
      <c r="C53" s="71" t="str">
        <f t="shared" si="30"/>
        <v>-</v>
      </c>
      <c r="D53" s="180">
        <f t="shared" si="31"/>
        <v>157203</v>
      </c>
      <c r="E53" s="180">
        <v>0</v>
      </c>
      <c r="F53" s="180">
        <f>47997</f>
        <v>47997</v>
      </c>
      <c r="G53" s="180">
        <v>0</v>
      </c>
      <c r="H53" s="180">
        <v>0</v>
      </c>
      <c r="I53" s="180">
        <f t="shared" si="32"/>
        <v>0</v>
      </c>
      <c r="J53" s="86" t="s">
        <v>98</v>
      </c>
      <c r="K53" s="87"/>
      <c r="L53" s="141" t="s">
        <v>1120</v>
      </c>
      <c r="M53" s="89" t="s">
        <v>1121</v>
      </c>
      <c r="N53" s="90" t="s">
        <v>30</v>
      </c>
      <c r="O53" s="90" t="s">
        <v>97</v>
      </c>
      <c r="P53" s="91">
        <v>42896</v>
      </c>
      <c r="Q53" s="102">
        <v>3800000</v>
      </c>
      <c r="R53" s="89" t="s">
        <v>1122</v>
      </c>
      <c r="S53" s="89" t="s">
        <v>1036</v>
      </c>
      <c r="T53" s="89"/>
      <c r="U53" s="103" t="s">
        <v>354</v>
      </c>
      <c r="V53" s="104" t="s">
        <v>1079</v>
      </c>
      <c r="W53" s="102"/>
      <c r="X53" s="102">
        <v>0</v>
      </c>
      <c r="Y53" s="102">
        <v>0</v>
      </c>
      <c r="Z53" s="107" t="s">
        <v>1079</v>
      </c>
      <c r="AA53" s="102"/>
      <c r="AB53" s="102">
        <v>0</v>
      </c>
      <c r="AC53" s="102">
        <v>0</v>
      </c>
      <c r="AD53" s="107" t="s">
        <v>1079</v>
      </c>
      <c r="AE53" s="102">
        <v>256500</v>
      </c>
      <c r="AF53" s="102">
        <v>205200</v>
      </c>
      <c r="AG53" s="102">
        <f>AF53-47997</f>
        <v>157203</v>
      </c>
      <c r="AH53" s="107" t="s">
        <v>1079</v>
      </c>
      <c r="AI53" s="102"/>
      <c r="AJ53" s="102"/>
      <c r="AK53" s="102"/>
      <c r="AL53" s="107" t="s">
        <v>1079</v>
      </c>
      <c r="AM53" s="102"/>
      <c r="AN53" s="102"/>
      <c r="AO53" s="102"/>
      <c r="AP53" s="107" t="s">
        <v>1079</v>
      </c>
      <c r="AQ53" s="102"/>
      <c r="AR53" s="102"/>
      <c r="AS53" s="102"/>
      <c r="AT53" s="107" t="s">
        <v>1079</v>
      </c>
      <c r="AU53" s="102"/>
      <c r="AV53" s="102"/>
      <c r="AW53" s="102"/>
      <c r="AX53" s="107" t="s">
        <v>1080</v>
      </c>
      <c r="AY53" s="102">
        <v>3543500</v>
      </c>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22"/>
      <c r="CD53" s="123">
        <f t="shared" si="33"/>
        <v>3800000</v>
      </c>
      <c r="CE53" s="102">
        <f t="shared" si="34"/>
        <v>205200</v>
      </c>
      <c r="CF53" s="102">
        <f t="shared" si="35"/>
        <v>157203</v>
      </c>
      <c r="CG53" s="102">
        <f t="shared" si="36"/>
        <v>47997</v>
      </c>
      <c r="CH53" s="124">
        <f t="shared" si="37"/>
        <v>3594800</v>
      </c>
      <c r="CI53" s="125">
        <f t="shared" si="38"/>
        <v>0.054</v>
      </c>
      <c r="CJ53" s="126" t="str">
        <f t="shared" si="39"/>
        <v>数据正确</v>
      </c>
    </row>
    <row r="54" s="60" customFormat="1" customHeight="1" outlineLevel="1" spans="1:88">
      <c r="A54" s="60" t="s">
        <v>36</v>
      </c>
      <c r="B54" s="70" t="str">
        <f t="shared" si="29"/>
        <v>申请中</v>
      </c>
      <c r="C54" s="71" t="str">
        <f t="shared" si="30"/>
        <v>-</v>
      </c>
      <c r="D54" s="180">
        <f t="shared" si="31"/>
        <v>3249996.864</v>
      </c>
      <c r="E54" s="180">
        <v>170000</v>
      </c>
      <c r="F54" s="180">
        <v>7602</v>
      </c>
      <c r="G54" s="180">
        <v>0</v>
      </c>
      <c r="H54" s="180">
        <v>0</v>
      </c>
      <c r="I54" s="180">
        <f t="shared" si="32"/>
        <v>46003</v>
      </c>
      <c r="J54" s="86" t="s">
        <v>98</v>
      </c>
      <c r="K54" s="87"/>
      <c r="L54" s="141" t="s">
        <v>1123</v>
      </c>
      <c r="M54" s="89" t="s">
        <v>1121</v>
      </c>
      <c r="N54" s="90" t="s">
        <v>30</v>
      </c>
      <c r="O54" s="90" t="s">
        <v>97</v>
      </c>
      <c r="P54" s="91">
        <v>42896</v>
      </c>
      <c r="Q54" s="102">
        <v>3800000</v>
      </c>
      <c r="R54" s="89" t="s">
        <v>1124</v>
      </c>
      <c r="S54" s="89" t="s">
        <v>1036</v>
      </c>
      <c r="T54" s="89"/>
      <c r="U54" s="103" t="s">
        <v>354</v>
      </c>
      <c r="V54" s="104" t="s">
        <v>1079</v>
      </c>
      <c r="W54" s="102">
        <v>753651</v>
      </c>
      <c r="X54" s="102">
        <v>602920.8</v>
      </c>
      <c r="Y54" s="102">
        <f>602920.8-170000-7602</f>
        <v>425318.8</v>
      </c>
      <c r="Z54" s="107" t="s">
        <v>1079</v>
      </c>
      <c r="AA54" s="102">
        <v>2268129.33</v>
      </c>
      <c r="AB54" s="102">
        <v>1814503.464</v>
      </c>
      <c r="AC54" s="102">
        <v>1814503.464</v>
      </c>
      <c r="AD54" s="107" t="s">
        <v>1079</v>
      </c>
      <c r="AE54" s="102">
        <v>1320222</v>
      </c>
      <c r="AF54" s="102">
        <v>1056177.6</v>
      </c>
      <c r="AG54" s="102">
        <f>AF54-46003</f>
        <v>1010174.6</v>
      </c>
      <c r="AH54" s="107" t="s">
        <v>1079</v>
      </c>
      <c r="AI54" s="102"/>
      <c r="AJ54" s="102"/>
      <c r="AK54" s="102"/>
      <c r="AL54" s="107" t="s">
        <v>1079</v>
      </c>
      <c r="AM54" s="102"/>
      <c r="AN54" s="102"/>
      <c r="AO54" s="102"/>
      <c r="AP54" s="107" t="s">
        <v>1079</v>
      </c>
      <c r="AQ54" s="102"/>
      <c r="AR54" s="102"/>
      <c r="AS54" s="102"/>
      <c r="AT54" s="107" t="s">
        <v>1079</v>
      </c>
      <c r="AU54" s="102"/>
      <c r="AV54" s="102"/>
      <c r="AW54" s="102"/>
      <c r="AX54" s="107" t="s">
        <v>1080</v>
      </c>
      <c r="AY54" s="102">
        <v>-542002.33</v>
      </c>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22"/>
      <c r="CD54" s="123">
        <f t="shared" si="33"/>
        <v>3800000</v>
      </c>
      <c r="CE54" s="102">
        <f t="shared" si="34"/>
        <v>3473601.864</v>
      </c>
      <c r="CF54" s="102">
        <f t="shared" si="35"/>
        <v>3249996.864</v>
      </c>
      <c r="CG54" s="102">
        <f t="shared" si="36"/>
        <v>177602</v>
      </c>
      <c r="CH54" s="124">
        <f t="shared" si="37"/>
        <v>372401.136</v>
      </c>
      <c r="CI54" s="125">
        <f t="shared" si="38"/>
        <v>0.901999701052632</v>
      </c>
      <c r="CJ54" s="126" t="str">
        <f t="shared" si="39"/>
        <v>数据正确</v>
      </c>
    </row>
    <row r="55" s="60" customFormat="1" customHeight="1" outlineLevel="1" spans="1:88">
      <c r="A55" s="60" t="s">
        <v>36</v>
      </c>
      <c r="B55" s="70" t="str">
        <f t="shared" si="29"/>
        <v>-</v>
      </c>
      <c r="C55" s="71" t="str">
        <f t="shared" si="30"/>
        <v>-</v>
      </c>
      <c r="D55" s="180">
        <f t="shared" si="31"/>
        <v>0</v>
      </c>
      <c r="E55" s="180">
        <v>0</v>
      </c>
      <c r="F55" s="180">
        <v>0</v>
      </c>
      <c r="G55" s="180">
        <v>0</v>
      </c>
      <c r="H55" s="180">
        <v>0</v>
      </c>
      <c r="I55" s="180">
        <f t="shared" si="32"/>
        <v>0</v>
      </c>
      <c r="J55" s="86" t="s">
        <v>98</v>
      </c>
      <c r="K55" s="87"/>
      <c r="L55" s="141" t="s">
        <v>1125</v>
      </c>
      <c r="M55" s="89" t="s">
        <v>1121</v>
      </c>
      <c r="N55" s="90" t="s">
        <v>30</v>
      </c>
      <c r="O55" s="90" t="s">
        <v>97</v>
      </c>
      <c r="P55" s="91">
        <v>42896</v>
      </c>
      <c r="Q55" s="102">
        <v>3800000</v>
      </c>
      <c r="R55" s="89" t="s">
        <v>1126</v>
      </c>
      <c r="S55" s="89" t="s">
        <v>1036</v>
      </c>
      <c r="T55" s="89"/>
      <c r="U55" s="103" t="s">
        <v>354</v>
      </c>
      <c r="V55" s="104" t="s">
        <v>1079</v>
      </c>
      <c r="W55" s="102"/>
      <c r="X55" s="102">
        <v>0</v>
      </c>
      <c r="Y55" s="102">
        <v>0</v>
      </c>
      <c r="Z55" s="107" t="s">
        <v>1079</v>
      </c>
      <c r="AA55" s="102"/>
      <c r="AB55" s="102">
        <v>0</v>
      </c>
      <c r="AC55" s="102">
        <v>0</v>
      </c>
      <c r="AD55" s="107" t="s">
        <v>1079</v>
      </c>
      <c r="AE55" s="102"/>
      <c r="AF55" s="102">
        <v>0</v>
      </c>
      <c r="AG55" s="102">
        <f t="shared" ref="AG54:AG67" si="43">AF55</f>
        <v>0</v>
      </c>
      <c r="AH55" s="107" t="s">
        <v>1079</v>
      </c>
      <c r="AI55" s="102"/>
      <c r="AJ55" s="102"/>
      <c r="AK55" s="102"/>
      <c r="AL55" s="107" t="s">
        <v>1079</v>
      </c>
      <c r="AM55" s="102"/>
      <c r="AN55" s="102"/>
      <c r="AO55" s="102"/>
      <c r="AP55" s="107" t="s">
        <v>1079</v>
      </c>
      <c r="AQ55" s="102"/>
      <c r="AR55" s="102"/>
      <c r="AS55" s="102"/>
      <c r="AT55" s="107" t="s">
        <v>1079</v>
      </c>
      <c r="AU55" s="102"/>
      <c r="AV55" s="102"/>
      <c r="AW55" s="102"/>
      <c r="AX55" s="107" t="s">
        <v>1080</v>
      </c>
      <c r="AY55" s="102">
        <v>3800000</v>
      </c>
      <c r="AZ55" s="102"/>
      <c r="BA55" s="102"/>
      <c r="BB55" s="102"/>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22"/>
      <c r="CD55" s="123">
        <f t="shared" si="33"/>
        <v>3800000</v>
      </c>
      <c r="CE55" s="102">
        <f t="shared" si="34"/>
        <v>0</v>
      </c>
      <c r="CF55" s="102">
        <f t="shared" si="35"/>
        <v>0</v>
      </c>
      <c r="CG55" s="102">
        <f t="shared" si="36"/>
        <v>0</v>
      </c>
      <c r="CH55" s="124">
        <f t="shared" si="37"/>
        <v>3800000</v>
      </c>
      <c r="CI55" s="125">
        <f t="shared" si="38"/>
        <v>0</v>
      </c>
      <c r="CJ55" s="126" t="str">
        <f t="shared" si="39"/>
        <v>数据正确</v>
      </c>
    </row>
    <row r="56" s="60" customFormat="1" customHeight="1" outlineLevel="1" spans="1:88">
      <c r="A56" s="60" t="s">
        <v>36</v>
      </c>
      <c r="B56" s="70" t="str">
        <f t="shared" si="29"/>
        <v>-</v>
      </c>
      <c r="C56" s="71" t="str">
        <f t="shared" si="30"/>
        <v>-</v>
      </c>
      <c r="D56" s="180">
        <f t="shared" si="31"/>
        <v>0</v>
      </c>
      <c r="E56" s="180">
        <v>0</v>
      </c>
      <c r="F56" s="180">
        <v>0</v>
      </c>
      <c r="G56" s="180">
        <v>0</v>
      </c>
      <c r="H56" s="180">
        <v>0</v>
      </c>
      <c r="I56" s="180">
        <f t="shared" si="32"/>
        <v>0</v>
      </c>
      <c r="J56" s="86" t="s">
        <v>98</v>
      </c>
      <c r="K56" s="87"/>
      <c r="L56" s="141" t="s">
        <v>1127</v>
      </c>
      <c r="M56" s="89" t="s">
        <v>1121</v>
      </c>
      <c r="N56" s="90" t="s">
        <v>30</v>
      </c>
      <c r="O56" s="90" t="s">
        <v>97</v>
      </c>
      <c r="P56" s="91">
        <v>42896</v>
      </c>
      <c r="Q56" s="102">
        <v>3800000</v>
      </c>
      <c r="R56" s="89" t="s">
        <v>1128</v>
      </c>
      <c r="S56" s="89" t="s">
        <v>1036</v>
      </c>
      <c r="T56" s="89"/>
      <c r="U56" s="103" t="s">
        <v>354</v>
      </c>
      <c r="V56" s="104" t="s">
        <v>1079</v>
      </c>
      <c r="W56" s="102"/>
      <c r="X56" s="102">
        <v>0</v>
      </c>
      <c r="Y56" s="102">
        <v>0</v>
      </c>
      <c r="Z56" s="107" t="s">
        <v>1079</v>
      </c>
      <c r="AA56" s="102"/>
      <c r="AB56" s="102">
        <v>0</v>
      </c>
      <c r="AC56" s="102">
        <v>0</v>
      </c>
      <c r="AD56" s="107" t="s">
        <v>1079</v>
      </c>
      <c r="AE56" s="102"/>
      <c r="AF56" s="102">
        <v>0</v>
      </c>
      <c r="AG56" s="102">
        <f t="shared" si="43"/>
        <v>0</v>
      </c>
      <c r="AH56" s="107" t="s">
        <v>1079</v>
      </c>
      <c r="AI56" s="102"/>
      <c r="AJ56" s="102"/>
      <c r="AK56" s="102"/>
      <c r="AL56" s="107" t="s">
        <v>1079</v>
      </c>
      <c r="AM56" s="102"/>
      <c r="AN56" s="102"/>
      <c r="AO56" s="102"/>
      <c r="AP56" s="107" t="s">
        <v>1079</v>
      </c>
      <c r="AQ56" s="102"/>
      <c r="AR56" s="102"/>
      <c r="AS56" s="102"/>
      <c r="AT56" s="107" t="s">
        <v>1079</v>
      </c>
      <c r="AU56" s="102"/>
      <c r="AV56" s="102"/>
      <c r="AW56" s="102"/>
      <c r="AX56" s="107" t="s">
        <v>1080</v>
      </c>
      <c r="AY56" s="102">
        <v>3800000</v>
      </c>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22"/>
      <c r="CD56" s="123">
        <f t="shared" si="33"/>
        <v>3800000</v>
      </c>
      <c r="CE56" s="102">
        <f t="shared" si="34"/>
        <v>0</v>
      </c>
      <c r="CF56" s="102">
        <f t="shared" si="35"/>
        <v>0</v>
      </c>
      <c r="CG56" s="102">
        <f t="shared" si="36"/>
        <v>0</v>
      </c>
      <c r="CH56" s="124">
        <f t="shared" si="37"/>
        <v>3800000</v>
      </c>
      <c r="CI56" s="125">
        <f t="shared" si="38"/>
        <v>0</v>
      </c>
      <c r="CJ56" s="126" t="str">
        <f t="shared" si="39"/>
        <v>数据正确</v>
      </c>
    </row>
    <row r="57" s="60" customFormat="1" customHeight="1" outlineLevel="1" spans="1:88">
      <c r="A57" s="60" t="s">
        <v>36</v>
      </c>
      <c r="B57" s="70" t="str">
        <f t="shared" si="29"/>
        <v>-</v>
      </c>
      <c r="C57" s="71" t="str">
        <f t="shared" si="30"/>
        <v>-</v>
      </c>
      <c r="D57" s="180">
        <f t="shared" si="31"/>
        <v>147909.208</v>
      </c>
      <c r="E57" s="180">
        <v>0</v>
      </c>
      <c r="F57" s="180">
        <v>0</v>
      </c>
      <c r="G57" s="180">
        <v>0</v>
      </c>
      <c r="H57" s="180">
        <v>0</v>
      </c>
      <c r="I57" s="180">
        <f t="shared" si="32"/>
        <v>0</v>
      </c>
      <c r="J57" s="86" t="s">
        <v>98</v>
      </c>
      <c r="K57" s="87"/>
      <c r="L57" s="141" t="s">
        <v>1129</v>
      </c>
      <c r="M57" s="89" t="s">
        <v>1121</v>
      </c>
      <c r="N57" s="90" t="s">
        <v>30</v>
      </c>
      <c r="O57" s="90" t="s">
        <v>97</v>
      </c>
      <c r="P57" s="91">
        <v>42896</v>
      </c>
      <c r="Q57" s="102">
        <v>3800000</v>
      </c>
      <c r="R57" s="89" t="s">
        <v>1130</v>
      </c>
      <c r="S57" s="89" t="s">
        <v>1036</v>
      </c>
      <c r="T57" s="89"/>
      <c r="U57" s="103" t="s">
        <v>354</v>
      </c>
      <c r="V57" s="104" t="s">
        <v>1079</v>
      </c>
      <c r="W57" s="102"/>
      <c r="X57" s="102">
        <v>0</v>
      </c>
      <c r="Y57" s="102">
        <v>0</v>
      </c>
      <c r="Z57" s="107" t="s">
        <v>1079</v>
      </c>
      <c r="AA57" s="102">
        <v>184886.51</v>
      </c>
      <c r="AB57" s="102">
        <v>147909.208</v>
      </c>
      <c r="AC57" s="102">
        <v>147909.208</v>
      </c>
      <c r="AD57" s="107" t="s">
        <v>1079</v>
      </c>
      <c r="AE57" s="102"/>
      <c r="AF57" s="102">
        <v>0</v>
      </c>
      <c r="AG57" s="102">
        <f t="shared" si="43"/>
        <v>0</v>
      </c>
      <c r="AH57" s="107" t="s">
        <v>1079</v>
      </c>
      <c r="AI57" s="102"/>
      <c r="AJ57" s="102"/>
      <c r="AK57" s="102"/>
      <c r="AL57" s="107" t="s">
        <v>1079</v>
      </c>
      <c r="AM57" s="102"/>
      <c r="AN57" s="102"/>
      <c r="AO57" s="102"/>
      <c r="AP57" s="107" t="s">
        <v>1079</v>
      </c>
      <c r="AQ57" s="102"/>
      <c r="AR57" s="102"/>
      <c r="AS57" s="102"/>
      <c r="AT57" s="107" t="s">
        <v>1079</v>
      </c>
      <c r="AU57" s="102"/>
      <c r="AV57" s="102"/>
      <c r="AW57" s="102"/>
      <c r="AX57" s="107" t="s">
        <v>1080</v>
      </c>
      <c r="AY57" s="102">
        <v>3615113.49</v>
      </c>
      <c r="AZ57" s="102"/>
      <c r="BA57" s="102"/>
      <c r="BB57" s="102"/>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22"/>
      <c r="CD57" s="123">
        <f t="shared" si="33"/>
        <v>3800000</v>
      </c>
      <c r="CE57" s="102">
        <f t="shared" si="34"/>
        <v>147909.208</v>
      </c>
      <c r="CF57" s="102">
        <f t="shared" si="35"/>
        <v>147909.208</v>
      </c>
      <c r="CG57" s="102">
        <f t="shared" si="36"/>
        <v>0</v>
      </c>
      <c r="CH57" s="124">
        <f t="shared" si="37"/>
        <v>3652090.792</v>
      </c>
      <c r="CI57" s="125">
        <f t="shared" si="38"/>
        <v>0.0389234757894737</v>
      </c>
      <c r="CJ57" s="126" t="str">
        <f t="shared" si="39"/>
        <v>数据正确</v>
      </c>
    </row>
    <row r="58" s="60" customFormat="1" customHeight="1" outlineLevel="1" spans="1:88">
      <c r="A58" s="60" t="s">
        <v>36</v>
      </c>
      <c r="B58" s="70" t="str">
        <f t="shared" si="29"/>
        <v>-</v>
      </c>
      <c r="C58" s="71" t="str">
        <f t="shared" si="30"/>
        <v>-</v>
      </c>
      <c r="D58" s="180">
        <f t="shared" si="31"/>
        <v>0</v>
      </c>
      <c r="E58" s="180">
        <v>0</v>
      </c>
      <c r="F58" s="180">
        <v>0</v>
      </c>
      <c r="G58" s="180">
        <v>0</v>
      </c>
      <c r="H58" s="180">
        <v>0</v>
      </c>
      <c r="I58" s="180">
        <f t="shared" si="32"/>
        <v>0</v>
      </c>
      <c r="J58" s="86" t="s">
        <v>98</v>
      </c>
      <c r="K58" s="87"/>
      <c r="L58" s="141" t="s">
        <v>1131</v>
      </c>
      <c r="M58" s="89" t="s">
        <v>1121</v>
      </c>
      <c r="N58" s="90" t="s">
        <v>30</v>
      </c>
      <c r="O58" s="90" t="s">
        <v>97</v>
      </c>
      <c r="P58" s="91">
        <v>42896</v>
      </c>
      <c r="Q58" s="102">
        <v>3800000</v>
      </c>
      <c r="R58" s="89" t="s">
        <v>1132</v>
      </c>
      <c r="S58" s="89" t="s">
        <v>1036</v>
      </c>
      <c r="T58" s="89"/>
      <c r="U58" s="103" t="s">
        <v>354</v>
      </c>
      <c r="V58" s="104" t="s">
        <v>1079</v>
      </c>
      <c r="W58" s="102"/>
      <c r="X58" s="102">
        <v>0</v>
      </c>
      <c r="Y58" s="102">
        <v>0</v>
      </c>
      <c r="Z58" s="107" t="s">
        <v>1079</v>
      </c>
      <c r="AA58" s="102"/>
      <c r="AB58" s="102">
        <v>0</v>
      </c>
      <c r="AC58" s="102">
        <v>0</v>
      </c>
      <c r="AD58" s="107" t="s">
        <v>1079</v>
      </c>
      <c r="AE58" s="102"/>
      <c r="AF58" s="102">
        <v>0</v>
      </c>
      <c r="AG58" s="102">
        <f t="shared" si="43"/>
        <v>0</v>
      </c>
      <c r="AH58" s="107" t="s">
        <v>1079</v>
      </c>
      <c r="AI58" s="102"/>
      <c r="AJ58" s="102"/>
      <c r="AK58" s="102"/>
      <c r="AL58" s="107" t="s">
        <v>1079</v>
      </c>
      <c r="AM58" s="102"/>
      <c r="AN58" s="102"/>
      <c r="AO58" s="102"/>
      <c r="AP58" s="107" t="s">
        <v>1079</v>
      </c>
      <c r="AQ58" s="102"/>
      <c r="AR58" s="102"/>
      <c r="AS58" s="102"/>
      <c r="AT58" s="107" t="s">
        <v>1079</v>
      </c>
      <c r="AU58" s="102"/>
      <c r="AV58" s="102"/>
      <c r="AW58" s="102"/>
      <c r="AX58" s="107" t="s">
        <v>1080</v>
      </c>
      <c r="AY58" s="102">
        <v>3800000</v>
      </c>
      <c r="AZ58" s="102"/>
      <c r="BA58" s="102"/>
      <c r="BB58" s="102"/>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22"/>
      <c r="CD58" s="123">
        <f t="shared" si="33"/>
        <v>3800000</v>
      </c>
      <c r="CE58" s="102">
        <f t="shared" si="34"/>
        <v>0</v>
      </c>
      <c r="CF58" s="102">
        <f t="shared" si="35"/>
        <v>0</v>
      </c>
      <c r="CG58" s="102">
        <f t="shared" si="36"/>
        <v>0</v>
      </c>
      <c r="CH58" s="124">
        <f t="shared" si="37"/>
        <v>3800000</v>
      </c>
      <c r="CI58" s="125">
        <f t="shared" si="38"/>
        <v>0</v>
      </c>
      <c r="CJ58" s="126" t="str">
        <f t="shared" si="39"/>
        <v>数据正确</v>
      </c>
    </row>
    <row r="59" s="60" customFormat="1" customHeight="1" outlineLevel="1" spans="1:88">
      <c r="A59" s="60" t="s">
        <v>36</v>
      </c>
      <c r="B59" s="70" t="str">
        <f t="shared" si="29"/>
        <v>-</v>
      </c>
      <c r="C59" s="71" t="str">
        <f t="shared" si="30"/>
        <v>-</v>
      </c>
      <c r="D59" s="180">
        <f t="shared" si="31"/>
        <v>0</v>
      </c>
      <c r="E59" s="180">
        <v>0</v>
      </c>
      <c r="F59" s="180">
        <v>0</v>
      </c>
      <c r="G59" s="180">
        <v>0</v>
      </c>
      <c r="H59" s="180">
        <v>0</v>
      </c>
      <c r="I59" s="180">
        <f t="shared" si="32"/>
        <v>0</v>
      </c>
      <c r="J59" s="86" t="s">
        <v>98</v>
      </c>
      <c r="K59" s="87"/>
      <c r="L59" s="141" t="s">
        <v>1133</v>
      </c>
      <c r="M59" s="89" t="s">
        <v>1121</v>
      </c>
      <c r="N59" s="90" t="s">
        <v>30</v>
      </c>
      <c r="O59" s="90" t="s">
        <v>97</v>
      </c>
      <c r="P59" s="91">
        <v>42896</v>
      </c>
      <c r="Q59" s="102">
        <v>3800000</v>
      </c>
      <c r="R59" s="89" t="s">
        <v>1134</v>
      </c>
      <c r="S59" s="89" t="s">
        <v>1036</v>
      </c>
      <c r="T59" s="89"/>
      <c r="U59" s="103" t="s">
        <v>354</v>
      </c>
      <c r="V59" s="104" t="s">
        <v>1079</v>
      </c>
      <c r="W59" s="102"/>
      <c r="X59" s="102">
        <v>0</v>
      </c>
      <c r="Y59" s="102">
        <v>0</v>
      </c>
      <c r="Z59" s="107" t="s">
        <v>1079</v>
      </c>
      <c r="AA59" s="102"/>
      <c r="AB59" s="102">
        <v>0</v>
      </c>
      <c r="AC59" s="102">
        <v>0</v>
      </c>
      <c r="AD59" s="107" t="s">
        <v>1079</v>
      </c>
      <c r="AE59" s="102"/>
      <c r="AF59" s="102">
        <v>0</v>
      </c>
      <c r="AG59" s="102">
        <f t="shared" si="43"/>
        <v>0</v>
      </c>
      <c r="AH59" s="107" t="s">
        <v>1079</v>
      </c>
      <c r="AI59" s="102"/>
      <c r="AJ59" s="102"/>
      <c r="AK59" s="102"/>
      <c r="AL59" s="107" t="s">
        <v>1079</v>
      </c>
      <c r="AM59" s="102"/>
      <c r="AN59" s="102"/>
      <c r="AO59" s="102"/>
      <c r="AP59" s="107" t="s">
        <v>1079</v>
      </c>
      <c r="AQ59" s="102"/>
      <c r="AR59" s="102"/>
      <c r="AS59" s="102"/>
      <c r="AT59" s="107" t="s">
        <v>1079</v>
      </c>
      <c r="AU59" s="102"/>
      <c r="AV59" s="102"/>
      <c r="AW59" s="102"/>
      <c r="AX59" s="107" t="s">
        <v>1080</v>
      </c>
      <c r="AY59" s="102">
        <v>3800000</v>
      </c>
      <c r="AZ59" s="102"/>
      <c r="BA59" s="102"/>
      <c r="BB59" s="102"/>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22"/>
      <c r="CD59" s="123">
        <f t="shared" si="33"/>
        <v>3800000</v>
      </c>
      <c r="CE59" s="102">
        <f t="shared" si="34"/>
        <v>0</v>
      </c>
      <c r="CF59" s="102">
        <f t="shared" si="35"/>
        <v>0</v>
      </c>
      <c r="CG59" s="102">
        <f t="shared" si="36"/>
        <v>0</v>
      </c>
      <c r="CH59" s="124">
        <f t="shared" si="37"/>
        <v>3800000</v>
      </c>
      <c r="CI59" s="125">
        <f t="shared" si="38"/>
        <v>0</v>
      </c>
      <c r="CJ59" s="126" t="str">
        <f t="shared" si="39"/>
        <v>数据正确</v>
      </c>
    </row>
    <row r="60" s="60" customFormat="1" customHeight="1" outlineLevel="1" spans="1:88">
      <c r="A60" s="60" t="s">
        <v>36</v>
      </c>
      <c r="B60" s="70" t="str">
        <f t="shared" si="29"/>
        <v>-</v>
      </c>
      <c r="C60" s="71" t="str">
        <f t="shared" si="30"/>
        <v>-</v>
      </c>
      <c r="D60" s="180">
        <f t="shared" si="31"/>
        <v>1797997.208</v>
      </c>
      <c r="E60" s="180">
        <v>0</v>
      </c>
      <c r="F60" s="180">
        <v>53865</v>
      </c>
      <c r="G60" s="180">
        <v>0</v>
      </c>
      <c r="H60" s="180">
        <v>0</v>
      </c>
      <c r="I60" s="180">
        <f t="shared" si="32"/>
        <v>0</v>
      </c>
      <c r="J60" s="86" t="s">
        <v>98</v>
      </c>
      <c r="K60" s="87"/>
      <c r="L60" s="141" t="s">
        <v>1135</v>
      </c>
      <c r="M60" s="89" t="s">
        <v>1121</v>
      </c>
      <c r="N60" s="90" t="s">
        <v>30</v>
      </c>
      <c r="O60" s="90" t="s">
        <v>97</v>
      </c>
      <c r="P60" s="91">
        <v>42896</v>
      </c>
      <c r="Q60" s="102">
        <v>3800000</v>
      </c>
      <c r="R60" s="89" t="s">
        <v>1136</v>
      </c>
      <c r="S60" s="89" t="s">
        <v>1036</v>
      </c>
      <c r="T60" s="89"/>
      <c r="U60" s="103" t="s">
        <v>354</v>
      </c>
      <c r="V60" s="104" t="s">
        <v>1079</v>
      </c>
      <c r="W60" s="102"/>
      <c r="X60" s="102">
        <v>0</v>
      </c>
      <c r="Y60" s="102">
        <v>0</v>
      </c>
      <c r="Z60" s="107" t="s">
        <v>1079</v>
      </c>
      <c r="AA60" s="102">
        <v>1239303.76</v>
      </c>
      <c r="AB60" s="102">
        <v>991443.008</v>
      </c>
      <c r="AC60" s="102">
        <f>991443.008-53865</f>
        <v>937578.008</v>
      </c>
      <c r="AD60" s="107" t="s">
        <v>1079</v>
      </c>
      <c r="AE60" s="102">
        <v>1075524</v>
      </c>
      <c r="AF60" s="102">
        <v>860419.2</v>
      </c>
      <c r="AG60" s="102">
        <f t="shared" si="43"/>
        <v>860419.2</v>
      </c>
      <c r="AH60" s="107" t="s">
        <v>1079</v>
      </c>
      <c r="AI60" s="102"/>
      <c r="AJ60" s="102"/>
      <c r="AK60" s="102"/>
      <c r="AL60" s="107" t="s">
        <v>1079</v>
      </c>
      <c r="AM60" s="102"/>
      <c r="AN60" s="102"/>
      <c r="AO60" s="102"/>
      <c r="AP60" s="107" t="s">
        <v>1079</v>
      </c>
      <c r="AQ60" s="102"/>
      <c r="AR60" s="102"/>
      <c r="AS60" s="102"/>
      <c r="AT60" s="107" t="s">
        <v>1079</v>
      </c>
      <c r="AU60" s="102"/>
      <c r="AV60" s="102"/>
      <c r="AW60" s="102"/>
      <c r="AX60" s="107" t="s">
        <v>1080</v>
      </c>
      <c r="AY60" s="102">
        <v>1485172.24</v>
      </c>
      <c r="AZ60" s="102"/>
      <c r="BA60" s="102"/>
      <c r="BB60" s="102"/>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22"/>
      <c r="CD60" s="123">
        <f t="shared" si="33"/>
        <v>3800000</v>
      </c>
      <c r="CE60" s="102">
        <f t="shared" si="34"/>
        <v>1851862.208</v>
      </c>
      <c r="CF60" s="102">
        <f t="shared" si="35"/>
        <v>1797997.208</v>
      </c>
      <c r="CG60" s="102">
        <f t="shared" si="36"/>
        <v>53865</v>
      </c>
      <c r="CH60" s="124">
        <f t="shared" si="37"/>
        <v>1948137.792</v>
      </c>
      <c r="CI60" s="125">
        <f t="shared" si="38"/>
        <v>0.48733216</v>
      </c>
      <c r="CJ60" s="126" t="str">
        <f t="shared" si="39"/>
        <v>数据正确</v>
      </c>
    </row>
    <row r="61" s="60" customFormat="1" customHeight="1" outlineLevel="1" spans="1:88">
      <c r="A61" s="60" t="s">
        <v>36</v>
      </c>
      <c r="B61" s="70" t="str">
        <f t="shared" si="29"/>
        <v>-</v>
      </c>
      <c r="C61" s="71" t="str">
        <f t="shared" si="30"/>
        <v>-</v>
      </c>
      <c r="D61" s="180">
        <f t="shared" si="31"/>
        <v>176302.4</v>
      </c>
      <c r="E61" s="180">
        <v>0</v>
      </c>
      <c r="F61" s="180">
        <v>0</v>
      </c>
      <c r="G61" s="180">
        <v>0</v>
      </c>
      <c r="H61" s="180">
        <v>0</v>
      </c>
      <c r="I61" s="180">
        <f t="shared" si="32"/>
        <v>0</v>
      </c>
      <c r="J61" s="86" t="s">
        <v>98</v>
      </c>
      <c r="K61" s="87"/>
      <c r="L61" s="141" t="s">
        <v>1137</v>
      </c>
      <c r="M61" s="89" t="s">
        <v>1121</v>
      </c>
      <c r="N61" s="90" t="s">
        <v>30</v>
      </c>
      <c r="O61" s="90" t="s">
        <v>97</v>
      </c>
      <c r="P61" s="91">
        <v>42896</v>
      </c>
      <c r="Q61" s="102">
        <v>3800000</v>
      </c>
      <c r="R61" s="89" t="s">
        <v>1138</v>
      </c>
      <c r="S61" s="89" t="s">
        <v>1036</v>
      </c>
      <c r="T61" s="89"/>
      <c r="U61" s="103" t="s">
        <v>354</v>
      </c>
      <c r="V61" s="104" t="s">
        <v>1079</v>
      </c>
      <c r="W61" s="102"/>
      <c r="X61" s="102">
        <v>0</v>
      </c>
      <c r="Y61" s="102">
        <v>0</v>
      </c>
      <c r="Z61" s="107" t="s">
        <v>1079</v>
      </c>
      <c r="AA61" s="102"/>
      <c r="AB61" s="102">
        <v>0</v>
      </c>
      <c r="AC61" s="102">
        <v>0</v>
      </c>
      <c r="AD61" s="107" t="s">
        <v>1079</v>
      </c>
      <c r="AE61" s="102">
        <v>220378</v>
      </c>
      <c r="AF61" s="102">
        <v>176302.4</v>
      </c>
      <c r="AG61" s="102">
        <f t="shared" si="43"/>
        <v>176302.4</v>
      </c>
      <c r="AH61" s="107" t="s">
        <v>1079</v>
      </c>
      <c r="AI61" s="102"/>
      <c r="AJ61" s="102"/>
      <c r="AK61" s="102"/>
      <c r="AL61" s="107" t="s">
        <v>1079</v>
      </c>
      <c r="AM61" s="102"/>
      <c r="AN61" s="102"/>
      <c r="AO61" s="102"/>
      <c r="AP61" s="107" t="s">
        <v>1079</v>
      </c>
      <c r="AQ61" s="102"/>
      <c r="AR61" s="102"/>
      <c r="AS61" s="102"/>
      <c r="AT61" s="107" t="s">
        <v>1079</v>
      </c>
      <c r="AU61" s="102"/>
      <c r="AV61" s="102"/>
      <c r="AW61" s="102"/>
      <c r="AX61" s="107" t="s">
        <v>1080</v>
      </c>
      <c r="AY61" s="102">
        <v>3579622</v>
      </c>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22"/>
      <c r="CD61" s="123">
        <f t="shared" si="33"/>
        <v>3800000</v>
      </c>
      <c r="CE61" s="102">
        <f t="shared" si="34"/>
        <v>176302.4</v>
      </c>
      <c r="CF61" s="102">
        <f t="shared" si="35"/>
        <v>176302.4</v>
      </c>
      <c r="CG61" s="102">
        <f t="shared" si="36"/>
        <v>0</v>
      </c>
      <c r="CH61" s="124">
        <f t="shared" si="37"/>
        <v>3623697.6</v>
      </c>
      <c r="CI61" s="125">
        <f t="shared" si="38"/>
        <v>0.0463953684210526</v>
      </c>
      <c r="CJ61" s="126" t="str">
        <f t="shared" si="39"/>
        <v>数据正确</v>
      </c>
    </row>
    <row r="62" s="60" customFormat="1" customHeight="1" outlineLevel="1" spans="1:88">
      <c r="A62" s="60" t="s">
        <v>36</v>
      </c>
      <c r="B62" s="70" t="str">
        <f t="shared" si="29"/>
        <v>-</v>
      </c>
      <c r="C62" s="71" t="str">
        <f t="shared" si="30"/>
        <v>-</v>
      </c>
      <c r="D62" s="180">
        <f t="shared" si="31"/>
        <v>269285.6</v>
      </c>
      <c r="E62" s="180">
        <v>0</v>
      </c>
      <c r="F62" s="180">
        <v>0</v>
      </c>
      <c r="G62" s="180">
        <v>0</v>
      </c>
      <c r="H62" s="180">
        <v>0</v>
      </c>
      <c r="I62" s="180">
        <f t="shared" si="32"/>
        <v>0</v>
      </c>
      <c r="J62" s="86" t="s">
        <v>98</v>
      </c>
      <c r="K62" s="87"/>
      <c r="L62" s="141" t="s">
        <v>1139</v>
      </c>
      <c r="M62" s="89" t="s">
        <v>1121</v>
      </c>
      <c r="N62" s="90" t="s">
        <v>30</v>
      </c>
      <c r="O62" s="90" t="s">
        <v>97</v>
      </c>
      <c r="P62" s="91">
        <v>42896</v>
      </c>
      <c r="Q62" s="102">
        <v>3800000</v>
      </c>
      <c r="R62" s="89" t="s">
        <v>1140</v>
      </c>
      <c r="S62" s="89" t="s">
        <v>1036</v>
      </c>
      <c r="T62" s="89"/>
      <c r="U62" s="103" t="s">
        <v>354</v>
      </c>
      <c r="V62" s="104" t="s">
        <v>1079</v>
      </c>
      <c r="W62" s="102"/>
      <c r="X62" s="102">
        <v>0</v>
      </c>
      <c r="Y62" s="102">
        <v>0</v>
      </c>
      <c r="Z62" s="107" t="s">
        <v>1079</v>
      </c>
      <c r="AA62" s="102"/>
      <c r="AB62" s="102">
        <v>0</v>
      </c>
      <c r="AC62" s="102">
        <v>0</v>
      </c>
      <c r="AD62" s="107" t="s">
        <v>1079</v>
      </c>
      <c r="AE62" s="102">
        <v>336607</v>
      </c>
      <c r="AF62" s="102">
        <v>269285.6</v>
      </c>
      <c r="AG62" s="102">
        <f t="shared" si="43"/>
        <v>269285.6</v>
      </c>
      <c r="AH62" s="107" t="s">
        <v>1079</v>
      </c>
      <c r="AI62" s="102"/>
      <c r="AJ62" s="102"/>
      <c r="AK62" s="102"/>
      <c r="AL62" s="107" t="s">
        <v>1079</v>
      </c>
      <c r="AM62" s="102"/>
      <c r="AN62" s="102"/>
      <c r="AO62" s="102"/>
      <c r="AP62" s="107" t="s">
        <v>1079</v>
      </c>
      <c r="AQ62" s="102"/>
      <c r="AR62" s="102"/>
      <c r="AS62" s="102"/>
      <c r="AT62" s="107" t="s">
        <v>1079</v>
      </c>
      <c r="AU62" s="102"/>
      <c r="AV62" s="102"/>
      <c r="AW62" s="102"/>
      <c r="AX62" s="107" t="s">
        <v>1080</v>
      </c>
      <c r="AY62" s="102">
        <v>3463393</v>
      </c>
      <c r="AZ62" s="102"/>
      <c r="BA62" s="102"/>
      <c r="BB62" s="102"/>
      <c r="BC62" s="102"/>
      <c r="BD62" s="102"/>
      <c r="BE62" s="102"/>
      <c r="BF62" s="102"/>
      <c r="BG62" s="102"/>
      <c r="BH62" s="102"/>
      <c r="BI62" s="102"/>
      <c r="BJ62" s="102"/>
      <c r="BK62" s="102"/>
      <c r="BL62" s="102"/>
      <c r="BM62" s="102"/>
      <c r="BN62" s="102"/>
      <c r="BO62" s="102"/>
      <c r="BP62" s="102"/>
      <c r="BQ62" s="102"/>
      <c r="BR62" s="102"/>
      <c r="BS62" s="102"/>
      <c r="BT62" s="102"/>
      <c r="BU62" s="102"/>
      <c r="BV62" s="102"/>
      <c r="BW62" s="102"/>
      <c r="BX62" s="102"/>
      <c r="BY62" s="102"/>
      <c r="BZ62" s="102"/>
      <c r="CA62" s="102"/>
      <c r="CB62" s="102"/>
      <c r="CC62" s="122"/>
      <c r="CD62" s="123">
        <f t="shared" si="33"/>
        <v>3800000</v>
      </c>
      <c r="CE62" s="102">
        <f t="shared" si="34"/>
        <v>269285.6</v>
      </c>
      <c r="CF62" s="102">
        <f t="shared" si="35"/>
        <v>269285.6</v>
      </c>
      <c r="CG62" s="102">
        <f t="shared" si="36"/>
        <v>0</v>
      </c>
      <c r="CH62" s="124">
        <f t="shared" si="37"/>
        <v>3530714.4</v>
      </c>
      <c r="CI62" s="125">
        <f t="shared" si="38"/>
        <v>0.0708646315789474</v>
      </c>
      <c r="CJ62" s="126" t="str">
        <f t="shared" si="39"/>
        <v>数据正确</v>
      </c>
    </row>
    <row r="63" s="60" customFormat="1" customHeight="1" outlineLevel="1" spans="1:88">
      <c r="A63" s="60" t="s">
        <v>36</v>
      </c>
      <c r="B63" s="70" t="str">
        <f t="shared" si="29"/>
        <v>-</v>
      </c>
      <c r="C63" s="71" t="str">
        <f t="shared" si="30"/>
        <v>-</v>
      </c>
      <c r="D63" s="180">
        <f t="shared" si="31"/>
        <v>0</v>
      </c>
      <c r="E63" s="180">
        <v>0</v>
      </c>
      <c r="F63" s="180">
        <v>0</v>
      </c>
      <c r="G63" s="180">
        <v>0</v>
      </c>
      <c r="H63" s="180">
        <v>0</v>
      </c>
      <c r="I63" s="180">
        <f t="shared" si="32"/>
        <v>0</v>
      </c>
      <c r="J63" s="86" t="s">
        <v>98</v>
      </c>
      <c r="K63" s="87"/>
      <c r="L63" s="141" t="s">
        <v>1141</v>
      </c>
      <c r="M63" s="89" t="s">
        <v>1121</v>
      </c>
      <c r="N63" s="90" t="s">
        <v>30</v>
      </c>
      <c r="O63" s="90" t="s">
        <v>97</v>
      </c>
      <c r="P63" s="91">
        <v>42896</v>
      </c>
      <c r="Q63" s="102">
        <v>3800000</v>
      </c>
      <c r="R63" s="89" t="s">
        <v>1142</v>
      </c>
      <c r="S63" s="89" t="s">
        <v>1036</v>
      </c>
      <c r="T63" s="89"/>
      <c r="U63" s="103" t="s">
        <v>354</v>
      </c>
      <c r="V63" s="104" t="s">
        <v>1079</v>
      </c>
      <c r="W63" s="102"/>
      <c r="X63" s="102">
        <v>0</v>
      </c>
      <c r="Y63" s="102">
        <v>0</v>
      </c>
      <c r="Z63" s="107" t="s">
        <v>1079</v>
      </c>
      <c r="AA63" s="102"/>
      <c r="AB63" s="102">
        <v>0</v>
      </c>
      <c r="AC63" s="102">
        <v>0</v>
      </c>
      <c r="AD63" s="107" t="s">
        <v>1079</v>
      </c>
      <c r="AE63" s="102"/>
      <c r="AF63" s="102">
        <v>0</v>
      </c>
      <c r="AG63" s="102">
        <f t="shared" si="43"/>
        <v>0</v>
      </c>
      <c r="AH63" s="107" t="s">
        <v>1079</v>
      </c>
      <c r="AI63" s="102"/>
      <c r="AJ63" s="102"/>
      <c r="AK63" s="102"/>
      <c r="AL63" s="107" t="s">
        <v>1079</v>
      </c>
      <c r="AM63" s="102"/>
      <c r="AN63" s="102"/>
      <c r="AO63" s="102"/>
      <c r="AP63" s="107" t="s">
        <v>1079</v>
      </c>
      <c r="AQ63" s="102"/>
      <c r="AR63" s="102"/>
      <c r="AS63" s="102"/>
      <c r="AT63" s="107" t="s">
        <v>1079</v>
      </c>
      <c r="AU63" s="102"/>
      <c r="AV63" s="102"/>
      <c r="AW63" s="102"/>
      <c r="AX63" s="107" t="s">
        <v>1080</v>
      </c>
      <c r="AY63" s="102">
        <v>3800000</v>
      </c>
      <c r="AZ63" s="102"/>
      <c r="BA63" s="102"/>
      <c r="BB63" s="102"/>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22"/>
      <c r="CD63" s="123">
        <f t="shared" si="33"/>
        <v>3800000</v>
      </c>
      <c r="CE63" s="102">
        <f t="shared" si="34"/>
        <v>0</v>
      </c>
      <c r="CF63" s="102">
        <f t="shared" si="35"/>
        <v>0</v>
      </c>
      <c r="CG63" s="102">
        <f t="shared" si="36"/>
        <v>0</v>
      </c>
      <c r="CH63" s="124">
        <f t="shared" si="37"/>
        <v>3800000</v>
      </c>
      <c r="CI63" s="125">
        <f t="shared" si="38"/>
        <v>0</v>
      </c>
      <c r="CJ63" s="126" t="str">
        <f t="shared" si="39"/>
        <v>数据正确</v>
      </c>
    </row>
    <row r="64" s="60" customFormat="1" customHeight="1" outlineLevel="1" spans="1:88">
      <c r="A64" s="60" t="s">
        <v>36</v>
      </c>
      <c r="B64" s="70" t="str">
        <f t="shared" si="29"/>
        <v>-</v>
      </c>
      <c r="C64" s="71" t="str">
        <f t="shared" si="30"/>
        <v>-</v>
      </c>
      <c r="D64" s="180">
        <f t="shared" si="31"/>
        <v>0</v>
      </c>
      <c r="E64" s="180">
        <v>0</v>
      </c>
      <c r="F64" s="180">
        <v>0</v>
      </c>
      <c r="G64" s="180">
        <v>0</v>
      </c>
      <c r="H64" s="180">
        <v>0</v>
      </c>
      <c r="I64" s="180">
        <f t="shared" si="32"/>
        <v>0</v>
      </c>
      <c r="J64" s="86" t="s">
        <v>98</v>
      </c>
      <c r="K64" s="87"/>
      <c r="L64" s="141" t="s">
        <v>1143</v>
      </c>
      <c r="M64" s="89" t="s">
        <v>1121</v>
      </c>
      <c r="N64" s="90" t="s">
        <v>30</v>
      </c>
      <c r="O64" s="90" t="s">
        <v>97</v>
      </c>
      <c r="P64" s="91">
        <v>42896</v>
      </c>
      <c r="Q64" s="102">
        <v>3800000</v>
      </c>
      <c r="R64" s="89" t="s">
        <v>1144</v>
      </c>
      <c r="S64" s="89" t="s">
        <v>1036</v>
      </c>
      <c r="T64" s="89"/>
      <c r="U64" s="103" t="s">
        <v>354</v>
      </c>
      <c r="V64" s="104" t="s">
        <v>1079</v>
      </c>
      <c r="W64" s="102"/>
      <c r="X64" s="102">
        <v>0</v>
      </c>
      <c r="Y64" s="102">
        <v>0</v>
      </c>
      <c r="Z64" s="107" t="s">
        <v>1079</v>
      </c>
      <c r="AA64" s="102"/>
      <c r="AB64" s="102">
        <v>0</v>
      </c>
      <c r="AC64" s="102">
        <v>0</v>
      </c>
      <c r="AD64" s="107" t="s">
        <v>1079</v>
      </c>
      <c r="AE64" s="102"/>
      <c r="AF64" s="102">
        <v>0</v>
      </c>
      <c r="AG64" s="102">
        <f t="shared" si="43"/>
        <v>0</v>
      </c>
      <c r="AH64" s="107" t="s">
        <v>1079</v>
      </c>
      <c r="AI64" s="102"/>
      <c r="AJ64" s="102"/>
      <c r="AK64" s="102"/>
      <c r="AL64" s="107" t="s">
        <v>1079</v>
      </c>
      <c r="AM64" s="102"/>
      <c r="AN64" s="102"/>
      <c r="AO64" s="102"/>
      <c r="AP64" s="107" t="s">
        <v>1079</v>
      </c>
      <c r="AQ64" s="102"/>
      <c r="AR64" s="102"/>
      <c r="AS64" s="102"/>
      <c r="AT64" s="107" t="s">
        <v>1079</v>
      </c>
      <c r="AU64" s="102"/>
      <c r="AV64" s="102"/>
      <c r="AW64" s="102"/>
      <c r="AX64" s="107" t="s">
        <v>1080</v>
      </c>
      <c r="AY64" s="102">
        <v>3800000</v>
      </c>
      <c r="AZ64" s="102"/>
      <c r="BA64" s="102"/>
      <c r="BB64" s="102"/>
      <c r="BC64" s="102"/>
      <c r="BD64" s="102"/>
      <c r="BE64" s="102"/>
      <c r="BF64" s="102"/>
      <c r="BG64" s="102"/>
      <c r="BH64" s="102"/>
      <c r="BI64" s="102"/>
      <c r="BJ64" s="102"/>
      <c r="BK64" s="102"/>
      <c r="BL64" s="102"/>
      <c r="BM64" s="102"/>
      <c r="BN64" s="102"/>
      <c r="BO64" s="102"/>
      <c r="BP64" s="102"/>
      <c r="BQ64" s="102"/>
      <c r="BR64" s="102"/>
      <c r="BS64" s="102"/>
      <c r="BT64" s="102"/>
      <c r="BU64" s="102"/>
      <c r="BV64" s="102"/>
      <c r="BW64" s="102"/>
      <c r="BX64" s="102"/>
      <c r="BY64" s="102"/>
      <c r="BZ64" s="102"/>
      <c r="CA64" s="102"/>
      <c r="CB64" s="102"/>
      <c r="CC64" s="122"/>
      <c r="CD64" s="123">
        <f t="shared" si="33"/>
        <v>3800000</v>
      </c>
      <c r="CE64" s="102">
        <f t="shared" si="34"/>
        <v>0</v>
      </c>
      <c r="CF64" s="102">
        <f t="shared" si="35"/>
        <v>0</v>
      </c>
      <c r="CG64" s="102">
        <f t="shared" si="36"/>
        <v>0</v>
      </c>
      <c r="CH64" s="124">
        <f t="shared" si="37"/>
        <v>3800000</v>
      </c>
      <c r="CI64" s="125">
        <f t="shared" si="38"/>
        <v>0</v>
      </c>
      <c r="CJ64" s="126" t="str">
        <f t="shared" si="39"/>
        <v>数据正确</v>
      </c>
    </row>
    <row r="65" s="60" customFormat="1" customHeight="1" outlineLevel="1" spans="1:88">
      <c r="A65" s="60" t="s">
        <v>36</v>
      </c>
      <c r="B65" s="70" t="str">
        <f t="shared" si="29"/>
        <v>-</v>
      </c>
      <c r="C65" s="71" t="str">
        <f t="shared" si="30"/>
        <v>-</v>
      </c>
      <c r="D65" s="180">
        <f t="shared" si="31"/>
        <v>1166846.4</v>
      </c>
      <c r="E65" s="180">
        <v>0</v>
      </c>
      <c r="F65" s="180">
        <v>0</v>
      </c>
      <c r="G65" s="180">
        <v>0</v>
      </c>
      <c r="H65" s="180">
        <v>0</v>
      </c>
      <c r="I65" s="180">
        <f t="shared" si="32"/>
        <v>0</v>
      </c>
      <c r="J65" s="86" t="s">
        <v>98</v>
      </c>
      <c r="K65" s="87"/>
      <c r="L65" s="141" t="s">
        <v>1145</v>
      </c>
      <c r="M65" s="89" t="s">
        <v>1121</v>
      </c>
      <c r="N65" s="90" t="s">
        <v>30</v>
      </c>
      <c r="O65" s="90" t="s">
        <v>97</v>
      </c>
      <c r="P65" s="91">
        <v>42896</v>
      </c>
      <c r="Q65" s="102">
        <v>3800000</v>
      </c>
      <c r="R65" s="89" t="s">
        <v>1146</v>
      </c>
      <c r="S65" s="89" t="s">
        <v>1036</v>
      </c>
      <c r="T65" s="89"/>
      <c r="U65" s="103" t="s">
        <v>354</v>
      </c>
      <c r="V65" s="104" t="s">
        <v>1079</v>
      </c>
      <c r="W65" s="102"/>
      <c r="X65" s="102">
        <v>0</v>
      </c>
      <c r="Y65" s="102">
        <v>0</v>
      </c>
      <c r="Z65" s="107" t="s">
        <v>1079</v>
      </c>
      <c r="AA65" s="102"/>
      <c r="AB65" s="102">
        <v>0</v>
      </c>
      <c r="AC65" s="102">
        <v>0</v>
      </c>
      <c r="AD65" s="107" t="s">
        <v>1079</v>
      </c>
      <c r="AE65" s="102">
        <v>1458558</v>
      </c>
      <c r="AF65" s="102">
        <v>1166846.4</v>
      </c>
      <c r="AG65" s="102">
        <f t="shared" si="43"/>
        <v>1166846.4</v>
      </c>
      <c r="AH65" s="107" t="s">
        <v>1079</v>
      </c>
      <c r="AI65" s="102"/>
      <c r="AJ65" s="102"/>
      <c r="AK65" s="102"/>
      <c r="AL65" s="107" t="s">
        <v>1079</v>
      </c>
      <c r="AM65" s="102"/>
      <c r="AN65" s="102"/>
      <c r="AO65" s="102"/>
      <c r="AP65" s="107" t="s">
        <v>1079</v>
      </c>
      <c r="AQ65" s="102"/>
      <c r="AR65" s="102"/>
      <c r="AS65" s="102"/>
      <c r="AT65" s="107" t="s">
        <v>1079</v>
      </c>
      <c r="AU65" s="102"/>
      <c r="AV65" s="102"/>
      <c r="AW65" s="102"/>
      <c r="AX65" s="107" t="s">
        <v>1080</v>
      </c>
      <c r="AY65" s="102">
        <v>2341442</v>
      </c>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c r="CB65" s="102"/>
      <c r="CC65" s="122"/>
      <c r="CD65" s="123">
        <f t="shared" si="33"/>
        <v>3800000</v>
      </c>
      <c r="CE65" s="102">
        <f t="shared" si="34"/>
        <v>1166846.4</v>
      </c>
      <c r="CF65" s="102">
        <f t="shared" si="35"/>
        <v>1166846.4</v>
      </c>
      <c r="CG65" s="102">
        <f t="shared" si="36"/>
        <v>0</v>
      </c>
      <c r="CH65" s="124">
        <f t="shared" si="37"/>
        <v>2633153.6</v>
      </c>
      <c r="CI65" s="125">
        <f t="shared" si="38"/>
        <v>0.307064842105263</v>
      </c>
      <c r="CJ65" s="126" t="str">
        <f t="shared" si="39"/>
        <v>数据正确</v>
      </c>
    </row>
    <row r="66" s="60" customFormat="1" customHeight="1" outlineLevel="1" spans="1:88">
      <c r="A66" s="60" t="s">
        <v>36</v>
      </c>
      <c r="B66" s="70" t="str">
        <f t="shared" si="29"/>
        <v>-</v>
      </c>
      <c r="C66" s="71" t="str">
        <f t="shared" si="30"/>
        <v>-</v>
      </c>
      <c r="D66" s="180">
        <f t="shared" si="31"/>
        <v>831399.52</v>
      </c>
      <c r="E66" s="180">
        <v>0</v>
      </c>
      <c r="F66" s="180">
        <v>0</v>
      </c>
      <c r="G66" s="180">
        <v>0</v>
      </c>
      <c r="H66" s="180">
        <v>0</v>
      </c>
      <c r="I66" s="180">
        <f t="shared" si="32"/>
        <v>0</v>
      </c>
      <c r="J66" s="86" t="s">
        <v>98</v>
      </c>
      <c r="K66" s="87"/>
      <c r="L66" s="141" t="s">
        <v>1147</v>
      </c>
      <c r="M66" s="89" t="s">
        <v>1121</v>
      </c>
      <c r="N66" s="90" t="s">
        <v>30</v>
      </c>
      <c r="O66" s="90" t="s">
        <v>97</v>
      </c>
      <c r="P66" s="91">
        <v>42896</v>
      </c>
      <c r="Q66" s="102">
        <v>3800000</v>
      </c>
      <c r="R66" s="89" t="s">
        <v>1148</v>
      </c>
      <c r="S66" s="89" t="s">
        <v>1036</v>
      </c>
      <c r="T66" s="89"/>
      <c r="U66" s="103" t="s">
        <v>354</v>
      </c>
      <c r="V66" s="104" t="s">
        <v>1079</v>
      </c>
      <c r="W66" s="102">
        <v>738108</v>
      </c>
      <c r="X66" s="102">
        <v>590486.4</v>
      </c>
      <c r="Y66" s="102">
        <v>590486.4</v>
      </c>
      <c r="Z66" s="107" t="s">
        <v>1079</v>
      </c>
      <c r="AA66" s="102">
        <v>226684.4</v>
      </c>
      <c r="AB66" s="102">
        <v>181144.32</v>
      </c>
      <c r="AC66" s="102">
        <v>181144.32</v>
      </c>
      <c r="AD66" s="107" t="s">
        <v>1079</v>
      </c>
      <c r="AE66" s="102">
        <v>75127</v>
      </c>
      <c r="AF66" s="102">
        <v>59768.8</v>
      </c>
      <c r="AG66" s="102">
        <f t="shared" si="43"/>
        <v>59768.8</v>
      </c>
      <c r="AH66" s="107" t="s">
        <v>1079</v>
      </c>
      <c r="AI66" s="102"/>
      <c r="AJ66" s="102"/>
      <c r="AK66" s="102"/>
      <c r="AL66" s="107" t="s">
        <v>1079</v>
      </c>
      <c r="AM66" s="102"/>
      <c r="AN66" s="102"/>
      <c r="AO66" s="102"/>
      <c r="AP66" s="107" t="s">
        <v>1079</v>
      </c>
      <c r="AQ66" s="102"/>
      <c r="AR66" s="102"/>
      <c r="AS66" s="102"/>
      <c r="AT66" s="107" t="s">
        <v>1079</v>
      </c>
      <c r="AU66" s="102"/>
      <c r="AV66" s="102"/>
      <c r="AW66" s="102"/>
      <c r="AX66" s="107" t="s">
        <v>1080</v>
      </c>
      <c r="AY66" s="102">
        <v>2760080.6</v>
      </c>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c r="CB66" s="102"/>
      <c r="CC66" s="122"/>
      <c r="CD66" s="123">
        <f t="shared" si="33"/>
        <v>3800000</v>
      </c>
      <c r="CE66" s="102">
        <f t="shared" si="34"/>
        <v>831399.52</v>
      </c>
      <c r="CF66" s="102">
        <f t="shared" si="35"/>
        <v>831399.52</v>
      </c>
      <c r="CG66" s="102">
        <f t="shared" si="36"/>
        <v>0</v>
      </c>
      <c r="CH66" s="124">
        <f t="shared" si="37"/>
        <v>2968600.48</v>
      </c>
      <c r="CI66" s="125">
        <f t="shared" si="38"/>
        <v>0.218789347368421</v>
      </c>
      <c r="CJ66" s="126" t="str">
        <f t="shared" si="39"/>
        <v>数据正确</v>
      </c>
    </row>
    <row r="67" s="60" customFormat="1" customHeight="1" outlineLevel="1" spans="1:88">
      <c r="A67" s="60" t="s">
        <v>36</v>
      </c>
      <c r="B67" s="70" t="str">
        <f t="shared" si="29"/>
        <v>-</v>
      </c>
      <c r="C67" s="71" t="str">
        <f t="shared" si="30"/>
        <v>-</v>
      </c>
      <c r="D67" s="180">
        <f t="shared" si="31"/>
        <v>369592.8</v>
      </c>
      <c r="E67" s="180">
        <v>0</v>
      </c>
      <c r="F67" s="180">
        <v>0</v>
      </c>
      <c r="G67" s="180">
        <v>0</v>
      </c>
      <c r="H67" s="180">
        <v>0</v>
      </c>
      <c r="I67" s="180">
        <f t="shared" si="32"/>
        <v>0</v>
      </c>
      <c r="J67" s="86" t="s">
        <v>98</v>
      </c>
      <c r="K67" s="87"/>
      <c r="L67" s="141" t="s">
        <v>1149</v>
      </c>
      <c r="M67" s="89" t="s">
        <v>1121</v>
      </c>
      <c r="N67" s="90" t="s">
        <v>30</v>
      </c>
      <c r="O67" s="90" t="s">
        <v>97</v>
      </c>
      <c r="P67" s="91">
        <v>42896</v>
      </c>
      <c r="Q67" s="102">
        <v>3800000</v>
      </c>
      <c r="R67" s="89" t="s">
        <v>1150</v>
      </c>
      <c r="S67" s="89" t="s">
        <v>1036</v>
      </c>
      <c r="T67" s="89"/>
      <c r="U67" s="103" t="s">
        <v>354</v>
      </c>
      <c r="V67" s="104" t="s">
        <v>1079</v>
      </c>
      <c r="W67" s="102">
        <v>462634</v>
      </c>
      <c r="X67" s="102">
        <v>369592.8</v>
      </c>
      <c r="Y67" s="102">
        <v>369592.8</v>
      </c>
      <c r="Z67" s="107" t="s">
        <v>1079</v>
      </c>
      <c r="AA67" s="102"/>
      <c r="AB67" s="102">
        <v>0</v>
      </c>
      <c r="AC67" s="102">
        <v>0</v>
      </c>
      <c r="AD67" s="107" t="s">
        <v>1079</v>
      </c>
      <c r="AE67" s="102"/>
      <c r="AF67" s="102">
        <v>0</v>
      </c>
      <c r="AG67" s="102">
        <f t="shared" si="43"/>
        <v>0</v>
      </c>
      <c r="AH67" s="107" t="s">
        <v>1079</v>
      </c>
      <c r="AI67" s="102"/>
      <c r="AJ67" s="102"/>
      <c r="AK67" s="102"/>
      <c r="AL67" s="107" t="s">
        <v>1079</v>
      </c>
      <c r="AM67" s="102"/>
      <c r="AN67" s="102"/>
      <c r="AO67" s="102"/>
      <c r="AP67" s="107" t="s">
        <v>1079</v>
      </c>
      <c r="AQ67" s="102"/>
      <c r="AR67" s="102"/>
      <c r="AS67" s="102"/>
      <c r="AT67" s="107" t="s">
        <v>1079</v>
      </c>
      <c r="AU67" s="102"/>
      <c r="AV67" s="102"/>
      <c r="AW67" s="102"/>
      <c r="AX67" s="107" t="s">
        <v>1080</v>
      </c>
      <c r="AY67" s="102">
        <v>3337366</v>
      </c>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c r="CB67" s="102"/>
      <c r="CC67" s="122"/>
      <c r="CD67" s="123">
        <f t="shared" si="33"/>
        <v>3800000</v>
      </c>
      <c r="CE67" s="102">
        <f t="shared" si="34"/>
        <v>369592.8</v>
      </c>
      <c r="CF67" s="102">
        <f t="shared" si="35"/>
        <v>369592.8</v>
      </c>
      <c r="CG67" s="102">
        <f t="shared" si="36"/>
        <v>0</v>
      </c>
      <c r="CH67" s="124">
        <f t="shared" si="37"/>
        <v>3430407.2</v>
      </c>
      <c r="CI67" s="125">
        <f t="shared" si="38"/>
        <v>0.0972612631578947</v>
      </c>
      <c r="CJ67" s="126" t="str">
        <f t="shared" si="39"/>
        <v>数据正确</v>
      </c>
    </row>
    <row r="68" s="130" customFormat="1" customHeight="1" spans="1:88">
      <c r="A68" s="130" t="s">
        <v>36</v>
      </c>
      <c r="B68" s="132" t="str">
        <f t="shared" si="29"/>
        <v>申请中</v>
      </c>
      <c r="C68" s="133" t="str">
        <f t="shared" si="30"/>
        <v>-</v>
      </c>
      <c r="D68" s="182">
        <f t="shared" si="31"/>
        <v>8166533</v>
      </c>
      <c r="E68" s="182">
        <f>SUM(E53:E67)</f>
        <v>170000</v>
      </c>
      <c r="F68" s="182">
        <f>SUM(F53:F67)</f>
        <v>109464</v>
      </c>
      <c r="G68" s="182">
        <f>SUM(G53:G67)</f>
        <v>0</v>
      </c>
      <c r="H68" s="182">
        <f>SUM(H53:H67)</f>
        <v>0</v>
      </c>
      <c r="I68" s="182">
        <f t="shared" si="32"/>
        <v>46003</v>
      </c>
      <c r="J68" s="142" t="s">
        <v>98</v>
      </c>
      <c r="K68" s="172"/>
      <c r="L68" s="143">
        <v>154</v>
      </c>
      <c r="M68" s="144" t="s">
        <v>1121</v>
      </c>
      <c r="N68" s="145" t="s">
        <v>30</v>
      </c>
      <c r="O68" s="145" t="s">
        <v>97</v>
      </c>
      <c r="P68" s="146">
        <v>42896</v>
      </c>
      <c r="Q68" s="158">
        <f>SUM(Q53:Q67)</f>
        <v>57000000</v>
      </c>
      <c r="R68" s="144" t="s">
        <v>1151</v>
      </c>
      <c r="S68" s="144" t="s">
        <v>1036</v>
      </c>
      <c r="T68" s="144"/>
      <c r="U68" s="156" t="s">
        <v>354</v>
      </c>
      <c r="V68" s="186" t="s">
        <v>1079</v>
      </c>
      <c r="W68" s="158">
        <f>SUM(W53:W67)</f>
        <v>1954393</v>
      </c>
      <c r="X68" s="158">
        <f t="shared" ref="X68:BC68" si="44">SUM(X53:X67)</f>
        <v>1563000</v>
      </c>
      <c r="Y68" s="158">
        <f t="shared" si="44"/>
        <v>1385398</v>
      </c>
      <c r="Z68" s="158">
        <f t="shared" si="44"/>
        <v>0</v>
      </c>
      <c r="AA68" s="158">
        <f t="shared" si="44"/>
        <v>3919004</v>
      </c>
      <c r="AB68" s="158">
        <f t="shared" si="44"/>
        <v>3135000</v>
      </c>
      <c r="AC68" s="158">
        <f t="shared" si="44"/>
        <v>3081135</v>
      </c>
      <c r="AD68" s="158">
        <f t="shared" si="44"/>
        <v>0</v>
      </c>
      <c r="AE68" s="158">
        <f t="shared" si="44"/>
        <v>4742916</v>
      </c>
      <c r="AF68" s="158">
        <f t="shared" si="44"/>
        <v>3794000</v>
      </c>
      <c r="AG68" s="158">
        <f t="shared" si="44"/>
        <v>3700000</v>
      </c>
      <c r="AH68" s="158">
        <f t="shared" si="44"/>
        <v>0</v>
      </c>
      <c r="AI68" s="158">
        <f t="shared" si="44"/>
        <v>0</v>
      </c>
      <c r="AJ68" s="158">
        <f t="shared" si="44"/>
        <v>0</v>
      </c>
      <c r="AK68" s="158">
        <f t="shared" si="44"/>
        <v>0</v>
      </c>
      <c r="AL68" s="158">
        <f t="shared" si="44"/>
        <v>0</v>
      </c>
      <c r="AM68" s="158">
        <f t="shared" si="44"/>
        <v>0</v>
      </c>
      <c r="AN68" s="158">
        <f t="shared" si="44"/>
        <v>0</v>
      </c>
      <c r="AO68" s="158">
        <f t="shared" si="44"/>
        <v>0</v>
      </c>
      <c r="AP68" s="158">
        <f t="shared" si="44"/>
        <v>0</v>
      </c>
      <c r="AQ68" s="158">
        <f t="shared" si="44"/>
        <v>0</v>
      </c>
      <c r="AR68" s="158">
        <f t="shared" si="44"/>
        <v>0</v>
      </c>
      <c r="AS68" s="158">
        <f t="shared" si="44"/>
        <v>0</v>
      </c>
      <c r="AT68" s="158">
        <f t="shared" si="44"/>
        <v>0</v>
      </c>
      <c r="AU68" s="158">
        <f t="shared" si="44"/>
        <v>0</v>
      </c>
      <c r="AV68" s="158">
        <f t="shared" si="44"/>
        <v>0</v>
      </c>
      <c r="AW68" s="158">
        <f t="shared" si="44"/>
        <v>0</v>
      </c>
      <c r="AX68" s="158">
        <f t="shared" si="44"/>
        <v>0</v>
      </c>
      <c r="AY68" s="158">
        <f t="shared" si="44"/>
        <v>46383687</v>
      </c>
      <c r="AZ68" s="158">
        <f t="shared" si="44"/>
        <v>0</v>
      </c>
      <c r="BA68" s="158">
        <f t="shared" si="44"/>
        <v>0</v>
      </c>
      <c r="BB68" s="158">
        <f t="shared" si="44"/>
        <v>0</v>
      </c>
      <c r="BC68" s="158">
        <f t="shared" si="44"/>
        <v>0</v>
      </c>
      <c r="BD68" s="158">
        <f t="shared" ref="BD68:CC68" si="45">SUM(BD53:BD67)</f>
        <v>0</v>
      </c>
      <c r="BE68" s="158">
        <f t="shared" si="45"/>
        <v>0</v>
      </c>
      <c r="BF68" s="158">
        <f t="shared" si="45"/>
        <v>0</v>
      </c>
      <c r="BG68" s="158">
        <f t="shared" si="45"/>
        <v>0</v>
      </c>
      <c r="BH68" s="158">
        <f t="shared" si="45"/>
        <v>0</v>
      </c>
      <c r="BI68" s="158">
        <f t="shared" si="45"/>
        <v>0</v>
      </c>
      <c r="BJ68" s="158">
        <f t="shared" si="45"/>
        <v>0</v>
      </c>
      <c r="BK68" s="158">
        <f t="shared" si="45"/>
        <v>0</v>
      </c>
      <c r="BL68" s="158">
        <f t="shared" si="45"/>
        <v>0</v>
      </c>
      <c r="BM68" s="158">
        <f t="shared" si="45"/>
        <v>0</v>
      </c>
      <c r="BN68" s="158">
        <f t="shared" si="45"/>
        <v>0</v>
      </c>
      <c r="BO68" s="158">
        <f t="shared" si="45"/>
        <v>0</v>
      </c>
      <c r="BP68" s="158">
        <f t="shared" si="45"/>
        <v>0</v>
      </c>
      <c r="BQ68" s="158">
        <f t="shared" si="45"/>
        <v>0</v>
      </c>
      <c r="BR68" s="158">
        <f t="shared" si="45"/>
        <v>0</v>
      </c>
      <c r="BS68" s="158">
        <f t="shared" si="45"/>
        <v>0</v>
      </c>
      <c r="BT68" s="158">
        <f t="shared" si="45"/>
        <v>0</v>
      </c>
      <c r="BU68" s="158">
        <f t="shared" si="45"/>
        <v>0</v>
      </c>
      <c r="BV68" s="158">
        <f t="shared" si="45"/>
        <v>0</v>
      </c>
      <c r="BW68" s="158">
        <f t="shared" si="45"/>
        <v>0</v>
      </c>
      <c r="BX68" s="158">
        <f t="shared" si="45"/>
        <v>0</v>
      </c>
      <c r="BY68" s="158">
        <f t="shared" si="45"/>
        <v>0</v>
      </c>
      <c r="BZ68" s="158">
        <f t="shared" si="45"/>
        <v>0</v>
      </c>
      <c r="CA68" s="158">
        <f t="shared" si="45"/>
        <v>0</v>
      </c>
      <c r="CB68" s="158">
        <f t="shared" si="45"/>
        <v>0</v>
      </c>
      <c r="CC68" s="158">
        <f t="shared" si="45"/>
        <v>0</v>
      </c>
      <c r="CD68" s="165">
        <f t="shared" si="33"/>
        <v>57000000</v>
      </c>
      <c r="CE68" s="158">
        <f t="shared" si="34"/>
        <v>8492000</v>
      </c>
      <c r="CF68" s="158">
        <f t="shared" si="35"/>
        <v>8166533</v>
      </c>
      <c r="CG68" s="158">
        <f t="shared" si="36"/>
        <v>279464</v>
      </c>
      <c r="CH68" s="163">
        <f t="shared" si="37"/>
        <v>48554003</v>
      </c>
      <c r="CI68" s="166">
        <f t="shared" si="38"/>
        <v>0.148175385964912</v>
      </c>
      <c r="CJ68" s="167" t="str">
        <f t="shared" si="39"/>
        <v>数据正确</v>
      </c>
    </row>
    <row r="69" s="60" customFormat="1" customHeight="1" spans="2:88">
      <c r="B69" s="70" t="str">
        <f t="shared" si="29"/>
        <v>-</v>
      </c>
      <c r="C69" s="71" t="str">
        <f t="shared" si="30"/>
        <v>-</v>
      </c>
      <c r="D69" s="180">
        <f t="shared" si="31"/>
        <v>0</v>
      </c>
      <c r="E69" s="180">
        <v>0</v>
      </c>
      <c r="F69" s="180">
        <v>0</v>
      </c>
      <c r="G69" s="180">
        <v>0</v>
      </c>
      <c r="H69" s="180">
        <v>0</v>
      </c>
      <c r="I69" s="180">
        <f t="shared" si="32"/>
        <v>0</v>
      </c>
      <c r="J69" s="86" t="s">
        <v>98</v>
      </c>
      <c r="K69" s="87"/>
      <c r="L69" s="88">
        <v>157</v>
      </c>
      <c r="M69" s="89" t="s">
        <v>1152</v>
      </c>
      <c r="N69" s="90" t="s">
        <v>30</v>
      </c>
      <c r="O69" s="90" t="s">
        <v>97</v>
      </c>
      <c r="P69" s="91">
        <v>42901</v>
      </c>
      <c r="Q69" s="154">
        <v>200000</v>
      </c>
      <c r="R69" s="89" t="s">
        <v>1153</v>
      </c>
      <c r="S69" s="89" t="s">
        <v>1030</v>
      </c>
      <c r="T69" s="89"/>
      <c r="U69" s="103" t="s">
        <v>343</v>
      </c>
      <c r="V69" s="104" t="s">
        <v>1154</v>
      </c>
      <c r="W69" s="102">
        <v>190000</v>
      </c>
      <c r="X69" s="102"/>
      <c r="Y69" s="102"/>
      <c r="Z69" s="107" t="s">
        <v>1155</v>
      </c>
      <c r="AA69" s="102">
        <v>10000</v>
      </c>
      <c r="AB69" s="102"/>
      <c r="AC69" s="102"/>
      <c r="AD69" s="107"/>
      <c r="AE69" s="102"/>
      <c r="AF69" s="102"/>
      <c r="AG69" s="102"/>
      <c r="AH69" s="107"/>
      <c r="AI69" s="102"/>
      <c r="AJ69" s="102"/>
      <c r="AK69" s="102"/>
      <c r="AL69" s="107"/>
      <c r="AM69" s="102"/>
      <c r="AN69" s="102"/>
      <c r="AO69" s="102"/>
      <c r="AP69" s="107"/>
      <c r="AQ69" s="102"/>
      <c r="AR69" s="102"/>
      <c r="AS69" s="102"/>
      <c r="AT69" s="107"/>
      <c r="AU69" s="102"/>
      <c r="AV69" s="102"/>
      <c r="AW69" s="102"/>
      <c r="AX69" s="107"/>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c r="CB69" s="102"/>
      <c r="CC69" s="122"/>
      <c r="CD69" s="123">
        <f t="shared" si="33"/>
        <v>200000</v>
      </c>
      <c r="CE69" s="102">
        <f t="shared" si="34"/>
        <v>0</v>
      </c>
      <c r="CF69" s="102">
        <f t="shared" si="35"/>
        <v>0</v>
      </c>
      <c r="CG69" s="102">
        <f t="shared" si="36"/>
        <v>0</v>
      </c>
      <c r="CH69" s="124">
        <f t="shared" si="37"/>
        <v>200000</v>
      </c>
      <c r="CI69" s="125">
        <f t="shared" si="38"/>
        <v>0</v>
      </c>
      <c r="CJ69" s="126" t="str">
        <f t="shared" si="39"/>
        <v>数据正确</v>
      </c>
    </row>
    <row r="70" s="60" customFormat="1" customHeight="1" outlineLevel="1" spans="1:88">
      <c r="A70" s="60" t="s">
        <v>36</v>
      </c>
      <c r="B70" s="70" t="str">
        <f t="shared" si="29"/>
        <v>-</v>
      </c>
      <c r="C70" s="71" t="str">
        <f t="shared" si="30"/>
        <v>-</v>
      </c>
      <c r="D70" s="180">
        <f t="shared" si="31"/>
        <v>989320.8</v>
      </c>
      <c r="E70" s="180">
        <v>0</v>
      </c>
      <c r="F70" s="180">
        <v>0</v>
      </c>
      <c r="G70" s="180">
        <v>0</v>
      </c>
      <c r="H70" s="180">
        <v>0</v>
      </c>
      <c r="I70" s="180">
        <f t="shared" si="32"/>
        <v>0</v>
      </c>
      <c r="J70" s="86" t="s">
        <v>98</v>
      </c>
      <c r="K70" s="87"/>
      <c r="L70" s="141" t="s">
        <v>1156</v>
      </c>
      <c r="M70" s="89" t="s">
        <v>1157</v>
      </c>
      <c r="N70" s="90" t="s">
        <v>30</v>
      </c>
      <c r="O70" s="90" t="s">
        <v>97</v>
      </c>
      <c r="P70" s="91">
        <v>42944</v>
      </c>
      <c r="Q70" s="102">
        <v>6000000</v>
      </c>
      <c r="R70" s="89" t="s">
        <v>1158</v>
      </c>
      <c r="S70" s="89" t="s">
        <v>1159</v>
      </c>
      <c r="T70" s="89"/>
      <c r="U70" s="103"/>
      <c r="V70" s="104" t="s">
        <v>1160</v>
      </c>
      <c r="W70" s="102">
        <v>86346</v>
      </c>
      <c r="X70" s="102">
        <f>W70*0.8</f>
        <v>69076.8</v>
      </c>
      <c r="Y70" s="102">
        <f>X70</f>
        <v>69076.8</v>
      </c>
      <c r="Z70" s="107" t="s">
        <v>1160</v>
      </c>
      <c r="AA70" s="102">
        <v>1150305</v>
      </c>
      <c r="AB70" s="102">
        <f>AA70*0.8</f>
        <v>920244</v>
      </c>
      <c r="AC70" s="102">
        <f>AB70</f>
        <v>920244</v>
      </c>
      <c r="AD70" s="107" t="s">
        <v>1160</v>
      </c>
      <c r="AE70" s="102"/>
      <c r="AF70" s="102"/>
      <c r="AG70" s="102"/>
      <c r="AH70" s="107" t="s">
        <v>1160</v>
      </c>
      <c r="AI70" s="102"/>
      <c r="AJ70" s="102"/>
      <c r="AK70" s="102"/>
      <c r="AL70" s="107" t="s">
        <v>1160</v>
      </c>
      <c r="AM70" s="102"/>
      <c r="AN70" s="102"/>
      <c r="AO70" s="102"/>
      <c r="AP70" s="107" t="s">
        <v>1160</v>
      </c>
      <c r="AQ70" s="102"/>
      <c r="AR70" s="102"/>
      <c r="AS70" s="102"/>
      <c r="AT70" s="107" t="s">
        <v>1160</v>
      </c>
      <c r="AU70" s="102"/>
      <c r="AV70" s="102"/>
      <c r="AW70" s="102"/>
      <c r="AX70" s="107" t="s">
        <v>1160</v>
      </c>
      <c r="AY70" s="102">
        <v>4763349</v>
      </c>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c r="CB70" s="102"/>
      <c r="CC70" s="122"/>
      <c r="CD70" s="123">
        <f t="shared" si="33"/>
        <v>6000000</v>
      </c>
      <c r="CE70" s="102">
        <f t="shared" si="34"/>
        <v>989320.8</v>
      </c>
      <c r="CF70" s="102">
        <f t="shared" si="35"/>
        <v>989320.8</v>
      </c>
      <c r="CG70" s="102">
        <f t="shared" si="36"/>
        <v>0</v>
      </c>
      <c r="CH70" s="124">
        <f t="shared" si="37"/>
        <v>5010679.2</v>
      </c>
      <c r="CI70" s="125">
        <f t="shared" si="38"/>
        <v>0.1648868</v>
      </c>
      <c r="CJ70" s="126" t="str">
        <f t="shared" si="39"/>
        <v>数据正确</v>
      </c>
    </row>
    <row r="71" s="60" customFormat="1" customHeight="1" outlineLevel="1" spans="1:88">
      <c r="A71" s="60" t="s">
        <v>36</v>
      </c>
      <c r="B71" s="70" t="str">
        <f t="shared" si="29"/>
        <v>-</v>
      </c>
      <c r="C71" s="71" t="str">
        <f t="shared" si="30"/>
        <v>-</v>
      </c>
      <c r="D71" s="180">
        <f t="shared" si="31"/>
        <v>1460572</v>
      </c>
      <c r="E71" s="180">
        <v>0</v>
      </c>
      <c r="F71" s="180">
        <v>0</v>
      </c>
      <c r="G71" s="180">
        <v>0</v>
      </c>
      <c r="H71" s="180">
        <v>0</v>
      </c>
      <c r="I71" s="180">
        <f t="shared" si="32"/>
        <v>0</v>
      </c>
      <c r="J71" s="86" t="s">
        <v>98</v>
      </c>
      <c r="K71" s="87"/>
      <c r="L71" s="141" t="s">
        <v>1161</v>
      </c>
      <c r="M71" s="89" t="s">
        <v>1157</v>
      </c>
      <c r="N71" s="90" t="s">
        <v>30</v>
      </c>
      <c r="O71" s="90" t="s">
        <v>97</v>
      </c>
      <c r="P71" s="91">
        <v>42944</v>
      </c>
      <c r="Q71" s="102">
        <v>6000000</v>
      </c>
      <c r="R71" s="89" t="s">
        <v>750</v>
      </c>
      <c r="S71" s="89" t="s">
        <v>1159</v>
      </c>
      <c r="T71" s="89"/>
      <c r="U71" s="103"/>
      <c r="V71" s="104" t="s">
        <v>1160</v>
      </c>
      <c r="W71" s="102">
        <v>0</v>
      </c>
      <c r="X71" s="102">
        <f t="shared" ref="X71:X80" si="46">W71*0.8</f>
        <v>0</v>
      </c>
      <c r="Y71" s="102">
        <f t="shared" ref="Y71:Y80" si="47">X71</f>
        <v>0</v>
      </c>
      <c r="Z71" s="107" t="s">
        <v>1160</v>
      </c>
      <c r="AA71" s="102">
        <v>1825715</v>
      </c>
      <c r="AB71" s="102">
        <f t="shared" ref="AB71:AB80" si="48">AA71*0.8</f>
        <v>1460572</v>
      </c>
      <c r="AC71" s="102">
        <f t="shared" ref="AC71:AC80" si="49">AB71</f>
        <v>1460572</v>
      </c>
      <c r="AD71" s="107" t="s">
        <v>1160</v>
      </c>
      <c r="AE71" s="102"/>
      <c r="AF71" s="102"/>
      <c r="AG71" s="102"/>
      <c r="AH71" s="107" t="s">
        <v>1160</v>
      </c>
      <c r="AI71" s="102"/>
      <c r="AJ71" s="102"/>
      <c r="AK71" s="102"/>
      <c r="AL71" s="107" t="s">
        <v>1160</v>
      </c>
      <c r="AM71" s="102"/>
      <c r="AN71" s="102"/>
      <c r="AO71" s="102"/>
      <c r="AP71" s="107" t="s">
        <v>1160</v>
      </c>
      <c r="AQ71" s="102"/>
      <c r="AR71" s="102"/>
      <c r="AS71" s="102"/>
      <c r="AT71" s="107" t="s">
        <v>1160</v>
      </c>
      <c r="AU71" s="102"/>
      <c r="AV71" s="102"/>
      <c r="AW71" s="102"/>
      <c r="AX71" s="107" t="s">
        <v>1160</v>
      </c>
      <c r="AY71" s="102">
        <v>4174285</v>
      </c>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c r="CB71" s="102"/>
      <c r="CC71" s="122"/>
      <c r="CD71" s="123">
        <f t="shared" si="33"/>
        <v>6000000</v>
      </c>
      <c r="CE71" s="102">
        <f t="shared" si="34"/>
        <v>1460572</v>
      </c>
      <c r="CF71" s="102">
        <f t="shared" si="35"/>
        <v>1460572</v>
      </c>
      <c r="CG71" s="102">
        <f t="shared" si="36"/>
        <v>0</v>
      </c>
      <c r="CH71" s="124">
        <f t="shared" si="37"/>
        <v>4539428</v>
      </c>
      <c r="CI71" s="125">
        <f t="shared" si="38"/>
        <v>0.243428666666667</v>
      </c>
      <c r="CJ71" s="126" t="str">
        <f t="shared" si="39"/>
        <v>数据正确</v>
      </c>
    </row>
    <row r="72" s="60" customFormat="1" customHeight="1" outlineLevel="1" spans="1:88">
      <c r="A72" s="60" t="s">
        <v>36</v>
      </c>
      <c r="B72" s="70" t="str">
        <f t="shared" si="29"/>
        <v>-</v>
      </c>
      <c r="C72" s="71" t="str">
        <f t="shared" si="30"/>
        <v>-</v>
      </c>
      <c r="D72" s="180">
        <f t="shared" si="31"/>
        <v>1771737.2</v>
      </c>
      <c r="E72" s="180">
        <v>210000</v>
      </c>
      <c r="F72" s="180">
        <f>8624+24746</f>
        <v>33370</v>
      </c>
      <c r="G72" s="180">
        <v>0</v>
      </c>
      <c r="H72" s="180">
        <v>0</v>
      </c>
      <c r="I72" s="180">
        <f t="shared" si="32"/>
        <v>0</v>
      </c>
      <c r="J72" s="86" t="s">
        <v>98</v>
      </c>
      <c r="K72" s="87"/>
      <c r="L72" s="141" t="s">
        <v>1162</v>
      </c>
      <c r="M72" s="89" t="s">
        <v>1157</v>
      </c>
      <c r="N72" s="90" t="s">
        <v>30</v>
      </c>
      <c r="O72" s="90" t="s">
        <v>97</v>
      </c>
      <c r="P72" s="91">
        <v>42944</v>
      </c>
      <c r="Q72" s="102">
        <v>6000000</v>
      </c>
      <c r="R72" s="89" t="s">
        <v>620</v>
      </c>
      <c r="S72" s="89" t="s">
        <v>1159</v>
      </c>
      <c r="T72" s="89"/>
      <c r="U72" s="103"/>
      <c r="V72" s="104" t="s">
        <v>1160</v>
      </c>
      <c r="W72" s="102">
        <v>636901</v>
      </c>
      <c r="X72" s="102">
        <f>W72*0.8-597.6</f>
        <v>508923.2</v>
      </c>
      <c r="Y72" s="102">
        <f>X72-210000-8624</f>
        <v>290299.2</v>
      </c>
      <c r="Z72" s="107" t="s">
        <v>1160</v>
      </c>
      <c r="AA72" s="102">
        <v>1883111</v>
      </c>
      <c r="AB72" s="102">
        <f>AA72*0.8-304.8</f>
        <v>1506184</v>
      </c>
      <c r="AC72" s="102">
        <f>AB72-24746</f>
        <v>1481438</v>
      </c>
      <c r="AD72" s="107" t="s">
        <v>1160</v>
      </c>
      <c r="AE72" s="102"/>
      <c r="AF72" s="102"/>
      <c r="AG72" s="102"/>
      <c r="AH72" s="107" t="s">
        <v>1160</v>
      </c>
      <c r="AI72" s="102"/>
      <c r="AJ72" s="102"/>
      <c r="AK72" s="102"/>
      <c r="AL72" s="107" t="s">
        <v>1160</v>
      </c>
      <c r="AM72" s="102"/>
      <c r="AN72" s="102"/>
      <c r="AO72" s="102"/>
      <c r="AP72" s="107" t="s">
        <v>1160</v>
      </c>
      <c r="AQ72" s="102"/>
      <c r="AR72" s="102"/>
      <c r="AS72" s="102"/>
      <c r="AT72" s="107" t="s">
        <v>1160</v>
      </c>
      <c r="AU72" s="102"/>
      <c r="AV72" s="102"/>
      <c r="AW72" s="102"/>
      <c r="AX72" s="107" t="s">
        <v>1160</v>
      </c>
      <c r="AY72" s="102">
        <v>3479988</v>
      </c>
      <c r="AZ72" s="102"/>
      <c r="BA72" s="102"/>
      <c r="BB72" s="102"/>
      <c r="BC72" s="102"/>
      <c r="BD72" s="102"/>
      <c r="BE72" s="102"/>
      <c r="BF72" s="102"/>
      <c r="BG72" s="102"/>
      <c r="BH72" s="102"/>
      <c r="BI72" s="102"/>
      <c r="BJ72" s="102"/>
      <c r="BK72" s="102"/>
      <c r="BL72" s="102"/>
      <c r="BM72" s="102"/>
      <c r="BN72" s="102"/>
      <c r="BO72" s="102"/>
      <c r="BP72" s="102"/>
      <c r="BQ72" s="102"/>
      <c r="BR72" s="102"/>
      <c r="BS72" s="102"/>
      <c r="BT72" s="102"/>
      <c r="BU72" s="102"/>
      <c r="BV72" s="102"/>
      <c r="BW72" s="102"/>
      <c r="BX72" s="102"/>
      <c r="BY72" s="102"/>
      <c r="BZ72" s="102"/>
      <c r="CA72" s="102"/>
      <c r="CB72" s="102"/>
      <c r="CC72" s="122"/>
      <c r="CD72" s="123">
        <f t="shared" si="33"/>
        <v>6000000</v>
      </c>
      <c r="CE72" s="102">
        <f t="shared" si="34"/>
        <v>2015107.2</v>
      </c>
      <c r="CF72" s="102">
        <f t="shared" si="35"/>
        <v>1771737.2</v>
      </c>
      <c r="CG72" s="102">
        <f t="shared" si="36"/>
        <v>243370</v>
      </c>
      <c r="CH72" s="124">
        <f t="shared" si="37"/>
        <v>3984892.8</v>
      </c>
      <c r="CI72" s="125">
        <f t="shared" si="38"/>
        <v>0.3358512</v>
      </c>
      <c r="CJ72" s="126" t="str">
        <f t="shared" si="39"/>
        <v>数据正确</v>
      </c>
    </row>
    <row r="73" s="60" customFormat="1" customHeight="1" outlineLevel="1" spans="1:88">
      <c r="A73" s="60" t="s">
        <v>36</v>
      </c>
      <c r="B73" s="70" t="str">
        <f t="shared" si="29"/>
        <v>-</v>
      </c>
      <c r="C73" s="71" t="str">
        <f t="shared" si="30"/>
        <v>-</v>
      </c>
      <c r="D73" s="180">
        <f t="shared" si="31"/>
        <v>0</v>
      </c>
      <c r="E73" s="180">
        <v>0</v>
      </c>
      <c r="F73" s="180">
        <v>0</v>
      </c>
      <c r="G73" s="180">
        <v>0</v>
      </c>
      <c r="H73" s="180">
        <v>0</v>
      </c>
      <c r="I73" s="180">
        <f t="shared" si="32"/>
        <v>0</v>
      </c>
      <c r="J73" s="86" t="s">
        <v>98</v>
      </c>
      <c r="K73" s="87"/>
      <c r="L73" s="141" t="s">
        <v>1163</v>
      </c>
      <c r="M73" s="89" t="s">
        <v>1157</v>
      </c>
      <c r="N73" s="90" t="s">
        <v>30</v>
      </c>
      <c r="O73" s="90" t="s">
        <v>97</v>
      </c>
      <c r="P73" s="91">
        <v>42944</v>
      </c>
      <c r="Q73" s="102">
        <v>6000000</v>
      </c>
      <c r="R73" s="89" t="s">
        <v>1164</v>
      </c>
      <c r="S73" s="89" t="s">
        <v>1159</v>
      </c>
      <c r="T73" s="89"/>
      <c r="U73" s="103"/>
      <c r="V73" s="104" t="s">
        <v>1160</v>
      </c>
      <c r="W73" s="102">
        <v>0</v>
      </c>
      <c r="X73" s="102">
        <f t="shared" si="46"/>
        <v>0</v>
      </c>
      <c r="Y73" s="102">
        <f t="shared" si="47"/>
        <v>0</v>
      </c>
      <c r="Z73" s="107" t="s">
        <v>1160</v>
      </c>
      <c r="AA73" s="102">
        <v>0</v>
      </c>
      <c r="AB73" s="102">
        <f t="shared" si="48"/>
        <v>0</v>
      </c>
      <c r="AC73" s="102">
        <f t="shared" si="49"/>
        <v>0</v>
      </c>
      <c r="AD73" s="107" t="s">
        <v>1160</v>
      </c>
      <c r="AE73" s="102"/>
      <c r="AF73" s="102"/>
      <c r="AG73" s="102"/>
      <c r="AH73" s="107" t="s">
        <v>1160</v>
      </c>
      <c r="AI73" s="102"/>
      <c r="AJ73" s="102"/>
      <c r="AK73" s="102"/>
      <c r="AL73" s="107" t="s">
        <v>1160</v>
      </c>
      <c r="AM73" s="102"/>
      <c r="AN73" s="102"/>
      <c r="AO73" s="102"/>
      <c r="AP73" s="107" t="s">
        <v>1160</v>
      </c>
      <c r="AQ73" s="102"/>
      <c r="AR73" s="102"/>
      <c r="AS73" s="102"/>
      <c r="AT73" s="107" t="s">
        <v>1160</v>
      </c>
      <c r="AU73" s="102"/>
      <c r="AV73" s="102"/>
      <c r="AW73" s="102"/>
      <c r="AX73" s="107" t="s">
        <v>1160</v>
      </c>
      <c r="AY73" s="102">
        <v>6000000</v>
      </c>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22"/>
      <c r="CD73" s="123">
        <f t="shared" si="33"/>
        <v>6000000</v>
      </c>
      <c r="CE73" s="102">
        <f t="shared" si="34"/>
        <v>0</v>
      </c>
      <c r="CF73" s="102">
        <f t="shared" si="35"/>
        <v>0</v>
      </c>
      <c r="CG73" s="102">
        <f t="shared" si="36"/>
        <v>0</v>
      </c>
      <c r="CH73" s="124">
        <f t="shared" si="37"/>
        <v>6000000</v>
      </c>
      <c r="CI73" s="125">
        <f t="shared" si="38"/>
        <v>0</v>
      </c>
      <c r="CJ73" s="126" t="str">
        <f t="shared" si="39"/>
        <v>数据正确</v>
      </c>
    </row>
    <row r="74" s="60" customFormat="1" customHeight="1" outlineLevel="1" spans="1:88">
      <c r="A74" s="60" t="s">
        <v>36</v>
      </c>
      <c r="B74" s="70" t="str">
        <f t="shared" si="29"/>
        <v>-</v>
      </c>
      <c r="C74" s="71" t="str">
        <f t="shared" si="30"/>
        <v>-</v>
      </c>
      <c r="D74" s="180">
        <f t="shared" si="31"/>
        <v>0</v>
      </c>
      <c r="E74" s="180">
        <v>0</v>
      </c>
      <c r="F74" s="180">
        <v>0</v>
      </c>
      <c r="G74" s="180">
        <v>0</v>
      </c>
      <c r="H74" s="180">
        <v>0</v>
      </c>
      <c r="I74" s="180">
        <f t="shared" si="32"/>
        <v>0</v>
      </c>
      <c r="J74" s="86" t="s">
        <v>98</v>
      </c>
      <c r="K74" s="87"/>
      <c r="L74" s="141" t="s">
        <v>1165</v>
      </c>
      <c r="M74" s="89" t="s">
        <v>1157</v>
      </c>
      <c r="N74" s="90" t="s">
        <v>30</v>
      </c>
      <c r="O74" s="90" t="s">
        <v>97</v>
      </c>
      <c r="P74" s="91">
        <v>42944</v>
      </c>
      <c r="Q74" s="102">
        <v>6000000</v>
      </c>
      <c r="R74" s="89" t="s">
        <v>1166</v>
      </c>
      <c r="S74" s="89" t="s">
        <v>1159</v>
      </c>
      <c r="T74" s="89"/>
      <c r="U74" s="103"/>
      <c r="V74" s="104" t="s">
        <v>1160</v>
      </c>
      <c r="W74" s="102">
        <v>0</v>
      </c>
      <c r="X74" s="102">
        <f t="shared" si="46"/>
        <v>0</v>
      </c>
      <c r="Y74" s="102">
        <f t="shared" si="47"/>
        <v>0</v>
      </c>
      <c r="Z74" s="107" t="s">
        <v>1160</v>
      </c>
      <c r="AA74" s="102">
        <v>0</v>
      </c>
      <c r="AB74" s="102">
        <f t="shared" si="48"/>
        <v>0</v>
      </c>
      <c r="AC74" s="102">
        <f t="shared" si="49"/>
        <v>0</v>
      </c>
      <c r="AD74" s="107" t="s">
        <v>1160</v>
      </c>
      <c r="AE74" s="102"/>
      <c r="AF74" s="102"/>
      <c r="AG74" s="102"/>
      <c r="AH74" s="107" t="s">
        <v>1160</v>
      </c>
      <c r="AI74" s="102"/>
      <c r="AJ74" s="102"/>
      <c r="AK74" s="102"/>
      <c r="AL74" s="107" t="s">
        <v>1160</v>
      </c>
      <c r="AM74" s="102"/>
      <c r="AN74" s="102"/>
      <c r="AO74" s="102"/>
      <c r="AP74" s="107" t="s">
        <v>1160</v>
      </c>
      <c r="AQ74" s="102"/>
      <c r="AR74" s="102"/>
      <c r="AS74" s="102"/>
      <c r="AT74" s="107" t="s">
        <v>1160</v>
      </c>
      <c r="AU74" s="102"/>
      <c r="AV74" s="102"/>
      <c r="AW74" s="102"/>
      <c r="AX74" s="107" t="s">
        <v>1160</v>
      </c>
      <c r="AY74" s="102">
        <v>6000000</v>
      </c>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c r="CB74" s="102"/>
      <c r="CC74" s="122"/>
      <c r="CD74" s="123">
        <f t="shared" si="33"/>
        <v>6000000</v>
      </c>
      <c r="CE74" s="102">
        <f t="shared" si="34"/>
        <v>0</v>
      </c>
      <c r="CF74" s="102">
        <f t="shared" si="35"/>
        <v>0</v>
      </c>
      <c r="CG74" s="102">
        <f t="shared" si="36"/>
        <v>0</v>
      </c>
      <c r="CH74" s="124">
        <f t="shared" si="37"/>
        <v>6000000</v>
      </c>
      <c r="CI74" s="125">
        <f t="shared" si="38"/>
        <v>0</v>
      </c>
      <c r="CJ74" s="126" t="str">
        <f t="shared" si="39"/>
        <v>数据正确</v>
      </c>
    </row>
    <row r="75" s="60" customFormat="1" customHeight="1" outlineLevel="1" spans="1:88">
      <c r="A75" s="60" t="s">
        <v>36</v>
      </c>
      <c r="B75" s="70" t="str">
        <f t="shared" si="29"/>
        <v>-</v>
      </c>
      <c r="C75" s="71" t="str">
        <f t="shared" si="30"/>
        <v>-</v>
      </c>
      <c r="D75" s="180">
        <f t="shared" si="31"/>
        <v>0</v>
      </c>
      <c r="E75" s="180">
        <v>0</v>
      </c>
      <c r="F75" s="180">
        <v>0</v>
      </c>
      <c r="G75" s="180">
        <v>0</v>
      </c>
      <c r="H75" s="180">
        <v>0</v>
      </c>
      <c r="I75" s="180">
        <f t="shared" si="32"/>
        <v>0</v>
      </c>
      <c r="J75" s="86" t="s">
        <v>98</v>
      </c>
      <c r="K75" s="87"/>
      <c r="L75" s="141" t="s">
        <v>1167</v>
      </c>
      <c r="M75" s="89" t="s">
        <v>1157</v>
      </c>
      <c r="N75" s="90" t="s">
        <v>30</v>
      </c>
      <c r="O75" s="90" t="s">
        <v>97</v>
      </c>
      <c r="P75" s="91">
        <v>42944</v>
      </c>
      <c r="Q75" s="102">
        <v>6000000</v>
      </c>
      <c r="R75" s="89" t="s">
        <v>1168</v>
      </c>
      <c r="S75" s="89" t="s">
        <v>1159</v>
      </c>
      <c r="T75" s="89"/>
      <c r="U75" s="103"/>
      <c r="V75" s="104" t="s">
        <v>1160</v>
      </c>
      <c r="W75" s="102">
        <v>0</v>
      </c>
      <c r="X75" s="102">
        <f t="shared" si="46"/>
        <v>0</v>
      </c>
      <c r="Y75" s="102">
        <f t="shared" si="47"/>
        <v>0</v>
      </c>
      <c r="Z75" s="107" t="s">
        <v>1160</v>
      </c>
      <c r="AA75" s="102">
        <v>0</v>
      </c>
      <c r="AB75" s="102">
        <f t="shared" si="48"/>
        <v>0</v>
      </c>
      <c r="AC75" s="102">
        <f t="shared" si="49"/>
        <v>0</v>
      </c>
      <c r="AD75" s="107" t="s">
        <v>1160</v>
      </c>
      <c r="AE75" s="102"/>
      <c r="AF75" s="102"/>
      <c r="AG75" s="102"/>
      <c r="AH75" s="107" t="s">
        <v>1160</v>
      </c>
      <c r="AI75" s="102"/>
      <c r="AJ75" s="102"/>
      <c r="AK75" s="102"/>
      <c r="AL75" s="107" t="s">
        <v>1160</v>
      </c>
      <c r="AM75" s="102"/>
      <c r="AN75" s="102"/>
      <c r="AO75" s="102"/>
      <c r="AP75" s="107" t="s">
        <v>1160</v>
      </c>
      <c r="AQ75" s="102"/>
      <c r="AR75" s="102"/>
      <c r="AS75" s="102"/>
      <c r="AT75" s="107" t="s">
        <v>1160</v>
      </c>
      <c r="AU75" s="102"/>
      <c r="AV75" s="102"/>
      <c r="AW75" s="102"/>
      <c r="AX75" s="107" t="s">
        <v>1160</v>
      </c>
      <c r="AY75" s="102">
        <v>6000000</v>
      </c>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c r="CB75" s="102"/>
      <c r="CC75" s="122"/>
      <c r="CD75" s="123">
        <f t="shared" si="33"/>
        <v>6000000</v>
      </c>
      <c r="CE75" s="102">
        <f t="shared" si="34"/>
        <v>0</v>
      </c>
      <c r="CF75" s="102">
        <f t="shared" si="35"/>
        <v>0</v>
      </c>
      <c r="CG75" s="102">
        <f t="shared" si="36"/>
        <v>0</v>
      </c>
      <c r="CH75" s="124">
        <f t="shared" si="37"/>
        <v>6000000</v>
      </c>
      <c r="CI75" s="125">
        <f t="shared" si="38"/>
        <v>0</v>
      </c>
      <c r="CJ75" s="126" t="str">
        <f t="shared" si="39"/>
        <v>数据正确</v>
      </c>
    </row>
    <row r="76" s="60" customFormat="1" customHeight="1" outlineLevel="1" spans="1:88">
      <c r="A76" s="60" t="s">
        <v>36</v>
      </c>
      <c r="B76" s="70" t="str">
        <f t="shared" si="29"/>
        <v>-</v>
      </c>
      <c r="C76" s="71" t="str">
        <f t="shared" si="30"/>
        <v>-</v>
      </c>
      <c r="D76" s="180">
        <f t="shared" si="31"/>
        <v>0</v>
      </c>
      <c r="E76" s="180">
        <v>0</v>
      </c>
      <c r="F76" s="180">
        <v>0</v>
      </c>
      <c r="G76" s="180">
        <v>0</v>
      </c>
      <c r="H76" s="180">
        <v>0</v>
      </c>
      <c r="I76" s="180">
        <f t="shared" si="32"/>
        <v>0</v>
      </c>
      <c r="J76" s="86" t="s">
        <v>98</v>
      </c>
      <c r="K76" s="87"/>
      <c r="L76" s="141" t="s">
        <v>1169</v>
      </c>
      <c r="M76" s="89" t="s">
        <v>1157</v>
      </c>
      <c r="N76" s="90" t="s">
        <v>30</v>
      </c>
      <c r="O76" s="90" t="s">
        <v>97</v>
      </c>
      <c r="P76" s="91">
        <v>42944</v>
      </c>
      <c r="Q76" s="102">
        <v>6000000</v>
      </c>
      <c r="R76" s="89" t="s">
        <v>1170</v>
      </c>
      <c r="S76" s="89" t="s">
        <v>1159</v>
      </c>
      <c r="T76" s="89"/>
      <c r="U76" s="103"/>
      <c r="V76" s="104" t="s">
        <v>1160</v>
      </c>
      <c r="W76" s="102">
        <v>0</v>
      </c>
      <c r="X76" s="102">
        <f t="shared" si="46"/>
        <v>0</v>
      </c>
      <c r="Y76" s="102">
        <f t="shared" si="47"/>
        <v>0</v>
      </c>
      <c r="Z76" s="107" t="s">
        <v>1160</v>
      </c>
      <c r="AA76" s="102">
        <v>0</v>
      </c>
      <c r="AB76" s="102">
        <f t="shared" si="48"/>
        <v>0</v>
      </c>
      <c r="AC76" s="102">
        <f t="shared" si="49"/>
        <v>0</v>
      </c>
      <c r="AD76" s="107" t="s">
        <v>1160</v>
      </c>
      <c r="AE76" s="102"/>
      <c r="AF76" s="102"/>
      <c r="AG76" s="102"/>
      <c r="AH76" s="107" t="s">
        <v>1160</v>
      </c>
      <c r="AI76" s="102"/>
      <c r="AJ76" s="102"/>
      <c r="AK76" s="102"/>
      <c r="AL76" s="107" t="s">
        <v>1160</v>
      </c>
      <c r="AM76" s="102"/>
      <c r="AN76" s="102"/>
      <c r="AO76" s="102"/>
      <c r="AP76" s="107" t="s">
        <v>1160</v>
      </c>
      <c r="AQ76" s="102"/>
      <c r="AR76" s="102"/>
      <c r="AS76" s="102"/>
      <c r="AT76" s="107" t="s">
        <v>1160</v>
      </c>
      <c r="AU76" s="102"/>
      <c r="AV76" s="102"/>
      <c r="AW76" s="102"/>
      <c r="AX76" s="107" t="s">
        <v>1160</v>
      </c>
      <c r="AY76" s="102">
        <v>6000000</v>
      </c>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c r="CB76" s="102"/>
      <c r="CC76" s="122"/>
      <c r="CD76" s="123">
        <f t="shared" si="33"/>
        <v>6000000</v>
      </c>
      <c r="CE76" s="102">
        <f t="shared" si="34"/>
        <v>0</v>
      </c>
      <c r="CF76" s="102">
        <f t="shared" si="35"/>
        <v>0</v>
      </c>
      <c r="CG76" s="102">
        <f t="shared" si="36"/>
        <v>0</v>
      </c>
      <c r="CH76" s="124">
        <f t="shared" si="37"/>
        <v>6000000</v>
      </c>
      <c r="CI76" s="125">
        <f t="shared" si="38"/>
        <v>0</v>
      </c>
      <c r="CJ76" s="126" t="str">
        <f t="shared" si="39"/>
        <v>数据正确</v>
      </c>
    </row>
    <row r="77" s="60" customFormat="1" customHeight="1" outlineLevel="1" spans="1:88">
      <c r="A77" s="60" t="s">
        <v>36</v>
      </c>
      <c r="B77" s="70" t="str">
        <f t="shared" si="29"/>
        <v>-</v>
      </c>
      <c r="C77" s="71" t="str">
        <f t="shared" si="30"/>
        <v>-</v>
      </c>
      <c r="D77" s="180">
        <f t="shared" si="31"/>
        <v>0</v>
      </c>
      <c r="E77" s="180">
        <v>0</v>
      </c>
      <c r="F77" s="180">
        <v>0</v>
      </c>
      <c r="G77" s="180">
        <v>0</v>
      </c>
      <c r="H77" s="180">
        <v>0</v>
      </c>
      <c r="I77" s="180">
        <f t="shared" si="32"/>
        <v>0</v>
      </c>
      <c r="J77" s="86" t="s">
        <v>98</v>
      </c>
      <c r="K77" s="87"/>
      <c r="L77" s="141" t="s">
        <v>1171</v>
      </c>
      <c r="M77" s="89" t="s">
        <v>1157</v>
      </c>
      <c r="N77" s="90" t="s">
        <v>30</v>
      </c>
      <c r="O77" s="90" t="s">
        <v>97</v>
      </c>
      <c r="P77" s="91">
        <v>42944</v>
      </c>
      <c r="Q77" s="102">
        <v>6000000</v>
      </c>
      <c r="R77" s="89" t="s">
        <v>1172</v>
      </c>
      <c r="S77" s="89" t="s">
        <v>1159</v>
      </c>
      <c r="T77" s="89"/>
      <c r="U77" s="103"/>
      <c r="V77" s="104" t="s">
        <v>1160</v>
      </c>
      <c r="W77" s="102">
        <v>0</v>
      </c>
      <c r="X77" s="102">
        <f t="shared" si="46"/>
        <v>0</v>
      </c>
      <c r="Y77" s="102">
        <f t="shared" si="47"/>
        <v>0</v>
      </c>
      <c r="Z77" s="107" t="s">
        <v>1160</v>
      </c>
      <c r="AA77" s="102">
        <v>0</v>
      </c>
      <c r="AB77" s="102">
        <f t="shared" si="48"/>
        <v>0</v>
      </c>
      <c r="AC77" s="102">
        <f t="shared" si="49"/>
        <v>0</v>
      </c>
      <c r="AD77" s="107" t="s">
        <v>1160</v>
      </c>
      <c r="AE77" s="102"/>
      <c r="AF77" s="102"/>
      <c r="AG77" s="102"/>
      <c r="AH77" s="107" t="s">
        <v>1160</v>
      </c>
      <c r="AI77" s="102"/>
      <c r="AJ77" s="102"/>
      <c r="AK77" s="102"/>
      <c r="AL77" s="107" t="s">
        <v>1160</v>
      </c>
      <c r="AM77" s="102"/>
      <c r="AN77" s="102"/>
      <c r="AO77" s="102"/>
      <c r="AP77" s="107" t="s">
        <v>1160</v>
      </c>
      <c r="AQ77" s="102"/>
      <c r="AR77" s="102"/>
      <c r="AS77" s="102"/>
      <c r="AT77" s="107" t="s">
        <v>1160</v>
      </c>
      <c r="AU77" s="102"/>
      <c r="AV77" s="102"/>
      <c r="AW77" s="102"/>
      <c r="AX77" s="107" t="s">
        <v>1160</v>
      </c>
      <c r="AY77" s="102">
        <v>6000000</v>
      </c>
      <c r="AZ77" s="102"/>
      <c r="BA77" s="102"/>
      <c r="BB77" s="102"/>
      <c r="BC77" s="102"/>
      <c r="BD77" s="102"/>
      <c r="BE77" s="102"/>
      <c r="BF77" s="102"/>
      <c r="BG77" s="102"/>
      <c r="BH77" s="102"/>
      <c r="BI77" s="102"/>
      <c r="BJ77" s="102"/>
      <c r="BK77" s="102"/>
      <c r="BL77" s="102"/>
      <c r="BM77" s="102"/>
      <c r="BN77" s="102"/>
      <c r="BO77" s="102"/>
      <c r="BP77" s="102"/>
      <c r="BQ77" s="102"/>
      <c r="BR77" s="102"/>
      <c r="BS77" s="102"/>
      <c r="BT77" s="102"/>
      <c r="BU77" s="102"/>
      <c r="BV77" s="102"/>
      <c r="BW77" s="102"/>
      <c r="BX77" s="102"/>
      <c r="BY77" s="102"/>
      <c r="BZ77" s="102"/>
      <c r="CA77" s="102"/>
      <c r="CB77" s="102"/>
      <c r="CC77" s="122"/>
      <c r="CD77" s="123">
        <f t="shared" si="33"/>
        <v>6000000</v>
      </c>
      <c r="CE77" s="102">
        <f t="shared" si="34"/>
        <v>0</v>
      </c>
      <c r="CF77" s="102">
        <f t="shared" si="35"/>
        <v>0</v>
      </c>
      <c r="CG77" s="102">
        <f t="shared" si="36"/>
        <v>0</v>
      </c>
      <c r="CH77" s="124">
        <f t="shared" si="37"/>
        <v>6000000</v>
      </c>
      <c r="CI77" s="125">
        <f t="shared" si="38"/>
        <v>0</v>
      </c>
      <c r="CJ77" s="126" t="str">
        <f t="shared" si="39"/>
        <v>数据正确</v>
      </c>
    </row>
    <row r="78" s="60" customFormat="1" customHeight="1" outlineLevel="1" spans="1:88">
      <c r="A78" s="60" t="s">
        <v>36</v>
      </c>
      <c r="B78" s="70" t="str">
        <f t="shared" si="29"/>
        <v>-</v>
      </c>
      <c r="C78" s="71" t="str">
        <f t="shared" si="30"/>
        <v>-</v>
      </c>
      <c r="D78" s="180">
        <f t="shared" si="31"/>
        <v>0</v>
      </c>
      <c r="E78" s="180">
        <v>0</v>
      </c>
      <c r="F78" s="180">
        <v>0</v>
      </c>
      <c r="G78" s="180">
        <v>0</v>
      </c>
      <c r="H78" s="180">
        <v>0</v>
      </c>
      <c r="I78" s="180">
        <f t="shared" si="32"/>
        <v>0</v>
      </c>
      <c r="J78" s="86" t="s">
        <v>98</v>
      </c>
      <c r="K78" s="87"/>
      <c r="L78" s="141" t="s">
        <v>1173</v>
      </c>
      <c r="M78" s="89" t="s">
        <v>1157</v>
      </c>
      <c r="N78" s="90" t="s">
        <v>30</v>
      </c>
      <c r="O78" s="90" t="s">
        <v>97</v>
      </c>
      <c r="P78" s="91">
        <v>42944</v>
      </c>
      <c r="Q78" s="102">
        <v>6000000</v>
      </c>
      <c r="R78" s="89" t="s">
        <v>1174</v>
      </c>
      <c r="S78" s="89" t="s">
        <v>1159</v>
      </c>
      <c r="T78" s="89"/>
      <c r="U78" s="103"/>
      <c r="V78" s="104" t="s">
        <v>1160</v>
      </c>
      <c r="W78" s="102">
        <v>0</v>
      </c>
      <c r="X78" s="102">
        <f t="shared" si="46"/>
        <v>0</v>
      </c>
      <c r="Y78" s="102">
        <f t="shared" si="47"/>
        <v>0</v>
      </c>
      <c r="Z78" s="107" t="s">
        <v>1160</v>
      </c>
      <c r="AA78" s="102">
        <v>0</v>
      </c>
      <c r="AB78" s="102">
        <f t="shared" si="48"/>
        <v>0</v>
      </c>
      <c r="AC78" s="102">
        <f t="shared" si="49"/>
        <v>0</v>
      </c>
      <c r="AD78" s="107" t="s">
        <v>1160</v>
      </c>
      <c r="AE78" s="102"/>
      <c r="AF78" s="102"/>
      <c r="AG78" s="102"/>
      <c r="AH78" s="107" t="s">
        <v>1160</v>
      </c>
      <c r="AI78" s="102"/>
      <c r="AJ78" s="102"/>
      <c r="AK78" s="102"/>
      <c r="AL78" s="107" t="s">
        <v>1160</v>
      </c>
      <c r="AM78" s="102"/>
      <c r="AN78" s="102"/>
      <c r="AO78" s="102"/>
      <c r="AP78" s="107" t="s">
        <v>1160</v>
      </c>
      <c r="AQ78" s="102"/>
      <c r="AR78" s="102"/>
      <c r="AS78" s="102"/>
      <c r="AT78" s="107" t="s">
        <v>1160</v>
      </c>
      <c r="AU78" s="102"/>
      <c r="AV78" s="102"/>
      <c r="AW78" s="102"/>
      <c r="AX78" s="107" t="s">
        <v>1160</v>
      </c>
      <c r="AY78" s="102">
        <v>6000000</v>
      </c>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c r="CB78" s="102"/>
      <c r="CC78" s="122"/>
      <c r="CD78" s="123">
        <f t="shared" si="33"/>
        <v>6000000</v>
      </c>
      <c r="CE78" s="102">
        <f t="shared" si="34"/>
        <v>0</v>
      </c>
      <c r="CF78" s="102">
        <f t="shared" si="35"/>
        <v>0</v>
      </c>
      <c r="CG78" s="102">
        <f t="shared" si="36"/>
        <v>0</v>
      </c>
      <c r="CH78" s="124">
        <f t="shared" si="37"/>
        <v>6000000</v>
      </c>
      <c r="CI78" s="125">
        <f t="shared" si="38"/>
        <v>0</v>
      </c>
      <c r="CJ78" s="126" t="str">
        <f t="shared" si="39"/>
        <v>数据正确</v>
      </c>
    </row>
    <row r="79" s="60" customFormat="1" customHeight="1" outlineLevel="1" spans="1:88">
      <c r="A79" s="60" t="s">
        <v>36</v>
      </c>
      <c r="B79" s="70" t="str">
        <f t="shared" si="29"/>
        <v>-</v>
      </c>
      <c r="C79" s="71" t="str">
        <f t="shared" si="30"/>
        <v>-</v>
      </c>
      <c r="D79" s="180">
        <f t="shared" si="31"/>
        <v>0</v>
      </c>
      <c r="E79" s="180">
        <v>0</v>
      </c>
      <c r="F79" s="180">
        <v>0</v>
      </c>
      <c r="G79" s="180">
        <v>0</v>
      </c>
      <c r="H79" s="180">
        <v>0</v>
      </c>
      <c r="I79" s="180">
        <f t="shared" si="32"/>
        <v>0</v>
      </c>
      <c r="J79" s="86" t="s">
        <v>98</v>
      </c>
      <c r="K79" s="87"/>
      <c r="L79" s="141" t="s">
        <v>1175</v>
      </c>
      <c r="M79" s="89" t="s">
        <v>1157</v>
      </c>
      <c r="N79" s="90" t="s">
        <v>30</v>
      </c>
      <c r="O79" s="90" t="s">
        <v>97</v>
      </c>
      <c r="P79" s="91">
        <v>42944</v>
      </c>
      <c r="Q79" s="102">
        <v>6000000</v>
      </c>
      <c r="R79" s="89" t="s">
        <v>1176</v>
      </c>
      <c r="S79" s="89" t="s">
        <v>1159</v>
      </c>
      <c r="T79" s="89"/>
      <c r="U79" s="103"/>
      <c r="V79" s="104" t="s">
        <v>1160</v>
      </c>
      <c r="W79" s="102">
        <v>0</v>
      </c>
      <c r="X79" s="102">
        <f t="shared" si="46"/>
        <v>0</v>
      </c>
      <c r="Y79" s="102">
        <f t="shared" si="47"/>
        <v>0</v>
      </c>
      <c r="Z79" s="107" t="s">
        <v>1160</v>
      </c>
      <c r="AA79" s="102">
        <v>0</v>
      </c>
      <c r="AB79" s="102">
        <f t="shared" si="48"/>
        <v>0</v>
      </c>
      <c r="AC79" s="102">
        <f t="shared" si="49"/>
        <v>0</v>
      </c>
      <c r="AD79" s="107" t="s">
        <v>1160</v>
      </c>
      <c r="AE79" s="102"/>
      <c r="AF79" s="102"/>
      <c r="AG79" s="102"/>
      <c r="AH79" s="107" t="s">
        <v>1160</v>
      </c>
      <c r="AI79" s="102"/>
      <c r="AJ79" s="102"/>
      <c r="AK79" s="102"/>
      <c r="AL79" s="107" t="s">
        <v>1160</v>
      </c>
      <c r="AM79" s="102"/>
      <c r="AN79" s="102"/>
      <c r="AO79" s="102"/>
      <c r="AP79" s="107" t="s">
        <v>1160</v>
      </c>
      <c r="AQ79" s="102"/>
      <c r="AR79" s="102"/>
      <c r="AS79" s="102"/>
      <c r="AT79" s="107" t="s">
        <v>1160</v>
      </c>
      <c r="AU79" s="102"/>
      <c r="AV79" s="102"/>
      <c r="AW79" s="102"/>
      <c r="AX79" s="107" t="s">
        <v>1160</v>
      </c>
      <c r="AY79" s="102">
        <v>6000000</v>
      </c>
      <c r="AZ79" s="102"/>
      <c r="BA79" s="102"/>
      <c r="BB79" s="102"/>
      <c r="BC79" s="102"/>
      <c r="BD79" s="102"/>
      <c r="BE79" s="102"/>
      <c r="BF79" s="102"/>
      <c r="BG79" s="102"/>
      <c r="BH79" s="102"/>
      <c r="BI79" s="102"/>
      <c r="BJ79" s="102"/>
      <c r="BK79" s="102"/>
      <c r="BL79" s="102"/>
      <c r="BM79" s="102"/>
      <c r="BN79" s="102"/>
      <c r="BO79" s="102"/>
      <c r="BP79" s="102"/>
      <c r="BQ79" s="102"/>
      <c r="BR79" s="102"/>
      <c r="BS79" s="102"/>
      <c r="BT79" s="102"/>
      <c r="BU79" s="102"/>
      <c r="BV79" s="102"/>
      <c r="BW79" s="102"/>
      <c r="BX79" s="102"/>
      <c r="BY79" s="102"/>
      <c r="BZ79" s="102"/>
      <c r="CA79" s="102"/>
      <c r="CB79" s="102"/>
      <c r="CC79" s="122"/>
      <c r="CD79" s="123">
        <f t="shared" si="33"/>
        <v>6000000</v>
      </c>
      <c r="CE79" s="102">
        <f t="shared" si="34"/>
        <v>0</v>
      </c>
      <c r="CF79" s="102">
        <f t="shared" si="35"/>
        <v>0</v>
      </c>
      <c r="CG79" s="102">
        <f t="shared" si="36"/>
        <v>0</v>
      </c>
      <c r="CH79" s="124">
        <f t="shared" si="37"/>
        <v>6000000</v>
      </c>
      <c r="CI79" s="125">
        <f t="shared" si="38"/>
        <v>0</v>
      </c>
      <c r="CJ79" s="126" t="str">
        <f t="shared" si="39"/>
        <v>数据正确</v>
      </c>
    </row>
    <row r="80" s="60" customFormat="1" customHeight="1" outlineLevel="1" spans="1:88">
      <c r="A80" s="60" t="s">
        <v>36</v>
      </c>
      <c r="B80" s="70" t="str">
        <f t="shared" si="29"/>
        <v>-</v>
      </c>
      <c r="C80" s="71" t="str">
        <f t="shared" si="30"/>
        <v>-</v>
      </c>
      <c r="D80" s="180">
        <f t="shared" si="31"/>
        <v>0</v>
      </c>
      <c r="E80" s="180">
        <v>0</v>
      </c>
      <c r="F80" s="180">
        <v>0</v>
      </c>
      <c r="G80" s="180">
        <v>0</v>
      </c>
      <c r="H80" s="180">
        <v>0</v>
      </c>
      <c r="I80" s="180">
        <f t="shared" si="32"/>
        <v>0</v>
      </c>
      <c r="J80" s="86" t="s">
        <v>98</v>
      </c>
      <c r="K80" s="87"/>
      <c r="L80" s="141" t="s">
        <v>1177</v>
      </c>
      <c r="M80" s="89" t="s">
        <v>1157</v>
      </c>
      <c r="N80" s="90" t="s">
        <v>30</v>
      </c>
      <c r="O80" s="90" t="s">
        <v>97</v>
      </c>
      <c r="P80" s="91">
        <v>42944</v>
      </c>
      <c r="Q80" s="102">
        <v>10000000</v>
      </c>
      <c r="R80" s="89" t="s">
        <v>799</v>
      </c>
      <c r="S80" s="89" t="s">
        <v>1159</v>
      </c>
      <c r="T80" s="89"/>
      <c r="U80" s="103"/>
      <c r="V80" s="104" t="s">
        <v>1160</v>
      </c>
      <c r="W80" s="102">
        <v>0</v>
      </c>
      <c r="X80" s="102">
        <f t="shared" si="46"/>
        <v>0</v>
      </c>
      <c r="Y80" s="102">
        <f t="shared" si="47"/>
        <v>0</v>
      </c>
      <c r="Z80" s="107" t="s">
        <v>1160</v>
      </c>
      <c r="AA80" s="102">
        <v>0</v>
      </c>
      <c r="AB80" s="102">
        <f t="shared" si="48"/>
        <v>0</v>
      </c>
      <c r="AC80" s="102">
        <f t="shared" si="49"/>
        <v>0</v>
      </c>
      <c r="AD80" s="107" t="s">
        <v>1160</v>
      </c>
      <c r="AE80" s="102"/>
      <c r="AF80" s="102"/>
      <c r="AG80" s="102"/>
      <c r="AH80" s="107" t="s">
        <v>1160</v>
      </c>
      <c r="AI80" s="102"/>
      <c r="AJ80" s="102"/>
      <c r="AK80" s="102"/>
      <c r="AL80" s="107" t="s">
        <v>1160</v>
      </c>
      <c r="AM80" s="102"/>
      <c r="AN80" s="102"/>
      <c r="AO80" s="102"/>
      <c r="AP80" s="107" t="s">
        <v>1160</v>
      </c>
      <c r="AQ80" s="102"/>
      <c r="AR80" s="102"/>
      <c r="AS80" s="102"/>
      <c r="AT80" s="107" t="s">
        <v>1160</v>
      </c>
      <c r="AU80" s="102"/>
      <c r="AV80" s="102"/>
      <c r="AW80" s="102"/>
      <c r="AX80" s="107" t="s">
        <v>1160</v>
      </c>
      <c r="AY80" s="102">
        <v>10000000</v>
      </c>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c r="CB80" s="102"/>
      <c r="CC80" s="122"/>
      <c r="CD80" s="123">
        <f t="shared" si="33"/>
        <v>10000000</v>
      </c>
      <c r="CE80" s="102">
        <f t="shared" si="34"/>
        <v>0</v>
      </c>
      <c r="CF80" s="102">
        <f t="shared" si="35"/>
        <v>0</v>
      </c>
      <c r="CG80" s="102">
        <f t="shared" si="36"/>
        <v>0</v>
      </c>
      <c r="CH80" s="124">
        <f t="shared" si="37"/>
        <v>10000000</v>
      </c>
      <c r="CI80" s="125">
        <f t="shared" si="38"/>
        <v>0</v>
      </c>
      <c r="CJ80" s="126" t="str">
        <f t="shared" si="39"/>
        <v>数据正确</v>
      </c>
    </row>
    <row r="81" s="130" customFormat="1" customHeight="1" spans="1:88">
      <c r="A81" s="130" t="s">
        <v>36</v>
      </c>
      <c r="B81" s="132" t="str">
        <f t="shared" ref="B81:B103" si="50">IF(I81=0,"-","申请中")</f>
        <v>-</v>
      </c>
      <c r="C81" s="133" t="str">
        <f t="shared" ref="C81:C103" si="51">IF(CI81=100%,"已付清","-")</f>
        <v>-</v>
      </c>
      <c r="D81" s="182">
        <f t="shared" si="31"/>
        <v>4221630</v>
      </c>
      <c r="E81" s="182">
        <f>SUM(E70:E80)</f>
        <v>210000</v>
      </c>
      <c r="F81" s="182">
        <f>SUM(F70:F80)</f>
        <v>33370</v>
      </c>
      <c r="G81" s="182">
        <f>SUM(G70:G80)</f>
        <v>0</v>
      </c>
      <c r="H81" s="182">
        <f>SUM(H70:H80)</f>
        <v>0</v>
      </c>
      <c r="I81" s="182">
        <f t="shared" ref="I81:I103" si="52">CE81-CF81-CG81</f>
        <v>0</v>
      </c>
      <c r="J81" s="142" t="s">
        <v>98</v>
      </c>
      <c r="K81" s="172"/>
      <c r="L81" s="143">
        <v>207</v>
      </c>
      <c r="M81" s="144" t="s">
        <v>1157</v>
      </c>
      <c r="N81" s="145" t="s">
        <v>30</v>
      </c>
      <c r="O81" s="145" t="s">
        <v>97</v>
      </c>
      <c r="P81" s="146">
        <v>42944</v>
      </c>
      <c r="Q81" s="158">
        <f>SUM(Q70:Q80)</f>
        <v>70000000</v>
      </c>
      <c r="R81" s="144" t="s">
        <v>1178</v>
      </c>
      <c r="S81" s="144" t="s">
        <v>1159</v>
      </c>
      <c r="T81" s="144"/>
      <c r="U81" s="156"/>
      <c r="V81" s="186" t="s">
        <v>1160</v>
      </c>
      <c r="W81" s="158">
        <f>SUM(W70:W80)</f>
        <v>723247</v>
      </c>
      <c r="X81" s="158">
        <f t="shared" ref="X81:BC81" si="53">SUM(X70:X80)</f>
        <v>578000</v>
      </c>
      <c r="Y81" s="158">
        <f t="shared" si="53"/>
        <v>359376</v>
      </c>
      <c r="Z81" s="158">
        <f t="shared" si="53"/>
        <v>0</v>
      </c>
      <c r="AA81" s="158">
        <f t="shared" si="53"/>
        <v>4859131</v>
      </c>
      <c r="AB81" s="158">
        <f t="shared" si="53"/>
        <v>3887000</v>
      </c>
      <c r="AC81" s="158">
        <f t="shared" si="53"/>
        <v>3862254</v>
      </c>
      <c r="AD81" s="158">
        <f t="shared" si="53"/>
        <v>0</v>
      </c>
      <c r="AE81" s="158">
        <f t="shared" si="53"/>
        <v>0</v>
      </c>
      <c r="AF81" s="158">
        <f t="shared" si="53"/>
        <v>0</v>
      </c>
      <c r="AG81" s="158">
        <f t="shared" si="53"/>
        <v>0</v>
      </c>
      <c r="AH81" s="158">
        <f t="shared" si="53"/>
        <v>0</v>
      </c>
      <c r="AI81" s="158">
        <f t="shared" si="53"/>
        <v>0</v>
      </c>
      <c r="AJ81" s="158">
        <f t="shared" si="53"/>
        <v>0</v>
      </c>
      <c r="AK81" s="158">
        <f t="shared" si="53"/>
        <v>0</v>
      </c>
      <c r="AL81" s="158">
        <f t="shared" si="53"/>
        <v>0</v>
      </c>
      <c r="AM81" s="158">
        <f t="shared" si="53"/>
        <v>0</v>
      </c>
      <c r="AN81" s="158">
        <f t="shared" si="53"/>
        <v>0</v>
      </c>
      <c r="AO81" s="158">
        <f t="shared" si="53"/>
        <v>0</v>
      </c>
      <c r="AP81" s="158">
        <f t="shared" si="53"/>
        <v>0</v>
      </c>
      <c r="AQ81" s="158">
        <f t="shared" si="53"/>
        <v>0</v>
      </c>
      <c r="AR81" s="158">
        <f t="shared" si="53"/>
        <v>0</v>
      </c>
      <c r="AS81" s="158">
        <f t="shared" si="53"/>
        <v>0</v>
      </c>
      <c r="AT81" s="158">
        <f t="shared" si="53"/>
        <v>0</v>
      </c>
      <c r="AU81" s="158">
        <f t="shared" si="53"/>
        <v>0</v>
      </c>
      <c r="AV81" s="158">
        <f t="shared" si="53"/>
        <v>0</v>
      </c>
      <c r="AW81" s="158">
        <f t="shared" si="53"/>
        <v>0</v>
      </c>
      <c r="AX81" s="158">
        <f t="shared" si="53"/>
        <v>0</v>
      </c>
      <c r="AY81" s="158">
        <f t="shared" si="53"/>
        <v>64417622</v>
      </c>
      <c r="AZ81" s="158">
        <f t="shared" si="53"/>
        <v>0</v>
      </c>
      <c r="BA81" s="158">
        <f t="shared" si="53"/>
        <v>0</v>
      </c>
      <c r="BB81" s="158">
        <f t="shared" si="53"/>
        <v>0</v>
      </c>
      <c r="BC81" s="158">
        <f t="shared" si="53"/>
        <v>0</v>
      </c>
      <c r="BD81" s="158">
        <f t="shared" ref="BD81:CC81" si="54">SUM(BD70:BD80)</f>
        <v>0</v>
      </c>
      <c r="BE81" s="158">
        <f t="shared" si="54"/>
        <v>0</v>
      </c>
      <c r="BF81" s="158">
        <f t="shared" si="54"/>
        <v>0</v>
      </c>
      <c r="BG81" s="158">
        <f t="shared" si="54"/>
        <v>0</v>
      </c>
      <c r="BH81" s="158">
        <f t="shared" si="54"/>
        <v>0</v>
      </c>
      <c r="BI81" s="158">
        <f t="shared" si="54"/>
        <v>0</v>
      </c>
      <c r="BJ81" s="158">
        <f t="shared" si="54"/>
        <v>0</v>
      </c>
      <c r="BK81" s="158">
        <f t="shared" si="54"/>
        <v>0</v>
      </c>
      <c r="BL81" s="158">
        <f t="shared" si="54"/>
        <v>0</v>
      </c>
      <c r="BM81" s="158">
        <f t="shared" si="54"/>
        <v>0</v>
      </c>
      <c r="BN81" s="158">
        <f t="shared" si="54"/>
        <v>0</v>
      </c>
      <c r="BO81" s="158">
        <f t="shared" si="54"/>
        <v>0</v>
      </c>
      <c r="BP81" s="158">
        <f t="shared" si="54"/>
        <v>0</v>
      </c>
      <c r="BQ81" s="158">
        <f t="shared" si="54"/>
        <v>0</v>
      </c>
      <c r="BR81" s="158">
        <f t="shared" si="54"/>
        <v>0</v>
      </c>
      <c r="BS81" s="158">
        <f t="shared" si="54"/>
        <v>0</v>
      </c>
      <c r="BT81" s="158">
        <f t="shared" si="54"/>
        <v>0</v>
      </c>
      <c r="BU81" s="158">
        <f t="shared" si="54"/>
        <v>0</v>
      </c>
      <c r="BV81" s="158">
        <f t="shared" si="54"/>
        <v>0</v>
      </c>
      <c r="BW81" s="158">
        <f t="shared" si="54"/>
        <v>0</v>
      </c>
      <c r="BX81" s="158">
        <f t="shared" si="54"/>
        <v>0</v>
      </c>
      <c r="BY81" s="158">
        <f t="shared" si="54"/>
        <v>0</v>
      </c>
      <c r="BZ81" s="158">
        <f t="shared" si="54"/>
        <v>0</v>
      </c>
      <c r="CA81" s="158">
        <f t="shared" si="54"/>
        <v>0</v>
      </c>
      <c r="CB81" s="158">
        <f t="shared" si="54"/>
        <v>0</v>
      </c>
      <c r="CC81" s="158">
        <f t="shared" si="54"/>
        <v>0</v>
      </c>
      <c r="CD81" s="165">
        <f t="shared" ref="CD81:CD103" si="55">W81+AA81+AE81+AI81+AM81+AQ81+AU81+AY81+BC81+BG81+BK81+BO81+BS81+BW81+CA81</f>
        <v>70000000</v>
      </c>
      <c r="CE81" s="158">
        <f t="shared" ref="CE81:CE103" si="56">X81+AB81+AF81+AJ81+AN81+AR81+AV81+AZ81+BD81+BH81+BL81+BP81+BT81+BX81+CB81</f>
        <v>4465000</v>
      </c>
      <c r="CF81" s="158">
        <f t="shared" ref="CF81:CF103" si="57">Y81+AC81+AG81+AK81+AO81+AS81+AW81+BA81+BE81+BI81+BM81+BQ81+BU81+BY81+CC81</f>
        <v>4221630</v>
      </c>
      <c r="CG81" s="158">
        <f t="shared" ref="CG81:CG103" si="58">E81+F81+G81+H81</f>
        <v>243370</v>
      </c>
      <c r="CH81" s="163">
        <f t="shared" ref="CH81:CH103" si="59">Q81-CF81-CG81</f>
        <v>65535000</v>
      </c>
      <c r="CI81" s="166">
        <f t="shared" ref="CI81:CI103" si="60">IF(ISERROR((CF81+CG81)/Q81),"-",(CF81+CG81)/Q81)</f>
        <v>0.0637857142857143</v>
      </c>
      <c r="CJ81" s="167" t="str">
        <f t="shared" ref="CJ81:CJ103" si="61">IF(Q81-CD81=0,"数据正确","数据错误")</f>
        <v>数据正确</v>
      </c>
    </row>
    <row r="82" s="175" customFormat="1" customHeight="1" spans="1:88">
      <c r="A82" s="175" t="s">
        <v>36</v>
      </c>
      <c r="B82" s="70" t="str">
        <f t="shared" si="50"/>
        <v>-</v>
      </c>
      <c r="C82" s="71" t="str">
        <f t="shared" si="51"/>
        <v>-</v>
      </c>
      <c r="D82" s="180">
        <f t="shared" si="31"/>
        <v>0</v>
      </c>
      <c r="E82" s="180">
        <v>0</v>
      </c>
      <c r="F82" s="180">
        <v>0</v>
      </c>
      <c r="G82" s="180">
        <v>0</v>
      </c>
      <c r="H82" s="180">
        <v>0</v>
      </c>
      <c r="I82" s="180">
        <f t="shared" si="52"/>
        <v>0</v>
      </c>
      <c r="J82" s="86" t="s">
        <v>98</v>
      </c>
      <c r="K82" s="87"/>
      <c r="L82" s="88">
        <v>203</v>
      </c>
      <c r="M82" s="89" t="s">
        <v>1179</v>
      </c>
      <c r="N82" s="90" t="s">
        <v>30</v>
      </c>
      <c r="O82" s="90" t="s">
        <v>97</v>
      </c>
      <c r="P82" s="91">
        <v>42944</v>
      </c>
      <c r="Q82" s="102">
        <v>58000000</v>
      </c>
      <c r="R82" s="89" t="s">
        <v>1180</v>
      </c>
      <c r="S82" s="89" t="s">
        <v>1036</v>
      </c>
      <c r="T82" s="89"/>
      <c r="U82" s="103"/>
      <c r="V82" s="104"/>
      <c r="W82" s="102">
        <v>58000000</v>
      </c>
      <c r="X82" s="102"/>
      <c r="Y82" s="158"/>
      <c r="Z82" s="107"/>
      <c r="AA82" s="102"/>
      <c r="AB82" s="102"/>
      <c r="AC82" s="158"/>
      <c r="AD82" s="107"/>
      <c r="AE82" s="102"/>
      <c r="AF82" s="102"/>
      <c r="AG82" s="158"/>
      <c r="AH82" s="107"/>
      <c r="AI82" s="102"/>
      <c r="AJ82" s="102"/>
      <c r="AK82" s="158"/>
      <c r="AL82" s="107"/>
      <c r="AM82" s="102"/>
      <c r="AN82" s="102"/>
      <c r="AO82" s="102"/>
      <c r="AP82" s="107"/>
      <c r="AQ82" s="102"/>
      <c r="AR82" s="102"/>
      <c r="AS82" s="102"/>
      <c r="AT82" s="107"/>
      <c r="AU82" s="102"/>
      <c r="AV82" s="102"/>
      <c r="AW82" s="102"/>
      <c r="AX82" s="107"/>
      <c r="AY82" s="102"/>
      <c r="AZ82" s="102"/>
      <c r="BA82" s="102"/>
      <c r="BB82" s="102"/>
      <c r="BC82" s="102"/>
      <c r="BD82" s="102"/>
      <c r="BE82" s="102"/>
      <c r="BF82" s="102"/>
      <c r="BG82" s="102"/>
      <c r="BH82" s="102"/>
      <c r="BI82" s="102"/>
      <c r="BJ82" s="102"/>
      <c r="BK82" s="102"/>
      <c r="BL82" s="102"/>
      <c r="BM82" s="102"/>
      <c r="BN82" s="102"/>
      <c r="BO82" s="102"/>
      <c r="BP82" s="102"/>
      <c r="BQ82" s="102"/>
      <c r="BR82" s="102"/>
      <c r="BS82" s="102"/>
      <c r="BT82" s="102"/>
      <c r="BU82" s="102"/>
      <c r="BV82" s="102"/>
      <c r="BW82" s="102"/>
      <c r="BX82" s="102"/>
      <c r="BY82" s="102"/>
      <c r="BZ82" s="102"/>
      <c r="CA82" s="102"/>
      <c r="CB82" s="102"/>
      <c r="CC82" s="122"/>
      <c r="CD82" s="123">
        <f t="shared" si="55"/>
        <v>58000000</v>
      </c>
      <c r="CE82" s="102">
        <f t="shared" si="56"/>
        <v>0</v>
      </c>
      <c r="CF82" s="102">
        <f t="shared" si="57"/>
        <v>0</v>
      </c>
      <c r="CG82" s="102">
        <f t="shared" si="58"/>
        <v>0</v>
      </c>
      <c r="CH82" s="124">
        <f t="shared" si="59"/>
        <v>58000000</v>
      </c>
      <c r="CI82" s="125">
        <f t="shared" si="60"/>
        <v>0</v>
      </c>
      <c r="CJ82" s="126" t="str">
        <f t="shared" si="61"/>
        <v>数据正确</v>
      </c>
    </row>
    <row r="83" s="175" customFormat="1" customHeight="1" spans="1:88">
      <c r="A83" s="175" t="s">
        <v>36</v>
      </c>
      <c r="B83" s="70" t="str">
        <f t="shared" si="50"/>
        <v>申请中</v>
      </c>
      <c r="C83" s="71" t="str">
        <f t="shared" si="51"/>
        <v>-</v>
      </c>
      <c r="D83" s="180">
        <f t="shared" ref="D83:D92" si="62">CF83</f>
        <v>2715294</v>
      </c>
      <c r="E83" s="180">
        <v>180000</v>
      </c>
      <c r="F83" s="180">
        <f>2884+6822</f>
        <v>9706</v>
      </c>
      <c r="G83" s="180">
        <v>0</v>
      </c>
      <c r="H83" s="180">
        <v>0</v>
      </c>
      <c r="I83" s="180">
        <f t="shared" si="52"/>
        <v>3136000</v>
      </c>
      <c r="J83" s="86" t="s">
        <v>98</v>
      </c>
      <c r="K83" s="87"/>
      <c r="L83" s="88">
        <v>204</v>
      </c>
      <c r="M83" s="89" t="s">
        <v>1181</v>
      </c>
      <c r="N83" s="90" t="s">
        <v>30</v>
      </c>
      <c r="O83" s="90" t="s">
        <v>97</v>
      </c>
      <c r="P83" s="91">
        <v>42944</v>
      </c>
      <c r="Q83" s="102">
        <v>45000000</v>
      </c>
      <c r="R83" s="89" t="s">
        <v>1182</v>
      </c>
      <c r="S83" s="89" t="s">
        <v>137</v>
      </c>
      <c r="T83" s="89"/>
      <c r="U83" s="103" t="s">
        <v>616</v>
      </c>
      <c r="V83" s="104" t="s">
        <v>1183</v>
      </c>
      <c r="W83" s="102">
        <v>45000000</v>
      </c>
      <c r="X83" s="102">
        <v>2051000</v>
      </c>
      <c r="Y83" s="102">
        <f>X83-180000-2884</f>
        <v>1868116</v>
      </c>
      <c r="Z83" s="104" t="s">
        <v>1183</v>
      </c>
      <c r="AA83" s="102">
        <v>0</v>
      </c>
      <c r="AB83" s="102">
        <v>854000</v>
      </c>
      <c r="AC83" s="102">
        <f>832798+14380</f>
        <v>847178</v>
      </c>
      <c r="AD83" s="104" t="s">
        <v>1183</v>
      </c>
      <c r="AE83" s="102">
        <v>0</v>
      </c>
      <c r="AF83" s="102">
        <v>3136000</v>
      </c>
      <c r="AG83" s="102"/>
      <c r="AH83" s="107"/>
      <c r="AI83" s="102"/>
      <c r="AJ83" s="102"/>
      <c r="AK83" s="102"/>
      <c r="AL83" s="107"/>
      <c r="AM83" s="102"/>
      <c r="AN83" s="102"/>
      <c r="AO83" s="102"/>
      <c r="AP83" s="107"/>
      <c r="AQ83" s="102"/>
      <c r="AR83" s="102"/>
      <c r="AS83" s="102"/>
      <c r="AT83" s="107"/>
      <c r="AU83" s="102"/>
      <c r="AV83" s="102"/>
      <c r="AW83" s="102"/>
      <c r="AX83" s="107"/>
      <c r="AY83" s="102"/>
      <c r="AZ83" s="102"/>
      <c r="BA83" s="102"/>
      <c r="BB83" s="102"/>
      <c r="BC83" s="102"/>
      <c r="BD83" s="102"/>
      <c r="BE83" s="102"/>
      <c r="BF83" s="102"/>
      <c r="BG83" s="102"/>
      <c r="BH83" s="102"/>
      <c r="BI83" s="102"/>
      <c r="BJ83" s="102"/>
      <c r="BK83" s="102"/>
      <c r="BL83" s="102"/>
      <c r="BM83" s="102"/>
      <c r="BN83" s="102"/>
      <c r="BO83" s="102"/>
      <c r="BP83" s="102"/>
      <c r="BQ83" s="102"/>
      <c r="BR83" s="102"/>
      <c r="BS83" s="102"/>
      <c r="BT83" s="102"/>
      <c r="BU83" s="102"/>
      <c r="BV83" s="102"/>
      <c r="BW83" s="102"/>
      <c r="BX83" s="102"/>
      <c r="BY83" s="102"/>
      <c r="BZ83" s="102"/>
      <c r="CA83" s="102"/>
      <c r="CB83" s="102"/>
      <c r="CC83" s="122"/>
      <c r="CD83" s="123">
        <f t="shared" si="55"/>
        <v>45000000</v>
      </c>
      <c r="CE83" s="102">
        <f t="shared" si="56"/>
        <v>6041000</v>
      </c>
      <c r="CF83" s="102">
        <f t="shared" si="57"/>
        <v>2715294</v>
      </c>
      <c r="CG83" s="102">
        <f t="shared" si="58"/>
        <v>189706</v>
      </c>
      <c r="CH83" s="124">
        <f t="shared" si="59"/>
        <v>42095000</v>
      </c>
      <c r="CI83" s="125">
        <f t="shared" si="60"/>
        <v>0.0645555555555556</v>
      </c>
      <c r="CJ83" s="126" t="str">
        <f t="shared" si="61"/>
        <v>数据正确</v>
      </c>
    </row>
    <row r="84" s="60" customFormat="1" customHeight="1" spans="2:88">
      <c r="B84" s="70" t="str">
        <f t="shared" si="50"/>
        <v>-</v>
      </c>
      <c r="C84" s="71" t="str">
        <f t="shared" si="51"/>
        <v>-</v>
      </c>
      <c r="D84" s="180">
        <f t="shared" si="62"/>
        <v>0</v>
      </c>
      <c r="E84" s="180">
        <v>0</v>
      </c>
      <c r="F84" s="180">
        <v>0</v>
      </c>
      <c r="G84" s="180">
        <v>0</v>
      </c>
      <c r="H84" s="180">
        <v>0</v>
      </c>
      <c r="I84" s="180">
        <f t="shared" si="52"/>
        <v>0</v>
      </c>
      <c r="J84" s="86" t="s">
        <v>98</v>
      </c>
      <c r="K84" s="87"/>
      <c r="L84" s="88">
        <v>229</v>
      </c>
      <c r="M84" s="89" t="s">
        <v>1152</v>
      </c>
      <c r="N84" s="90" t="s">
        <v>30</v>
      </c>
      <c r="O84" s="90"/>
      <c r="P84" s="91">
        <v>42916</v>
      </c>
      <c r="Q84" s="154">
        <v>1420000</v>
      </c>
      <c r="R84" s="89" t="s">
        <v>1184</v>
      </c>
      <c r="S84" s="89" t="s">
        <v>1185</v>
      </c>
      <c r="T84" s="89" t="s">
        <v>1186</v>
      </c>
      <c r="U84" s="103" t="s">
        <v>938</v>
      </c>
      <c r="V84" s="104" t="s">
        <v>1187</v>
      </c>
      <c r="W84" s="102">
        <v>1278000</v>
      </c>
      <c r="X84" s="102"/>
      <c r="Y84" s="102"/>
      <c r="Z84" s="107" t="s">
        <v>1188</v>
      </c>
      <c r="AA84" s="102">
        <v>142000</v>
      </c>
      <c r="AB84" s="102"/>
      <c r="AC84" s="102"/>
      <c r="AD84" s="107"/>
      <c r="AE84" s="102"/>
      <c r="AF84" s="102"/>
      <c r="AG84" s="102"/>
      <c r="AH84" s="107"/>
      <c r="AI84" s="102"/>
      <c r="AJ84" s="102"/>
      <c r="AK84" s="102"/>
      <c r="AL84" s="107"/>
      <c r="AM84" s="102"/>
      <c r="AN84" s="102"/>
      <c r="AO84" s="102"/>
      <c r="AP84" s="107"/>
      <c r="AQ84" s="102"/>
      <c r="AR84" s="102"/>
      <c r="AS84" s="102"/>
      <c r="AT84" s="107"/>
      <c r="AU84" s="102"/>
      <c r="AV84" s="102"/>
      <c r="AW84" s="102"/>
      <c r="AX84" s="107"/>
      <c r="AY84" s="102"/>
      <c r="AZ84" s="102"/>
      <c r="BA84" s="102"/>
      <c r="BB84" s="102"/>
      <c r="BC84" s="102"/>
      <c r="BD84" s="102"/>
      <c r="BE84" s="102"/>
      <c r="BF84" s="102"/>
      <c r="BG84" s="102"/>
      <c r="BH84" s="102"/>
      <c r="BI84" s="102"/>
      <c r="BJ84" s="102"/>
      <c r="BK84" s="102"/>
      <c r="BL84" s="102"/>
      <c r="BM84" s="102"/>
      <c r="BN84" s="102"/>
      <c r="BO84" s="102"/>
      <c r="BP84" s="102"/>
      <c r="BQ84" s="102"/>
      <c r="BR84" s="102"/>
      <c r="BS84" s="102"/>
      <c r="BT84" s="102"/>
      <c r="BU84" s="102"/>
      <c r="BV84" s="102"/>
      <c r="BW84" s="102"/>
      <c r="BX84" s="102"/>
      <c r="BY84" s="102"/>
      <c r="BZ84" s="102"/>
      <c r="CA84" s="102"/>
      <c r="CB84" s="102"/>
      <c r="CC84" s="122"/>
      <c r="CD84" s="123">
        <f t="shared" si="55"/>
        <v>1420000</v>
      </c>
      <c r="CE84" s="102">
        <f t="shared" si="56"/>
        <v>0</v>
      </c>
      <c r="CF84" s="102">
        <f t="shared" si="57"/>
        <v>0</v>
      </c>
      <c r="CG84" s="102">
        <f t="shared" si="58"/>
        <v>0</v>
      </c>
      <c r="CH84" s="124">
        <f t="shared" si="59"/>
        <v>1420000</v>
      </c>
      <c r="CI84" s="125">
        <f t="shared" si="60"/>
        <v>0</v>
      </c>
      <c r="CJ84" s="126" t="str">
        <f t="shared" si="61"/>
        <v>数据正确</v>
      </c>
    </row>
    <row r="85" s="60" customFormat="1" customHeight="1" spans="2:88">
      <c r="B85" s="70" t="str">
        <f t="shared" si="50"/>
        <v>-</v>
      </c>
      <c r="C85" s="71" t="str">
        <f t="shared" si="51"/>
        <v>-</v>
      </c>
      <c r="D85" s="180">
        <f t="shared" si="62"/>
        <v>0</v>
      </c>
      <c r="E85" s="180">
        <v>0</v>
      </c>
      <c r="F85" s="180">
        <v>0</v>
      </c>
      <c r="G85" s="180">
        <v>0</v>
      </c>
      <c r="H85" s="180">
        <v>0</v>
      </c>
      <c r="I85" s="180">
        <f t="shared" si="52"/>
        <v>0</v>
      </c>
      <c r="J85" s="86" t="s">
        <v>98</v>
      </c>
      <c r="K85" s="87"/>
      <c r="L85" s="88">
        <v>233</v>
      </c>
      <c r="M85" s="89" t="s">
        <v>1189</v>
      </c>
      <c r="N85" s="90" t="s">
        <v>30</v>
      </c>
      <c r="O85" s="90"/>
      <c r="P85" s="91">
        <v>42997</v>
      </c>
      <c r="Q85" s="154">
        <v>750000</v>
      </c>
      <c r="R85" s="89" t="s">
        <v>1190</v>
      </c>
      <c r="S85" s="89" t="s">
        <v>1030</v>
      </c>
      <c r="T85" s="89"/>
      <c r="U85" s="103" t="s">
        <v>616</v>
      </c>
      <c r="V85" s="104" t="s">
        <v>1183</v>
      </c>
      <c r="W85" s="102">
        <v>600000</v>
      </c>
      <c r="X85" s="102"/>
      <c r="Y85" s="102"/>
      <c r="Z85" s="107" t="s">
        <v>1191</v>
      </c>
      <c r="AA85" s="102">
        <v>75000</v>
      </c>
      <c r="AB85" s="102"/>
      <c r="AC85" s="102"/>
      <c r="AD85" s="107" t="s">
        <v>1192</v>
      </c>
      <c r="AE85" s="102">
        <v>75000</v>
      </c>
      <c r="AF85" s="102"/>
      <c r="AG85" s="102"/>
      <c r="AH85" s="107"/>
      <c r="AI85" s="102"/>
      <c r="AJ85" s="102"/>
      <c r="AK85" s="102"/>
      <c r="AL85" s="107"/>
      <c r="AM85" s="102"/>
      <c r="AN85" s="102"/>
      <c r="AO85" s="102"/>
      <c r="AP85" s="107"/>
      <c r="AQ85" s="102"/>
      <c r="AR85" s="102"/>
      <c r="AS85" s="102"/>
      <c r="AT85" s="107"/>
      <c r="AU85" s="102"/>
      <c r="AV85" s="102"/>
      <c r="AW85" s="102"/>
      <c r="AX85" s="107"/>
      <c r="AY85" s="102"/>
      <c r="AZ85" s="102"/>
      <c r="BA85" s="102"/>
      <c r="BB85" s="102"/>
      <c r="BC85" s="102"/>
      <c r="BD85" s="102"/>
      <c r="BE85" s="102"/>
      <c r="BF85" s="102"/>
      <c r="BG85" s="102"/>
      <c r="BH85" s="102"/>
      <c r="BI85" s="102"/>
      <c r="BJ85" s="102"/>
      <c r="BK85" s="102"/>
      <c r="BL85" s="102"/>
      <c r="BM85" s="102"/>
      <c r="BN85" s="102"/>
      <c r="BO85" s="102"/>
      <c r="BP85" s="102"/>
      <c r="BQ85" s="102"/>
      <c r="BR85" s="102"/>
      <c r="BS85" s="102"/>
      <c r="BT85" s="102"/>
      <c r="BU85" s="102"/>
      <c r="BV85" s="102"/>
      <c r="BW85" s="102"/>
      <c r="BX85" s="102"/>
      <c r="BY85" s="102"/>
      <c r="BZ85" s="102"/>
      <c r="CA85" s="102"/>
      <c r="CB85" s="102"/>
      <c r="CC85" s="122"/>
      <c r="CD85" s="123">
        <f t="shared" si="55"/>
        <v>750000</v>
      </c>
      <c r="CE85" s="102">
        <f t="shared" si="56"/>
        <v>0</v>
      </c>
      <c r="CF85" s="102">
        <f t="shared" si="57"/>
        <v>0</v>
      </c>
      <c r="CG85" s="102">
        <f t="shared" si="58"/>
        <v>0</v>
      </c>
      <c r="CH85" s="124">
        <f t="shared" si="59"/>
        <v>750000</v>
      </c>
      <c r="CI85" s="125">
        <f t="shared" si="60"/>
        <v>0</v>
      </c>
      <c r="CJ85" s="126" t="str">
        <f t="shared" si="61"/>
        <v>数据正确</v>
      </c>
    </row>
    <row r="86" s="60" customFormat="1" customHeight="1" spans="2:88">
      <c r="B86" s="70" t="str">
        <f t="shared" si="50"/>
        <v>-</v>
      </c>
      <c r="C86" s="71" t="str">
        <f t="shared" si="51"/>
        <v>-</v>
      </c>
      <c r="D86" s="180">
        <f t="shared" si="62"/>
        <v>30000</v>
      </c>
      <c r="E86" s="180">
        <v>0</v>
      </c>
      <c r="F86" s="180">
        <v>0</v>
      </c>
      <c r="G86" s="180">
        <v>0</v>
      </c>
      <c r="H86" s="180">
        <v>0</v>
      </c>
      <c r="I86" s="180">
        <f t="shared" si="52"/>
        <v>0</v>
      </c>
      <c r="J86" s="86" t="s">
        <v>98</v>
      </c>
      <c r="K86" s="87"/>
      <c r="L86" s="88">
        <v>311</v>
      </c>
      <c r="M86" s="89" t="s">
        <v>1193</v>
      </c>
      <c r="N86" s="90" t="s">
        <v>30</v>
      </c>
      <c r="O86" s="90"/>
      <c r="P86" s="91">
        <v>43042</v>
      </c>
      <c r="Q86" s="154">
        <v>150000</v>
      </c>
      <c r="R86" s="89" t="s">
        <v>1194</v>
      </c>
      <c r="S86" s="89" t="s">
        <v>1195</v>
      </c>
      <c r="T86" s="89"/>
      <c r="U86" s="103" t="s">
        <v>343</v>
      </c>
      <c r="V86" s="104" t="s">
        <v>1196</v>
      </c>
      <c r="W86" s="102">
        <v>30000</v>
      </c>
      <c r="X86" s="102">
        <v>30000</v>
      </c>
      <c r="Y86" s="102">
        <v>30000</v>
      </c>
      <c r="Z86" s="107" t="s">
        <v>1197</v>
      </c>
      <c r="AA86" s="102">
        <v>120000</v>
      </c>
      <c r="AB86" s="102"/>
      <c r="AC86" s="102"/>
      <c r="AD86" s="107"/>
      <c r="AE86" s="102"/>
      <c r="AF86" s="102"/>
      <c r="AG86" s="102"/>
      <c r="AH86" s="107"/>
      <c r="AI86" s="102"/>
      <c r="AJ86" s="102"/>
      <c r="AK86" s="102"/>
      <c r="AL86" s="107"/>
      <c r="AM86" s="102"/>
      <c r="AN86" s="102"/>
      <c r="AO86" s="102"/>
      <c r="AP86" s="107"/>
      <c r="AQ86" s="102"/>
      <c r="AR86" s="102"/>
      <c r="AS86" s="102"/>
      <c r="AT86" s="107"/>
      <c r="AU86" s="102"/>
      <c r="AV86" s="102"/>
      <c r="AW86" s="102"/>
      <c r="AX86" s="107"/>
      <c r="AY86" s="102"/>
      <c r="AZ86" s="102"/>
      <c r="BA86" s="102"/>
      <c r="BB86" s="102"/>
      <c r="BC86" s="102"/>
      <c r="BD86" s="102"/>
      <c r="BE86" s="102"/>
      <c r="BF86" s="102"/>
      <c r="BG86" s="102"/>
      <c r="BH86" s="102"/>
      <c r="BI86" s="102"/>
      <c r="BJ86" s="102"/>
      <c r="BK86" s="102"/>
      <c r="BL86" s="102"/>
      <c r="BM86" s="102"/>
      <c r="BN86" s="102"/>
      <c r="BO86" s="102"/>
      <c r="BP86" s="102"/>
      <c r="BQ86" s="102"/>
      <c r="BR86" s="102"/>
      <c r="BS86" s="102"/>
      <c r="BT86" s="102"/>
      <c r="BU86" s="102"/>
      <c r="BV86" s="102"/>
      <c r="BW86" s="102"/>
      <c r="BX86" s="102"/>
      <c r="BY86" s="102"/>
      <c r="BZ86" s="102"/>
      <c r="CA86" s="102"/>
      <c r="CB86" s="102"/>
      <c r="CC86" s="122"/>
      <c r="CD86" s="123">
        <f t="shared" si="55"/>
        <v>150000</v>
      </c>
      <c r="CE86" s="102">
        <f t="shared" si="56"/>
        <v>30000</v>
      </c>
      <c r="CF86" s="102">
        <f t="shared" si="57"/>
        <v>30000</v>
      </c>
      <c r="CG86" s="102">
        <f t="shared" si="58"/>
        <v>0</v>
      </c>
      <c r="CH86" s="124">
        <f t="shared" si="59"/>
        <v>120000</v>
      </c>
      <c r="CI86" s="125">
        <f t="shared" si="60"/>
        <v>0.2</v>
      </c>
      <c r="CJ86" s="126" t="str">
        <f t="shared" si="61"/>
        <v>数据正确</v>
      </c>
    </row>
    <row r="87" s="60" customFormat="1" customHeight="1" spans="2:88">
      <c r="B87" s="70" t="str">
        <f t="shared" si="50"/>
        <v>-</v>
      </c>
      <c r="C87" s="71" t="str">
        <f t="shared" si="51"/>
        <v>-</v>
      </c>
      <c r="D87" s="180">
        <f t="shared" si="62"/>
        <v>0</v>
      </c>
      <c r="E87" s="180">
        <v>0</v>
      </c>
      <c r="F87" s="180">
        <v>0</v>
      </c>
      <c r="G87" s="180">
        <v>0</v>
      </c>
      <c r="H87" s="180">
        <v>0</v>
      </c>
      <c r="I87" s="180">
        <f t="shared" si="52"/>
        <v>0</v>
      </c>
      <c r="J87" s="86"/>
      <c r="K87" s="87"/>
      <c r="L87" s="88"/>
      <c r="M87" s="89"/>
      <c r="N87" s="90"/>
      <c r="O87" s="90"/>
      <c r="P87" s="91"/>
      <c r="Q87" s="154"/>
      <c r="R87" s="89"/>
      <c r="S87" s="89"/>
      <c r="T87" s="89"/>
      <c r="U87" s="103"/>
      <c r="V87" s="104"/>
      <c r="W87" s="102"/>
      <c r="X87" s="102"/>
      <c r="Y87" s="102"/>
      <c r="Z87" s="107"/>
      <c r="AA87" s="102"/>
      <c r="AB87" s="102"/>
      <c r="AC87" s="102"/>
      <c r="AD87" s="107"/>
      <c r="AE87" s="102"/>
      <c r="AF87" s="102"/>
      <c r="AG87" s="102"/>
      <c r="AH87" s="107"/>
      <c r="AI87" s="102"/>
      <c r="AJ87" s="102"/>
      <c r="AK87" s="102"/>
      <c r="AL87" s="107"/>
      <c r="AM87" s="102"/>
      <c r="AN87" s="102"/>
      <c r="AO87" s="102"/>
      <c r="AP87" s="107"/>
      <c r="AQ87" s="102"/>
      <c r="AR87" s="102"/>
      <c r="AS87" s="102"/>
      <c r="AT87" s="107"/>
      <c r="AU87" s="102"/>
      <c r="AV87" s="102"/>
      <c r="AW87" s="102"/>
      <c r="AX87" s="107"/>
      <c r="AY87" s="102"/>
      <c r="AZ87" s="102"/>
      <c r="BA87" s="102"/>
      <c r="BB87" s="102"/>
      <c r="BC87" s="102"/>
      <c r="BD87" s="102"/>
      <c r="BE87" s="102"/>
      <c r="BF87" s="102"/>
      <c r="BG87" s="102"/>
      <c r="BH87" s="102"/>
      <c r="BI87" s="102"/>
      <c r="BJ87" s="102"/>
      <c r="BK87" s="102"/>
      <c r="BL87" s="102"/>
      <c r="BM87" s="102"/>
      <c r="BN87" s="102"/>
      <c r="BO87" s="102"/>
      <c r="BP87" s="102"/>
      <c r="BQ87" s="102"/>
      <c r="BR87" s="102"/>
      <c r="BS87" s="102"/>
      <c r="BT87" s="102"/>
      <c r="BU87" s="102"/>
      <c r="BV87" s="102"/>
      <c r="BW87" s="102"/>
      <c r="BX87" s="102"/>
      <c r="BY87" s="102"/>
      <c r="BZ87" s="102"/>
      <c r="CA87" s="102"/>
      <c r="CB87" s="102"/>
      <c r="CC87" s="122"/>
      <c r="CD87" s="123">
        <f t="shared" si="55"/>
        <v>0</v>
      </c>
      <c r="CE87" s="102">
        <f t="shared" si="56"/>
        <v>0</v>
      </c>
      <c r="CF87" s="102">
        <f t="shared" si="57"/>
        <v>0</v>
      </c>
      <c r="CG87" s="102">
        <f t="shared" si="58"/>
        <v>0</v>
      </c>
      <c r="CH87" s="124">
        <f t="shared" si="59"/>
        <v>0</v>
      </c>
      <c r="CI87" s="125" t="str">
        <f t="shared" si="60"/>
        <v>-</v>
      </c>
      <c r="CJ87" s="126" t="str">
        <f t="shared" si="61"/>
        <v>数据正确</v>
      </c>
    </row>
    <row r="88" s="60" customFormat="1" customHeight="1" spans="2:88">
      <c r="B88" s="70" t="str">
        <f t="shared" si="50"/>
        <v>-</v>
      </c>
      <c r="C88" s="71" t="str">
        <f t="shared" si="51"/>
        <v>-</v>
      </c>
      <c r="D88" s="180">
        <f t="shared" si="62"/>
        <v>0</v>
      </c>
      <c r="E88" s="180">
        <v>0</v>
      </c>
      <c r="F88" s="180">
        <v>0</v>
      </c>
      <c r="G88" s="180">
        <v>0</v>
      </c>
      <c r="H88" s="180">
        <v>0</v>
      </c>
      <c r="I88" s="180">
        <f t="shared" si="52"/>
        <v>0</v>
      </c>
      <c r="J88" s="86"/>
      <c r="K88" s="87"/>
      <c r="L88" s="88"/>
      <c r="M88" s="89"/>
      <c r="N88" s="90"/>
      <c r="O88" s="90"/>
      <c r="P88" s="91"/>
      <c r="Q88" s="154"/>
      <c r="R88" s="89"/>
      <c r="S88" s="89"/>
      <c r="T88" s="89"/>
      <c r="U88" s="103"/>
      <c r="V88" s="104"/>
      <c r="W88" s="102"/>
      <c r="X88" s="102"/>
      <c r="Y88" s="102"/>
      <c r="Z88" s="107"/>
      <c r="AA88" s="102"/>
      <c r="AB88" s="102"/>
      <c r="AC88" s="102"/>
      <c r="AD88" s="107"/>
      <c r="AE88" s="102"/>
      <c r="AF88" s="102"/>
      <c r="AG88" s="102"/>
      <c r="AH88" s="107"/>
      <c r="AI88" s="102"/>
      <c r="AJ88" s="102"/>
      <c r="AK88" s="102"/>
      <c r="AL88" s="107"/>
      <c r="AM88" s="102"/>
      <c r="AN88" s="102"/>
      <c r="AO88" s="102"/>
      <c r="AP88" s="107"/>
      <c r="AQ88" s="102"/>
      <c r="AR88" s="102"/>
      <c r="AS88" s="102"/>
      <c r="AT88" s="107"/>
      <c r="AU88" s="102"/>
      <c r="AV88" s="102"/>
      <c r="AW88" s="102"/>
      <c r="AX88" s="107"/>
      <c r="AY88" s="102"/>
      <c r="AZ88" s="102"/>
      <c r="BA88" s="102"/>
      <c r="BB88" s="102"/>
      <c r="BC88" s="102"/>
      <c r="BD88" s="102"/>
      <c r="BE88" s="102"/>
      <c r="BF88" s="102"/>
      <c r="BG88" s="102"/>
      <c r="BH88" s="102"/>
      <c r="BI88" s="102"/>
      <c r="BJ88" s="102"/>
      <c r="BK88" s="102"/>
      <c r="BL88" s="102"/>
      <c r="BM88" s="102"/>
      <c r="BN88" s="102"/>
      <c r="BO88" s="102"/>
      <c r="BP88" s="102"/>
      <c r="BQ88" s="102"/>
      <c r="BR88" s="102"/>
      <c r="BS88" s="102"/>
      <c r="BT88" s="102"/>
      <c r="BU88" s="102"/>
      <c r="BV88" s="102"/>
      <c r="BW88" s="102"/>
      <c r="BX88" s="102"/>
      <c r="BY88" s="102"/>
      <c r="BZ88" s="102"/>
      <c r="CA88" s="102"/>
      <c r="CB88" s="102"/>
      <c r="CC88" s="122"/>
      <c r="CD88" s="123">
        <f t="shared" si="55"/>
        <v>0</v>
      </c>
      <c r="CE88" s="102">
        <f t="shared" si="56"/>
        <v>0</v>
      </c>
      <c r="CF88" s="102">
        <f t="shared" si="57"/>
        <v>0</v>
      </c>
      <c r="CG88" s="102">
        <f t="shared" si="58"/>
        <v>0</v>
      </c>
      <c r="CH88" s="124">
        <f t="shared" si="59"/>
        <v>0</v>
      </c>
      <c r="CI88" s="125" t="str">
        <f t="shared" si="60"/>
        <v>-</v>
      </c>
      <c r="CJ88" s="126" t="str">
        <f t="shared" si="61"/>
        <v>数据正确</v>
      </c>
    </row>
    <row r="89" s="60" customFormat="1" customHeight="1" spans="2:88">
      <c r="B89" s="70" t="str">
        <f t="shared" si="50"/>
        <v>-</v>
      </c>
      <c r="C89" s="71" t="str">
        <f t="shared" si="51"/>
        <v>-</v>
      </c>
      <c r="D89" s="180">
        <f t="shared" si="62"/>
        <v>0</v>
      </c>
      <c r="E89" s="180">
        <v>0</v>
      </c>
      <c r="F89" s="180">
        <v>0</v>
      </c>
      <c r="G89" s="180">
        <v>0</v>
      </c>
      <c r="H89" s="180">
        <v>0</v>
      </c>
      <c r="I89" s="180">
        <f t="shared" si="52"/>
        <v>0</v>
      </c>
      <c r="J89" s="86"/>
      <c r="K89" s="87"/>
      <c r="L89" s="88"/>
      <c r="M89" s="89"/>
      <c r="N89" s="90"/>
      <c r="O89" s="90"/>
      <c r="P89" s="91"/>
      <c r="Q89" s="154"/>
      <c r="R89" s="89"/>
      <c r="S89" s="89"/>
      <c r="T89" s="89"/>
      <c r="U89" s="103"/>
      <c r="V89" s="104"/>
      <c r="W89" s="102"/>
      <c r="X89" s="102"/>
      <c r="Y89" s="102"/>
      <c r="Z89" s="107"/>
      <c r="AA89" s="102"/>
      <c r="AB89" s="102"/>
      <c r="AC89" s="102"/>
      <c r="AD89" s="107"/>
      <c r="AE89" s="102"/>
      <c r="AF89" s="102"/>
      <c r="AG89" s="102"/>
      <c r="AH89" s="107"/>
      <c r="AI89" s="102"/>
      <c r="AJ89" s="102"/>
      <c r="AK89" s="102"/>
      <c r="AL89" s="107"/>
      <c r="AM89" s="102"/>
      <c r="AN89" s="102"/>
      <c r="AO89" s="102"/>
      <c r="AP89" s="107"/>
      <c r="AQ89" s="102"/>
      <c r="AR89" s="102"/>
      <c r="AS89" s="102"/>
      <c r="AT89" s="107"/>
      <c r="AU89" s="102"/>
      <c r="AV89" s="102"/>
      <c r="AW89" s="102"/>
      <c r="AX89" s="107"/>
      <c r="AY89" s="102"/>
      <c r="AZ89" s="102"/>
      <c r="BA89" s="102"/>
      <c r="BB89" s="102"/>
      <c r="BC89" s="102"/>
      <c r="BD89" s="102"/>
      <c r="BE89" s="102"/>
      <c r="BF89" s="102"/>
      <c r="BG89" s="102"/>
      <c r="BH89" s="102"/>
      <c r="BI89" s="102"/>
      <c r="BJ89" s="102"/>
      <c r="BK89" s="102"/>
      <c r="BL89" s="102"/>
      <c r="BM89" s="102"/>
      <c r="BN89" s="102"/>
      <c r="BO89" s="102"/>
      <c r="BP89" s="102"/>
      <c r="BQ89" s="102"/>
      <c r="BR89" s="102"/>
      <c r="BS89" s="102"/>
      <c r="BT89" s="102"/>
      <c r="BU89" s="102"/>
      <c r="BV89" s="102"/>
      <c r="BW89" s="102"/>
      <c r="BX89" s="102"/>
      <c r="BY89" s="102"/>
      <c r="BZ89" s="102"/>
      <c r="CA89" s="102"/>
      <c r="CB89" s="102"/>
      <c r="CC89" s="122"/>
      <c r="CD89" s="123">
        <f t="shared" si="55"/>
        <v>0</v>
      </c>
      <c r="CE89" s="102">
        <f t="shared" si="56"/>
        <v>0</v>
      </c>
      <c r="CF89" s="102">
        <f t="shared" si="57"/>
        <v>0</v>
      </c>
      <c r="CG89" s="102">
        <f t="shared" si="58"/>
        <v>0</v>
      </c>
      <c r="CH89" s="124">
        <f t="shared" si="59"/>
        <v>0</v>
      </c>
      <c r="CI89" s="125" t="str">
        <f t="shared" si="60"/>
        <v>-</v>
      </c>
      <c r="CJ89" s="126" t="str">
        <f t="shared" si="61"/>
        <v>数据正确</v>
      </c>
    </row>
    <row r="90" s="60" customFormat="1" customHeight="1" spans="2:88">
      <c r="B90" s="70" t="str">
        <f t="shared" si="50"/>
        <v>-</v>
      </c>
      <c r="C90" s="71" t="str">
        <f t="shared" si="51"/>
        <v>-</v>
      </c>
      <c r="D90" s="180">
        <f t="shared" si="62"/>
        <v>0</v>
      </c>
      <c r="E90" s="180">
        <v>0</v>
      </c>
      <c r="F90" s="180">
        <v>0</v>
      </c>
      <c r="G90" s="180">
        <v>0</v>
      </c>
      <c r="H90" s="180">
        <v>0</v>
      </c>
      <c r="I90" s="180">
        <f t="shared" si="52"/>
        <v>0</v>
      </c>
      <c r="J90" s="86"/>
      <c r="K90" s="87"/>
      <c r="L90" s="88"/>
      <c r="M90" s="89"/>
      <c r="N90" s="90"/>
      <c r="O90" s="90"/>
      <c r="P90" s="91"/>
      <c r="Q90" s="102"/>
      <c r="R90" s="89"/>
      <c r="S90" s="89"/>
      <c r="T90" s="89"/>
      <c r="U90" s="103"/>
      <c r="V90" s="104"/>
      <c r="W90" s="102"/>
      <c r="X90" s="102"/>
      <c r="Y90" s="102"/>
      <c r="Z90" s="107"/>
      <c r="AA90" s="102"/>
      <c r="AB90" s="102"/>
      <c r="AC90" s="102"/>
      <c r="AD90" s="107"/>
      <c r="AE90" s="102"/>
      <c r="AF90" s="102"/>
      <c r="AG90" s="102"/>
      <c r="AH90" s="107"/>
      <c r="AI90" s="102"/>
      <c r="AJ90" s="102"/>
      <c r="AK90" s="102"/>
      <c r="AL90" s="107"/>
      <c r="AM90" s="102"/>
      <c r="AN90" s="102"/>
      <c r="AO90" s="102"/>
      <c r="AP90" s="107"/>
      <c r="AQ90" s="102"/>
      <c r="AR90" s="102"/>
      <c r="AS90" s="102"/>
      <c r="AT90" s="107"/>
      <c r="AU90" s="102"/>
      <c r="AV90" s="102"/>
      <c r="AW90" s="102"/>
      <c r="AX90" s="107"/>
      <c r="AY90" s="102"/>
      <c r="AZ90" s="102"/>
      <c r="BA90" s="102"/>
      <c r="BB90" s="102"/>
      <c r="BC90" s="102"/>
      <c r="BD90" s="102"/>
      <c r="BE90" s="102"/>
      <c r="BF90" s="102"/>
      <c r="BG90" s="102"/>
      <c r="BH90" s="102"/>
      <c r="BI90" s="102"/>
      <c r="BJ90" s="102"/>
      <c r="BK90" s="102"/>
      <c r="BL90" s="102"/>
      <c r="BM90" s="102"/>
      <c r="BN90" s="102"/>
      <c r="BO90" s="102"/>
      <c r="BP90" s="102"/>
      <c r="BQ90" s="102"/>
      <c r="BR90" s="102"/>
      <c r="BS90" s="102"/>
      <c r="BT90" s="102"/>
      <c r="BU90" s="102"/>
      <c r="BV90" s="102"/>
      <c r="BW90" s="102"/>
      <c r="BX90" s="102"/>
      <c r="BY90" s="102"/>
      <c r="BZ90" s="102"/>
      <c r="CA90" s="102"/>
      <c r="CB90" s="102"/>
      <c r="CC90" s="122"/>
      <c r="CD90" s="123">
        <f t="shared" si="55"/>
        <v>0</v>
      </c>
      <c r="CE90" s="102">
        <f t="shared" si="56"/>
        <v>0</v>
      </c>
      <c r="CF90" s="102">
        <f t="shared" si="57"/>
        <v>0</v>
      </c>
      <c r="CG90" s="102">
        <f t="shared" si="58"/>
        <v>0</v>
      </c>
      <c r="CH90" s="124">
        <f t="shared" si="59"/>
        <v>0</v>
      </c>
      <c r="CI90" s="125" t="str">
        <f t="shared" si="60"/>
        <v>-</v>
      </c>
      <c r="CJ90" s="126" t="str">
        <f t="shared" si="61"/>
        <v>数据正确</v>
      </c>
    </row>
    <row r="91" s="60" customFormat="1" customHeight="1" spans="2:88">
      <c r="B91" s="70" t="str">
        <f t="shared" si="50"/>
        <v>-</v>
      </c>
      <c r="C91" s="71" t="str">
        <f t="shared" si="51"/>
        <v>-</v>
      </c>
      <c r="D91" s="180">
        <f t="shared" si="62"/>
        <v>0</v>
      </c>
      <c r="E91" s="180">
        <v>0</v>
      </c>
      <c r="F91" s="180">
        <v>0</v>
      </c>
      <c r="G91" s="180">
        <v>0</v>
      </c>
      <c r="H91" s="180">
        <v>0</v>
      </c>
      <c r="I91" s="180">
        <f t="shared" si="52"/>
        <v>0</v>
      </c>
      <c r="J91" s="86"/>
      <c r="K91" s="87"/>
      <c r="L91" s="88"/>
      <c r="M91" s="89"/>
      <c r="N91" s="90"/>
      <c r="O91" s="90"/>
      <c r="P91" s="91"/>
      <c r="Q91" s="102"/>
      <c r="R91" s="89"/>
      <c r="S91" s="89"/>
      <c r="T91" s="89"/>
      <c r="U91" s="103"/>
      <c r="V91" s="104"/>
      <c r="W91" s="102"/>
      <c r="X91" s="102"/>
      <c r="Y91" s="102"/>
      <c r="Z91" s="107"/>
      <c r="AA91" s="102"/>
      <c r="AB91" s="102"/>
      <c r="AC91" s="102"/>
      <c r="AD91" s="107"/>
      <c r="AE91" s="102"/>
      <c r="AF91" s="102"/>
      <c r="AG91" s="102"/>
      <c r="AH91" s="107"/>
      <c r="AI91" s="102"/>
      <c r="AJ91" s="102"/>
      <c r="AK91" s="102"/>
      <c r="AL91" s="107"/>
      <c r="AM91" s="102"/>
      <c r="AN91" s="102"/>
      <c r="AO91" s="102"/>
      <c r="AP91" s="107"/>
      <c r="AQ91" s="102"/>
      <c r="AR91" s="102"/>
      <c r="AS91" s="102"/>
      <c r="AT91" s="107"/>
      <c r="AU91" s="102"/>
      <c r="AV91" s="102"/>
      <c r="AW91" s="102"/>
      <c r="AX91" s="107"/>
      <c r="AY91" s="102"/>
      <c r="AZ91" s="102"/>
      <c r="BA91" s="102"/>
      <c r="BB91" s="102"/>
      <c r="BC91" s="102"/>
      <c r="BD91" s="102"/>
      <c r="BE91" s="102"/>
      <c r="BF91" s="102"/>
      <c r="BG91" s="102"/>
      <c r="BH91" s="102"/>
      <c r="BI91" s="102"/>
      <c r="BJ91" s="102"/>
      <c r="BK91" s="102"/>
      <c r="BL91" s="102"/>
      <c r="BM91" s="102"/>
      <c r="BN91" s="102"/>
      <c r="BO91" s="102"/>
      <c r="BP91" s="102"/>
      <c r="BQ91" s="102"/>
      <c r="BR91" s="102"/>
      <c r="BS91" s="102"/>
      <c r="BT91" s="102"/>
      <c r="BU91" s="102"/>
      <c r="BV91" s="102"/>
      <c r="BW91" s="102"/>
      <c r="BX91" s="102"/>
      <c r="BY91" s="102"/>
      <c r="BZ91" s="102"/>
      <c r="CA91" s="102"/>
      <c r="CB91" s="102"/>
      <c r="CC91" s="122"/>
      <c r="CD91" s="123">
        <f t="shared" si="55"/>
        <v>0</v>
      </c>
      <c r="CE91" s="102">
        <f t="shared" si="56"/>
        <v>0</v>
      </c>
      <c r="CF91" s="102">
        <f t="shared" si="57"/>
        <v>0</v>
      </c>
      <c r="CG91" s="102">
        <f t="shared" si="58"/>
        <v>0</v>
      </c>
      <c r="CH91" s="124">
        <f t="shared" si="59"/>
        <v>0</v>
      </c>
      <c r="CI91" s="125" t="str">
        <f t="shared" si="60"/>
        <v>-</v>
      </c>
      <c r="CJ91" s="126" t="str">
        <f t="shared" si="61"/>
        <v>数据正确</v>
      </c>
    </row>
    <row r="92" s="60" customFormat="1" customHeight="1" spans="2:13">
      <c r="B92" s="127"/>
      <c r="D92" s="189"/>
      <c r="E92" s="189"/>
      <c r="F92" s="189"/>
      <c r="G92" s="189"/>
      <c r="H92" s="189"/>
      <c r="I92" s="189"/>
      <c r="M92" s="152"/>
    </row>
    <row r="93" s="60" customFormat="1" customHeight="1" spans="2:13">
      <c r="B93" s="127"/>
      <c r="D93" s="189"/>
      <c r="E93" s="189"/>
      <c r="F93" s="189"/>
      <c r="G93" s="189"/>
      <c r="H93" s="189"/>
      <c r="I93" s="189"/>
      <c r="M93" s="152"/>
    </row>
    <row r="94" s="60" customFormat="1" customHeight="1" spans="2:13">
      <c r="B94" s="127"/>
      <c r="D94" s="189"/>
      <c r="E94" s="189"/>
      <c r="F94" s="189"/>
      <c r="G94" s="189"/>
      <c r="H94" s="189"/>
      <c r="I94" s="189"/>
      <c r="M94" s="152"/>
    </row>
    <row r="95" s="60" customFormat="1" customHeight="1" spans="2:13">
      <c r="B95" s="127"/>
      <c r="D95" s="189"/>
      <c r="E95" s="189"/>
      <c r="F95" s="189"/>
      <c r="G95" s="189"/>
      <c r="H95" s="189"/>
      <c r="I95" s="189"/>
      <c r="M95" s="152"/>
    </row>
    <row r="96" s="60" customFormat="1" customHeight="1" spans="2:13">
      <c r="B96" s="127"/>
      <c r="D96" s="189"/>
      <c r="E96" s="189"/>
      <c r="F96" s="189"/>
      <c r="G96" s="189"/>
      <c r="H96" s="189"/>
      <c r="I96" s="189"/>
      <c r="M96" s="152"/>
    </row>
    <row r="97" s="60" customFormat="1" customHeight="1" spans="2:13">
      <c r="B97" s="127"/>
      <c r="D97" s="189"/>
      <c r="E97" s="189"/>
      <c r="F97" s="189"/>
      <c r="G97" s="189"/>
      <c r="H97" s="189"/>
      <c r="I97" s="189"/>
      <c r="M97" s="152"/>
    </row>
    <row r="98" s="60" customFormat="1" customHeight="1" spans="2:13">
      <c r="B98" s="127"/>
      <c r="D98" s="189"/>
      <c r="E98" s="189"/>
      <c r="F98" s="189"/>
      <c r="G98" s="189"/>
      <c r="H98" s="189"/>
      <c r="I98" s="189"/>
      <c r="M98" s="152"/>
    </row>
    <row r="99" s="60" customFormat="1" customHeight="1" spans="2:13">
      <c r="B99" s="127"/>
      <c r="D99" s="189"/>
      <c r="E99" s="189"/>
      <c r="F99" s="189"/>
      <c r="G99" s="189"/>
      <c r="H99" s="189"/>
      <c r="I99" s="189"/>
      <c r="M99" s="152"/>
    </row>
    <row r="100" s="60" customFormat="1" customHeight="1" spans="2:13">
      <c r="B100" s="127"/>
      <c r="D100" s="189"/>
      <c r="E100" s="189"/>
      <c r="F100" s="189"/>
      <c r="G100" s="189"/>
      <c r="H100" s="189"/>
      <c r="I100" s="189"/>
      <c r="M100" s="152"/>
    </row>
    <row r="101" s="60" customFormat="1" customHeight="1" spans="2:13">
      <c r="B101" s="127"/>
      <c r="D101" s="189"/>
      <c r="E101" s="189"/>
      <c r="F101" s="189"/>
      <c r="G101" s="189"/>
      <c r="H101" s="189"/>
      <c r="I101" s="189"/>
      <c r="M101" s="152"/>
    </row>
    <row r="102" s="60" customFormat="1" customHeight="1" spans="2:13">
      <c r="B102" s="127"/>
      <c r="D102" s="189"/>
      <c r="E102" s="189"/>
      <c r="F102" s="189"/>
      <c r="G102" s="189"/>
      <c r="H102" s="189"/>
      <c r="I102" s="189"/>
      <c r="M102" s="152"/>
    </row>
    <row r="103" s="60" customFormat="1" customHeight="1" spans="2:13">
      <c r="B103" s="127"/>
      <c r="D103" s="189"/>
      <c r="E103" s="189"/>
      <c r="F103" s="189"/>
      <c r="G103" s="189"/>
      <c r="H103" s="189"/>
      <c r="I103" s="189"/>
      <c r="M103" s="152"/>
    </row>
  </sheetData>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75" right="0.75" top="1" bottom="1" header="0.511805555555556" footer="0.511805555555556"/>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127"/>
  <sheetViews>
    <sheetView workbookViewId="0">
      <pane ySplit="5" topLeftCell="A6" activePane="bottomLeft" state="frozen"/>
      <selection/>
      <selection pane="bottomLeft" activeCell="E13" sqref="E13"/>
    </sheetView>
  </sheetViews>
  <sheetFormatPr defaultColWidth="9" defaultRowHeight="18" customHeight="1"/>
  <cols>
    <col min="1" max="1" width="4.25" customWidth="1"/>
    <col min="2" max="2" width="5.25" style="61" customWidth="1"/>
    <col min="3" max="3" width="5.25" customWidth="1"/>
    <col min="4" max="4" width="15" customWidth="1"/>
    <col min="5" max="5" width="10.375" customWidth="1"/>
    <col min="6" max="6" width="8.875" customWidth="1"/>
    <col min="7" max="7" width="9" customWidth="1"/>
    <col min="8" max="8" width="10.125" customWidth="1"/>
    <col min="9" max="9" width="14.5" customWidth="1"/>
    <col min="10" max="10" width="5.875" customWidth="1"/>
    <col min="11" max="11" width="0.75" style="60" customWidth="1"/>
    <col min="12" max="12" width="5.25" customWidth="1"/>
    <col min="13" max="13" width="12.5" customWidth="1"/>
    <col min="14" max="14" width="11.125"/>
    <col min="15" max="15" width="10.5" style="131" customWidth="1"/>
    <col min="16" max="16" width="11.25" customWidth="1"/>
    <col min="17" max="17" width="16" customWidth="1"/>
    <col min="18" max="18" width="12.5" customWidth="1"/>
    <col min="19" max="19" width="19.25" customWidth="1"/>
    <col min="20" max="21" width="11.125"/>
    <col min="22" max="22" width="17.625" customWidth="1"/>
    <col min="23" max="25" width="16" customWidth="1"/>
    <col min="26" max="26" width="12.875" customWidth="1"/>
    <col min="27" max="27" width="14" customWidth="1"/>
    <col min="28" max="29" width="15" customWidth="1"/>
    <col min="30" max="30" width="18.75" customWidth="1"/>
    <col min="31" max="31" width="15" customWidth="1"/>
    <col min="32" max="33" width="14" customWidth="1"/>
    <col min="34" max="34" width="11" customWidth="1"/>
    <col min="35" max="35" width="15" customWidth="1"/>
    <col min="36" max="37" width="9.625" customWidth="1"/>
    <col min="38" max="38" width="7.125" customWidth="1"/>
    <col min="39" max="39" width="15" customWidth="1"/>
    <col min="40" max="41" width="9.625" customWidth="1"/>
    <col min="42" max="42" width="7.125" customWidth="1"/>
    <col min="43" max="43" width="15" customWidth="1"/>
    <col min="44" max="45" width="9.625" customWidth="1"/>
    <col min="46" max="46" width="7.125" customWidth="1"/>
    <col min="47" max="47" width="15" customWidth="1"/>
    <col min="48" max="49" width="9.625" customWidth="1"/>
    <col min="50" max="50" width="13.375" customWidth="1"/>
    <col min="51" max="51" width="15" customWidth="1"/>
    <col min="52" max="53" width="9.625" customWidth="1"/>
    <col min="54" max="54" width="7.125" customWidth="1"/>
    <col min="55" max="55" width="8" customWidth="1"/>
    <col min="56" max="57" width="9.625" customWidth="1"/>
    <col min="58" max="58" width="7.125" customWidth="1"/>
    <col min="59" max="59" width="8" customWidth="1"/>
    <col min="60" max="61" width="9.625" customWidth="1"/>
    <col min="62" max="62" width="7.125" customWidth="1"/>
    <col min="63" max="63" width="8" customWidth="1"/>
    <col min="64" max="65" width="9.625" customWidth="1"/>
    <col min="66" max="66" width="7.125" customWidth="1"/>
    <col min="67" max="67" width="8" customWidth="1"/>
    <col min="68" max="69" width="9.625" customWidth="1"/>
    <col min="70" max="70" width="7.125" customWidth="1"/>
    <col min="71" max="71" width="8" customWidth="1"/>
    <col min="72" max="73" width="9.625" customWidth="1"/>
    <col min="74" max="74" width="7.125" customWidth="1"/>
    <col min="75" max="75" width="8" customWidth="1"/>
    <col min="76" max="77" width="9.625" customWidth="1"/>
    <col min="78" max="78" width="7.125" customWidth="1"/>
    <col min="79" max="79" width="8" customWidth="1"/>
    <col min="80" max="81" width="9.625" customWidth="1"/>
    <col min="82" max="84" width="16" customWidth="1"/>
    <col min="85" max="85" width="11.25" customWidth="1"/>
    <col min="86" max="86" width="16" customWidth="1"/>
    <col min="87" max="87" width="9.25"/>
  </cols>
  <sheetData>
    <row r="1" customFormat="1" ht="8" customHeight="1" spans="2:15">
      <c r="B1" s="61"/>
      <c r="K1" s="60"/>
      <c r="O1" s="131"/>
    </row>
    <row r="2" s="57" customFormat="1" customHeight="1" spans="2:88">
      <c r="B2" s="62" t="s">
        <v>1198</v>
      </c>
      <c r="C2" s="63"/>
      <c r="D2" s="63"/>
      <c r="E2" s="63"/>
      <c r="F2" s="63"/>
      <c r="G2" s="63"/>
      <c r="H2" s="63"/>
      <c r="I2" s="63"/>
      <c r="J2" s="73"/>
      <c r="K2" s="74"/>
      <c r="L2" s="75" t="s">
        <v>1199</v>
      </c>
      <c r="M2" s="76"/>
      <c r="N2" s="76"/>
      <c r="O2" s="135"/>
      <c r="P2" s="76"/>
      <c r="Q2" s="76"/>
      <c r="R2" s="76"/>
      <c r="S2" s="76"/>
      <c r="T2" s="76"/>
      <c r="U2" s="92"/>
      <c r="V2" s="93" t="s">
        <v>1200</v>
      </c>
      <c r="W2" s="94"/>
      <c r="X2" s="94"/>
      <c r="Y2" s="94"/>
      <c r="Z2" s="94" t="s">
        <v>1200</v>
      </c>
      <c r="AA2" s="94"/>
      <c r="AB2" s="94"/>
      <c r="AC2" s="94"/>
      <c r="AD2" s="94" t="s">
        <v>1200</v>
      </c>
      <c r="AE2" s="94"/>
      <c r="AF2" s="94"/>
      <c r="AG2" s="94"/>
      <c r="AH2" s="94" t="s">
        <v>1200</v>
      </c>
      <c r="AI2" s="94"/>
      <c r="AJ2" s="94"/>
      <c r="AK2" s="94"/>
      <c r="AL2" s="94" t="s">
        <v>1200</v>
      </c>
      <c r="AM2" s="94"/>
      <c r="AN2" s="94"/>
      <c r="AO2" s="94"/>
      <c r="AP2" s="94" t="s">
        <v>1200</v>
      </c>
      <c r="AQ2" s="94"/>
      <c r="AR2" s="94"/>
      <c r="AS2" s="94"/>
      <c r="AT2" s="94" t="s">
        <v>1200</v>
      </c>
      <c r="AU2" s="94"/>
      <c r="AV2" s="94"/>
      <c r="AW2" s="94"/>
      <c r="AX2" s="94" t="s">
        <v>1200</v>
      </c>
      <c r="AY2" s="94"/>
      <c r="AZ2" s="94"/>
      <c r="BA2" s="94"/>
      <c r="BB2" s="94" t="s">
        <v>1200</v>
      </c>
      <c r="BC2" s="94"/>
      <c r="BD2" s="94"/>
      <c r="BE2" s="94"/>
      <c r="BF2" s="94" t="s">
        <v>1200</v>
      </c>
      <c r="BG2" s="94"/>
      <c r="BH2" s="94"/>
      <c r="BI2" s="94"/>
      <c r="BJ2" s="94" t="s">
        <v>1200</v>
      </c>
      <c r="BK2" s="94"/>
      <c r="BL2" s="94"/>
      <c r="BM2" s="94"/>
      <c r="BN2" s="94" t="s">
        <v>1200</v>
      </c>
      <c r="BO2" s="94"/>
      <c r="BP2" s="94"/>
      <c r="BQ2" s="94"/>
      <c r="BR2" s="94" t="s">
        <v>1200</v>
      </c>
      <c r="BS2" s="94"/>
      <c r="BT2" s="94"/>
      <c r="BU2" s="94"/>
      <c r="BV2" s="94" t="s">
        <v>1200</v>
      </c>
      <c r="BW2" s="94"/>
      <c r="BX2" s="94"/>
      <c r="BY2" s="94"/>
      <c r="BZ2" s="94" t="s">
        <v>1200</v>
      </c>
      <c r="CA2" s="94"/>
      <c r="CB2" s="94"/>
      <c r="CC2" s="108"/>
      <c r="CD2" s="109" t="s">
        <v>56</v>
      </c>
      <c r="CE2" s="110"/>
      <c r="CF2" s="110"/>
      <c r="CG2" s="110"/>
      <c r="CH2" s="110"/>
      <c r="CI2" s="110"/>
      <c r="CJ2" s="111"/>
    </row>
    <row r="3" s="58" customFormat="1" ht="20" customHeight="1" spans="2:88">
      <c r="B3" s="64" t="s">
        <v>57</v>
      </c>
      <c r="C3" s="65" t="s">
        <v>58</v>
      </c>
      <c r="D3" s="66" t="s">
        <v>17</v>
      </c>
      <c r="E3" s="66" t="s">
        <v>59</v>
      </c>
      <c r="F3" s="66" t="s">
        <v>60</v>
      </c>
      <c r="G3" s="66" t="s">
        <v>61</v>
      </c>
      <c r="H3" s="66" t="s">
        <v>972</v>
      </c>
      <c r="I3" s="66" t="s">
        <v>325</v>
      </c>
      <c r="J3" s="77" t="s">
        <v>64</v>
      </c>
      <c r="K3" s="78"/>
      <c r="L3" s="79" t="s">
        <v>65</v>
      </c>
      <c r="M3" s="80" t="s">
        <v>65</v>
      </c>
      <c r="N3" s="80" t="s">
        <v>14</v>
      </c>
      <c r="O3" s="136" t="s">
        <v>66</v>
      </c>
      <c r="P3" s="81" t="s">
        <v>67</v>
      </c>
      <c r="Q3" s="85" t="s">
        <v>44</v>
      </c>
      <c r="R3" s="80" t="s">
        <v>68</v>
      </c>
      <c r="S3" s="80" t="s">
        <v>69</v>
      </c>
      <c r="T3" s="80" t="s">
        <v>70</v>
      </c>
      <c r="U3" s="95" t="s">
        <v>71</v>
      </c>
      <c r="V3" s="96" t="s">
        <v>72</v>
      </c>
      <c r="W3" s="97"/>
      <c r="X3" s="97"/>
      <c r="Y3" s="97"/>
      <c r="Z3" s="97" t="s">
        <v>73</v>
      </c>
      <c r="AA3" s="97"/>
      <c r="AB3" s="97"/>
      <c r="AC3" s="97"/>
      <c r="AD3" s="97" t="s">
        <v>74</v>
      </c>
      <c r="AE3" s="97"/>
      <c r="AF3" s="97"/>
      <c r="AG3" s="97"/>
      <c r="AH3" s="97" t="s">
        <v>75</v>
      </c>
      <c r="AI3" s="97"/>
      <c r="AJ3" s="97"/>
      <c r="AK3" s="97"/>
      <c r="AL3" s="97" t="s">
        <v>76</v>
      </c>
      <c r="AM3" s="97"/>
      <c r="AN3" s="97"/>
      <c r="AO3" s="97"/>
      <c r="AP3" s="97" t="s">
        <v>77</v>
      </c>
      <c r="AQ3" s="97"/>
      <c r="AR3" s="97"/>
      <c r="AS3" s="97"/>
      <c r="AT3" s="97" t="s">
        <v>78</v>
      </c>
      <c r="AU3" s="97"/>
      <c r="AV3" s="97"/>
      <c r="AW3" s="97"/>
      <c r="AX3" s="97" t="s">
        <v>79</v>
      </c>
      <c r="AY3" s="97"/>
      <c r="AZ3" s="97"/>
      <c r="BA3" s="97"/>
      <c r="BB3" s="97" t="s">
        <v>80</v>
      </c>
      <c r="BC3" s="97"/>
      <c r="BD3" s="97"/>
      <c r="BE3" s="97"/>
      <c r="BF3" s="97" t="s">
        <v>81</v>
      </c>
      <c r="BG3" s="97"/>
      <c r="BH3" s="97"/>
      <c r="BI3" s="97"/>
      <c r="BJ3" s="97" t="s">
        <v>82</v>
      </c>
      <c r="BK3" s="97"/>
      <c r="BL3" s="97"/>
      <c r="BM3" s="97"/>
      <c r="BN3" s="97" t="s">
        <v>83</v>
      </c>
      <c r="BO3" s="97"/>
      <c r="BP3" s="97"/>
      <c r="BQ3" s="97"/>
      <c r="BR3" s="97" t="s">
        <v>84</v>
      </c>
      <c r="BS3" s="97"/>
      <c r="BT3" s="97"/>
      <c r="BU3" s="97"/>
      <c r="BV3" s="97" t="s">
        <v>85</v>
      </c>
      <c r="BW3" s="97"/>
      <c r="BX3" s="97"/>
      <c r="BY3" s="97"/>
      <c r="BZ3" s="97" t="s">
        <v>86</v>
      </c>
      <c r="CA3" s="97"/>
      <c r="CB3" s="97"/>
      <c r="CC3" s="112"/>
      <c r="CD3" s="113" t="s">
        <v>87</v>
      </c>
      <c r="CE3" s="114" t="s">
        <v>88</v>
      </c>
      <c r="CF3" s="85" t="s">
        <v>17</v>
      </c>
      <c r="CG3" s="85" t="s">
        <v>90</v>
      </c>
      <c r="CH3" s="85" t="s">
        <v>91</v>
      </c>
      <c r="CI3" s="114" t="s">
        <v>24</v>
      </c>
      <c r="CJ3" s="115" t="s">
        <v>92</v>
      </c>
    </row>
    <row r="4" s="58" customFormat="1" ht="20" customHeight="1" spans="2:88">
      <c r="B4" s="64"/>
      <c r="C4" s="65"/>
      <c r="D4" s="66"/>
      <c r="E4" s="66"/>
      <c r="F4" s="66"/>
      <c r="G4" s="66"/>
      <c r="H4" s="66"/>
      <c r="I4" s="66"/>
      <c r="J4" s="77"/>
      <c r="K4" s="78"/>
      <c r="L4" s="79"/>
      <c r="M4" s="80"/>
      <c r="N4" s="80"/>
      <c r="O4" s="136"/>
      <c r="P4" s="81"/>
      <c r="Q4" s="85"/>
      <c r="R4" s="80"/>
      <c r="S4" s="80"/>
      <c r="T4" s="80"/>
      <c r="U4" s="95"/>
      <c r="V4" s="98" t="s">
        <v>93</v>
      </c>
      <c r="W4" s="99" t="s">
        <v>94</v>
      </c>
      <c r="X4" s="99" t="s">
        <v>95</v>
      </c>
      <c r="Y4" s="99" t="s">
        <v>96</v>
      </c>
      <c r="Z4" s="106" t="s">
        <v>93</v>
      </c>
      <c r="AA4" s="99" t="s">
        <v>94</v>
      </c>
      <c r="AB4" s="99" t="s">
        <v>95</v>
      </c>
      <c r="AC4" s="99" t="s">
        <v>96</v>
      </c>
      <c r="AD4" s="106" t="s">
        <v>93</v>
      </c>
      <c r="AE4" s="99" t="s">
        <v>94</v>
      </c>
      <c r="AF4" s="99" t="s">
        <v>95</v>
      </c>
      <c r="AG4" s="99" t="s">
        <v>96</v>
      </c>
      <c r="AH4" s="106" t="s">
        <v>93</v>
      </c>
      <c r="AI4" s="99" t="s">
        <v>94</v>
      </c>
      <c r="AJ4" s="99" t="s">
        <v>95</v>
      </c>
      <c r="AK4" s="99" t="s">
        <v>96</v>
      </c>
      <c r="AL4" s="106" t="s">
        <v>93</v>
      </c>
      <c r="AM4" s="99" t="s">
        <v>94</v>
      </c>
      <c r="AN4" s="99" t="s">
        <v>95</v>
      </c>
      <c r="AO4" s="99" t="s">
        <v>96</v>
      </c>
      <c r="AP4" s="106" t="s">
        <v>93</v>
      </c>
      <c r="AQ4" s="99" t="s">
        <v>94</v>
      </c>
      <c r="AR4" s="99" t="s">
        <v>95</v>
      </c>
      <c r="AS4" s="99" t="s">
        <v>96</v>
      </c>
      <c r="AT4" s="106" t="s">
        <v>93</v>
      </c>
      <c r="AU4" s="99" t="s">
        <v>94</v>
      </c>
      <c r="AV4" s="99" t="s">
        <v>95</v>
      </c>
      <c r="AW4" s="99" t="s">
        <v>96</v>
      </c>
      <c r="AX4" s="106" t="s">
        <v>93</v>
      </c>
      <c r="AY4" s="99" t="s">
        <v>94</v>
      </c>
      <c r="AZ4" s="99" t="s">
        <v>95</v>
      </c>
      <c r="BA4" s="99" t="s">
        <v>96</v>
      </c>
      <c r="BB4" s="106" t="s">
        <v>93</v>
      </c>
      <c r="BC4" s="99" t="s">
        <v>94</v>
      </c>
      <c r="BD4" s="99" t="s">
        <v>95</v>
      </c>
      <c r="BE4" s="99" t="s">
        <v>96</v>
      </c>
      <c r="BF4" s="106" t="s">
        <v>93</v>
      </c>
      <c r="BG4" s="99" t="s">
        <v>94</v>
      </c>
      <c r="BH4" s="99" t="s">
        <v>95</v>
      </c>
      <c r="BI4" s="99" t="s">
        <v>96</v>
      </c>
      <c r="BJ4" s="106" t="s">
        <v>93</v>
      </c>
      <c r="BK4" s="99" t="s">
        <v>94</v>
      </c>
      <c r="BL4" s="99" t="s">
        <v>95</v>
      </c>
      <c r="BM4" s="99" t="s">
        <v>96</v>
      </c>
      <c r="BN4" s="106" t="s">
        <v>93</v>
      </c>
      <c r="BO4" s="99" t="s">
        <v>94</v>
      </c>
      <c r="BP4" s="99" t="s">
        <v>95</v>
      </c>
      <c r="BQ4" s="99" t="s">
        <v>96</v>
      </c>
      <c r="BR4" s="106" t="s">
        <v>93</v>
      </c>
      <c r="BS4" s="99" t="s">
        <v>94</v>
      </c>
      <c r="BT4" s="99" t="s">
        <v>95</v>
      </c>
      <c r="BU4" s="99" t="s">
        <v>96</v>
      </c>
      <c r="BV4" s="106" t="s">
        <v>93</v>
      </c>
      <c r="BW4" s="99" t="s">
        <v>94</v>
      </c>
      <c r="BX4" s="99" t="s">
        <v>95</v>
      </c>
      <c r="BY4" s="99" t="s">
        <v>96</v>
      </c>
      <c r="BZ4" s="106" t="s">
        <v>93</v>
      </c>
      <c r="CA4" s="99" t="s">
        <v>94</v>
      </c>
      <c r="CB4" s="99" t="s">
        <v>95</v>
      </c>
      <c r="CC4" s="116" t="s">
        <v>96</v>
      </c>
      <c r="CD4" s="113"/>
      <c r="CE4" s="114"/>
      <c r="CF4" s="85"/>
      <c r="CG4" s="85"/>
      <c r="CH4" s="85"/>
      <c r="CI4" s="114"/>
      <c r="CJ4" s="115"/>
    </row>
    <row r="5" s="59" customFormat="1" customHeight="1" spans="2:88">
      <c r="B5" s="67" t="s">
        <v>97</v>
      </c>
      <c r="C5" s="68" t="s">
        <v>35</v>
      </c>
      <c r="D5" s="69">
        <f t="shared" ref="D5:I5" si="0">IF(ISERROR(SUM(D6:D308)-D47-D50-D53-D58-D66-D81-D93-D69-D72),"-",SUM(D6:D308)-D47-D50-D53-D58-D66-D81-D93-D69-D72)</f>
        <v>91098353.824</v>
      </c>
      <c r="E5" s="69">
        <f t="shared" si="0"/>
        <v>0</v>
      </c>
      <c r="F5" s="69">
        <f t="shared" si="0"/>
        <v>0</v>
      </c>
      <c r="G5" s="69">
        <f t="shared" si="0"/>
        <v>2675.25</v>
      </c>
      <c r="H5" s="69">
        <f t="shared" si="0"/>
        <v>0</v>
      </c>
      <c r="I5" s="69">
        <f t="shared" si="0"/>
        <v>10124895.8825</v>
      </c>
      <c r="J5" s="82" t="s">
        <v>97</v>
      </c>
      <c r="K5" s="83"/>
      <c r="L5" s="84" t="s">
        <v>35</v>
      </c>
      <c r="M5" s="85"/>
      <c r="N5" s="85">
        <v>0</v>
      </c>
      <c r="O5" s="137">
        <v>0</v>
      </c>
      <c r="P5" s="85">
        <v>0</v>
      </c>
      <c r="Q5" s="85">
        <f>IF(ISERROR(SUM(Q6:Q308)-Q47-Q50-Q53-Q58-Q66-Q81-Q93-Q69-Q72),"-",SUM(Q6:Q308)-Q47-Q50-Q53-Q58-Q66-Q81-Q93-Q69-Q72)</f>
        <v>155722534.57</v>
      </c>
      <c r="R5" s="85" t="str">
        <f t="shared" ref="R5:AW5" si="1">IF(ISERROR(SUM(R6:R308)-R47-R50-R53-R58-R66-R81-R93-R69-R72),"-",SUM(R6:R308)-R47-R50-R53-R58-R66-R81-R93-R69-R72)</f>
        <v>-</v>
      </c>
      <c r="S5" s="85" t="str">
        <f t="shared" si="1"/>
        <v>-</v>
      </c>
      <c r="T5" s="85" t="str">
        <f t="shared" si="1"/>
        <v>-</v>
      </c>
      <c r="U5" s="85" t="str">
        <f t="shared" si="1"/>
        <v>-</v>
      </c>
      <c r="V5" s="85" t="str">
        <f t="shared" si="1"/>
        <v>-</v>
      </c>
      <c r="W5" s="85">
        <f t="shared" si="1"/>
        <v>93969042.722</v>
      </c>
      <c r="X5" s="85">
        <f t="shared" si="1"/>
        <v>84908829.09</v>
      </c>
      <c r="Y5" s="85">
        <f t="shared" si="1"/>
        <v>79643423.416</v>
      </c>
      <c r="Z5" s="85" t="str">
        <f t="shared" si="1"/>
        <v>-</v>
      </c>
      <c r="AA5" s="85">
        <f t="shared" si="1"/>
        <v>45289038.236</v>
      </c>
      <c r="AB5" s="85">
        <f t="shared" si="1"/>
        <v>14665878.24</v>
      </c>
      <c r="AC5" s="85">
        <f t="shared" si="1"/>
        <v>10472430.408</v>
      </c>
      <c r="AD5" s="85">
        <f t="shared" si="1"/>
        <v>0</v>
      </c>
      <c r="AE5" s="85">
        <f t="shared" si="1"/>
        <v>12749173.6555</v>
      </c>
      <c r="AF5" s="85">
        <f t="shared" si="1"/>
        <v>1651217.6265</v>
      </c>
      <c r="AG5" s="85">
        <f t="shared" si="1"/>
        <v>982500</v>
      </c>
      <c r="AH5" s="85">
        <f t="shared" si="1"/>
        <v>0</v>
      </c>
      <c r="AI5" s="85">
        <f t="shared" si="1"/>
        <v>3715279.9565</v>
      </c>
      <c r="AJ5" s="85">
        <f t="shared" si="1"/>
        <v>0</v>
      </c>
      <c r="AK5" s="85">
        <f t="shared" si="1"/>
        <v>0</v>
      </c>
      <c r="AL5" s="85">
        <f t="shared" si="1"/>
        <v>0</v>
      </c>
      <c r="AM5" s="85">
        <f t="shared" si="1"/>
        <v>0</v>
      </c>
      <c r="AN5" s="85">
        <f t="shared" si="1"/>
        <v>0</v>
      </c>
      <c r="AO5" s="85">
        <f t="shared" si="1"/>
        <v>0</v>
      </c>
      <c r="AP5" s="85">
        <f t="shared" si="1"/>
        <v>0</v>
      </c>
      <c r="AQ5" s="85">
        <f t="shared" si="1"/>
        <v>0</v>
      </c>
      <c r="AR5" s="85">
        <f t="shared" si="1"/>
        <v>0</v>
      </c>
      <c r="AS5" s="85">
        <f t="shared" si="1"/>
        <v>0</v>
      </c>
      <c r="AT5" s="85">
        <f t="shared" si="1"/>
        <v>0</v>
      </c>
      <c r="AU5" s="85">
        <f t="shared" si="1"/>
        <v>0</v>
      </c>
      <c r="AV5" s="85">
        <f t="shared" si="1"/>
        <v>0</v>
      </c>
      <c r="AW5" s="85">
        <f t="shared" si="1"/>
        <v>0</v>
      </c>
      <c r="AX5" s="85">
        <f t="shared" ref="AX5:CC5" si="2">IF(ISERROR(SUM(AX6:AX308)-AX47-AX50-AX53-AX58-AX66-AX81-AX93-AX69-AX72),"-",SUM(AX6:AX308)-AX47-AX50-AX53-AX58-AX66-AX81-AX93-AX69-AX72)</f>
        <v>0</v>
      </c>
      <c r="AY5" s="85">
        <f t="shared" si="2"/>
        <v>0</v>
      </c>
      <c r="AZ5" s="85">
        <f t="shared" si="2"/>
        <v>0</v>
      </c>
      <c r="BA5" s="85">
        <f t="shared" si="2"/>
        <v>0</v>
      </c>
      <c r="BB5" s="85">
        <f t="shared" si="2"/>
        <v>0</v>
      </c>
      <c r="BC5" s="85">
        <f t="shared" si="2"/>
        <v>0</v>
      </c>
      <c r="BD5" s="85">
        <f t="shared" si="2"/>
        <v>0</v>
      </c>
      <c r="BE5" s="85">
        <f t="shared" si="2"/>
        <v>0</v>
      </c>
      <c r="BF5" s="85">
        <f t="shared" si="2"/>
        <v>0</v>
      </c>
      <c r="BG5" s="85">
        <f t="shared" si="2"/>
        <v>0</v>
      </c>
      <c r="BH5" s="85">
        <f t="shared" si="2"/>
        <v>0</v>
      </c>
      <c r="BI5" s="85">
        <f t="shared" si="2"/>
        <v>0</v>
      </c>
      <c r="BJ5" s="85">
        <f t="shared" si="2"/>
        <v>0</v>
      </c>
      <c r="BK5" s="85">
        <f t="shared" si="2"/>
        <v>0</v>
      </c>
      <c r="BL5" s="85">
        <f t="shared" si="2"/>
        <v>0</v>
      </c>
      <c r="BM5" s="85">
        <f t="shared" si="2"/>
        <v>0</v>
      </c>
      <c r="BN5" s="85">
        <f t="shared" si="2"/>
        <v>0</v>
      </c>
      <c r="BO5" s="85">
        <f t="shared" si="2"/>
        <v>0</v>
      </c>
      <c r="BP5" s="85">
        <f t="shared" si="2"/>
        <v>0</v>
      </c>
      <c r="BQ5" s="85">
        <f t="shared" si="2"/>
        <v>0</v>
      </c>
      <c r="BR5" s="85">
        <f t="shared" si="2"/>
        <v>0</v>
      </c>
      <c r="BS5" s="85">
        <f t="shared" si="2"/>
        <v>0</v>
      </c>
      <c r="BT5" s="85">
        <f t="shared" si="2"/>
        <v>0</v>
      </c>
      <c r="BU5" s="85">
        <f t="shared" si="2"/>
        <v>0</v>
      </c>
      <c r="BV5" s="85">
        <f t="shared" si="2"/>
        <v>0</v>
      </c>
      <c r="BW5" s="85">
        <f t="shared" si="2"/>
        <v>0</v>
      </c>
      <c r="BX5" s="85">
        <f t="shared" si="2"/>
        <v>0</v>
      </c>
      <c r="BY5" s="85">
        <f t="shared" si="2"/>
        <v>0</v>
      </c>
      <c r="BZ5" s="85">
        <f t="shared" si="2"/>
        <v>0</v>
      </c>
      <c r="CA5" s="85">
        <f t="shared" si="2"/>
        <v>0</v>
      </c>
      <c r="CB5" s="85">
        <f t="shared" si="2"/>
        <v>0</v>
      </c>
      <c r="CC5" s="85">
        <f t="shared" si="2"/>
        <v>0</v>
      </c>
      <c r="CD5" s="117">
        <f t="shared" ref="CD5:CF5" si="3">W5+AA5+AE5+AI5+AM5+AQ5+AU5+AY5+BC5+BG5+BK5+BO5+BS5+BW5+CA5</f>
        <v>155722534.57</v>
      </c>
      <c r="CE5" s="118">
        <f t="shared" si="3"/>
        <v>101225924.9565</v>
      </c>
      <c r="CF5" s="118">
        <f t="shared" si="3"/>
        <v>91098353.824</v>
      </c>
      <c r="CG5" s="118">
        <f>E5+F5+G5+H5</f>
        <v>2675.25</v>
      </c>
      <c r="CH5" s="119">
        <f>Q5-CF5-CG5</f>
        <v>64621505.496</v>
      </c>
      <c r="CI5" s="120">
        <f>IF(ISERROR((CF5+CG5)/Q5),"-",(CF5+CG5)/Q5)</f>
        <v>0.585021489186258</v>
      </c>
      <c r="CJ5" s="121" t="str">
        <f>IF(Q5-CD5=0,"数据正确","数据错误")</f>
        <v>数据正确</v>
      </c>
    </row>
    <row r="6" s="60" customFormat="1" customHeight="1" spans="2:88">
      <c r="B6" s="70" t="str">
        <f t="shared" ref="B6:B29" si="4">IF(I6=0,"-","申请中")</f>
        <v>-</v>
      </c>
      <c r="C6" s="71" t="str">
        <f t="shared" ref="C6:C29" si="5">IF(CI6=100%,"已付清","-")</f>
        <v>已付清</v>
      </c>
      <c r="D6" s="72">
        <f t="shared" ref="D6:D29" si="6">CF6</f>
        <v>527700</v>
      </c>
      <c r="E6" s="72">
        <v>0</v>
      </c>
      <c r="F6" s="72">
        <v>0</v>
      </c>
      <c r="G6" s="72">
        <v>0</v>
      </c>
      <c r="H6" s="72">
        <v>0</v>
      </c>
      <c r="I6" s="72">
        <f t="shared" ref="I6:I29" si="7">CE6-CF6-CG6</f>
        <v>0</v>
      </c>
      <c r="J6" s="168" t="s">
        <v>98</v>
      </c>
      <c r="K6" s="87"/>
      <c r="L6" s="88">
        <v>103</v>
      </c>
      <c r="M6" s="89" t="s">
        <v>1201</v>
      </c>
      <c r="N6" s="90" t="s">
        <v>31</v>
      </c>
      <c r="O6" s="90" t="s">
        <v>97</v>
      </c>
      <c r="P6" s="91">
        <v>42299</v>
      </c>
      <c r="Q6" s="102">
        <v>527700</v>
      </c>
      <c r="R6" s="89" t="s">
        <v>1202</v>
      </c>
      <c r="S6" s="89" t="s">
        <v>1203</v>
      </c>
      <c r="T6" s="89"/>
      <c r="U6" s="103" t="s">
        <v>329</v>
      </c>
      <c r="V6" s="105" t="s">
        <v>1204</v>
      </c>
      <c r="W6" s="102">
        <v>527700</v>
      </c>
      <c r="X6" s="102">
        <v>527700</v>
      </c>
      <c r="Y6" s="102">
        <v>527700</v>
      </c>
      <c r="Z6" s="107"/>
      <c r="AA6" s="102"/>
      <c r="AB6" s="102"/>
      <c r="AC6" s="102"/>
      <c r="AD6" s="107"/>
      <c r="AE6" s="102"/>
      <c r="AF6" s="102"/>
      <c r="AG6" s="129"/>
      <c r="AH6" s="107"/>
      <c r="AI6" s="102"/>
      <c r="AJ6" s="102"/>
      <c r="AK6" s="102"/>
      <c r="AL6" s="107"/>
      <c r="AM6" s="102"/>
      <c r="AN6" s="102"/>
      <c r="AO6" s="102"/>
      <c r="AP6" s="107"/>
      <c r="AQ6" s="102"/>
      <c r="AR6" s="102"/>
      <c r="AS6" s="102"/>
      <c r="AT6" s="107"/>
      <c r="AU6" s="102"/>
      <c r="AV6" s="102"/>
      <c r="AW6" s="102"/>
      <c r="AX6" s="107"/>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22"/>
      <c r="CD6" s="123">
        <f t="shared" ref="CD6:CD29" si="8">W6+AA6+AE6+AI6+AM6+AQ6+AU6+AY6+BC6+BG6+BK6+BO6+BS6+BW6+CA6</f>
        <v>527700</v>
      </c>
      <c r="CE6" s="102">
        <f t="shared" ref="CE6:CE29" si="9">X6+AB6+AF6+AJ6+AN6+AR6+AV6+AZ6+BD6+BH6+BL6+BP6+BT6+BX6+CB6</f>
        <v>527700</v>
      </c>
      <c r="CF6" s="102">
        <f t="shared" ref="CF6:CF29" si="10">Y6+AC6+AG6+AK6+AO6+AS6+AW6+BA6+BE6+BI6+BM6+BQ6+BU6+BY6+CC6</f>
        <v>527700</v>
      </c>
      <c r="CG6" s="102">
        <f t="shared" ref="CG6:CG29" si="11">E6+F6+G6+H6</f>
        <v>0</v>
      </c>
      <c r="CH6" s="124">
        <f t="shared" ref="CH6:CH29" si="12">Q6-CF6-CG6</f>
        <v>0</v>
      </c>
      <c r="CI6" s="125">
        <f t="shared" ref="CI6:CI29" si="13">IF(ISERROR((CF6+CG6)/Q6),"-",(CF6+CG6)/Q6)</f>
        <v>1</v>
      </c>
      <c r="CJ6" s="126" t="str">
        <f t="shared" ref="CJ6:CJ29" si="14">IF(Q6-CD6=0,"数据正确","数据错误")</f>
        <v>数据正确</v>
      </c>
    </row>
    <row r="7" s="60" customFormat="1" customHeight="1" spans="2:88">
      <c r="B7" s="70" t="str">
        <f t="shared" si="4"/>
        <v>-</v>
      </c>
      <c r="C7" s="71" t="str">
        <f t="shared" si="5"/>
        <v>-</v>
      </c>
      <c r="D7" s="72">
        <f t="shared" si="6"/>
        <v>258381.95</v>
      </c>
      <c r="E7" s="72">
        <v>0</v>
      </c>
      <c r="F7" s="72">
        <v>0</v>
      </c>
      <c r="G7" s="72">
        <v>0</v>
      </c>
      <c r="H7" s="72">
        <v>0</v>
      </c>
      <c r="I7" s="72">
        <f t="shared" si="7"/>
        <v>0</v>
      </c>
      <c r="J7" s="168" t="s">
        <v>98</v>
      </c>
      <c r="K7" s="87"/>
      <c r="L7" s="88">
        <v>90</v>
      </c>
      <c r="M7" s="89" t="s">
        <v>1205</v>
      </c>
      <c r="N7" s="90" t="s">
        <v>31</v>
      </c>
      <c r="O7" s="90" t="s">
        <v>97</v>
      </c>
      <c r="P7" s="91">
        <v>42369</v>
      </c>
      <c r="Q7" s="154">
        <f>233000+134979</f>
        <v>367979</v>
      </c>
      <c r="R7" s="89" t="s">
        <v>1206</v>
      </c>
      <c r="S7" s="89" t="s">
        <v>1207</v>
      </c>
      <c r="T7" s="89"/>
      <c r="U7" s="103" t="s">
        <v>1208</v>
      </c>
      <c r="V7" s="105" t="s">
        <v>1209</v>
      </c>
      <c r="W7" s="102">
        <v>367979</v>
      </c>
      <c r="X7" s="102">
        <v>258381.95</v>
      </c>
      <c r="Y7" s="102">
        <v>258381.95</v>
      </c>
      <c r="Z7" s="107"/>
      <c r="AA7" s="102"/>
      <c r="AB7" s="102"/>
      <c r="AC7" s="102"/>
      <c r="AD7" s="107"/>
      <c r="AE7" s="102"/>
      <c r="AF7" s="102"/>
      <c r="AG7" s="102"/>
      <c r="AH7" s="107"/>
      <c r="AI7" s="102"/>
      <c r="AJ7" s="102"/>
      <c r="AK7" s="102"/>
      <c r="AL7" s="107"/>
      <c r="AM7" s="102"/>
      <c r="AN7" s="102"/>
      <c r="AO7" s="102"/>
      <c r="AP7" s="107"/>
      <c r="AQ7" s="102"/>
      <c r="AR7" s="102"/>
      <c r="AS7" s="102"/>
      <c r="AT7" s="107"/>
      <c r="AU7" s="102"/>
      <c r="AV7" s="102"/>
      <c r="AW7" s="102"/>
      <c r="AX7" s="107"/>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22"/>
      <c r="CD7" s="123">
        <f t="shared" si="8"/>
        <v>367979</v>
      </c>
      <c r="CE7" s="102">
        <f t="shared" si="9"/>
        <v>258381.95</v>
      </c>
      <c r="CF7" s="102">
        <f t="shared" si="10"/>
        <v>258381.95</v>
      </c>
      <c r="CG7" s="102">
        <f t="shared" si="11"/>
        <v>0</v>
      </c>
      <c r="CH7" s="124">
        <f t="shared" si="12"/>
        <v>109597.05</v>
      </c>
      <c r="CI7" s="125">
        <f t="shared" si="13"/>
        <v>0.702164933325</v>
      </c>
      <c r="CJ7" s="126" t="str">
        <f t="shared" si="14"/>
        <v>数据正确</v>
      </c>
    </row>
    <row r="8" s="60" customFormat="1" customHeight="1" spans="2:88">
      <c r="B8" s="70" t="str">
        <f t="shared" si="4"/>
        <v>-</v>
      </c>
      <c r="C8" s="71" t="str">
        <f t="shared" si="5"/>
        <v>-</v>
      </c>
      <c r="D8" s="72">
        <f t="shared" si="6"/>
        <v>47144</v>
      </c>
      <c r="E8" s="72">
        <v>0</v>
      </c>
      <c r="F8" s="72">
        <v>0</v>
      </c>
      <c r="G8" s="72">
        <v>0</v>
      </c>
      <c r="H8" s="72">
        <v>0</v>
      </c>
      <c r="I8" s="72">
        <f t="shared" si="7"/>
        <v>0</v>
      </c>
      <c r="J8" s="168" t="s">
        <v>98</v>
      </c>
      <c r="K8" s="87"/>
      <c r="L8" s="88">
        <v>105</v>
      </c>
      <c r="M8" s="89" t="s">
        <v>1210</v>
      </c>
      <c r="N8" s="90" t="s">
        <v>31</v>
      </c>
      <c r="O8" s="90" t="s">
        <v>97</v>
      </c>
      <c r="P8" s="91">
        <v>42445</v>
      </c>
      <c r="Q8" s="154">
        <v>65240</v>
      </c>
      <c r="R8" s="89" t="s">
        <v>1211</v>
      </c>
      <c r="S8" s="89" t="s">
        <v>1212</v>
      </c>
      <c r="T8" s="89"/>
      <c r="U8" s="103" t="s">
        <v>343</v>
      </c>
      <c r="V8" s="105" t="s">
        <v>1213</v>
      </c>
      <c r="W8" s="102">
        <v>39144</v>
      </c>
      <c r="X8" s="102">
        <v>39144</v>
      </c>
      <c r="Y8" s="102">
        <v>39144</v>
      </c>
      <c r="Z8" s="107" t="s">
        <v>1214</v>
      </c>
      <c r="AA8" s="102">
        <v>26096</v>
      </c>
      <c r="AB8" s="102">
        <v>8000</v>
      </c>
      <c r="AC8" s="102">
        <v>8000</v>
      </c>
      <c r="AD8" s="107"/>
      <c r="AE8" s="102"/>
      <c r="AF8" s="102"/>
      <c r="AG8" s="129"/>
      <c r="AH8" s="107"/>
      <c r="AI8" s="102"/>
      <c r="AJ8" s="102"/>
      <c r="AK8" s="102"/>
      <c r="AL8" s="107"/>
      <c r="AM8" s="102"/>
      <c r="AN8" s="102"/>
      <c r="AO8" s="102"/>
      <c r="AP8" s="107"/>
      <c r="AQ8" s="102"/>
      <c r="AR8" s="102"/>
      <c r="AS8" s="102"/>
      <c r="AT8" s="107"/>
      <c r="AU8" s="102"/>
      <c r="AV8" s="102"/>
      <c r="AW8" s="102"/>
      <c r="AX8" s="107"/>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22"/>
      <c r="CD8" s="123">
        <f t="shared" si="8"/>
        <v>65240</v>
      </c>
      <c r="CE8" s="102">
        <f t="shared" si="9"/>
        <v>47144</v>
      </c>
      <c r="CF8" s="102">
        <f t="shared" si="10"/>
        <v>47144</v>
      </c>
      <c r="CG8" s="102">
        <f t="shared" si="11"/>
        <v>0</v>
      </c>
      <c r="CH8" s="124">
        <f t="shared" si="12"/>
        <v>18096</v>
      </c>
      <c r="CI8" s="125">
        <f t="shared" si="13"/>
        <v>0.722624156958921</v>
      </c>
      <c r="CJ8" s="126" t="str">
        <f t="shared" si="14"/>
        <v>数据正确</v>
      </c>
    </row>
    <row r="9" s="60" customFormat="1" customHeight="1" spans="2:88">
      <c r="B9" s="70" t="str">
        <f t="shared" si="4"/>
        <v>-</v>
      </c>
      <c r="C9" s="71" t="str">
        <f t="shared" si="5"/>
        <v>已付清</v>
      </c>
      <c r="D9" s="72">
        <f t="shared" si="6"/>
        <v>25728</v>
      </c>
      <c r="E9" s="72">
        <v>0</v>
      </c>
      <c r="F9" s="72">
        <v>0</v>
      </c>
      <c r="G9" s="72">
        <v>0</v>
      </c>
      <c r="H9" s="72">
        <v>0</v>
      </c>
      <c r="I9" s="72">
        <f t="shared" si="7"/>
        <v>0</v>
      </c>
      <c r="J9" s="168" t="s">
        <v>98</v>
      </c>
      <c r="K9" s="87"/>
      <c r="L9" s="88">
        <v>84</v>
      </c>
      <c r="M9" s="90" t="s">
        <v>1215</v>
      </c>
      <c r="N9" s="90" t="s">
        <v>31</v>
      </c>
      <c r="O9" s="90" t="s">
        <v>97</v>
      </c>
      <c r="P9" s="91">
        <v>42598</v>
      </c>
      <c r="Q9" s="102">
        <v>25728</v>
      </c>
      <c r="R9" s="89" t="s">
        <v>1216</v>
      </c>
      <c r="S9" s="89" t="s">
        <v>1217</v>
      </c>
      <c r="T9" s="89"/>
      <c r="U9" s="103" t="s">
        <v>343</v>
      </c>
      <c r="V9" s="105" t="s">
        <v>1218</v>
      </c>
      <c r="W9" s="102">
        <v>2572.8</v>
      </c>
      <c r="X9" s="102">
        <v>2572.8</v>
      </c>
      <c r="Y9" s="102">
        <v>2572.8</v>
      </c>
      <c r="Z9" s="107" t="s">
        <v>1219</v>
      </c>
      <c r="AA9" s="102">
        <v>23155.2</v>
      </c>
      <c r="AB9" s="102">
        <v>23155.2</v>
      </c>
      <c r="AC9" s="102">
        <v>23155.2</v>
      </c>
      <c r="AD9" s="107"/>
      <c r="AE9" s="102"/>
      <c r="AF9" s="102"/>
      <c r="AG9" s="102"/>
      <c r="AH9" s="107"/>
      <c r="AI9" s="102"/>
      <c r="AJ9" s="102"/>
      <c r="AK9" s="102"/>
      <c r="AL9" s="107"/>
      <c r="AM9" s="102"/>
      <c r="AN9" s="102"/>
      <c r="AO9" s="102"/>
      <c r="AP9" s="107"/>
      <c r="AQ9" s="102"/>
      <c r="AR9" s="102"/>
      <c r="AS9" s="102"/>
      <c r="AT9" s="107"/>
      <c r="AU9" s="102"/>
      <c r="AV9" s="102"/>
      <c r="AW9" s="102"/>
      <c r="AX9" s="107"/>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22"/>
      <c r="CD9" s="123">
        <f t="shared" si="8"/>
        <v>25728</v>
      </c>
      <c r="CE9" s="102">
        <f t="shared" si="9"/>
        <v>25728</v>
      </c>
      <c r="CF9" s="102">
        <f t="shared" si="10"/>
        <v>25728</v>
      </c>
      <c r="CG9" s="102">
        <f t="shared" si="11"/>
        <v>0</v>
      </c>
      <c r="CH9" s="124">
        <f t="shared" si="12"/>
        <v>0</v>
      </c>
      <c r="CI9" s="125">
        <f t="shared" si="13"/>
        <v>1</v>
      </c>
      <c r="CJ9" s="126" t="str">
        <f t="shared" si="14"/>
        <v>数据正确</v>
      </c>
    </row>
    <row r="10" s="60" customFormat="1" customHeight="1" spans="2:88">
      <c r="B10" s="70" t="str">
        <f t="shared" si="4"/>
        <v>-</v>
      </c>
      <c r="C10" s="71" t="str">
        <f t="shared" si="5"/>
        <v>已付清</v>
      </c>
      <c r="D10" s="72">
        <f t="shared" si="6"/>
        <v>1623855</v>
      </c>
      <c r="E10" s="72">
        <v>0</v>
      </c>
      <c r="F10" s="72">
        <v>0</v>
      </c>
      <c r="G10" s="72">
        <v>0</v>
      </c>
      <c r="H10" s="72">
        <v>0</v>
      </c>
      <c r="I10" s="72">
        <f t="shared" si="7"/>
        <v>0</v>
      </c>
      <c r="J10" s="168" t="s">
        <v>98</v>
      </c>
      <c r="K10" s="87"/>
      <c r="L10" s="88">
        <v>98</v>
      </c>
      <c r="M10" s="89" t="s">
        <v>1220</v>
      </c>
      <c r="N10" s="90" t="s">
        <v>31</v>
      </c>
      <c r="O10" s="90" t="s">
        <v>97</v>
      </c>
      <c r="P10" s="91">
        <v>42619</v>
      </c>
      <c r="Q10" s="102">
        <v>1623855</v>
      </c>
      <c r="R10" s="89" t="s">
        <v>1221</v>
      </c>
      <c r="S10" s="89" t="s">
        <v>1222</v>
      </c>
      <c r="T10" s="89"/>
      <c r="U10" s="103" t="s">
        <v>329</v>
      </c>
      <c r="V10" s="105" t="s">
        <v>1223</v>
      </c>
      <c r="W10" s="102">
        <v>1623855</v>
      </c>
      <c r="X10" s="102">
        <v>1623855</v>
      </c>
      <c r="Y10" s="102">
        <v>1623855</v>
      </c>
      <c r="Z10" s="107"/>
      <c r="AA10" s="102"/>
      <c r="AB10" s="102"/>
      <c r="AC10" s="102"/>
      <c r="AD10" s="107"/>
      <c r="AE10" s="102"/>
      <c r="AF10" s="102"/>
      <c r="AG10" s="129"/>
      <c r="AH10" s="107"/>
      <c r="AI10" s="102"/>
      <c r="AJ10" s="102"/>
      <c r="AK10" s="102"/>
      <c r="AL10" s="107"/>
      <c r="AM10" s="102"/>
      <c r="AN10" s="102"/>
      <c r="AO10" s="102"/>
      <c r="AP10" s="107"/>
      <c r="AQ10" s="102"/>
      <c r="AR10" s="102"/>
      <c r="AS10" s="102"/>
      <c r="AT10" s="107"/>
      <c r="AU10" s="102"/>
      <c r="AV10" s="102"/>
      <c r="AW10" s="102"/>
      <c r="AX10" s="107"/>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22"/>
      <c r="CD10" s="123">
        <f t="shared" si="8"/>
        <v>1623855</v>
      </c>
      <c r="CE10" s="102">
        <f t="shared" si="9"/>
        <v>1623855</v>
      </c>
      <c r="CF10" s="102">
        <f t="shared" si="10"/>
        <v>1623855</v>
      </c>
      <c r="CG10" s="102">
        <f t="shared" si="11"/>
        <v>0</v>
      </c>
      <c r="CH10" s="124">
        <f t="shared" si="12"/>
        <v>0</v>
      </c>
      <c r="CI10" s="125">
        <f t="shared" si="13"/>
        <v>1</v>
      </c>
      <c r="CJ10" s="126" t="str">
        <f t="shared" si="14"/>
        <v>数据正确</v>
      </c>
    </row>
    <row r="11" s="60" customFormat="1" customHeight="1" spans="2:88">
      <c r="B11" s="70" t="str">
        <f t="shared" si="4"/>
        <v>-</v>
      </c>
      <c r="C11" s="71" t="str">
        <f t="shared" si="5"/>
        <v>已付清</v>
      </c>
      <c r="D11" s="72">
        <f t="shared" si="6"/>
        <v>41148</v>
      </c>
      <c r="E11" s="72">
        <v>0</v>
      </c>
      <c r="F11" s="72">
        <v>0</v>
      </c>
      <c r="G11" s="72">
        <v>0</v>
      </c>
      <c r="H11" s="72">
        <v>0</v>
      </c>
      <c r="I11" s="72">
        <f t="shared" si="7"/>
        <v>0</v>
      </c>
      <c r="J11" s="168" t="s">
        <v>98</v>
      </c>
      <c r="K11" s="87"/>
      <c r="L11" s="88">
        <v>99</v>
      </c>
      <c r="M11" s="89" t="s">
        <v>1224</v>
      </c>
      <c r="N11" s="90" t="s">
        <v>31</v>
      </c>
      <c r="O11" s="90" t="s">
        <v>97</v>
      </c>
      <c r="P11" s="91">
        <v>42626</v>
      </c>
      <c r="Q11" s="102">
        <v>41148</v>
      </c>
      <c r="R11" s="89" t="s">
        <v>1225</v>
      </c>
      <c r="S11" s="89" t="s">
        <v>1226</v>
      </c>
      <c r="T11" s="89"/>
      <c r="U11" s="103" t="s">
        <v>329</v>
      </c>
      <c r="V11" s="105" t="s">
        <v>1227</v>
      </c>
      <c r="W11" s="102">
        <v>41148</v>
      </c>
      <c r="X11" s="102">
        <v>41148</v>
      </c>
      <c r="Y11" s="102">
        <v>41148</v>
      </c>
      <c r="Z11" s="107"/>
      <c r="AA11" s="102"/>
      <c r="AB11" s="102"/>
      <c r="AC11" s="102"/>
      <c r="AD11" s="107"/>
      <c r="AE11" s="102"/>
      <c r="AF11" s="102"/>
      <c r="AG11" s="102"/>
      <c r="AH11" s="107"/>
      <c r="AI11" s="102"/>
      <c r="AJ11" s="102"/>
      <c r="AK11" s="102"/>
      <c r="AL11" s="107"/>
      <c r="AM11" s="102"/>
      <c r="AN11" s="102"/>
      <c r="AO11" s="102"/>
      <c r="AP11" s="107"/>
      <c r="AQ11" s="102"/>
      <c r="AR11" s="102"/>
      <c r="AS11" s="102"/>
      <c r="AT11" s="107"/>
      <c r="AU11" s="102"/>
      <c r="AV11" s="102"/>
      <c r="AW11" s="102"/>
      <c r="AX11" s="107"/>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22"/>
      <c r="CD11" s="123">
        <f t="shared" si="8"/>
        <v>41148</v>
      </c>
      <c r="CE11" s="102">
        <f t="shared" si="9"/>
        <v>41148</v>
      </c>
      <c r="CF11" s="102">
        <f t="shared" si="10"/>
        <v>41148</v>
      </c>
      <c r="CG11" s="102">
        <f t="shared" si="11"/>
        <v>0</v>
      </c>
      <c r="CH11" s="124">
        <f t="shared" si="12"/>
        <v>0</v>
      </c>
      <c r="CI11" s="125">
        <f t="shared" si="13"/>
        <v>1</v>
      </c>
      <c r="CJ11" s="126" t="str">
        <f t="shared" si="14"/>
        <v>数据正确</v>
      </c>
    </row>
    <row r="12" s="60" customFormat="1" customHeight="1" spans="2:88">
      <c r="B12" s="70" t="str">
        <f t="shared" si="4"/>
        <v>-</v>
      </c>
      <c r="C12" s="71" t="str">
        <f t="shared" si="5"/>
        <v>已付清</v>
      </c>
      <c r="D12" s="72">
        <f t="shared" si="6"/>
        <v>942505.1</v>
      </c>
      <c r="E12" s="72">
        <v>0</v>
      </c>
      <c r="F12" s="72">
        <v>0</v>
      </c>
      <c r="G12" s="72">
        <v>0</v>
      </c>
      <c r="H12" s="72">
        <v>0</v>
      </c>
      <c r="I12" s="72">
        <f t="shared" si="7"/>
        <v>0</v>
      </c>
      <c r="J12" s="168" t="s">
        <v>98</v>
      </c>
      <c r="K12" s="87"/>
      <c r="L12" s="88">
        <v>30</v>
      </c>
      <c r="M12" s="89" t="s">
        <v>1228</v>
      </c>
      <c r="N12" s="90" t="s">
        <v>31</v>
      </c>
      <c r="O12" s="169">
        <v>2017020027</v>
      </c>
      <c r="P12" s="91">
        <v>42674</v>
      </c>
      <c r="Q12" s="102">
        <v>942505.1</v>
      </c>
      <c r="R12" s="164" t="s">
        <v>1229</v>
      </c>
      <c r="S12" s="159" t="s">
        <v>1230</v>
      </c>
      <c r="T12" s="160" t="s">
        <v>1231</v>
      </c>
      <c r="U12" s="161" t="s">
        <v>343</v>
      </c>
      <c r="V12" s="105" t="s">
        <v>1232</v>
      </c>
      <c r="W12" s="102">
        <v>473700</v>
      </c>
      <c r="X12" s="102">
        <v>473700</v>
      </c>
      <c r="Y12" s="102">
        <v>473700</v>
      </c>
      <c r="Z12" s="107" t="s">
        <v>1232</v>
      </c>
      <c r="AA12" s="102">
        <v>468805.1</v>
      </c>
      <c r="AB12" s="102">
        <v>468805.1</v>
      </c>
      <c r="AC12" s="102">
        <v>468805.1</v>
      </c>
      <c r="AD12" s="107"/>
      <c r="AE12" s="102"/>
      <c r="AF12" s="102"/>
      <c r="AG12" s="129"/>
      <c r="AH12" s="107"/>
      <c r="AI12" s="102"/>
      <c r="AJ12" s="102"/>
      <c r="AK12" s="102"/>
      <c r="AL12" s="107"/>
      <c r="AM12" s="102"/>
      <c r="AN12" s="102"/>
      <c r="AO12" s="102"/>
      <c r="AP12" s="107"/>
      <c r="AQ12" s="102"/>
      <c r="AR12" s="102"/>
      <c r="AS12" s="102"/>
      <c r="AT12" s="107"/>
      <c r="AU12" s="102"/>
      <c r="AV12" s="102"/>
      <c r="AW12" s="102"/>
      <c r="AX12" s="107"/>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22"/>
      <c r="CD12" s="123">
        <f t="shared" si="8"/>
        <v>942505.1</v>
      </c>
      <c r="CE12" s="102">
        <f t="shared" si="9"/>
        <v>942505.1</v>
      </c>
      <c r="CF12" s="102">
        <f t="shared" si="10"/>
        <v>942505.1</v>
      </c>
      <c r="CG12" s="102">
        <f t="shared" si="11"/>
        <v>0</v>
      </c>
      <c r="CH12" s="124">
        <f t="shared" si="12"/>
        <v>0</v>
      </c>
      <c r="CI12" s="125">
        <f t="shared" si="13"/>
        <v>1</v>
      </c>
      <c r="CJ12" s="126" t="str">
        <f t="shared" si="14"/>
        <v>数据正确</v>
      </c>
    </row>
    <row r="13" s="60" customFormat="1" customHeight="1" spans="2:88">
      <c r="B13" s="70" t="str">
        <f t="shared" si="4"/>
        <v>-</v>
      </c>
      <c r="C13" s="71" t="str">
        <f t="shared" si="5"/>
        <v>已付清</v>
      </c>
      <c r="D13" s="72">
        <f t="shared" si="6"/>
        <v>948600</v>
      </c>
      <c r="E13" s="72">
        <v>0</v>
      </c>
      <c r="F13" s="72">
        <v>0</v>
      </c>
      <c r="G13" s="72">
        <v>0</v>
      </c>
      <c r="H13" s="72">
        <v>0</v>
      </c>
      <c r="I13" s="72">
        <f t="shared" si="7"/>
        <v>0</v>
      </c>
      <c r="J13" s="168" t="s">
        <v>98</v>
      </c>
      <c r="K13" s="87"/>
      <c r="L13" s="88">
        <v>130</v>
      </c>
      <c r="M13" s="89" t="s">
        <v>1233</v>
      </c>
      <c r="N13" s="90" t="s">
        <v>31</v>
      </c>
      <c r="O13" s="90" t="s">
        <v>97</v>
      </c>
      <c r="P13" s="91">
        <v>42675</v>
      </c>
      <c r="Q13" s="102">
        <v>948600</v>
      </c>
      <c r="R13" s="89" t="s">
        <v>1234</v>
      </c>
      <c r="S13" s="89" t="s">
        <v>1222</v>
      </c>
      <c r="T13" s="89"/>
      <c r="U13" s="103" t="s">
        <v>329</v>
      </c>
      <c r="V13" s="105" t="s">
        <v>1235</v>
      </c>
      <c r="W13" s="102">
        <v>948600</v>
      </c>
      <c r="X13" s="102">
        <v>948600</v>
      </c>
      <c r="Y13" s="102">
        <v>948600</v>
      </c>
      <c r="Z13" s="107"/>
      <c r="AA13" s="102"/>
      <c r="AB13" s="102"/>
      <c r="AC13" s="102"/>
      <c r="AD13" s="107"/>
      <c r="AE13" s="102"/>
      <c r="AF13" s="102"/>
      <c r="AG13" s="102"/>
      <c r="AH13" s="107"/>
      <c r="AI13" s="102"/>
      <c r="AJ13" s="102"/>
      <c r="AK13" s="102"/>
      <c r="AL13" s="107"/>
      <c r="AM13" s="102"/>
      <c r="AN13" s="102"/>
      <c r="AO13" s="102"/>
      <c r="AP13" s="107"/>
      <c r="AQ13" s="102"/>
      <c r="AR13" s="102"/>
      <c r="AS13" s="102"/>
      <c r="AT13" s="107"/>
      <c r="AU13" s="102"/>
      <c r="AV13" s="102"/>
      <c r="AW13" s="102"/>
      <c r="AX13" s="107"/>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22"/>
      <c r="CD13" s="123">
        <f t="shared" si="8"/>
        <v>948600</v>
      </c>
      <c r="CE13" s="102">
        <f t="shared" si="9"/>
        <v>948600</v>
      </c>
      <c r="CF13" s="102">
        <f t="shared" si="10"/>
        <v>948600</v>
      </c>
      <c r="CG13" s="102">
        <f t="shared" si="11"/>
        <v>0</v>
      </c>
      <c r="CH13" s="124">
        <f t="shared" si="12"/>
        <v>0</v>
      </c>
      <c r="CI13" s="125">
        <f t="shared" si="13"/>
        <v>1</v>
      </c>
      <c r="CJ13" s="126" t="str">
        <f t="shared" si="14"/>
        <v>数据正确</v>
      </c>
    </row>
    <row r="14" s="60" customFormat="1" customHeight="1" spans="2:88">
      <c r="B14" s="70" t="str">
        <f t="shared" si="4"/>
        <v>-</v>
      </c>
      <c r="C14" s="71" t="str">
        <f t="shared" si="5"/>
        <v>已付清</v>
      </c>
      <c r="D14" s="72">
        <f t="shared" si="6"/>
        <v>1821600</v>
      </c>
      <c r="E14" s="72">
        <v>0</v>
      </c>
      <c r="F14" s="72">
        <v>0</v>
      </c>
      <c r="G14" s="72">
        <v>0</v>
      </c>
      <c r="H14" s="72">
        <v>0</v>
      </c>
      <c r="I14" s="72">
        <f t="shared" si="7"/>
        <v>0</v>
      </c>
      <c r="J14" s="168" t="s">
        <v>98</v>
      </c>
      <c r="K14" s="87"/>
      <c r="L14" s="88">
        <v>100</v>
      </c>
      <c r="M14" s="89" t="s">
        <v>1236</v>
      </c>
      <c r="N14" s="90" t="s">
        <v>31</v>
      </c>
      <c r="O14" s="90" t="s">
        <v>97</v>
      </c>
      <c r="P14" s="91">
        <v>42680</v>
      </c>
      <c r="Q14" s="102">
        <v>1821600</v>
      </c>
      <c r="R14" s="89" t="s">
        <v>1237</v>
      </c>
      <c r="S14" s="89" t="s">
        <v>1222</v>
      </c>
      <c r="T14" s="89"/>
      <c r="U14" s="103" t="s">
        <v>329</v>
      </c>
      <c r="V14" s="105" t="s">
        <v>1235</v>
      </c>
      <c r="W14" s="102">
        <v>1821600</v>
      </c>
      <c r="X14" s="102">
        <v>1821600</v>
      </c>
      <c r="Y14" s="102">
        <v>1821600</v>
      </c>
      <c r="Z14" s="107"/>
      <c r="AA14" s="102"/>
      <c r="AB14" s="102"/>
      <c r="AC14" s="102"/>
      <c r="AD14" s="107"/>
      <c r="AE14" s="102"/>
      <c r="AF14" s="102"/>
      <c r="AG14" s="129"/>
      <c r="AH14" s="107"/>
      <c r="AI14" s="102"/>
      <c r="AJ14" s="102"/>
      <c r="AK14" s="102"/>
      <c r="AL14" s="107"/>
      <c r="AM14" s="102"/>
      <c r="AN14" s="102"/>
      <c r="AO14" s="102"/>
      <c r="AP14" s="107"/>
      <c r="AQ14" s="102"/>
      <c r="AR14" s="102"/>
      <c r="AS14" s="102"/>
      <c r="AT14" s="107"/>
      <c r="AU14" s="102"/>
      <c r="AV14" s="102"/>
      <c r="AW14" s="102"/>
      <c r="AX14" s="107"/>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22"/>
      <c r="CD14" s="123">
        <f t="shared" si="8"/>
        <v>1821600</v>
      </c>
      <c r="CE14" s="102">
        <f t="shared" si="9"/>
        <v>1821600</v>
      </c>
      <c r="CF14" s="102">
        <f t="shared" si="10"/>
        <v>1821600</v>
      </c>
      <c r="CG14" s="102">
        <f t="shared" si="11"/>
        <v>0</v>
      </c>
      <c r="CH14" s="124">
        <f t="shared" si="12"/>
        <v>0</v>
      </c>
      <c r="CI14" s="125">
        <f t="shared" si="13"/>
        <v>1</v>
      </c>
      <c r="CJ14" s="126" t="str">
        <f t="shared" si="14"/>
        <v>数据正确</v>
      </c>
    </row>
    <row r="15" s="60" customFormat="1" customHeight="1" spans="2:88">
      <c r="B15" s="70" t="str">
        <f t="shared" si="4"/>
        <v>-</v>
      </c>
      <c r="C15" s="71" t="str">
        <f t="shared" si="5"/>
        <v>-</v>
      </c>
      <c r="D15" s="72">
        <f t="shared" si="6"/>
        <v>102600</v>
      </c>
      <c r="E15" s="72">
        <v>0</v>
      </c>
      <c r="F15" s="72">
        <v>0</v>
      </c>
      <c r="G15" s="72">
        <v>0</v>
      </c>
      <c r="H15" s="72">
        <v>0</v>
      </c>
      <c r="I15" s="72">
        <f t="shared" si="7"/>
        <v>0</v>
      </c>
      <c r="J15" s="168" t="s">
        <v>98</v>
      </c>
      <c r="K15" s="87"/>
      <c r="L15" s="88">
        <v>148</v>
      </c>
      <c r="M15" s="90" t="s">
        <v>1238</v>
      </c>
      <c r="N15" s="90" t="s">
        <v>31</v>
      </c>
      <c r="O15" s="170"/>
      <c r="P15" s="91">
        <v>42697</v>
      </c>
      <c r="Q15" s="102">
        <v>108000</v>
      </c>
      <c r="R15" s="89" t="s">
        <v>1239</v>
      </c>
      <c r="S15" s="89" t="s">
        <v>1240</v>
      </c>
      <c r="T15" s="89"/>
      <c r="U15" s="103" t="s">
        <v>354</v>
      </c>
      <c r="V15" s="105" t="s">
        <v>1241</v>
      </c>
      <c r="W15" s="102">
        <v>102600</v>
      </c>
      <c r="X15" s="102">
        <v>102600</v>
      </c>
      <c r="Y15" s="102">
        <v>102600</v>
      </c>
      <c r="Z15" s="107" t="s">
        <v>1242</v>
      </c>
      <c r="AA15" s="102">
        <v>5400</v>
      </c>
      <c r="AB15" s="102"/>
      <c r="AC15" s="102"/>
      <c r="AD15" s="107"/>
      <c r="AE15" s="102"/>
      <c r="AF15" s="102"/>
      <c r="AG15" s="102"/>
      <c r="AH15" s="107"/>
      <c r="AI15" s="102"/>
      <c r="AJ15" s="102"/>
      <c r="AK15" s="102"/>
      <c r="AL15" s="107"/>
      <c r="AM15" s="102"/>
      <c r="AN15" s="102"/>
      <c r="AO15" s="102"/>
      <c r="AP15" s="107"/>
      <c r="AQ15" s="102"/>
      <c r="AR15" s="102"/>
      <c r="AS15" s="102"/>
      <c r="AT15" s="107"/>
      <c r="AU15" s="102"/>
      <c r="AV15" s="102"/>
      <c r="AW15" s="102"/>
      <c r="AX15" s="107"/>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22"/>
      <c r="CD15" s="123">
        <f t="shared" si="8"/>
        <v>108000</v>
      </c>
      <c r="CE15" s="102">
        <f t="shared" si="9"/>
        <v>102600</v>
      </c>
      <c r="CF15" s="102">
        <f t="shared" si="10"/>
        <v>102600</v>
      </c>
      <c r="CG15" s="102">
        <f t="shared" si="11"/>
        <v>0</v>
      </c>
      <c r="CH15" s="124">
        <f t="shared" si="12"/>
        <v>5400</v>
      </c>
      <c r="CI15" s="125">
        <f t="shared" si="13"/>
        <v>0.95</v>
      </c>
      <c r="CJ15" s="126" t="str">
        <f t="shared" si="14"/>
        <v>数据正确</v>
      </c>
    </row>
    <row r="16" s="60" customFormat="1" customHeight="1" spans="2:88">
      <c r="B16" s="70" t="str">
        <f t="shared" si="4"/>
        <v>-</v>
      </c>
      <c r="C16" s="71" t="str">
        <f t="shared" si="5"/>
        <v>已付清</v>
      </c>
      <c r="D16" s="72">
        <f t="shared" si="6"/>
        <v>8000</v>
      </c>
      <c r="E16" s="72">
        <v>0</v>
      </c>
      <c r="F16" s="72">
        <v>0</v>
      </c>
      <c r="G16" s="72">
        <v>0</v>
      </c>
      <c r="H16" s="72">
        <v>0</v>
      </c>
      <c r="I16" s="72">
        <f t="shared" si="7"/>
        <v>0</v>
      </c>
      <c r="J16" s="168" t="s">
        <v>98</v>
      </c>
      <c r="K16" s="87"/>
      <c r="L16" s="88">
        <v>85</v>
      </c>
      <c r="M16" s="90" t="s">
        <v>1243</v>
      </c>
      <c r="N16" s="90" t="s">
        <v>31</v>
      </c>
      <c r="O16" s="90" t="s">
        <v>97</v>
      </c>
      <c r="P16" s="91">
        <v>42703</v>
      </c>
      <c r="Q16" s="102">
        <v>8000</v>
      </c>
      <c r="R16" s="89" t="s">
        <v>1244</v>
      </c>
      <c r="S16" s="89" t="s">
        <v>1245</v>
      </c>
      <c r="T16" s="89"/>
      <c r="U16" s="103" t="s">
        <v>343</v>
      </c>
      <c r="V16" s="105" t="s">
        <v>1246</v>
      </c>
      <c r="W16" s="102">
        <v>2000</v>
      </c>
      <c r="X16" s="102">
        <v>2000</v>
      </c>
      <c r="Y16" s="102">
        <v>2000</v>
      </c>
      <c r="Z16" s="107" t="s">
        <v>1247</v>
      </c>
      <c r="AA16" s="102">
        <v>6000</v>
      </c>
      <c r="AB16" s="102">
        <v>6000</v>
      </c>
      <c r="AC16" s="102">
        <v>6000</v>
      </c>
      <c r="AD16" s="107"/>
      <c r="AE16" s="102"/>
      <c r="AF16" s="102"/>
      <c r="AG16" s="129"/>
      <c r="AH16" s="107"/>
      <c r="AI16" s="102"/>
      <c r="AJ16" s="102"/>
      <c r="AK16" s="102"/>
      <c r="AL16" s="107"/>
      <c r="AM16" s="102"/>
      <c r="AN16" s="102"/>
      <c r="AO16" s="102"/>
      <c r="AP16" s="107"/>
      <c r="AQ16" s="102"/>
      <c r="AR16" s="102"/>
      <c r="AS16" s="102"/>
      <c r="AT16" s="107"/>
      <c r="AU16" s="102"/>
      <c r="AV16" s="102"/>
      <c r="AW16" s="102"/>
      <c r="AX16" s="107"/>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22"/>
      <c r="CD16" s="123">
        <f t="shared" si="8"/>
        <v>8000</v>
      </c>
      <c r="CE16" s="102">
        <f t="shared" si="9"/>
        <v>8000</v>
      </c>
      <c r="CF16" s="102">
        <f t="shared" si="10"/>
        <v>8000</v>
      </c>
      <c r="CG16" s="102">
        <f t="shared" si="11"/>
        <v>0</v>
      </c>
      <c r="CH16" s="124">
        <f t="shared" si="12"/>
        <v>0</v>
      </c>
      <c r="CI16" s="125">
        <f t="shared" si="13"/>
        <v>1</v>
      </c>
      <c r="CJ16" s="126" t="str">
        <f t="shared" si="14"/>
        <v>数据正确</v>
      </c>
    </row>
    <row r="17" s="60" customFormat="1" customHeight="1" spans="2:88">
      <c r="B17" s="70" t="str">
        <f t="shared" si="4"/>
        <v>-</v>
      </c>
      <c r="C17" s="71" t="str">
        <f t="shared" si="5"/>
        <v>-</v>
      </c>
      <c r="D17" s="72">
        <f t="shared" si="6"/>
        <v>149369.16</v>
      </c>
      <c r="E17" s="72">
        <v>0</v>
      </c>
      <c r="F17" s="72">
        <v>0</v>
      </c>
      <c r="G17" s="72">
        <v>0</v>
      </c>
      <c r="H17" s="72">
        <v>0</v>
      </c>
      <c r="I17" s="72">
        <f t="shared" si="7"/>
        <v>0</v>
      </c>
      <c r="J17" s="168" t="s">
        <v>98</v>
      </c>
      <c r="K17" s="87"/>
      <c r="L17" s="88">
        <v>101</v>
      </c>
      <c r="M17" s="89" t="s">
        <v>1248</v>
      </c>
      <c r="N17" s="90" t="s">
        <v>31</v>
      </c>
      <c r="O17" s="90" t="s">
        <v>97</v>
      </c>
      <c r="P17" s="91">
        <v>42706</v>
      </c>
      <c r="Q17" s="154">
        <f>133200*1.24</f>
        <v>165168</v>
      </c>
      <c r="R17" s="89" t="s">
        <v>1249</v>
      </c>
      <c r="S17" s="89" t="s">
        <v>1207</v>
      </c>
      <c r="T17" s="89"/>
      <c r="U17" s="103" t="s">
        <v>343</v>
      </c>
      <c r="V17" s="105" t="s">
        <v>1250</v>
      </c>
      <c r="W17" s="102">
        <v>165168</v>
      </c>
      <c r="X17" s="102">
        <v>149369.16</v>
      </c>
      <c r="Y17" s="102">
        <v>149369.16</v>
      </c>
      <c r="Z17" s="107"/>
      <c r="AA17" s="102"/>
      <c r="AB17" s="102"/>
      <c r="AC17" s="102"/>
      <c r="AD17" s="107"/>
      <c r="AE17" s="102"/>
      <c r="AF17" s="102"/>
      <c r="AG17" s="102"/>
      <c r="AH17" s="107"/>
      <c r="AI17" s="102"/>
      <c r="AJ17" s="102"/>
      <c r="AK17" s="102"/>
      <c r="AL17" s="107"/>
      <c r="AM17" s="102"/>
      <c r="AN17" s="102"/>
      <c r="AO17" s="102"/>
      <c r="AP17" s="107"/>
      <c r="AQ17" s="102"/>
      <c r="AR17" s="102"/>
      <c r="AS17" s="102"/>
      <c r="AT17" s="107"/>
      <c r="AU17" s="102"/>
      <c r="AV17" s="102"/>
      <c r="AW17" s="102"/>
      <c r="AX17" s="107"/>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22"/>
      <c r="CD17" s="123">
        <f t="shared" si="8"/>
        <v>165168</v>
      </c>
      <c r="CE17" s="102">
        <f t="shared" si="9"/>
        <v>149369.16</v>
      </c>
      <c r="CF17" s="102">
        <f t="shared" si="10"/>
        <v>149369.16</v>
      </c>
      <c r="CG17" s="102">
        <f t="shared" si="11"/>
        <v>0</v>
      </c>
      <c r="CH17" s="124">
        <f t="shared" si="12"/>
        <v>15798.84</v>
      </c>
      <c r="CI17" s="125">
        <f t="shared" si="13"/>
        <v>0.904346846846847</v>
      </c>
      <c r="CJ17" s="126" t="str">
        <f t="shared" si="14"/>
        <v>数据正确</v>
      </c>
    </row>
    <row r="18" s="60" customFormat="1" customHeight="1" spans="2:88">
      <c r="B18" s="70" t="str">
        <f t="shared" si="4"/>
        <v>-</v>
      </c>
      <c r="C18" s="71" t="str">
        <f t="shared" si="5"/>
        <v>已付清</v>
      </c>
      <c r="D18" s="72">
        <f t="shared" si="6"/>
        <v>40729.92</v>
      </c>
      <c r="E18" s="72">
        <v>0</v>
      </c>
      <c r="F18" s="72">
        <v>0</v>
      </c>
      <c r="G18" s="72">
        <v>0</v>
      </c>
      <c r="H18" s="72">
        <v>0</v>
      </c>
      <c r="I18" s="72">
        <f t="shared" si="7"/>
        <v>0</v>
      </c>
      <c r="J18" s="168" t="s">
        <v>98</v>
      </c>
      <c r="K18" s="87"/>
      <c r="L18" s="88">
        <v>133</v>
      </c>
      <c r="M18" s="89" t="s">
        <v>1251</v>
      </c>
      <c r="N18" s="90" t="s">
        <v>31</v>
      </c>
      <c r="O18" s="90"/>
      <c r="P18" s="91">
        <v>42733</v>
      </c>
      <c r="Q18" s="154">
        <v>40729.92</v>
      </c>
      <c r="R18" s="89" t="s">
        <v>1252</v>
      </c>
      <c r="S18" s="89" t="s">
        <v>1207</v>
      </c>
      <c r="T18" s="89"/>
      <c r="U18" s="103" t="s">
        <v>1208</v>
      </c>
      <c r="V18" s="105" t="s">
        <v>1250</v>
      </c>
      <c r="W18" s="102">
        <v>40729.92</v>
      </c>
      <c r="X18" s="102">
        <v>40729.92</v>
      </c>
      <c r="Y18" s="102">
        <v>40729.92</v>
      </c>
      <c r="Z18" s="107"/>
      <c r="AA18" s="102"/>
      <c r="AB18" s="102"/>
      <c r="AC18" s="102"/>
      <c r="AD18" s="107"/>
      <c r="AE18" s="102"/>
      <c r="AF18" s="102"/>
      <c r="AG18" s="129"/>
      <c r="AH18" s="107"/>
      <c r="AI18" s="102"/>
      <c r="AJ18" s="102"/>
      <c r="AK18" s="102"/>
      <c r="AL18" s="107"/>
      <c r="AM18" s="102"/>
      <c r="AN18" s="102"/>
      <c r="AO18" s="102"/>
      <c r="AP18" s="107"/>
      <c r="AQ18" s="102"/>
      <c r="AR18" s="102"/>
      <c r="AS18" s="102"/>
      <c r="AT18" s="107"/>
      <c r="AU18" s="102"/>
      <c r="AV18" s="102"/>
      <c r="AW18" s="102"/>
      <c r="AX18" s="107"/>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22"/>
      <c r="CD18" s="123">
        <f t="shared" si="8"/>
        <v>40729.92</v>
      </c>
      <c r="CE18" s="102">
        <f t="shared" si="9"/>
        <v>40729.92</v>
      </c>
      <c r="CF18" s="102">
        <f t="shared" si="10"/>
        <v>40729.92</v>
      </c>
      <c r="CG18" s="102">
        <f t="shared" si="11"/>
        <v>0</v>
      </c>
      <c r="CH18" s="124">
        <f t="shared" si="12"/>
        <v>0</v>
      </c>
      <c r="CI18" s="125">
        <f t="shared" si="13"/>
        <v>1</v>
      </c>
      <c r="CJ18" s="126" t="str">
        <f t="shared" si="14"/>
        <v>数据正确</v>
      </c>
    </row>
    <row r="19" s="60" customFormat="1" customHeight="1" spans="2:88">
      <c r="B19" s="70" t="str">
        <f t="shared" si="4"/>
        <v>-</v>
      </c>
      <c r="C19" s="71" t="str">
        <f t="shared" si="5"/>
        <v>-</v>
      </c>
      <c r="D19" s="72">
        <f t="shared" si="6"/>
        <v>64425.44</v>
      </c>
      <c r="E19" s="72">
        <v>0</v>
      </c>
      <c r="F19" s="72">
        <v>0</v>
      </c>
      <c r="G19" s="72">
        <v>0</v>
      </c>
      <c r="H19" s="72">
        <v>0</v>
      </c>
      <c r="I19" s="72">
        <f t="shared" si="7"/>
        <v>0</v>
      </c>
      <c r="J19" s="168" t="s">
        <v>98</v>
      </c>
      <c r="K19" s="87"/>
      <c r="L19" s="88">
        <v>29</v>
      </c>
      <c r="M19" s="89" t="s">
        <v>1253</v>
      </c>
      <c r="N19" s="90" t="s">
        <v>31</v>
      </c>
      <c r="O19" s="169">
        <v>2017010001</v>
      </c>
      <c r="P19" s="91">
        <v>42791</v>
      </c>
      <c r="Q19" s="154">
        <v>65720</v>
      </c>
      <c r="R19" s="159" t="s">
        <v>1254</v>
      </c>
      <c r="S19" s="164" t="s">
        <v>1207</v>
      </c>
      <c r="T19" s="160" t="s">
        <v>1255</v>
      </c>
      <c r="U19" s="161" t="s">
        <v>343</v>
      </c>
      <c r="V19" s="105" t="s">
        <v>1256</v>
      </c>
      <c r="W19" s="102">
        <v>65720</v>
      </c>
      <c r="X19" s="102">
        <v>64425.44</v>
      </c>
      <c r="Y19" s="102">
        <v>64425.44</v>
      </c>
      <c r="Z19" s="107"/>
      <c r="AA19" s="102"/>
      <c r="AB19" s="102"/>
      <c r="AC19" s="102"/>
      <c r="AD19" s="107"/>
      <c r="AE19" s="102"/>
      <c r="AF19" s="102"/>
      <c r="AG19" s="102"/>
      <c r="AH19" s="107"/>
      <c r="AI19" s="102"/>
      <c r="AJ19" s="102"/>
      <c r="AK19" s="102"/>
      <c r="AL19" s="107"/>
      <c r="AM19" s="102"/>
      <c r="AN19" s="102"/>
      <c r="AO19" s="102"/>
      <c r="AP19" s="107"/>
      <c r="AQ19" s="102"/>
      <c r="AR19" s="102"/>
      <c r="AS19" s="102"/>
      <c r="AT19" s="107"/>
      <c r="AU19" s="102"/>
      <c r="AV19" s="102"/>
      <c r="AW19" s="102"/>
      <c r="AX19" s="107"/>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22"/>
      <c r="CD19" s="123">
        <f t="shared" si="8"/>
        <v>65720</v>
      </c>
      <c r="CE19" s="102">
        <f t="shared" si="9"/>
        <v>64425.44</v>
      </c>
      <c r="CF19" s="102">
        <f t="shared" si="10"/>
        <v>64425.44</v>
      </c>
      <c r="CG19" s="102">
        <f t="shared" si="11"/>
        <v>0</v>
      </c>
      <c r="CH19" s="124">
        <f t="shared" si="12"/>
        <v>1294.56</v>
      </c>
      <c r="CI19" s="125">
        <f t="shared" si="13"/>
        <v>0.980301886792453</v>
      </c>
      <c r="CJ19" s="126" t="str">
        <f t="shared" si="14"/>
        <v>数据正确</v>
      </c>
    </row>
    <row r="20" s="60" customFormat="1" customHeight="1" spans="2:88">
      <c r="B20" s="70" t="str">
        <f t="shared" si="4"/>
        <v>-</v>
      </c>
      <c r="C20" s="71" t="str">
        <f t="shared" si="5"/>
        <v>-</v>
      </c>
      <c r="D20" s="72">
        <f t="shared" si="6"/>
        <v>538000</v>
      </c>
      <c r="E20" s="72">
        <v>0</v>
      </c>
      <c r="F20" s="72">
        <v>0</v>
      </c>
      <c r="G20" s="72">
        <v>0</v>
      </c>
      <c r="H20" s="72">
        <v>0</v>
      </c>
      <c r="I20" s="72">
        <f t="shared" si="7"/>
        <v>0</v>
      </c>
      <c r="J20" s="168" t="s">
        <v>98</v>
      </c>
      <c r="K20" s="87"/>
      <c r="L20" s="88">
        <v>31</v>
      </c>
      <c r="M20" s="89" t="s">
        <v>1257</v>
      </c>
      <c r="N20" s="90" t="s">
        <v>31</v>
      </c>
      <c r="O20" s="90">
        <v>2017030013</v>
      </c>
      <c r="P20" s="91">
        <v>42809</v>
      </c>
      <c r="Q20" s="102">
        <v>1375000</v>
      </c>
      <c r="R20" s="89" t="s">
        <v>1258</v>
      </c>
      <c r="S20" s="89" t="s">
        <v>1259</v>
      </c>
      <c r="T20" s="89" t="s">
        <v>1260</v>
      </c>
      <c r="U20" s="103" t="s">
        <v>354</v>
      </c>
      <c r="V20" s="105" t="s">
        <v>1261</v>
      </c>
      <c r="W20" s="102">
        <v>264000</v>
      </c>
      <c r="X20" s="102">
        <v>264000</v>
      </c>
      <c r="Y20" s="102">
        <v>264000</v>
      </c>
      <c r="Z20" s="107" t="s">
        <v>1232</v>
      </c>
      <c r="AA20" s="102">
        <v>1111000</v>
      </c>
      <c r="AB20" s="102">
        <v>274000</v>
      </c>
      <c r="AC20" s="102">
        <v>274000</v>
      </c>
      <c r="AD20" s="107"/>
      <c r="AE20" s="102"/>
      <c r="AF20" s="102"/>
      <c r="AG20" s="129"/>
      <c r="AH20" s="107"/>
      <c r="AI20" s="102"/>
      <c r="AJ20" s="102"/>
      <c r="AK20" s="102"/>
      <c r="AL20" s="107"/>
      <c r="AM20" s="102"/>
      <c r="AN20" s="102"/>
      <c r="AO20" s="102"/>
      <c r="AP20" s="107"/>
      <c r="AQ20" s="102"/>
      <c r="AR20" s="102"/>
      <c r="AS20" s="102"/>
      <c r="AT20" s="107"/>
      <c r="AU20" s="102"/>
      <c r="AV20" s="102"/>
      <c r="AW20" s="102"/>
      <c r="AX20" s="107"/>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22"/>
      <c r="CD20" s="123">
        <f t="shared" si="8"/>
        <v>1375000</v>
      </c>
      <c r="CE20" s="102">
        <f t="shared" si="9"/>
        <v>538000</v>
      </c>
      <c r="CF20" s="102">
        <f t="shared" si="10"/>
        <v>538000</v>
      </c>
      <c r="CG20" s="102">
        <f t="shared" si="11"/>
        <v>0</v>
      </c>
      <c r="CH20" s="124">
        <f t="shared" si="12"/>
        <v>837000</v>
      </c>
      <c r="CI20" s="125">
        <f t="shared" si="13"/>
        <v>0.391272727272727</v>
      </c>
      <c r="CJ20" s="126" t="str">
        <f t="shared" si="14"/>
        <v>数据正确</v>
      </c>
    </row>
    <row r="21" s="60" customFormat="1" customHeight="1" spans="1:88">
      <c r="A21" s="60" t="s">
        <v>36</v>
      </c>
      <c r="B21" s="70" t="str">
        <f t="shared" si="4"/>
        <v>-</v>
      </c>
      <c r="C21" s="71" t="str">
        <f t="shared" si="5"/>
        <v>已付清</v>
      </c>
      <c r="D21" s="72">
        <f t="shared" si="6"/>
        <v>7049840.36</v>
      </c>
      <c r="E21" s="72">
        <v>0</v>
      </c>
      <c r="F21" s="72">
        <v>0</v>
      </c>
      <c r="G21" s="72">
        <v>0</v>
      </c>
      <c r="H21" s="72">
        <v>0</v>
      </c>
      <c r="I21" s="72">
        <f t="shared" si="7"/>
        <v>0</v>
      </c>
      <c r="J21" s="168" t="s">
        <v>98</v>
      </c>
      <c r="K21" s="87"/>
      <c r="L21" s="88">
        <v>32</v>
      </c>
      <c r="M21" s="89" t="s">
        <v>1262</v>
      </c>
      <c r="N21" s="90" t="s">
        <v>31</v>
      </c>
      <c r="O21" s="90">
        <v>2017030013</v>
      </c>
      <c r="P21" s="91">
        <v>42814</v>
      </c>
      <c r="Q21" s="102">
        <v>7049840.36</v>
      </c>
      <c r="R21" s="89" t="s">
        <v>1263</v>
      </c>
      <c r="S21" s="89" t="s">
        <v>1226</v>
      </c>
      <c r="T21" s="89" t="s">
        <v>1260</v>
      </c>
      <c r="U21" s="103" t="s">
        <v>343</v>
      </c>
      <c r="V21" s="105" t="s">
        <v>1264</v>
      </c>
      <c r="W21" s="102">
        <v>7049840.36</v>
      </c>
      <c r="X21" s="102">
        <v>7049840.36</v>
      </c>
      <c r="Y21" s="102">
        <v>7049840.36</v>
      </c>
      <c r="Z21" s="107"/>
      <c r="AA21" s="102"/>
      <c r="AB21" s="102"/>
      <c r="AC21" s="102"/>
      <c r="AD21" s="107"/>
      <c r="AE21" s="102"/>
      <c r="AF21" s="102"/>
      <c r="AG21" s="102"/>
      <c r="AH21" s="107"/>
      <c r="AI21" s="102"/>
      <c r="AJ21" s="102"/>
      <c r="AK21" s="102"/>
      <c r="AL21" s="107"/>
      <c r="AM21" s="102"/>
      <c r="AN21" s="102"/>
      <c r="AO21" s="102"/>
      <c r="AP21" s="107"/>
      <c r="AQ21" s="102"/>
      <c r="AR21" s="102"/>
      <c r="AS21" s="102"/>
      <c r="AT21" s="107"/>
      <c r="AU21" s="102"/>
      <c r="AV21" s="102"/>
      <c r="AW21" s="102"/>
      <c r="AX21" s="107"/>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22"/>
      <c r="CD21" s="123">
        <f t="shared" si="8"/>
        <v>7049840.36</v>
      </c>
      <c r="CE21" s="102">
        <f t="shared" si="9"/>
        <v>7049840.36</v>
      </c>
      <c r="CF21" s="102">
        <f t="shared" si="10"/>
        <v>7049840.36</v>
      </c>
      <c r="CG21" s="102">
        <f t="shared" si="11"/>
        <v>0</v>
      </c>
      <c r="CH21" s="124">
        <f t="shared" si="12"/>
        <v>0</v>
      </c>
      <c r="CI21" s="125">
        <f t="shared" si="13"/>
        <v>1</v>
      </c>
      <c r="CJ21" s="126" t="str">
        <f t="shared" si="14"/>
        <v>数据正确</v>
      </c>
    </row>
    <row r="22" s="60" customFormat="1" customHeight="1" spans="1:88">
      <c r="A22" s="60" t="s">
        <v>36</v>
      </c>
      <c r="B22" s="70" t="str">
        <f t="shared" si="4"/>
        <v>-</v>
      </c>
      <c r="C22" s="71" t="str">
        <f t="shared" si="5"/>
        <v>已付清</v>
      </c>
      <c r="D22" s="72">
        <f t="shared" si="6"/>
        <v>11786924</v>
      </c>
      <c r="E22" s="72">
        <v>0</v>
      </c>
      <c r="F22" s="72">
        <v>0</v>
      </c>
      <c r="G22" s="72">
        <v>0</v>
      </c>
      <c r="H22" s="72">
        <v>0</v>
      </c>
      <c r="I22" s="72">
        <f t="shared" si="7"/>
        <v>0</v>
      </c>
      <c r="J22" s="168" t="s">
        <v>98</v>
      </c>
      <c r="K22" s="87"/>
      <c r="L22" s="88">
        <v>36</v>
      </c>
      <c r="M22" s="89" t="s">
        <v>1265</v>
      </c>
      <c r="N22" s="90" t="s">
        <v>31</v>
      </c>
      <c r="O22" s="90">
        <v>2017030013</v>
      </c>
      <c r="P22" s="91">
        <v>42816</v>
      </c>
      <c r="Q22" s="102">
        <v>11786924</v>
      </c>
      <c r="R22" s="89" t="s">
        <v>1266</v>
      </c>
      <c r="S22" s="89" t="s">
        <v>1226</v>
      </c>
      <c r="T22" s="89" t="s">
        <v>1260</v>
      </c>
      <c r="U22" s="103" t="s">
        <v>343</v>
      </c>
      <c r="V22" s="105" t="s">
        <v>1267</v>
      </c>
      <c r="W22" s="102">
        <v>11786924</v>
      </c>
      <c r="X22" s="102">
        <v>11786924</v>
      </c>
      <c r="Y22" s="102">
        <v>11786924</v>
      </c>
      <c r="Z22" s="107"/>
      <c r="AA22" s="102"/>
      <c r="AB22" s="102"/>
      <c r="AC22" s="102"/>
      <c r="AD22" s="107"/>
      <c r="AE22" s="102"/>
      <c r="AF22" s="102"/>
      <c r="AG22" s="129"/>
      <c r="AH22" s="107"/>
      <c r="AI22" s="102"/>
      <c r="AJ22" s="102"/>
      <c r="AK22" s="102"/>
      <c r="AL22" s="107"/>
      <c r="AM22" s="102"/>
      <c r="AN22" s="102"/>
      <c r="AO22" s="102"/>
      <c r="AP22" s="107"/>
      <c r="AQ22" s="102"/>
      <c r="AR22" s="102"/>
      <c r="AS22" s="102"/>
      <c r="AT22" s="107"/>
      <c r="AU22" s="102"/>
      <c r="AV22" s="102"/>
      <c r="AW22" s="102"/>
      <c r="AX22" s="107"/>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22"/>
      <c r="CD22" s="123">
        <f t="shared" si="8"/>
        <v>11786924</v>
      </c>
      <c r="CE22" s="102">
        <f t="shared" si="9"/>
        <v>11786924</v>
      </c>
      <c r="CF22" s="102">
        <f t="shared" si="10"/>
        <v>11786924</v>
      </c>
      <c r="CG22" s="102">
        <f t="shared" si="11"/>
        <v>0</v>
      </c>
      <c r="CH22" s="124">
        <f t="shared" si="12"/>
        <v>0</v>
      </c>
      <c r="CI22" s="125">
        <f t="shared" si="13"/>
        <v>1</v>
      </c>
      <c r="CJ22" s="126" t="str">
        <f t="shared" si="14"/>
        <v>数据正确</v>
      </c>
    </row>
    <row r="23" s="60" customFormat="1" customHeight="1" spans="2:88">
      <c r="B23" s="70" t="str">
        <f t="shared" si="4"/>
        <v>-</v>
      </c>
      <c r="C23" s="71" t="str">
        <f t="shared" si="5"/>
        <v>已付清</v>
      </c>
      <c r="D23" s="72">
        <f t="shared" si="6"/>
        <v>23345</v>
      </c>
      <c r="E23" s="72">
        <v>0</v>
      </c>
      <c r="F23" s="72">
        <v>0</v>
      </c>
      <c r="G23" s="72">
        <v>0</v>
      </c>
      <c r="H23" s="72">
        <v>0</v>
      </c>
      <c r="I23" s="72">
        <f t="shared" si="7"/>
        <v>0</v>
      </c>
      <c r="J23" s="168" t="s">
        <v>98</v>
      </c>
      <c r="K23" s="87"/>
      <c r="L23" s="88">
        <v>33</v>
      </c>
      <c r="M23" s="89" t="s">
        <v>1268</v>
      </c>
      <c r="N23" s="90" t="s">
        <v>31</v>
      </c>
      <c r="O23" s="169">
        <v>2017030051</v>
      </c>
      <c r="P23" s="91">
        <v>42817</v>
      </c>
      <c r="Q23" s="154">
        <f>25000-2015+360</f>
        <v>23345</v>
      </c>
      <c r="R23" s="159" t="s">
        <v>1269</v>
      </c>
      <c r="S23" s="159" t="s">
        <v>1270</v>
      </c>
      <c r="T23" s="160" t="s">
        <v>1271</v>
      </c>
      <c r="U23" s="161" t="s">
        <v>354</v>
      </c>
      <c r="V23" s="105" t="s">
        <v>1272</v>
      </c>
      <c r="W23" s="102">
        <v>23345</v>
      </c>
      <c r="X23" s="102">
        <v>23345</v>
      </c>
      <c r="Y23" s="102">
        <v>23345</v>
      </c>
      <c r="Z23" s="107"/>
      <c r="AA23" s="102"/>
      <c r="AB23" s="102"/>
      <c r="AC23" s="102"/>
      <c r="AD23" s="107"/>
      <c r="AE23" s="102"/>
      <c r="AF23" s="102"/>
      <c r="AG23" s="102"/>
      <c r="AH23" s="107"/>
      <c r="AI23" s="102"/>
      <c r="AJ23" s="102"/>
      <c r="AK23" s="102"/>
      <c r="AL23" s="107"/>
      <c r="AM23" s="102"/>
      <c r="AN23" s="102"/>
      <c r="AO23" s="102"/>
      <c r="AP23" s="107"/>
      <c r="AQ23" s="102"/>
      <c r="AR23" s="102"/>
      <c r="AS23" s="102"/>
      <c r="AT23" s="107"/>
      <c r="AU23" s="102"/>
      <c r="AV23" s="102"/>
      <c r="AW23" s="102"/>
      <c r="AX23" s="107"/>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22"/>
      <c r="CD23" s="123">
        <f t="shared" si="8"/>
        <v>23345</v>
      </c>
      <c r="CE23" s="102">
        <f t="shared" si="9"/>
        <v>23345</v>
      </c>
      <c r="CF23" s="102">
        <f t="shared" si="10"/>
        <v>23345</v>
      </c>
      <c r="CG23" s="102">
        <f t="shared" si="11"/>
        <v>0</v>
      </c>
      <c r="CH23" s="124">
        <f t="shared" si="12"/>
        <v>0</v>
      </c>
      <c r="CI23" s="125">
        <f t="shared" si="13"/>
        <v>1</v>
      </c>
      <c r="CJ23" s="126" t="str">
        <f t="shared" si="14"/>
        <v>数据正确</v>
      </c>
    </row>
    <row r="24" s="60" customFormat="1" customHeight="1" spans="2:88">
      <c r="B24" s="70" t="str">
        <f t="shared" si="4"/>
        <v>-</v>
      </c>
      <c r="C24" s="71" t="str">
        <f t="shared" si="5"/>
        <v>已付清</v>
      </c>
      <c r="D24" s="72">
        <f t="shared" si="6"/>
        <v>3794350</v>
      </c>
      <c r="E24" s="72">
        <v>0</v>
      </c>
      <c r="F24" s="72">
        <v>0</v>
      </c>
      <c r="G24" s="72">
        <v>0</v>
      </c>
      <c r="H24" s="72">
        <v>0</v>
      </c>
      <c r="I24" s="72">
        <f t="shared" si="7"/>
        <v>0</v>
      </c>
      <c r="J24" s="168" t="s">
        <v>98</v>
      </c>
      <c r="K24" s="87"/>
      <c r="L24" s="88">
        <v>34</v>
      </c>
      <c r="M24" s="89" t="s">
        <v>1273</v>
      </c>
      <c r="N24" s="90" t="s">
        <v>31</v>
      </c>
      <c r="O24" s="90">
        <v>2017030053</v>
      </c>
      <c r="P24" s="91">
        <v>42824</v>
      </c>
      <c r="Q24" s="102">
        <v>3794350</v>
      </c>
      <c r="R24" s="89" t="s">
        <v>1274</v>
      </c>
      <c r="S24" s="89" t="s">
        <v>1203</v>
      </c>
      <c r="T24" s="89" t="s">
        <v>1275</v>
      </c>
      <c r="U24" s="103" t="s">
        <v>343</v>
      </c>
      <c r="V24" s="105" t="s">
        <v>1276</v>
      </c>
      <c r="W24" s="102">
        <v>3794350</v>
      </c>
      <c r="X24" s="102">
        <v>3794350</v>
      </c>
      <c r="Y24" s="102">
        <v>3794350</v>
      </c>
      <c r="Z24" s="107"/>
      <c r="AA24" s="102"/>
      <c r="AB24" s="102"/>
      <c r="AC24" s="102"/>
      <c r="AD24" s="107"/>
      <c r="AE24" s="102"/>
      <c r="AF24" s="102"/>
      <c r="AG24" s="129"/>
      <c r="AH24" s="107"/>
      <c r="AI24" s="102"/>
      <c r="AJ24" s="102"/>
      <c r="AK24" s="102"/>
      <c r="AL24" s="107"/>
      <c r="AM24" s="102"/>
      <c r="AN24" s="102"/>
      <c r="AO24" s="102"/>
      <c r="AP24" s="107"/>
      <c r="AQ24" s="102"/>
      <c r="AR24" s="102"/>
      <c r="AS24" s="102"/>
      <c r="AT24" s="107"/>
      <c r="AU24" s="102"/>
      <c r="AV24" s="102"/>
      <c r="AW24" s="102"/>
      <c r="AX24" s="107"/>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22"/>
      <c r="CD24" s="123">
        <f t="shared" si="8"/>
        <v>3794350</v>
      </c>
      <c r="CE24" s="102">
        <f t="shared" si="9"/>
        <v>3794350</v>
      </c>
      <c r="CF24" s="102">
        <f t="shared" si="10"/>
        <v>3794350</v>
      </c>
      <c r="CG24" s="102">
        <f t="shared" si="11"/>
        <v>0</v>
      </c>
      <c r="CH24" s="124">
        <f t="shared" si="12"/>
        <v>0</v>
      </c>
      <c r="CI24" s="125">
        <f t="shared" si="13"/>
        <v>1</v>
      </c>
      <c r="CJ24" s="126" t="str">
        <f t="shared" si="14"/>
        <v>数据正确</v>
      </c>
    </row>
    <row r="25" s="60" customFormat="1" customHeight="1" spans="2:88">
      <c r="B25" s="70" t="str">
        <f t="shared" si="4"/>
        <v>-</v>
      </c>
      <c r="C25" s="71" t="str">
        <f t="shared" si="5"/>
        <v>已付清</v>
      </c>
      <c r="D25" s="72">
        <f t="shared" si="6"/>
        <v>5555910</v>
      </c>
      <c r="E25" s="72">
        <v>0</v>
      </c>
      <c r="F25" s="72">
        <v>0</v>
      </c>
      <c r="G25" s="72">
        <v>0</v>
      </c>
      <c r="H25" s="72">
        <v>0</v>
      </c>
      <c r="I25" s="72">
        <f t="shared" si="7"/>
        <v>0</v>
      </c>
      <c r="J25" s="168" t="s">
        <v>98</v>
      </c>
      <c r="K25" s="87"/>
      <c r="L25" s="88">
        <v>35</v>
      </c>
      <c r="M25" s="89" t="s">
        <v>1277</v>
      </c>
      <c r="N25" s="90" t="s">
        <v>31</v>
      </c>
      <c r="O25" s="90">
        <v>2017030013</v>
      </c>
      <c r="P25" s="91">
        <v>42825</v>
      </c>
      <c r="Q25" s="102">
        <v>5555910</v>
      </c>
      <c r="R25" s="89" t="s">
        <v>1278</v>
      </c>
      <c r="S25" s="89" t="s">
        <v>1222</v>
      </c>
      <c r="T25" s="89" t="s">
        <v>1260</v>
      </c>
      <c r="U25" s="103" t="s">
        <v>343</v>
      </c>
      <c r="V25" s="105" t="s">
        <v>1279</v>
      </c>
      <c r="W25" s="102">
        <v>5555910</v>
      </c>
      <c r="X25" s="102">
        <v>5555910</v>
      </c>
      <c r="Y25" s="102">
        <v>5555910</v>
      </c>
      <c r="Z25" s="107"/>
      <c r="AA25" s="102"/>
      <c r="AB25" s="102"/>
      <c r="AC25" s="102"/>
      <c r="AD25" s="107"/>
      <c r="AE25" s="102"/>
      <c r="AF25" s="102"/>
      <c r="AG25" s="102"/>
      <c r="AH25" s="107"/>
      <c r="AI25" s="102"/>
      <c r="AJ25" s="102"/>
      <c r="AK25" s="102"/>
      <c r="AL25" s="107"/>
      <c r="AM25" s="102"/>
      <c r="AN25" s="102"/>
      <c r="AO25" s="102"/>
      <c r="AP25" s="107"/>
      <c r="AQ25" s="102"/>
      <c r="AR25" s="102"/>
      <c r="AS25" s="102"/>
      <c r="AT25" s="107"/>
      <c r="AU25" s="102"/>
      <c r="AV25" s="102"/>
      <c r="AW25" s="102"/>
      <c r="AX25" s="107"/>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22"/>
      <c r="CD25" s="123">
        <f t="shared" si="8"/>
        <v>5555910</v>
      </c>
      <c r="CE25" s="102">
        <f t="shared" si="9"/>
        <v>5555910</v>
      </c>
      <c r="CF25" s="102">
        <f t="shared" si="10"/>
        <v>5555910</v>
      </c>
      <c r="CG25" s="102">
        <f t="shared" si="11"/>
        <v>0</v>
      </c>
      <c r="CH25" s="124">
        <f t="shared" si="12"/>
        <v>0</v>
      </c>
      <c r="CI25" s="125">
        <f t="shared" si="13"/>
        <v>1</v>
      </c>
      <c r="CJ25" s="126" t="str">
        <f t="shared" si="14"/>
        <v>数据正确</v>
      </c>
    </row>
    <row r="26" s="60" customFormat="1" customHeight="1" spans="2:88">
      <c r="B26" s="70" t="str">
        <f t="shared" si="4"/>
        <v>申请中</v>
      </c>
      <c r="C26" s="71" t="str">
        <f t="shared" si="5"/>
        <v>-</v>
      </c>
      <c r="D26" s="72">
        <f t="shared" si="6"/>
        <v>863000</v>
      </c>
      <c r="E26" s="72">
        <v>0</v>
      </c>
      <c r="F26" s="72">
        <v>0</v>
      </c>
      <c r="G26" s="72">
        <v>0</v>
      </c>
      <c r="H26" s="72">
        <v>0</v>
      </c>
      <c r="I26" s="72">
        <f t="shared" si="7"/>
        <v>292294</v>
      </c>
      <c r="J26" s="168" t="s">
        <v>98</v>
      </c>
      <c r="K26" s="87"/>
      <c r="L26" s="88">
        <v>38</v>
      </c>
      <c r="M26" s="89" t="s">
        <v>1280</v>
      </c>
      <c r="N26" s="90" t="s">
        <v>31</v>
      </c>
      <c r="O26" s="90">
        <v>2017030053</v>
      </c>
      <c r="P26" s="91">
        <v>42839</v>
      </c>
      <c r="Q26" s="102">
        <v>1155294</v>
      </c>
      <c r="R26" s="89" t="s">
        <v>1281</v>
      </c>
      <c r="S26" s="89" t="s">
        <v>1222</v>
      </c>
      <c r="T26" s="89" t="s">
        <v>1275</v>
      </c>
      <c r="U26" s="103" t="s">
        <v>343</v>
      </c>
      <c r="V26" s="105" t="s">
        <v>1279</v>
      </c>
      <c r="W26" s="102">
        <v>1155294</v>
      </c>
      <c r="X26" s="102">
        <f>863000+292294</f>
        <v>1155294</v>
      </c>
      <c r="Y26" s="102">
        <f>863000</f>
        <v>863000</v>
      </c>
      <c r="Z26" s="107"/>
      <c r="AA26" s="102"/>
      <c r="AB26" s="102"/>
      <c r="AC26" s="102"/>
      <c r="AD26" s="107"/>
      <c r="AE26" s="102"/>
      <c r="AF26" s="102"/>
      <c r="AG26" s="129"/>
      <c r="AH26" s="107"/>
      <c r="AI26" s="102"/>
      <c r="AJ26" s="102"/>
      <c r="AK26" s="102"/>
      <c r="AL26" s="107"/>
      <c r="AM26" s="102"/>
      <c r="AN26" s="102"/>
      <c r="AO26" s="102"/>
      <c r="AP26" s="107"/>
      <c r="AQ26" s="102"/>
      <c r="AR26" s="102"/>
      <c r="AS26" s="102"/>
      <c r="AT26" s="107"/>
      <c r="AU26" s="102"/>
      <c r="AV26" s="102"/>
      <c r="AW26" s="102"/>
      <c r="AX26" s="107"/>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22"/>
      <c r="CD26" s="123">
        <f t="shared" si="8"/>
        <v>1155294</v>
      </c>
      <c r="CE26" s="102">
        <f t="shared" si="9"/>
        <v>1155294</v>
      </c>
      <c r="CF26" s="102">
        <f t="shared" si="10"/>
        <v>863000</v>
      </c>
      <c r="CG26" s="102">
        <f t="shared" si="11"/>
        <v>0</v>
      </c>
      <c r="CH26" s="124">
        <f t="shared" si="12"/>
        <v>292294</v>
      </c>
      <c r="CI26" s="125">
        <f t="shared" si="13"/>
        <v>0.746996002749084</v>
      </c>
      <c r="CJ26" s="126" t="str">
        <f t="shared" si="14"/>
        <v>数据正确</v>
      </c>
    </row>
    <row r="27" s="60" customFormat="1" customHeight="1" spans="2:88">
      <c r="B27" s="70" t="str">
        <f t="shared" si="4"/>
        <v>-</v>
      </c>
      <c r="C27" s="71" t="str">
        <f t="shared" si="5"/>
        <v>已付清</v>
      </c>
      <c r="D27" s="72">
        <f t="shared" si="6"/>
        <v>1931083</v>
      </c>
      <c r="E27" s="72">
        <v>0</v>
      </c>
      <c r="F27" s="72">
        <v>0</v>
      </c>
      <c r="G27" s="72">
        <v>0</v>
      </c>
      <c r="H27" s="72">
        <v>0</v>
      </c>
      <c r="I27" s="72">
        <f t="shared" si="7"/>
        <v>0</v>
      </c>
      <c r="J27" s="168" t="s">
        <v>98</v>
      </c>
      <c r="K27" s="87"/>
      <c r="L27" s="88">
        <v>131</v>
      </c>
      <c r="M27" s="89" t="s">
        <v>1282</v>
      </c>
      <c r="N27" s="90" t="s">
        <v>31</v>
      </c>
      <c r="O27" s="90" t="s">
        <v>97</v>
      </c>
      <c r="P27" s="91">
        <v>42839</v>
      </c>
      <c r="Q27" s="102">
        <v>1931083</v>
      </c>
      <c r="R27" s="89" t="s">
        <v>1283</v>
      </c>
      <c r="S27" s="89" t="s">
        <v>1222</v>
      </c>
      <c r="T27" s="89"/>
      <c r="U27" s="103" t="s">
        <v>329</v>
      </c>
      <c r="V27" s="105" t="s">
        <v>1279</v>
      </c>
      <c r="W27" s="102">
        <v>1931083</v>
      </c>
      <c r="X27" s="102">
        <v>1931083</v>
      </c>
      <c r="Y27" s="102">
        <v>1931083</v>
      </c>
      <c r="Z27" s="107"/>
      <c r="AA27" s="102"/>
      <c r="AB27" s="102"/>
      <c r="AC27" s="102"/>
      <c r="AD27" s="107"/>
      <c r="AE27" s="102"/>
      <c r="AF27" s="102"/>
      <c r="AG27" s="102"/>
      <c r="AH27" s="107"/>
      <c r="AI27" s="102"/>
      <c r="AJ27" s="102"/>
      <c r="AK27" s="102"/>
      <c r="AL27" s="107"/>
      <c r="AM27" s="102"/>
      <c r="AN27" s="102"/>
      <c r="AO27" s="102"/>
      <c r="AP27" s="107"/>
      <c r="AQ27" s="102"/>
      <c r="AR27" s="102"/>
      <c r="AS27" s="102"/>
      <c r="AT27" s="107"/>
      <c r="AU27" s="102"/>
      <c r="AV27" s="102"/>
      <c r="AW27" s="102"/>
      <c r="AX27" s="107"/>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22"/>
      <c r="CD27" s="123">
        <f t="shared" si="8"/>
        <v>1931083</v>
      </c>
      <c r="CE27" s="102">
        <f t="shared" si="9"/>
        <v>1931083</v>
      </c>
      <c r="CF27" s="102">
        <f t="shared" si="10"/>
        <v>1931083</v>
      </c>
      <c r="CG27" s="102">
        <f t="shared" si="11"/>
        <v>0</v>
      </c>
      <c r="CH27" s="124">
        <f t="shared" si="12"/>
        <v>0</v>
      </c>
      <c r="CI27" s="125">
        <f t="shared" si="13"/>
        <v>1</v>
      </c>
      <c r="CJ27" s="126" t="str">
        <f t="shared" si="14"/>
        <v>数据正确</v>
      </c>
    </row>
    <row r="28" s="60" customFormat="1" customHeight="1" spans="2:88">
      <c r="B28" s="70" t="str">
        <f t="shared" si="4"/>
        <v>-</v>
      </c>
      <c r="C28" s="71" t="str">
        <f t="shared" si="5"/>
        <v>已付清</v>
      </c>
      <c r="D28" s="72">
        <f t="shared" si="6"/>
        <v>5983824</v>
      </c>
      <c r="E28" s="72">
        <v>0</v>
      </c>
      <c r="F28" s="72">
        <v>0</v>
      </c>
      <c r="G28" s="72">
        <v>0</v>
      </c>
      <c r="H28" s="72">
        <v>0</v>
      </c>
      <c r="I28" s="72">
        <f t="shared" si="7"/>
        <v>0</v>
      </c>
      <c r="J28" s="168" t="s">
        <v>98</v>
      </c>
      <c r="K28" s="87"/>
      <c r="L28" s="88">
        <v>37</v>
      </c>
      <c r="M28" s="89" t="s">
        <v>1284</v>
      </c>
      <c r="N28" s="90" t="s">
        <v>31</v>
      </c>
      <c r="O28" s="90">
        <v>2017030053</v>
      </c>
      <c r="P28" s="91">
        <v>42840</v>
      </c>
      <c r="Q28" s="102">
        <v>5983824</v>
      </c>
      <c r="R28" s="89" t="s">
        <v>1285</v>
      </c>
      <c r="S28" s="89" t="s">
        <v>1230</v>
      </c>
      <c r="T28" s="89" t="s">
        <v>1275</v>
      </c>
      <c r="U28" s="103" t="s">
        <v>343</v>
      </c>
      <c r="V28" s="105" t="s">
        <v>1279</v>
      </c>
      <c r="W28" s="102">
        <v>5983824</v>
      </c>
      <c r="X28" s="102">
        <v>5983824</v>
      </c>
      <c r="Y28" s="102">
        <v>5983824</v>
      </c>
      <c r="Z28" s="107"/>
      <c r="AA28" s="102"/>
      <c r="AB28" s="102"/>
      <c r="AC28" s="102"/>
      <c r="AD28" s="107"/>
      <c r="AE28" s="102"/>
      <c r="AF28" s="102"/>
      <c r="AG28" s="129"/>
      <c r="AH28" s="107"/>
      <c r="AI28" s="102"/>
      <c r="AJ28" s="102"/>
      <c r="AK28" s="102"/>
      <c r="AL28" s="107"/>
      <c r="AM28" s="102"/>
      <c r="AN28" s="102"/>
      <c r="AO28" s="102"/>
      <c r="AP28" s="107"/>
      <c r="AQ28" s="102"/>
      <c r="AR28" s="102"/>
      <c r="AS28" s="102"/>
      <c r="AT28" s="107"/>
      <c r="AU28" s="102"/>
      <c r="AV28" s="102"/>
      <c r="AW28" s="102"/>
      <c r="AX28" s="107"/>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22"/>
      <c r="CD28" s="123">
        <f t="shared" si="8"/>
        <v>5983824</v>
      </c>
      <c r="CE28" s="102">
        <f t="shared" si="9"/>
        <v>5983824</v>
      </c>
      <c r="CF28" s="102">
        <f t="shared" si="10"/>
        <v>5983824</v>
      </c>
      <c r="CG28" s="102">
        <f t="shared" si="11"/>
        <v>0</v>
      </c>
      <c r="CH28" s="124">
        <f t="shared" si="12"/>
        <v>0</v>
      </c>
      <c r="CI28" s="125">
        <f t="shared" si="13"/>
        <v>1</v>
      </c>
      <c r="CJ28" s="126" t="str">
        <f t="shared" si="14"/>
        <v>数据正确</v>
      </c>
    </row>
    <row r="29" s="60" customFormat="1" customHeight="1" spans="2:88">
      <c r="B29" s="70" t="str">
        <f t="shared" si="4"/>
        <v>-</v>
      </c>
      <c r="C29" s="71" t="str">
        <f t="shared" si="5"/>
        <v>已付清</v>
      </c>
      <c r="D29" s="72">
        <f t="shared" si="6"/>
        <v>71875</v>
      </c>
      <c r="E29" s="72">
        <v>0</v>
      </c>
      <c r="F29" s="72">
        <v>0</v>
      </c>
      <c r="G29" s="72">
        <v>0</v>
      </c>
      <c r="H29" s="72">
        <v>0</v>
      </c>
      <c r="I29" s="72">
        <f t="shared" si="7"/>
        <v>0</v>
      </c>
      <c r="J29" s="168" t="s">
        <v>98</v>
      </c>
      <c r="K29" s="87"/>
      <c r="L29" s="88">
        <v>39</v>
      </c>
      <c r="M29" s="89" t="s">
        <v>1286</v>
      </c>
      <c r="N29" s="90" t="s">
        <v>31</v>
      </c>
      <c r="O29" s="169">
        <v>2017030074</v>
      </c>
      <c r="P29" s="91">
        <v>42842</v>
      </c>
      <c r="Q29" s="154">
        <v>71875</v>
      </c>
      <c r="R29" s="159" t="s">
        <v>1287</v>
      </c>
      <c r="S29" s="159" t="s">
        <v>1288</v>
      </c>
      <c r="T29" s="160" t="s">
        <v>1289</v>
      </c>
      <c r="U29" s="161" t="s">
        <v>343</v>
      </c>
      <c r="V29" s="105" t="s">
        <v>1290</v>
      </c>
      <c r="W29" s="102">
        <v>71875</v>
      </c>
      <c r="X29" s="102">
        <v>71875</v>
      </c>
      <c r="Y29" s="102">
        <v>71875</v>
      </c>
      <c r="Z29" s="107"/>
      <c r="AA29" s="102"/>
      <c r="AB29" s="102"/>
      <c r="AC29" s="102"/>
      <c r="AD29" s="107"/>
      <c r="AE29" s="102"/>
      <c r="AF29" s="102"/>
      <c r="AG29" s="102"/>
      <c r="AH29" s="107"/>
      <c r="AI29" s="102"/>
      <c r="AJ29" s="102"/>
      <c r="AK29" s="102"/>
      <c r="AL29" s="107"/>
      <c r="AM29" s="102"/>
      <c r="AN29" s="102"/>
      <c r="AO29" s="102"/>
      <c r="AP29" s="107"/>
      <c r="AQ29" s="102"/>
      <c r="AR29" s="102"/>
      <c r="AS29" s="102"/>
      <c r="AT29" s="107"/>
      <c r="AU29" s="102"/>
      <c r="AV29" s="102"/>
      <c r="AW29" s="102"/>
      <c r="AX29" s="107"/>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22"/>
      <c r="CD29" s="123">
        <f t="shared" si="8"/>
        <v>71875</v>
      </c>
      <c r="CE29" s="102">
        <f t="shared" si="9"/>
        <v>71875</v>
      </c>
      <c r="CF29" s="102">
        <f t="shared" si="10"/>
        <v>71875</v>
      </c>
      <c r="CG29" s="102">
        <f t="shared" si="11"/>
        <v>0</v>
      </c>
      <c r="CH29" s="124">
        <f t="shared" si="12"/>
        <v>0</v>
      </c>
      <c r="CI29" s="125">
        <f t="shared" si="13"/>
        <v>1</v>
      </c>
      <c r="CJ29" s="126" t="str">
        <f t="shared" si="14"/>
        <v>数据正确</v>
      </c>
    </row>
    <row r="30" s="60" customFormat="1" customHeight="1" spans="2:88">
      <c r="B30" s="70" t="str">
        <f t="shared" ref="B30:B68" si="15">IF(I30=0,"-","申请中")</f>
        <v>-</v>
      </c>
      <c r="C30" s="71" t="str">
        <f t="shared" ref="C30:C68" si="16">IF(CI30=100%,"已付清","-")</f>
        <v>已付清</v>
      </c>
      <c r="D30" s="72">
        <f t="shared" ref="D30:D68" si="17">CF30</f>
        <v>72390.5</v>
      </c>
      <c r="E30" s="72">
        <v>0</v>
      </c>
      <c r="F30" s="72">
        <v>0</v>
      </c>
      <c r="G30" s="72">
        <v>1609.5</v>
      </c>
      <c r="H30" s="72">
        <v>0</v>
      </c>
      <c r="I30" s="72">
        <f t="shared" ref="I30:I68" si="18">CE30-CF30-CG30</f>
        <v>0</v>
      </c>
      <c r="J30" s="168" t="s">
        <v>98</v>
      </c>
      <c r="K30" s="87"/>
      <c r="L30" s="88">
        <v>42</v>
      </c>
      <c r="M30" s="89" t="s">
        <v>1291</v>
      </c>
      <c r="N30" s="90" t="s">
        <v>31</v>
      </c>
      <c r="O30" s="169">
        <v>2017040038</v>
      </c>
      <c r="P30" s="91">
        <v>42865</v>
      </c>
      <c r="Q30" s="154">
        <v>74000</v>
      </c>
      <c r="R30" s="159" t="s">
        <v>1292</v>
      </c>
      <c r="S30" s="159" t="s">
        <v>1293</v>
      </c>
      <c r="T30" s="160" t="s">
        <v>1294</v>
      </c>
      <c r="U30" s="161" t="s">
        <v>1295</v>
      </c>
      <c r="V30" s="105" t="s">
        <v>1296</v>
      </c>
      <c r="W30" s="102">
        <v>74000</v>
      </c>
      <c r="X30" s="102">
        <v>74000</v>
      </c>
      <c r="Y30" s="102">
        <v>72390.5</v>
      </c>
      <c r="Z30" s="107"/>
      <c r="AA30" s="102"/>
      <c r="AB30" s="102"/>
      <c r="AC30" s="102"/>
      <c r="AD30" s="107"/>
      <c r="AE30" s="102"/>
      <c r="AF30" s="102"/>
      <c r="AG30" s="129"/>
      <c r="AH30" s="107"/>
      <c r="AI30" s="102"/>
      <c r="AJ30" s="102"/>
      <c r="AK30" s="102"/>
      <c r="AL30" s="107"/>
      <c r="AM30" s="102"/>
      <c r="AN30" s="102"/>
      <c r="AO30" s="102"/>
      <c r="AP30" s="107"/>
      <c r="AQ30" s="102"/>
      <c r="AR30" s="102"/>
      <c r="AS30" s="102"/>
      <c r="AT30" s="107"/>
      <c r="AU30" s="102"/>
      <c r="AV30" s="102"/>
      <c r="AW30" s="102"/>
      <c r="AX30" s="107"/>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22"/>
      <c r="CD30" s="123">
        <f t="shared" ref="CD30:CD69" si="19">W30+AA30+AE30+AI30+AM30+AQ30+AU30+AY30+BC30+BG30+BK30+BO30+BS30+BW30+CA30</f>
        <v>74000</v>
      </c>
      <c r="CE30" s="102">
        <f t="shared" ref="CE30:CE69" si="20">X30+AB30+AF30+AJ30+AN30+AR30+AV30+AZ30+BD30+BH30+BL30+BP30+BT30+BX30+CB30</f>
        <v>74000</v>
      </c>
      <c r="CF30" s="102">
        <f t="shared" ref="CF30:CF69" si="21">Y30+AC30+AG30+AK30+AO30+AS30+AW30+BA30+BE30+BI30+BM30+BQ30+BU30+BY30+CC30</f>
        <v>72390.5</v>
      </c>
      <c r="CG30" s="102">
        <f t="shared" ref="CG30:CG68" si="22">E30+F30+G30+H30</f>
        <v>1609.5</v>
      </c>
      <c r="CH30" s="124">
        <f t="shared" ref="CH30:CH68" si="23">Q30-CF30-CG30</f>
        <v>0</v>
      </c>
      <c r="CI30" s="125">
        <f t="shared" ref="CI30:CI68" si="24">IF(ISERROR((CF30+CG30)/Q30),"-",(CF30+CG30)/Q30)</f>
        <v>1</v>
      </c>
      <c r="CJ30" s="126" t="str">
        <f t="shared" ref="CJ30:CJ68" si="25">IF(Q30-CD30=0,"数据正确","数据错误")</f>
        <v>数据正确</v>
      </c>
    </row>
    <row r="31" s="60" customFormat="1" customHeight="1" spans="2:88">
      <c r="B31" s="70" t="str">
        <f t="shared" si="15"/>
        <v>-</v>
      </c>
      <c r="C31" s="71" t="str">
        <f t="shared" si="16"/>
        <v>已付清</v>
      </c>
      <c r="D31" s="72">
        <f t="shared" si="17"/>
        <v>7069424</v>
      </c>
      <c r="E31" s="72">
        <v>0</v>
      </c>
      <c r="F31" s="72">
        <v>0</v>
      </c>
      <c r="G31" s="72">
        <v>0</v>
      </c>
      <c r="H31" s="72">
        <v>0</v>
      </c>
      <c r="I31" s="72">
        <f t="shared" si="18"/>
        <v>0</v>
      </c>
      <c r="J31" s="168" t="s">
        <v>98</v>
      </c>
      <c r="K31" s="87"/>
      <c r="L31" s="88">
        <v>45</v>
      </c>
      <c r="M31" s="89" t="s">
        <v>1297</v>
      </c>
      <c r="N31" s="90" t="s">
        <v>31</v>
      </c>
      <c r="O31" s="90">
        <v>2017050024</v>
      </c>
      <c r="P31" s="91">
        <v>42875</v>
      </c>
      <c r="Q31" s="102">
        <v>7069424</v>
      </c>
      <c r="R31" s="89" t="s">
        <v>1298</v>
      </c>
      <c r="S31" s="89" t="s">
        <v>1299</v>
      </c>
      <c r="T31" s="89" t="s">
        <v>1300</v>
      </c>
      <c r="U31" s="103" t="s">
        <v>329</v>
      </c>
      <c r="V31" s="105" t="s">
        <v>1301</v>
      </c>
      <c r="W31" s="102">
        <v>7069424</v>
      </c>
      <c r="X31" s="102">
        <v>7069424</v>
      </c>
      <c r="Y31" s="102">
        <v>7069424</v>
      </c>
      <c r="Z31" s="107"/>
      <c r="AA31" s="102"/>
      <c r="AB31" s="102"/>
      <c r="AC31" s="102"/>
      <c r="AD31" s="107"/>
      <c r="AE31" s="102"/>
      <c r="AF31" s="102"/>
      <c r="AG31" s="102"/>
      <c r="AH31" s="107"/>
      <c r="AI31" s="102"/>
      <c r="AJ31" s="102"/>
      <c r="AK31" s="102"/>
      <c r="AL31" s="107"/>
      <c r="AM31" s="102"/>
      <c r="AN31" s="102"/>
      <c r="AO31" s="102"/>
      <c r="AP31" s="107"/>
      <c r="AQ31" s="102"/>
      <c r="AR31" s="102"/>
      <c r="AS31" s="102"/>
      <c r="AT31" s="107"/>
      <c r="AU31" s="102"/>
      <c r="AV31" s="102"/>
      <c r="AW31" s="102"/>
      <c r="AX31" s="107"/>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22"/>
      <c r="CD31" s="123">
        <f t="shared" si="19"/>
        <v>7069424</v>
      </c>
      <c r="CE31" s="102">
        <f t="shared" si="20"/>
        <v>7069424</v>
      </c>
      <c r="CF31" s="102">
        <f t="shared" si="21"/>
        <v>7069424</v>
      </c>
      <c r="CG31" s="102">
        <f t="shared" si="22"/>
        <v>0</v>
      </c>
      <c r="CH31" s="124">
        <f t="shared" si="23"/>
        <v>0</v>
      </c>
      <c r="CI31" s="125">
        <f t="shared" si="24"/>
        <v>1</v>
      </c>
      <c r="CJ31" s="126" t="str">
        <f t="shared" si="25"/>
        <v>数据正确</v>
      </c>
    </row>
    <row r="32" s="60" customFormat="1" customHeight="1" spans="2:88">
      <c r="B32" s="70" t="str">
        <f t="shared" si="15"/>
        <v>-</v>
      </c>
      <c r="C32" s="71" t="str">
        <f t="shared" si="16"/>
        <v>已付清</v>
      </c>
      <c r="D32" s="72">
        <f t="shared" si="17"/>
        <v>79674</v>
      </c>
      <c r="E32" s="72">
        <v>0</v>
      </c>
      <c r="F32" s="72">
        <v>0</v>
      </c>
      <c r="G32" s="72">
        <v>0</v>
      </c>
      <c r="H32" s="72">
        <v>0</v>
      </c>
      <c r="I32" s="72">
        <f t="shared" si="18"/>
        <v>0</v>
      </c>
      <c r="J32" s="168" t="s">
        <v>98</v>
      </c>
      <c r="K32" s="87"/>
      <c r="L32" s="88">
        <v>46</v>
      </c>
      <c r="M32" s="89" t="s">
        <v>1302</v>
      </c>
      <c r="N32" s="90" t="s">
        <v>31</v>
      </c>
      <c r="O32" s="90">
        <v>2017050002</v>
      </c>
      <c r="P32" s="91">
        <v>42876</v>
      </c>
      <c r="Q32" s="154">
        <v>79674</v>
      </c>
      <c r="R32" s="89" t="s">
        <v>1303</v>
      </c>
      <c r="S32" s="89" t="s">
        <v>1207</v>
      </c>
      <c r="T32" s="89"/>
      <c r="U32" s="103" t="s">
        <v>343</v>
      </c>
      <c r="V32" s="105" t="s">
        <v>1304</v>
      </c>
      <c r="W32" s="102">
        <v>79674</v>
      </c>
      <c r="X32" s="102">
        <v>79674</v>
      </c>
      <c r="Y32" s="102">
        <v>79674</v>
      </c>
      <c r="Z32" s="107"/>
      <c r="AA32" s="102"/>
      <c r="AB32" s="102"/>
      <c r="AC32" s="102"/>
      <c r="AD32" s="107"/>
      <c r="AE32" s="102"/>
      <c r="AF32" s="102"/>
      <c r="AG32" s="129"/>
      <c r="AH32" s="107"/>
      <c r="AI32" s="102"/>
      <c r="AJ32" s="102"/>
      <c r="AK32" s="102"/>
      <c r="AL32" s="107"/>
      <c r="AM32" s="102"/>
      <c r="AN32" s="102"/>
      <c r="AO32" s="102"/>
      <c r="AP32" s="107"/>
      <c r="AQ32" s="102"/>
      <c r="AR32" s="102"/>
      <c r="AS32" s="102"/>
      <c r="AT32" s="107"/>
      <c r="AU32" s="102"/>
      <c r="AV32" s="102"/>
      <c r="AW32" s="102"/>
      <c r="AX32" s="107"/>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22"/>
      <c r="CD32" s="123">
        <f t="shared" si="19"/>
        <v>79674</v>
      </c>
      <c r="CE32" s="102">
        <f t="shared" si="20"/>
        <v>79674</v>
      </c>
      <c r="CF32" s="102">
        <f t="shared" si="21"/>
        <v>79674</v>
      </c>
      <c r="CG32" s="102">
        <f t="shared" si="22"/>
        <v>0</v>
      </c>
      <c r="CH32" s="124">
        <f t="shared" si="23"/>
        <v>0</v>
      </c>
      <c r="CI32" s="125">
        <f t="shared" si="24"/>
        <v>1</v>
      </c>
      <c r="CJ32" s="126" t="str">
        <f t="shared" si="25"/>
        <v>数据正确</v>
      </c>
    </row>
    <row r="33" s="60" customFormat="1" customHeight="1" spans="2:88">
      <c r="B33" s="70" t="str">
        <f t="shared" si="15"/>
        <v>-</v>
      </c>
      <c r="C33" s="71" t="str">
        <f t="shared" si="16"/>
        <v>已付清</v>
      </c>
      <c r="D33" s="72">
        <f t="shared" si="17"/>
        <v>100000</v>
      </c>
      <c r="E33" s="72">
        <v>0</v>
      </c>
      <c r="F33" s="72">
        <v>0</v>
      </c>
      <c r="G33" s="72">
        <v>0</v>
      </c>
      <c r="H33" s="72">
        <v>0</v>
      </c>
      <c r="I33" s="72">
        <f t="shared" si="18"/>
        <v>0</v>
      </c>
      <c r="J33" s="168" t="s">
        <v>98</v>
      </c>
      <c r="K33" s="87"/>
      <c r="L33" s="88">
        <v>69</v>
      </c>
      <c r="M33" s="89" t="s">
        <v>1305</v>
      </c>
      <c r="N33" s="90" t="s">
        <v>31</v>
      </c>
      <c r="O33" s="90">
        <v>2017060007</v>
      </c>
      <c r="P33" s="91">
        <v>42912</v>
      </c>
      <c r="Q33" s="154">
        <v>100000</v>
      </c>
      <c r="R33" s="89" t="s">
        <v>1306</v>
      </c>
      <c r="S33" s="89" t="s">
        <v>342</v>
      </c>
      <c r="T33" s="89"/>
      <c r="U33" s="103" t="s">
        <v>354</v>
      </c>
      <c r="V33" s="105" t="s">
        <v>1307</v>
      </c>
      <c r="W33" s="102">
        <v>100000</v>
      </c>
      <c r="X33" s="102">
        <v>100000</v>
      </c>
      <c r="Y33" s="102">
        <v>100000</v>
      </c>
      <c r="Z33" s="107"/>
      <c r="AA33" s="102"/>
      <c r="AB33" s="102"/>
      <c r="AC33" s="102"/>
      <c r="AD33" s="107"/>
      <c r="AE33" s="102"/>
      <c r="AF33" s="102"/>
      <c r="AG33" s="102"/>
      <c r="AH33" s="107"/>
      <c r="AI33" s="102"/>
      <c r="AJ33" s="102"/>
      <c r="AK33" s="102"/>
      <c r="AL33" s="107"/>
      <c r="AM33" s="102"/>
      <c r="AN33" s="102"/>
      <c r="AO33" s="102"/>
      <c r="AP33" s="107"/>
      <c r="AQ33" s="102"/>
      <c r="AR33" s="102"/>
      <c r="AS33" s="102"/>
      <c r="AT33" s="107"/>
      <c r="AU33" s="102"/>
      <c r="AV33" s="102"/>
      <c r="AW33" s="102"/>
      <c r="AX33" s="107"/>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22"/>
      <c r="CD33" s="123">
        <f t="shared" si="19"/>
        <v>100000</v>
      </c>
      <c r="CE33" s="102">
        <f t="shared" si="20"/>
        <v>100000</v>
      </c>
      <c r="CF33" s="102">
        <f t="shared" si="21"/>
        <v>100000</v>
      </c>
      <c r="CG33" s="102">
        <f t="shared" si="22"/>
        <v>0</v>
      </c>
      <c r="CH33" s="124">
        <f t="shared" si="23"/>
        <v>0</v>
      </c>
      <c r="CI33" s="125">
        <f t="shared" si="24"/>
        <v>1</v>
      </c>
      <c r="CJ33" s="126" t="str">
        <f t="shared" si="25"/>
        <v>数据正确</v>
      </c>
    </row>
    <row r="34" s="60" customFormat="1" customHeight="1" spans="2:88">
      <c r="B34" s="70" t="str">
        <f t="shared" si="15"/>
        <v>-</v>
      </c>
      <c r="C34" s="71" t="str">
        <f t="shared" si="16"/>
        <v>已付清</v>
      </c>
      <c r="D34" s="72">
        <f t="shared" si="17"/>
        <v>56000</v>
      </c>
      <c r="E34" s="72">
        <v>0</v>
      </c>
      <c r="F34" s="72">
        <v>0</v>
      </c>
      <c r="G34" s="72">
        <v>0</v>
      </c>
      <c r="H34" s="72">
        <v>0</v>
      </c>
      <c r="I34" s="72">
        <f t="shared" si="18"/>
        <v>0</v>
      </c>
      <c r="J34" s="168" t="s">
        <v>98</v>
      </c>
      <c r="K34" s="87"/>
      <c r="L34" s="88">
        <v>71</v>
      </c>
      <c r="M34" s="89" t="s">
        <v>1308</v>
      </c>
      <c r="N34" s="90" t="s">
        <v>31</v>
      </c>
      <c r="O34" s="90">
        <v>2017060007</v>
      </c>
      <c r="P34" s="91">
        <v>42912</v>
      </c>
      <c r="Q34" s="154">
        <v>56000</v>
      </c>
      <c r="R34" s="89" t="s">
        <v>1309</v>
      </c>
      <c r="S34" s="89" t="s">
        <v>1310</v>
      </c>
      <c r="T34" s="89"/>
      <c r="U34" s="103" t="s">
        <v>343</v>
      </c>
      <c r="V34" s="105" t="s">
        <v>1307</v>
      </c>
      <c r="W34" s="102">
        <v>56000</v>
      </c>
      <c r="X34" s="102">
        <v>56000</v>
      </c>
      <c r="Y34" s="102">
        <v>56000</v>
      </c>
      <c r="Z34" s="107"/>
      <c r="AA34" s="102"/>
      <c r="AB34" s="102"/>
      <c r="AC34" s="102"/>
      <c r="AD34" s="107"/>
      <c r="AE34" s="102"/>
      <c r="AF34" s="102"/>
      <c r="AG34" s="129"/>
      <c r="AH34" s="107"/>
      <c r="AI34" s="102"/>
      <c r="AJ34" s="102"/>
      <c r="AK34" s="102"/>
      <c r="AL34" s="107"/>
      <c r="AM34" s="102"/>
      <c r="AN34" s="102"/>
      <c r="AO34" s="102"/>
      <c r="AP34" s="107"/>
      <c r="AQ34" s="102"/>
      <c r="AR34" s="102"/>
      <c r="AS34" s="102"/>
      <c r="AT34" s="107"/>
      <c r="AU34" s="102"/>
      <c r="AV34" s="102"/>
      <c r="AW34" s="102"/>
      <c r="AX34" s="107"/>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22"/>
      <c r="CD34" s="123">
        <f t="shared" si="19"/>
        <v>56000</v>
      </c>
      <c r="CE34" s="102">
        <f t="shared" si="20"/>
        <v>56000</v>
      </c>
      <c r="CF34" s="102">
        <f t="shared" si="21"/>
        <v>56000</v>
      </c>
      <c r="CG34" s="102">
        <f t="shared" si="22"/>
        <v>0</v>
      </c>
      <c r="CH34" s="124">
        <f t="shared" si="23"/>
        <v>0</v>
      </c>
      <c r="CI34" s="125">
        <f t="shared" si="24"/>
        <v>1</v>
      </c>
      <c r="CJ34" s="126" t="str">
        <f t="shared" si="25"/>
        <v>数据正确</v>
      </c>
    </row>
    <row r="35" s="60" customFormat="1" customHeight="1" spans="2:88">
      <c r="B35" s="70" t="str">
        <f t="shared" si="15"/>
        <v>-</v>
      </c>
      <c r="C35" s="71" t="str">
        <f t="shared" si="16"/>
        <v>已付清</v>
      </c>
      <c r="D35" s="72">
        <f t="shared" si="17"/>
        <v>47934.25</v>
      </c>
      <c r="E35" s="72">
        <v>0</v>
      </c>
      <c r="F35" s="72">
        <v>0</v>
      </c>
      <c r="G35" s="72">
        <v>1065.75</v>
      </c>
      <c r="H35" s="72">
        <v>0</v>
      </c>
      <c r="I35" s="72">
        <f t="shared" si="18"/>
        <v>0</v>
      </c>
      <c r="J35" s="168" t="s">
        <v>98</v>
      </c>
      <c r="K35" s="87"/>
      <c r="L35" s="88">
        <v>150</v>
      </c>
      <c r="M35" s="89" t="s">
        <v>1311</v>
      </c>
      <c r="N35" s="90" t="s">
        <v>31</v>
      </c>
      <c r="O35" s="169">
        <v>2017060075</v>
      </c>
      <c r="P35" s="91">
        <v>42916</v>
      </c>
      <c r="Q35" s="154">
        <v>49000</v>
      </c>
      <c r="R35" s="89" t="s">
        <v>1312</v>
      </c>
      <c r="S35" s="89" t="s">
        <v>1313</v>
      </c>
      <c r="T35" s="89"/>
      <c r="U35" s="103" t="s">
        <v>354</v>
      </c>
      <c r="V35" s="105" t="s">
        <v>1314</v>
      </c>
      <c r="W35" s="102">
        <v>49000</v>
      </c>
      <c r="X35" s="102">
        <v>49000</v>
      </c>
      <c r="Y35" s="102">
        <v>47934.25</v>
      </c>
      <c r="Z35" s="107"/>
      <c r="AA35" s="102"/>
      <c r="AB35" s="102"/>
      <c r="AC35" s="102"/>
      <c r="AD35" s="107"/>
      <c r="AE35" s="102"/>
      <c r="AF35" s="102"/>
      <c r="AG35" s="102"/>
      <c r="AH35" s="107"/>
      <c r="AI35" s="102"/>
      <c r="AJ35" s="102"/>
      <c r="AK35" s="102"/>
      <c r="AL35" s="107"/>
      <c r="AM35" s="102"/>
      <c r="AN35" s="102"/>
      <c r="AO35" s="102"/>
      <c r="AP35" s="107"/>
      <c r="AQ35" s="102"/>
      <c r="AR35" s="102"/>
      <c r="AS35" s="102"/>
      <c r="AT35" s="107"/>
      <c r="AU35" s="102"/>
      <c r="AV35" s="102"/>
      <c r="AW35" s="102"/>
      <c r="AX35" s="107"/>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22"/>
      <c r="CD35" s="123">
        <f t="shared" si="19"/>
        <v>49000</v>
      </c>
      <c r="CE35" s="102">
        <f t="shared" si="20"/>
        <v>49000</v>
      </c>
      <c r="CF35" s="102">
        <f t="shared" si="21"/>
        <v>47934.25</v>
      </c>
      <c r="CG35" s="102">
        <f t="shared" si="22"/>
        <v>1065.75</v>
      </c>
      <c r="CH35" s="124">
        <f t="shared" si="23"/>
        <v>0</v>
      </c>
      <c r="CI35" s="125">
        <f t="shared" si="24"/>
        <v>1</v>
      </c>
      <c r="CJ35" s="126" t="str">
        <f t="shared" si="25"/>
        <v>数据正确</v>
      </c>
    </row>
    <row r="36" s="60" customFormat="1" customHeight="1" spans="2:88">
      <c r="B36" s="70" t="str">
        <f t="shared" si="15"/>
        <v>-</v>
      </c>
      <c r="C36" s="71" t="str">
        <f t="shared" si="16"/>
        <v>已付清</v>
      </c>
      <c r="D36" s="72">
        <f t="shared" si="17"/>
        <v>9999.6</v>
      </c>
      <c r="E36" s="72">
        <v>0</v>
      </c>
      <c r="F36" s="72">
        <v>0</v>
      </c>
      <c r="G36" s="72">
        <v>0</v>
      </c>
      <c r="H36" s="72">
        <v>0</v>
      </c>
      <c r="I36" s="72">
        <f t="shared" si="18"/>
        <v>0</v>
      </c>
      <c r="J36" s="168" t="s">
        <v>98</v>
      </c>
      <c r="K36" s="87"/>
      <c r="L36" s="88">
        <v>147</v>
      </c>
      <c r="M36" s="89" t="s">
        <v>1315</v>
      </c>
      <c r="N36" s="90" t="s">
        <v>31</v>
      </c>
      <c r="O36" s="90">
        <v>2017060045</v>
      </c>
      <c r="P36" s="91">
        <v>42917</v>
      </c>
      <c r="Q36" s="154">
        <f>6000+3999.6</f>
        <v>9999.6</v>
      </c>
      <c r="R36" s="89" t="s">
        <v>1316</v>
      </c>
      <c r="S36" s="89" t="s">
        <v>1317</v>
      </c>
      <c r="T36" s="89"/>
      <c r="U36" s="103" t="s">
        <v>343</v>
      </c>
      <c r="V36" s="105" t="s">
        <v>1318</v>
      </c>
      <c r="W36" s="102">
        <v>6000</v>
      </c>
      <c r="X36" s="102">
        <v>6000</v>
      </c>
      <c r="Y36" s="102">
        <v>6000</v>
      </c>
      <c r="Z36" s="107"/>
      <c r="AA36" s="102">
        <v>3999.6</v>
      </c>
      <c r="AB36" s="102">
        <v>3999.6</v>
      </c>
      <c r="AC36" s="102">
        <v>3999.6</v>
      </c>
      <c r="AD36" s="107"/>
      <c r="AE36" s="102"/>
      <c r="AF36" s="102"/>
      <c r="AG36" s="129"/>
      <c r="AH36" s="107"/>
      <c r="AI36" s="102"/>
      <c r="AJ36" s="102"/>
      <c r="AK36" s="102"/>
      <c r="AL36" s="107"/>
      <c r="AM36" s="102"/>
      <c r="AN36" s="102"/>
      <c r="AO36" s="102"/>
      <c r="AP36" s="107"/>
      <c r="AQ36" s="102"/>
      <c r="AR36" s="102"/>
      <c r="AS36" s="102"/>
      <c r="AT36" s="107"/>
      <c r="AU36" s="102"/>
      <c r="AV36" s="102"/>
      <c r="AW36" s="102"/>
      <c r="AX36" s="107"/>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22"/>
      <c r="CD36" s="123">
        <f t="shared" si="19"/>
        <v>9999.6</v>
      </c>
      <c r="CE36" s="102">
        <f t="shared" si="20"/>
        <v>9999.6</v>
      </c>
      <c r="CF36" s="102">
        <f t="shared" si="21"/>
        <v>9999.6</v>
      </c>
      <c r="CG36" s="102">
        <f t="shared" si="22"/>
        <v>0</v>
      </c>
      <c r="CH36" s="124">
        <f t="shared" si="23"/>
        <v>0</v>
      </c>
      <c r="CI36" s="125">
        <f t="shared" si="24"/>
        <v>1</v>
      </c>
      <c r="CJ36" s="126" t="str">
        <f t="shared" si="25"/>
        <v>数据正确</v>
      </c>
    </row>
    <row r="37" s="60" customFormat="1" customHeight="1" spans="2:88">
      <c r="B37" s="70" t="str">
        <f t="shared" si="15"/>
        <v>-</v>
      </c>
      <c r="C37" s="71" t="str">
        <f t="shared" si="16"/>
        <v>已付清</v>
      </c>
      <c r="D37" s="72">
        <f t="shared" si="17"/>
        <v>44560</v>
      </c>
      <c r="E37" s="72">
        <v>0</v>
      </c>
      <c r="F37" s="72">
        <v>0</v>
      </c>
      <c r="G37" s="72">
        <v>0</v>
      </c>
      <c r="H37" s="72">
        <v>0</v>
      </c>
      <c r="I37" s="72">
        <f t="shared" si="18"/>
        <v>0</v>
      </c>
      <c r="J37" s="168" t="s">
        <v>98</v>
      </c>
      <c r="K37" s="87"/>
      <c r="L37" s="88">
        <v>155</v>
      </c>
      <c r="M37" s="89" t="s">
        <v>1319</v>
      </c>
      <c r="N37" s="90" t="s">
        <v>31</v>
      </c>
      <c r="O37" s="90">
        <v>2017060075</v>
      </c>
      <c r="P37" s="91">
        <v>42921</v>
      </c>
      <c r="Q37" s="154">
        <v>44560</v>
      </c>
      <c r="R37" s="89" t="s">
        <v>1320</v>
      </c>
      <c r="S37" s="89" t="s">
        <v>1321</v>
      </c>
      <c r="T37" s="89"/>
      <c r="U37" s="103" t="s">
        <v>343</v>
      </c>
      <c r="V37" s="105" t="s">
        <v>1314</v>
      </c>
      <c r="W37" s="102">
        <v>44560</v>
      </c>
      <c r="X37" s="102">
        <v>44560</v>
      </c>
      <c r="Y37" s="102">
        <v>44560</v>
      </c>
      <c r="Z37" s="107"/>
      <c r="AA37" s="102"/>
      <c r="AB37" s="102"/>
      <c r="AC37" s="102"/>
      <c r="AD37" s="107"/>
      <c r="AE37" s="102"/>
      <c r="AF37" s="102"/>
      <c r="AG37" s="102"/>
      <c r="AH37" s="107"/>
      <c r="AI37" s="102"/>
      <c r="AJ37" s="102"/>
      <c r="AK37" s="102"/>
      <c r="AL37" s="107"/>
      <c r="AM37" s="102"/>
      <c r="AN37" s="102"/>
      <c r="AO37" s="102"/>
      <c r="AP37" s="107"/>
      <c r="AQ37" s="102"/>
      <c r="AR37" s="102"/>
      <c r="AS37" s="102"/>
      <c r="AT37" s="107"/>
      <c r="AU37" s="102"/>
      <c r="AV37" s="102"/>
      <c r="AW37" s="102"/>
      <c r="AX37" s="107"/>
      <c r="AY37" s="102"/>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22"/>
      <c r="CD37" s="123">
        <f t="shared" si="19"/>
        <v>44560</v>
      </c>
      <c r="CE37" s="102">
        <f t="shared" si="20"/>
        <v>44560</v>
      </c>
      <c r="CF37" s="102">
        <f t="shared" si="21"/>
        <v>44560</v>
      </c>
      <c r="CG37" s="102">
        <f t="shared" si="22"/>
        <v>0</v>
      </c>
      <c r="CH37" s="124">
        <f t="shared" si="23"/>
        <v>0</v>
      </c>
      <c r="CI37" s="125">
        <f t="shared" si="24"/>
        <v>1</v>
      </c>
      <c r="CJ37" s="126" t="str">
        <f t="shared" si="25"/>
        <v>数据正确</v>
      </c>
    </row>
    <row r="38" s="60" customFormat="1" customHeight="1" spans="2:88">
      <c r="B38" s="70" t="str">
        <f t="shared" si="15"/>
        <v>-</v>
      </c>
      <c r="C38" s="71" t="str">
        <f t="shared" si="16"/>
        <v>-</v>
      </c>
      <c r="D38" s="72">
        <f t="shared" si="17"/>
        <v>0</v>
      </c>
      <c r="E38" s="72">
        <v>0</v>
      </c>
      <c r="F38" s="72">
        <v>0</v>
      </c>
      <c r="G38" s="72">
        <v>0</v>
      </c>
      <c r="H38" s="72">
        <v>0</v>
      </c>
      <c r="I38" s="72">
        <f t="shared" si="18"/>
        <v>0</v>
      </c>
      <c r="J38" s="168" t="s">
        <v>98</v>
      </c>
      <c r="K38" s="87"/>
      <c r="L38" s="88">
        <v>180</v>
      </c>
      <c r="M38" s="89" t="s">
        <v>1322</v>
      </c>
      <c r="N38" s="90" t="s">
        <v>31</v>
      </c>
      <c r="O38" s="90"/>
      <c r="P38" s="91">
        <v>42922</v>
      </c>
      <c r="Q38" s="102">
        <v>35000</v>
      </c>
      <c r="R38" s="89" t="s">
        <v>1323</v>
      </c>
      <c r="S38" s="89" t="s">
        <v>1324</v>
      </c>
      <c r="T38" s="89"/>
      <c r="U38" s="103" t="s">
        <v>343</v>
      </c>
      <c r="V38" s="105" t="s">
        <v>1325</v>
      </c>
      <c r="W38" s="102">
        <v>35000</v>
      </c>
      <c r="X38" s="102"/>
      <c r="Y38" s="102"/>
      <c r="Z38" s="107"/>
      <c r="AA38" s="102"/>
      <c r="AB38" s="102"/>
      <c r="AC38" s="102"/>
      <c r="AD38" s="107"/>
      <c r="AE38" s="102"/>
      <c r="AF38" s="102"/>
      <c r="AG38" s="129"/>
      <c r="AH38" s="107"/>
      <c r="AI38" s="102"/>
      <c r="AJ38" s="102"/>
      <c r="AK38" s="102"/>
      <c r="AL38" s="107"/>
      <c r="AM38" s="102"/>
      <c r="AN38" s="102"/>
      <c r="AO38" s="102"/>
      <c r="AP38" s="107"/>
      <c r="AQ38" s="102"/>
      <c r="AR38" s="102"/>
      <c r="AS38" s="102"/>
      <c r="AT38" s="107"/>
      <c r="AU38" s="102"/>
      <c r="AV38" s="102"/>
      <c r="AW38" s="102"/>
      <c r="AX38" s="107"/>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22"/>
      <c r="CD38" s="123">
        <f t="shared" si="19"/>
        <v>35000</v>
      </c>
      <c r="CE38" s="102">
        <f t="shared" si="20"/>
        <v>0</v>
      </c>
      <c r="CF38" s="102">
        <f t="shared" si="21"/>
        <v>0</v>
      </c>
      <c r="CG38" s="102">
        <f t="shared" si="22"/>
        <v>0</v>
      </c>
      <c r="CH38" s="124">
        <f t="shared" si="23"/>
        <v>35000</v>
      </c>
      <c r="CI38" s="125">
        <f t="shared" si="24"/>
        <v>0</v>
      </c>
      <c r="CJ38" s="126" t="str">
        <f t="shared" si="25"/>
        <v>数据正确</v>
      </c>
    </row>
    <row r="39" s="60" customFormat="1" customHeight="1" spans="2:88">
      <c r="B39" s="70" t="str">
        <f t="shared" si="15"/>
        <v>申请中</v>
      </c>
      <c r="C39" s="71" t="str">
        <f t="shared" si="16"/>
        <v>-</v>
      </c>
      <c r="D39" s="72">
        <f t="shared" si="17"/>
        <v>1344758.2</v>
      </c>
      <c r="E39" s="72">
        <v>0</v>
      </c>
      <c r="F39" s="72">
        <v>0</v>
      </c>
      <c r="G39" s="72">
        <v>0</v>
      </c>
      <c r="H39" s="72">
        <v>0</v>
      </c>
      <c r="I39" s="72">
        <f t="shared" si="18"/>
        <v>2714313.6</v>
      </c>
      <c r="J39" s="168" t="s">
        <v>98</v>
      </c>
      <c r="K39" s="87"/>
      <c r="L39" s="88">
        <v>151</v>
      </c>
      <c r="M39" s="89" t="s">
        <v>1326</v>
      </c>
      <c r="N39" s="90" t="s">
        <v>31</v>
      </c>
      <c r="O39" s="90">
        <v>2017060075</v>
      </c>
      <c r="P39" s="91">
        <v>42934</v>
      </c>
      <c r="Q39" s="154">
        <v>13447582</v>
      </c>
      <c r="R39" s="89" t="s">
        <v>1327</v>
      </c>
      <c r="S39" s="89" t="s">
        <v>1328</v>
      </c>
      <c r="T39" s="89" t="s">
        <v>1329</v>
      </c>
      <c r="U39" s="103" t="s">
        <v>354</v>
      </c>
      <c r="V39" s="105" t="s">
        <v>1330</v>
      </c>
      <c r="W39" s="102">
        <v>1344758.2</v>
      </c>
      <c r="X39" s="102">
        <v>1344758.2</v>
      </c>
      <c r="Y39" s="102">
        <v>1344758.2</v>
      </c>
      <c r="Z39" s="107" t="s">
        <v>1331</v>
      </c>
      <c r="AA39" s="102">
        <v>10758065.6</v>
      </c>
      <c r="AB39" s="102">
        <v>2714313.6</v>
      </c>
      <c r="AC39" s="102"/>
      <c r="AD39" s="107" t="s">
        <v>1188</v>
      </c>
      <c r="AE39" s="102">
        <v>1344758.2</v>
      </c>
      <c r="AF39" s="102"/>
      <c r="AG39" s="102"/>
      <c r="AH39" s="107"/>
      <c r="AI39" s="102"/>
      <c r="AJ39" s="102"/>
      <c r="AK39" s="102"/>
      <c r="AL39" s="107"/>
      <c r="AM39" s="102"/>
      <c r="AN39" s="102"/>
      <c r="AO39" s="102"/>
      <c r="AP39" s="107"/>
      <c r="AQ39" s="102"/>
      <c r="AR39" s="102"/>
      <c r="AS39" s="102"/>
      <c r="AT39" s="107"/>
      <c r="AU39" s="102"/>
      <c r="AV39" s="102"/>
      <c r="AW39" s="102"/>
      <c r="AX39" s="107"/>
      <c r="AY39" s="102"/>
      <c r="AZ39" s="102"/>
      <c r="BA39" s="102"/>
      <c r="BB39" s="102"/>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22"/>
      <c r="CD39" s="123">
        <f t="shared" si="19"/>
        <v>13447582</v>
      </c>
      <c r="CE39" s="102">
        <f t="shared" si="20"/>
        <v>4059071.8</v>
      </c>
      <c r="CF39" s="102">
        <f t="shared" si="21"/>
        <v>1344758.2</v>
      </c>
      <c r="CG39" s="102">
        <f t="shared" si="22"/>
        <v>0</v>
      </c>
      <c r="CH39" s="124">
        <f t="shared" si="23"/>
        <v>12102823.8</v>
      </c>
      <c r="CI39" s="125">
        <f t="shared" si="24"/>
        <v>0.1</v>
      </c>
      <c r="CJ39" s="126" t="str">
        <f t="shared" si="25"/>
        <v>数据正确</v>
      </c>
    </row>
    <row r="40" s="60" customFormat="1" customHeight="1" spans="2:88">
      <c r="B40" s="70" t="str">
        <f t="shared" si="15"/>
        <v>-</v>
      </c>
      <c r="C40" s="71" t="str">
        <f t="shared" si="16"/>
        <v>-</v>
      </c>
      <c r="D40" s="72">
        <f t="shared" si="17"/>
        <v>350000</v>
      </c>
      <c r="E40" s="72">
        <v>0</v>
      </c>
      <c r="F40" s="72">
        <v>0</v>
      </c>
      <c r="G40" s="72">
        <v>0</v>
      </c>
      <c r="H40" s="72">
        <v>0</v>
      </c>
      <c r="I40" s="72">
        <f t="shared" si="18"/>
        <v>0</v>
      </c>
      <c r="J40" s="168" t="s">
        <v>98</v>
      </c>
      <c r="K40" s="87"/>
      <c r="L40" s="88">
        <v>231</v>
      </c>
      <c r="M40" s="89" t="s">
        <v>1332</v>
      </c>
      <c r="N40" s="90" t="s">
        <v>31</v>
      </c>
      <c r="O40" s="90"/>
      <c r="P40" s="91">
        <v>42962</v>
      </c>
      <c r="Q40" s="154">
        <v>1750000</v>
      </c>
      <c r="R40" s="89" t="s">
        <v>1333</v>
      </c>
      <c r="S40" s="89" t="s">
        <v>1334</v>
      </c>
      <c r="T40" s="89" t="s">
        <v>490</v>
      </c>
      <c r="U40" s="103" t="s">
        <v>343</v>
      </c>
      <c r="V40" s="105" t="s">
        <v>1335</v>
      </c>
      <c r="W40" s="102">
        <v>350000</v>
      </c>
      <c r="X40" s="102">
        <v>350000</v>
      </c>
      <c r="Y40" s="102">
        <v>350000</v>
      </c>
      <c r="Z40" s="107" t="s">
        <v>1336</v>
      </c>
      <c r="AA40" s="102">
        <v>1050000</v>
      </c>
      <c r="AB40" s="102"/>
      <c r="AC40" s="102"/>
      <c r="AD40" s="107" t="s">
        <v>1337</v>
      </c>
      <c r="AE40" s="102">
        <v>175000</v>
      </c>
      <c r="AF40" s="102"/>
      <c r="AG40" s="129"/>
      <c r="AH40" s="107" t="s">
        <v>1338</v>
      </c>
      <c r="AI40" s="102">
        <v>175000</v>
      </c>
      <c r="AJ40" s="102"/>
      <c r="AK40" s="102"/>
      <c r="AL40" s="107"/>
      <c r="AM40" s="102"/>
      <c r="AN40" s="102"/>
      <c r="AO40" s="102"/>
      <c r="AP40" s="107"/>
      <c r="AQ40" s="102"/>
      <c r="AR40" s="102"/>
      <c r="AS40" s="102"/>
      <c r="AT40" s="107"/>
      <c r="AU40" s="102"/>
      <c r="AV40" s="102"/>
      <c r="AW40" s="102"/>
      <c r="AX40" s="107"/>
      <c r="AY40" s="102"/>
      <c r="AZ40" s="102"/>
      <c r="BA40" s="102"/>
      <c r="BB40" s="102"/>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22"/>
      <c r="CD40" s="123">
        <f t="shared" si="19"/>
        <v>1750000</v>
      </c>
      <c r="CE40" s="102">
        <f t="shared" si="20"/>
        <v>350000</v>
      </c>
      <c r="CF40" s="102">
        <f t="shared" si="21"/>
        <v>350000</v>
      </c>
      <c r="CG40" s="102">
        <f t="shared" si="22"/>
        <v>0</v>
      </c>
      <c r="CH40" s="124">
        <f t="shared" si="23"/>
        <v>1400000</v>
      </c>
      <c r="CI40" s="125">
        <f t="shared" si="24"/>
        <v>0.2</v>
      </c>
      <c r="CJ40" s="126" t="str">
        <f t="shared" si="25"/>
        <v>数据正确</v>
      </c>
    </row>
    <row r="41" s="60" customFormat="1" customHeight="1" spans="1:88">
      <c r="A41" s="60" t="s">
        <v>36</v>
      </c>
      <c r="B41" s="70" t="str">
        <f t="shared" si="15"/>
        <v>-</v>
      </c>
      <c r="C41" s="71" t="str">
        <f t="shared" si="16"/>
        <v>-</v>
      </c>
      <c r="D41" s="72">
        <f t="shared" si="17"/>
        <v>4980000</v>
      </c>
      <c r="E41" s="72">
        <v>0</v>
      </c>
      <c r="F41" s="72">
        <v>0</v>
      </c>
      <c r="G41" s="72">
        <v>0</v>
      </c>
      <c r="H41" s="72">
        <v>0</v>
      </c>
      <c r="I41" s="72">
        <f t="shared" si="18"/>
        <v>0</v>
      </c>
      <c r="J41" s="168" t="s">
        <v>98</v>
      </c>
      <c r="K41" s="87"/>
      <c r="L41" s="88">
        <v>197</v>
      </c>
      <c r="M41" s="89" t="s">
        <v>1339</v>
      </c>
      <c r="N41" s="90" t="s">
        <v>31</v>
      </c>
      <c r="O41" s="90"/>
      <c r="P41" s="91">
        <v>42964</v>
      </c>
      <c r="Q41" s="102">
        <v>8300000</v>
      </c>
      <c r="R41" s="89" t="s">
        <v>1340</v>
      </c>
      <c r="S41" s="89" t="s">
        <v>1226</v>
      </c>
      <c r="T41" s="89"/>
      <c r="U41" s="103" t="s">
        <v>343</v>
      </c>
      <c r="V41" s="105" t="s">
        <v>1341</v>
      </c>
      <c r="W41" s="102">
        <v>8300000</v>
      </c>
      <c r="X41" s="102">
        <f>1660000+3320000</f>
        <v>4980000</v>
      </c>
      <c r="Y41" s="102">
        <f>1660000+3320000</f>
        <v>4980000</v>
      </c>
      <c r="Z41" s="107"/>
      <c r="AA41" s="102"/>
      <c r="AB41" s="102"/>
      <c r="AC41" s="102"/>
      <c r="AD41" s="107"/>
      <c r="AE41" s="102"/>
      <c r="AF41" s="102"/>
      <c r="AG41" s="102"/>
      <c r="AH41" s="107"/>
      <c r="AI41" s="102"/>
      <c r="AJ41" s="102"/>
      <c r="AK41" s="102"/>
      <c r="AL41" s="107"/>
      <c r="AM41" s="102"/>
      <c r="AN41" s="102"/>
      <c r="AO41" s="102"/>
      <c r="AP41" s="107"/>
      <c r="AQ41" s="102"/>
      <c r="AR41" s="102"/>
      <c r="AS41" s="102"/>
      <c r="AT41" s="107"/>
      <c r="AU41" s="102"/>
      <c r="AV41" s="102"/>
      <c r="AW41" s="102"/>
      <c r="AX41" s="107"/>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22"/>
      <c r="CD41" s="123">
        <f t="shared" si="19"/>
        <v>8300000</v>
      </c>
      <c r="CE41" s="102">
        <f t="shared" si="20"/>
        <v>4980000</v>
      </c>
      <c r="CF41" s="102">
        <f t="shared" si="21"/>
        <v>4980000</v>
      </c>
      <c r="CG41" s="102">
        <f t="shared" si="22"/>
        <v>0</v>
      </c>
      <c r="CH41" s="124">
        <f t="shared" si="23"/>
        <v>3320000</v>
      </c>
      <c r="CI41" s="125">
        <f t="shared" si="24"/>
        <v>0.6</v>
      </c>
      <c r="CJ41" s="126" t="str">
        <f t="shared" si="25"/>
        <v>数据正确</v>
      </c>
    </row>
    <row r="42" s="60" customFormat="1" customHeight="1" spans="1:88">
      <c r="A42" s="60" t="s">
        <v>36</v>
      </c>
      <c r="B42" s="70" t="str">
        <f t="shared" si="15"/>
        <v>-</v>
      </c>
      <c r="C42" s="71" t="str">
        <f t="shared" si="16"/>
        <v>-</v>
      </c>
      <c r="D42" s="72">
        <f t="shared" si="17"/>
        <v>280000</v>
      </c>
      <c r="E42" s="72">
        <v>0</v>
      </c>
      <c r="F42" s="72">
        <v>0</v>
      </c>
      <c r="G42" s="72">
        <v>0</v>
      </c>
      <c r="H42" s="72">
        <v>0</v>
      </c>
      <c r="I42" s="72">
        <f t="shared" si="18"/>
        <v>0</v>
      </c>
      <c r="J42" s="168" t="s">
        <v>98</v>
      </c>
      <c r="K42" s="87"/>
      <c r="L42" s="88">
        <v>227</v>
      </c>
      <c r="M42" s="89" t="s">
        <v>1342</v>
      </c>
      <c r="N42" s="90" t="s">
        <v>31</v>
      </c>
      <c r="O42" s="90">
        <v>2017070048</v>
      </c>
      <c r="P42" s="91">
        <v>42966</v>
      </c>
      <c r="Q42" s="173">
        <v>350000</v>
      </c>
      <c r="R42" s="89" t="s">
        <v>1343</v>
      </c>
      <c r="S42" s="89" t="s">
        <v>1344</v>
      </c>
      <c r="T42" s="89" t="s">
        <v>1345</v>
      </c>
      <c r="U42" s="103" t="s">
        <v>938</v>
      </c>
      <c r="V42" s="105" t="s">
        <v>1346</v>
      </c>
      <c r="W42" s="102">
        <v>280000</v>
      </c>
      <c r="X42" s="102">
        <v>280000</v>
      </c>
      <c r="Y42" s="102">
        <v>280000</v>
      </c>
      <c r="Z42" s="107" t="s">
        <v>1347</v>
      </c>
      <c r="AA42" s="102">
        <v>35000</v>
      </c>
      <c r="AB42" s="102"/>
      <c r="AC42" s="102"/>
      <c r="AD42" s="107" t="s">
        <v>693</v>
      </c>
      <c r="AE42" s="102">
        <v>35000</v>
      </c>
      <c r="AF42" s="102"/>
      <c r="AG42" s="129"/>
      <c r="AH42" s="107"/>
      <c r="AI42" s="102"/>
      <c r="AJ42" s="102"/>
      <c r="AK42" s="102"/>
      <c r="AL42" s="107"/>
      <c r="AM42" s="102"/>
      <c r="AN42" s="102"/>
      <c r="AO42" s="102"/>
      <c r="AP42" s="107"/>
      <c r="AQ42" s="102"/>
      <c r="AR42" s="102"/>
      <c r="AS42" s="102"/>
      <c r="AT42" s="107"/>
      <c r="AU42" s="102"/>
      <c r="AV42" s="102"/>
      <c r="AW42" s="102"/>
      <c r="AX42" s="107"/>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22"/>
      <c r="CD42" s="123">
        <f t="shared" si="19"/>
        <v>350000</v>
      </c>
      <c r="CE42" s="102">
        <f t="shared" si="20"/>
        <v>280000</v>
      </c>
      <c r="CF42" s="102">
        <f t="shared" si="21"/>
        <v>280000</v>
      </c>
      <c r="CG42" s="102">
        <f t="shared" si="22"/>
        <v>0</v>
      </c>
      <c r="CH42" s="124">
        <f t="shared" si="23"/>
        <v>70000</v>
      </c>
      <c r="CI42" s="125">
        <f t="shared" si="24"/>
        <v>0.8</v>
      </c>
      <c r="CJ42" s="126" t="str">
        <f t="shared" si="25"/>
        <v>数据正确</v>
      </c>
    </row>
    <row r="43" s="60" customFormat="1" customHeight="1" spans="2:88">
      <c r="B43" s="70" t="str">
        <f t="shared" si="15"/>
        <v>-</v>
      </c>
      <c r="C43" s="71" t="str">
        <f t="shared" si="16"/>
        <v>-</v>
      </c>
      <c r="D43" s="72">
        <f t="shared" si="17"/>
        <v>0</v>
      </c>
      <c r="E43" s="72">
        <v>0</v>
      </c>
      <c r="F43" s="72">
        <v>0</v>
      </c>
      <c r="G43" s="72">
        <v>0</v>
      </c>
      <c r="H43" s="72">
        <v>0</v>
      </c>
      <c r="I43" s="72">
        <f t="shared" si="18"/>
        <v>0</v>
      </c>
      <c r="J43" s="168" t="s">
        <v>98</v>
      </c>
      <c r="K43" s="87"/>
      <c r="L43" s="88">
        <v>245</v>
      </c>
      <c r="M43" s="89" t="s">
        <v>1348</v>
      </c>
      <c r="N43" s="90" t="s">
        <v>31</v>
      </c>
      <c r="O43" s="90">
        <v>2017070074</v>
      </c>
      <c r="P43" s="91">
        <v>42972</v>
      </c>
      <c r="Q43" s="154">
        <v>280000</v>
      </c>
      <c r="R43" s="89" t="s">
        <v>1349</v>
      </c>
      <c r="S43" s="89" t="s">
        <v>1350</v>
      </c>
      <c r="T43" s="89"/>
      <c r="U43" s="103" t="s">
        <v>1351</v>
      </c>
      <c r="V43" s="105" t="s">
        <v>1352</v>
      </c>
      <c r="W43" s="102">
        <v>266000</v>
      </c>
      <c r="X43" s="102"/>
      <c r="Y43" s="102"/>
      <c r="Z43" s="107" t="s">
        <v>1353</v>
      </c>
      <c r="AA43" s="102">
        <v>14000</v>
      </c>
      <c r="AB43" s="102"/>
      <c r="AC43" s="102"/>
      <c r="AD43" s="107"/>
      <c r="AE43" s="102"/>
      <c r="AF43" s="102"/>
      <c r="AG43" s="102"/>
      <c r="AH43" s="107"/>
      <c r="AI43" s="102"/>
      <c r="AJ43" s="102"/>
      <c r="AK43" s="102"/>
      <c r="AL43" s="107"/>
      <c r="AM43" s="102"/>
      <c r="AN43" s="102"/>
      <c r="AO43" s="102"/>
      <c r="AP43" s="107"/>
      <c r="AQ43" s="102"/>
      <c r="AR43" s="102"/>
      <c r="AS43" s="102"/>
      <c r="AT43" s="107"/>
      <c r="AU43" s="102"/>
      <c r="AV43" s="102"/>
      <c r="AW43" s="102"/>
      <c r="AX43" s="107"/>
      <c r="AY43" s="102"/>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22"/>
      <c r="CD43" s="123">
        <f t="shared" si="19"/>
        <v>280000</v>
      </c>
      <c r="CE43" s="102">
        <f t="shared" si="20"/>
        <v>0</v>
      </c>
      <c r="CF43" s="102">
        <f t="shared" si="21"/>
        <v>0</v>
      </c>
      <c r="CG43" s="102">
        <f t="shared" si="22"/>
        <v>0</v>
      </c>
      <c r="CH43" s="124">
        <f t="shared" si="23"/>
        <v>280000</v>
      </c>
      <c r="CI43" s="125">
        <f t="shared" si="24"/>
        <v>0</v>
      </c>
      <c r="CJ43" s="126" t="str">
        <f t="shared" si="25"/>
        <v>数据正确</v>
      </c>
    </row>
    <row r="44" s="60" customFormat="1" customHeight="1" outlineLevel="1" spans="1:88">
      <c r="A44" s="60" t="s">
        <v>36</v>
      </c>
      <c r="B44" s="70" t="str">
        <f t="shared" si="15"/>
        <v>-</v>
      </c>
      <c r="C44" s="71" t="str">
        <f t="shared" si="16"/>
        <v>-</v>
      </c>
      <c r="D44" s="72">
        <f t="shared" si="17"/>
        <v>273306.74</v>
      </c>
      <c r="E44" s="72">
        <v>0</v>
      </c>
      <c r="F44" s="72">
        <v>0</v>
      </c>
      <c r="G44" s="72">
        <v>0</v>
      </c>
      <c r="H44" s="72">
        <v>0</v>
      </c>
      <c r="I44" s="72">
        <f t="shared" si="18"/>
        <v>0</v>
      </c>
      <c r="J44" s="168" t="s">
        <v>98</v>
      </c>
      <c r="K44" s="87"/>
      <c r="L44" s="88" t="s">
        <v>1354</v>
      </c>
      <c r="M44" s="89" t="s">
        <v>1355</v>
      </c>
      <c r="N44" s="90" t="s">
        <v>31</v>
      </c>
      <c r="O44" s="90"/>
      <c r="P44" s="91">
        <v>42977</v>
      </c>
      <c r="Q44" s="154">
        <f>341633.42</f>
        <v>341633.42</v>
      </c>
      <c r="R44" s="89" t="s">
        <v>1356</v>
      </c>
      <c r="S44" s="89" t="s">
        <v>1344</v>
      </c>
      <c r="T44" s="89"/>
      <c r="U44" s="103" t="s">
        <v>343</v>
      </c>
      <c r="V44" s="105" t="s">
        <v>1357</v>
      </c>
      <c r="W44" s="102">
        <v>273306.736</v>
      </c>
      <c r="X44" s="102">
        <v>273306.74</v>
      </c>
      <c r="Y44" s="102">
        <v>273306.74</v>
      </c>
      <c r="Z44" s="107" t="s">
        <v>1358</v>
      </c>
      <c r="AA44" s="102">
        <v>51245.013</v>
      </c>
      <c r="AB44" s="102"/>
      <c r="AC44" s="102"/>
      <c r="AD44" s="107" t="s">
        <v>1359</v>
      </c>
      <c r="AE44" s="102">
        <v>17081.671</v>
      </c>
      <c r="AF44" s="102"/>
      <c r="AG44" s="129"/>
      <c r="AH44" s="107"/>
      <c r="AI44" s="102"/>
      <c r="AJ44" s="102"/>
      <c r="AK44" s="102"/>
      <c r="AL44" s="107"/>
      <c r="AM44" s="102"/>
      <c r="AN44" s="102"/>
      <c r="AO44" s="102"/>
      <c r="AP44" s="107"/>
      <c r="AQ44" s="102"/>
      <c r="AR44" s="102"/>
      <c r="AS44" s="102"/>
      <c r="AT44" s="107"/>
      <c r="AU44" s="102"/>
      <c r="AV44" s="102"/>
      <c r="AW44" s="102"/>
      <c r="AX44" s="107"/>
      <c r="AY44" s="102"/>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22"/>
      <c r="CD44" s="123">
        <f t="shared" si="19"/>
        <v>341633.42</v>
      </c>
      <c r="CE44" s="102">
        <f t="shared" si="20"/>
        <v>273306.74</v>
      </c>
      <c r="CF44" s="102">
        <f t="shared" si="21"/>
        <v>273306.74</v>
      </c>
      <c r="CG44" s="102">
        <f t="shared" si="22"/>
        <v>0</v>
      </c>
      <c r="CH44" s="124">
        <f t="shared" si="23"/>
        <v>68326.68</v>
      </c>
      <c r="CI44" s="125">
        <f t="shared" si="24"/>
        <v>0.800000011708456</v>
      </c>
      <c r="CJ44" s="126" t="str">
        <f t="shared" si="25"/>
        <v>数据正确</v>
      </c>
    </row>
    <row r="45" s="60" customFormat="1" customHeight="1" outlineLevel="1" spans="1:88">
      <c r="A45" s="60" t="s">
        <v>36</v>
      </c>
      <c r="B45" s="70" t="str">
        <f t="shared" si="15"/>
        <v>-</v>
      </c>
      <c r="C45" s="71" t="str">
        <f t="shared" si="16"/>
        <v>-</v>
      </c>
      <c r="D45" s="72">
        <f t="shared" si="17"/>
        <v>0</v>
      </c>
      <c r="E45" s="72">
        <v>0</v>
      </c>
      <c r="F45" s="72">
        <v>0</v>
      </c>
      <c r="G45" s="72">
        <v>0</v>
      </c>
      <c r="H45" s="72">
        <v>0</v>
      </c>
      <c r="I45" s="72">
        <f t="shared" si="18"/>
        <v>0</v>
      </c>
      <c r="J45" s="168" t="s">
        <v>98</v>
      </c>
      <c r="K45" s="87"/>
      <c r="L45" s="88" t="s">
        <v>1360</v>
      </c>
      <c r="M45" s="89" t="s">
        <v>1361</v>
      </c>
      <c r="N45" s="90" t="s">
        <v>31</v>
      </c>
      <c r="O45" s="90"/>
      <c r="P45" s="91">
        <v>42977</v>
      </c>
      <c r="Q45" s="154">
        <v>289257</v>
      </c>
      <c r="R45" s="89" t="s">
        <v>1356</v>
      </c>
      <c r="S45" s="89" t="s">
        <v>1344</v>
      </c>
      <c r="T45" s="89"/>
      <c r="U45" s="103" t="s">
        <v>343</v>
      </c>
      <c r="V45" s="105" t="s">
        <v>1357</v>
      </c>
      <c r="W45" s="102">
        <v>231405.6</v>
      </c>
      <c r="X45" s="102"/>
      <c r="Y45" s="102"/>
      <c r="Z45" s="107" t="s">
        <v>1358</v>
      </c>
      <c r="AA45" s="102">
        <v>43388.55</v>
      </c>
      <c r="AB45" s="102"/>
      <c r="AC45" s="102"/>
      <c r="AD45" s="107" t="s">
        <v>1359</v>
      </c>
      <c r="AE45" s="102">
        <v>14462.85</v>
      </c>
      <c r="AF45" s="102"/>
      <c r="AG45" s="102"/>
      <c r="AH45" s="107"/>
      <c r="AI45" s="102"/>
      <c r="AJ45" s="102"/>
      <c r="AK45" s="102"/>
      <c r="AL45" s="107"/>
      <c r="AM45" s="102"/>
      <c r="AN45" s="102"/>
      <c r="AO45" s="102"/>
      <c r="AP45" s="107"/>
      <c r="AQ45" s="102"/>
      <c r="AR45" s="102"/>
      <c r="AS45" s="102"/>
      <c r="AT45" s="107"/>
      <c r="AU45" s="102"/>
      <c r="AV45" s="102"/>
      <c r="AW45" s="102"/>
      <c r="AX45" s="107"/>
      <c r="AY45" s="102"/>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22"/>
      <c r="CD45" s="123">
        <f t="shared" si="19"/>
        <v>289257</v>
      </c>
      <c r="CE45" s="102">
        <f t="shared" si="20"/>
        <v>0</v>
      </c>
      <c r="CF45" s="102">
        <f t="shared" si="21"/>
        <v>0</v>
      </c>
      <c r="CG45" s="102">
        <f t="shared" si="22"/>
        <v>0</v>
      </c>
      <c r="CH45" s="124">
        <f t="shared" si="23"/>
        <v>289257</v>
      </c>
      <c r="CI45" s="125">
        <f t="shared" si="24"/>
        <v>0</v>
      </c>
      <c r="CJ45" s="126" t="str">
        <f t="shared" si="25"/>
        <v>数据正确</v>
      </c>
    </row>
    <row r="46" s="60" customFormat="1" customHeight="1" outlineLevel="1" spans="1:88">
      <c r="A46" s="60" t="s">
        <v>36</v>
      </c>
      <c r="B46" s="70" t="str">
        <f t="shared" si="15"/>
        <v>-</v>
      </c>
      <c r="C46" s="71" t="str">
        <f t="shared" si="16"/>
        <v>-</v>
      </c>
      <c r="D46" s="72">
        <f t="shared" si="17"/>
        <v>0</v>
      </c>
      <c r="E46" s="72">
        <v>0</v>
      </c>
      <c r="F46" s="72">
        <v>0</v>
      </c>
      <c r="G46" s="72">
        <v>0</v>
      </c>
      <c r="H46" s="72">
        <v>0</v>
      </c>
      <c r="I46" s="72">
        <f t="shared" si="18"/>
        <v>0</v>
      </c>
      <c r="J46" s="168" t="s">
        <v>98</v>
      </c>
      <c r="K46" s="87"/>
      <c r="L46" s="88" t="s">
        <v>1362</v>
      </c>
      <c r="M46" s="89" t="s">
        <v>1363</v>
      </c>
      <c r="N46" s="90" t="s">
        <v>31</v>
      </c>
      <c r="O46" s="90"/>
      <c r="P46" s="91">
        <v>43042</v>
      </c>
      <c r="Q46" s="154">
        <v>0</v>
      </c>
      <c r="R46" s="89" t="s">
        <v>1364</v>
      </c>
      <c r="S46" s="89" t="s">
        <v>1344</v>
      </c>
      <c r="T46" s="89"/>
      <c r="U46" s="103" t="s">
        <v>1365</v>
      </c>
      <c r="V46" s="105" t="s">
        <v>1357</v>
      </c>
      <c r="W46" s="102">
        <v>0</v>
      </c>
      <c r="X46" s="102"/>
      <c r="Y46" s="102"/>
      <c r="Z46" s="107" t="s">
        <v>1358</v>
      </c>
      <c r="AA46" s="102">
        <v>0</v>
      </c>
      <c r="AB46" s="102"/>
      <c r="AC46" s="102"/>
      <c r="AD46" s="107" t="s">
        <v>1359</v>
      </c>
      <c r="AE46" s="102">
        <v>0</v>
      </c>
      <c r="AF46" s="102"/>
      <c r="AG46" s="129"/>
      <c r="AH46" s="107"/>
      <c r="AI46" s="102"/>
      <c r="AJ46" s="102"/>
      <c r="AK46" s="102"/>
      <c r="AL46" s="107"/>
      <c r="AM46" s="102"/>
      <c r="AN46" s="102"/>
      <c r="AO46" s="102"/>
      <c r="AP46" s="107"/>
      <c r="AQ46" s="102"/>
      <c r="AR46" s="102"/>
      <c r="AS46" s="102"/>
      <c r="AT46" s="107"/>
      <c r="AU46" s="102"/>
      <c r="AV46" s="102"/>
      <c r="AW46" s="102"/>
      <c r="AX46" s="107"/>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22"/>
      <c r="CD46" s="123">
        <f t="shared" si="19"/>
        <v>0</v>
      </c>
      <c r="CE46" s="102">
        <f t="shared" si="20"/>
        <v>0</v>
      </c>
      <c r="CF46" s="102">
        <f t="shared" si="21"/>
        <v>0</v>
      </c>
      <c r="CG46" s="102">
        <f t="shared" si="22"/>
        <v>0</v>
      </c>
      <c r="CH46" s="124">
        <f t="shared" si="23"/>
        <v>0</v>
      </c>
      <c r="CI46" s="125" t="str">
        <f t="shared" si="24"/>
        <v>-</v>
      </c>
      <c r="CJ46" s="126" t="str">
        <f t="shared" si="25"/>
        <v>数据正确</v>
      </c>
    </row>
    <row r="47" s="130" customFormat="1" customHeight="1" spans="1:88">
      <c r="A47" s="130" t="s">
        <v>36</v>
      </c>
      <c r="B47" s="132" t="str">
        <f t="shared" si="15"/>
        <v>-</v>
      </c>
      <c r="C47" s="133" t="str">
        <f t="shared" si="16"/>
        <v>-</v>
      </c>
      <c r="D47" s="134">
        <f t="shared" si="17"/>
        <v>273306.74</v>
      </c>
      <c r="E47" s="134">
        <f>SUM(E44:E46)</f>
        <v>0</v>
      </c>
      <c r="F47" s="134">
        <f>SUM(F44:F46)</f>
        <v>0</v>
      </c>
      <c r="G47" s="134">
        <f>SUM(G44:G46)</f>
        <v>0</v>
      </c>
      <c r="H47" s="134">
        <f>SUM(H44:H46)</f>
        <v>0</v>
      </c>
      <c r="I47" s="134">
        <f t="shared" si="18"/>
        <v>0</v>
      </c>
      <c r="J47" s="171" t="s">
        <v>98</v>
      </c>
      <c r="K47" s="172"/>
      <c r="L47" s="143">
        <v>208</v>
      </c>
      <c r="M47" s="144" t="s">
        <v>1361</v>
      </c>
      <c r="N47" s="145" t="s">
        <v>31</v>
      </c>
      <c r="O47" s="145"/>
      <c r="P47" s="146">
        <v>42977</v>
      </c>
      <c r="Q47" s="155">
        <f>SUM(Q44:Q46)</f>
        <v>630890.42</v>
      </c>
      <c r="R47" s="144" t="s">
        <v>1356</v>
      </c>
      <c r="S47" s="144" t="s">
        <v>1344</v>
      </c>
      <c r="T47" s="144"/>
      <c r="U47" s="156" t="s">
        <v>343</v>
      </c>
      <c r="V47" s="157" t="s">
        <v>1357</v>
      </c>
      <c r="W47" s="158">
        <f>SUM(W44:W46)</f>
        <v>504712.336</v>
      </c>
      <c r="X47" s="158">
        <f t="shared" ref="X47:BC47" si="26">SUM(X44:X46)</f>
        <v>273306.74</v>
      </c>
      <c r="Y47" s="158">
        <f t="shared" si="26"/>
        <v>273306.74</v>
      </c>
      <c r="Z47" s="158">
        <f t="shared" si="26"/>
        <v>0</v>
      </c>
      <c r="AA47" s="158">
        <f t="shared" si="26"/>
        <v>94633.563</v>
      </c>
      <c r="AB47" s="158">
        <f t="shared" si="26"/>
        <v>0</v>
      </c>
      <c r="AC47" s="158">
        <f t="shared" si="26"/>
        <v>0</v>
      </c>
      <c r="AD47" s="158">
        <f t="shared" si="26"/>
        <v>0</v>
      </c>
      <c r="AE47" s="158">
        <f t="shared" si="26"/>
        <v>31544.521</v>
      </c>
      <c r="AF47" s="158">
        <f t="shared" si="26"/>
        <v>0</v>
      </c>
      <c r="AG47" s="158">
        <f t="shared" si="26"/>
        <v>0</v>
      </c>
      <c r="AH47" s="158">
        <f t="shared" si="26"/>
        <v>0</v>
      </c>
      <c r="AI47" s="158">
        <f t="shared" si="26"/>
        <v>0</v>
      </c>
      <c r="AJ47" s="158">
        <f t="shared" si="26"/>
        <v>0</v>
      </c>
      <c r="AK47" s="158">
        <f t="shared" si="26"/>
        <v>0</v>
      </c>
      <c r="AL47" s="158">
        <f t="shared" si="26"/>
        <v>0</v>
      </c>
      <c r="AM47" s="158">
        <f t="shared" si="26"/>
        <v>0</v>
      </c>
      <c r="AN47" s="158">
        <f t="shared" si="26"/>
        <v>0</v>
      </c>
      <c r="AO47" s="158">
        <f t="shared" si="26"/>
        <v>0</v>
      </c>
      <c r="AP47" s="158">
        <f t="shared" si="26"/>
        <v>0</v>
      </c>
      <c r="AQ47" s="158">
        <f t="shared" si="26"/>
        <v>0</v>
      </c>
      <c r="AR47" s="158">
        <f t="shared" si="26"/>
        <v>0</v>
      </c>
      <c r="AS47" s="158">
        <f t="shared" si="26"/>
        <v>0</v>
      </c>
      <c r="AT47" s="158">
        <f t="shared" si="26"/>
        <v>0</v>
      </c>
      <c r="AU47" s="158">
        <f t="shared" si="26"/>
        <v>0</v>
      </c>
      <c r="AV47" s="158">
        <f t="shared" si="26"/>
        <v>0</v>
      </c>
      <c r="AW47" s="158">
        <f t="shared" si="26"/>
        <v>0</v>
      </c>
      <c r="AX47" s="158">
        <f t="shared" si="26"/>
        <v>0</v>
      </c>
      <c r="AY47" s="158">
        <f t="shared" si="26"/>
        <v>0</v>
      </c>
      <c r="AZ47" s="158">
        <f t="shared" si="26"/>
        <v>0</v>
      </c>
      <c r="BA47" s="158">
        <f t="shared" si="26"/>
        <v>0</v>
      </c>
      <c r="BB47" s="158">
        <f t="shared" si="26"/>
        <v>0</v>
      </c>
      <c r="BC47" s="158">
        <f t="shared" si="26"/>
        <v>0</v>
      </c>
      <c r="BD47" s="158">
        <f t="shared" ref="BD47:CC47" si="27">SUM(BD44:BD46)</f>
        <v>0</v>
      </c>
      <c r="BE47" s="158">
        <f t="shared" si="27"/>
        <v>0</v>
      </c>
      <c r="BF47" s="158">
        <f t="shared" si="27"/>
        <v>0</v>
      </c>
      <c r="BG47" s="158">
        <f t="shared" si="27"/>
        <v>0</v>
      </c>
      <c r="BH47" s="158">
        <f t="shared" si="27"/>
        <v>0</v>
      </c>
      <c r="BI47" s="158">
        <f t="shared" si="27"/>
        <v>0</v>
      </c>
      <c r="BJ47" s="158">
        <f t="shared" si="27"/>
        <v>0</v>
      </c>
      <c r="BK47" s="158">
        <f t="shared" si="27"/>
        <v>0</v>
      </c>
      <c r="BL47" s="158">
        <f t="shared" si="27"/>
        <v>0</v>
      </c>
      <c r="BM47" s="158">
        <f t="shared" si="27"/>
        <v>0</v>
      </c>
      <c r="BN47" s="158">
        <f t="shared" si="27"/>
        <v>0</v>
      </c>
      <c r="BO47" s="158">
        <f t="shared" si="27"/>
        <v>0</v>
      </c>
      <c r="BP47" s="158">
        <f t="shared" si="27"/>
        <v>0</v>
      </c>
      <c r="BQ47" s="158">
        <f t="shared" si="27"/>
        <v>0</v>
      </c>
      <c r="BR47" s="158">
        <f t="shared" si="27"/>
        <v>0</v>
      </c>
      <c r="BS47" s="158">
        <f t="shared" si="27"/>
        <v>0</v>
      </c>
      <c r="BT47" s="158">
        <f t="shared" si="27"/>
        <v>0</v>
      </c>
      <c r="BU47" s="158">
        <f t="shared" si="27"/>
        <v>0</v>
      </c>
      <c r="BV47" s="158">
        <f t="shared" si="27"/>
        <v>0</v>
      </c>
      <c r="BW47" s="158">
        <f t="shared" si="27"/>
        <v>0</v>
      </c>
      <c r="BX47" s="158">
        <f t="shared" si="27"/>
        <v>0</v>
      </c>
      <c r="BY47" s="158">
        <f t="shared" si="27"/>
        <v>0</v>
      </c>
      <c r="BZ47" s="158">
        <f t="shared" si="27"/>
        <v>0</v>
      </c>
      <c r="CA47" s="158">
        <f t="shared" si="27"/>
        <v>0</v>
      </c>
      <c r="CB47" s="158">
        <f t="shared" si="27"/>
        <v>0</v>
      </c>
      <c r="CC47" s="158">
        <f t="shared" si="27"/>
        <v>0</v>
      </c>
      <c r="CD47" s="165">
        <f t="shared" si="19"/>
        <v>630890.42</v>
      </c>
      <c r="CE47" s="158">
        <f t="shared" si="20"/>
        <v>273306.74</v>
      </c>
      <c r="CF47" s="158">
        <f t="shared" si="21"/>
        <v>273306.74</v>
      </c>
      <c r="CG47" s="158">
        <f t="shared" si="22"/>
        <v>0</v>
      </c>
      <c r="CH47" s="163">
        <f t="shared" si="23"/>
        <v>357583.68</v>
      </c>
      <c r="CI47" s="166">
        <f t="shared" si="24"/>
        <v>0.433207941245962</v>
      </c>
      <c r="CJ47" s="167" t="str">
        <f t="shared" si="25"/>
        <v>数据正确</v>
      </c>
    </row>
    <row r="48" s="60" customFormat="1" customHeight="1" outlineLevel="1" spans="1:88">
      <c r="A48" s="60" t="s">
        <v>36</v>
      </c>
      <c r="B48" s="70" t="str">
        <f t="shared" si="15"/>
        <v>-</v>
      </c>
      <c r="C48" s="71" t="str">
        <f t="shared" si="16"/>
        <v>-</v>
      </c>
      <c r="D48" s="72">
        <f t="shared" si="17"/>
        <v>225880</v>
      </c>
      <c r="E48" s="72">
        <v>0</v>
      </c>
      <c r="F48" s="72">
        <v>0</v>
      </c>
      <c r="G48" s="72">
        <v>0</v>
      </c>
      <c r="H48" s="72">
        <v>0</v>
      </c>
      <c r="I48" s="72">
        <f t="shared" si="18"/>
        <v>0</v>
      </c>
      <c r="J48" s="168" t="s">
        <v>98</v>
      </c>
      <c r="K48" s="87"/>
      <c r="L48" s="141" t="s">
        <v>1366</v>
      </c>
      <c r="M48" s="89" t="s">
        <v>1367</v>
      </c>
      <c r="N48" s="90" t="s">
        <v>31</v>
      </c>
      <c r="O48" s="90"/>
      <c r="P48" s="91">
        <v>42977</v>
      </c>
      <c r="Q48" s="154">
        <f>282350</f>
        <v>282350</v>
      </c>
      <c r="R48" s="89" t="s">
        <v>1356</v>
      </c>
      <c r="S48" s="89" t="s">
        <v>1368</v>
      </c>
      <c r="T48" s="89"/>
      <c r="U48" s="103" t="s">
        <v>343</v>
      </c>
      <c r="V48" s="105" t="s">
        <v>1369</v>
      </c>
      <c r="W48" s="102">
        <v>225880</v>
      </c>
      <c r="X48" s="102">
        <v>225880</v>
      </c>
      <c r="Y48" s="102">
        <v>225880</v>
      </c>
      <c r="Z48" s="107" t="s">
        <v>1358</v>
      </c>
      <c r="AA48" s="102">
        <v>42352.5</v>
      </c>
      <c r="AB48" s="102"/>
      <c r="AC48" s="102"/>
      <c r="AD48" s="107" t="s">
        <v>1359</v>
      </c>
      <c r="AE48" s="102">
        <v>14117.5</v>
      </c>
      <c r="AF48" s="102"/>
      <c r="AG48" s="129"/>
      <c r="AH48" s="107"/>
      <c r="AI48" s="102"/>
      <c r="AJ48" s="102"/>
      <c r="AK48" s="102"/>
      <c r="AL48" s="107"/>
      <c r="AM48" s="102"/>
      <c r="AN48" s="102"/>
      <c r="AO48" s="102"/>
      <c r="AP48" s="107"/>
      <c r="AQ48" s="102"/>
      <c r="AR48" s="102"/>
      <c r="AS48" s="102"/>
      <c r="AT48" s="107"/>
      <c r="AU48" s="102"/>
      <c r="AV48" s="102"/>
      <c r="AW48" s="102"/>
      <c r="AX48" s="107"/>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22"/>
      <c r="CD48" s="123">
        <f t="shared" si="19"/>
        <v>282350</v>
      </c>
      <c r="CE48" s="102">
        <f t="shared" si="20"/>
        <v>225880</v>
      </c>
      <c r="CF48" s="102">
        <f t="shared" si="21"/>
        <v>225880</v>
      </c>
      <c r="CG48" s="102">
        <f t="shared" si="22"/>
        <v>0</v>
      </c>
      <c r="CH48" s="124">
        <f t="shared" si="23"/>
        <v>56470</v>
      </c>
      <c r="CI48" s="125">
        <f t="shared" si="24"/>
        <v>0.8</v>
      </c>
      <c r="CJ48" s="126" t="str">
        <f t="shared" si="25"/>
        <v>数据正确</v>
      </c>
    </row>
    <row r="49" s="60" customFormat="1" customHeight="1" outlineLevel="1" spans="2:88">
      <c r="B49" s="70" t="str">
        <f t="shared" si="15"/>
        <v>-</v>
      </c>
      <c r="C49" s="71" t="str">
        <f t="shared" si="16"/>
        <v>已付清</v>
      </c>
      <c r="D49" s="72">
        <f t="shared" si="17"/>
        <v>1000000</v>
      </c>
      <c r="E49" s="72">
        <v>0</v>
      </c>
      <c r="F49" s="72">
        <v>0</v>
      </c>
      <c r="G49" s="72">
        <v>0</v>
      </c>
      <c r="H49" s="72">
        <v>0</v>
      </c>
      <c r="I49" s="72">
        <f t="shared" si="18"/>
        <v>0</v>
      </c>
      <c r="J49" s="168" t="s">
        <v>98</v>
      </c>
      <c r="K49" s="87"/>
      <c r="L49" s="141" t="s">
        <v>1370</v>
      </c>
      <c r="M49" s="89" t="s">
        <v>1371</v>
      </c>
      <c r="N49" s="90" t="s">
        <v>31</v>
      </c>
      <c r="O49" s="90"/>
      <c r="P49" s="91">
        <v>42977</v>
      </c>
      <c r="Q49" s="154">
        <v>1000000</v>
      </c>
      <c r="R49" s="89" t="s">
        <v>1356</v>
      </c>
      <c r="S49" s="89" t="s">
        <v>1368</v>
      </c>
      <c r="T49" s="89"/>
      <c r="U49" s="103" t="s">
        <v>343</v>
      </c>
      <c r="V49" s="105" t="s">
        <v>1372</v>
      </c>
      <c r="W49" s="102">
        <v>1000000</v>
      </c>
      <c r="X49" s="102">
        <v>1000000</v>
      </c>
      <c r="Y49" s="102">
        <v>1000000</v>
      </c>
      <c r="Z49" s="107"/>
      <c r="AA49" s="102"/>
      <c r="AB49" s="102"/>
      <c r="AC49" s="102"/>
      <c r="AD49" s="107"/>
      <c r="AE49" s="102"/>
      <c r="AF49" s="102"/>
      <c r="AG49" s="102"/>
      <c r="AH49" s="107"/>
      <c r="AI49" s="102"/>
      <c r="AJ49" s="102"/>
      <c r="AK49" s="102"/>
      <c r="AL49" s="107"/>
      <c r="AM49" s="102"/>
      <c r="AN49" s="102"/>
      <c r="AO49" s="102"/>
      <c r="AP49" s="107"/>
      <c r="AQ49" s="102"/>
      <c r="AR49" s="102"/>
      <c r="AS49" s="102"/>
      <c r="AT49" s="107"/>
      <c r="AU49" s="102"/>
      <c r="AV49" s="102"/>
      <c r="AW49" s="102"/>
      <c r="AX49" s="107"/>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22"/>
      <c r="CD49" s="123">
        <f t="shared" si="19"/>
        <v>1000000</v>
      </c>
      <c r="CE49" s="102">
        <f t="shared" si="20"/>
        <v>1000000</v>
      </c>
      <c r="CF49" s="102">
        <f t="shared" si="21"/>
        <v>1000000</v>
      </c>
      <c r="CG49" s="102">
        <f t="shared" si="22"/>
        <v>0</v>
      </c>
      <c r="CH49" s="124">
        <f t="shared" si="23"/>
        <v>0</v>
      </c>
      <c r="CI49" s="125">
        <f t="shared" si="24"/>
        <v>1</v>
      </c>
      <c r="CJ49" s="126" t="str">
        <f t="shared" si="25"/>
        <v>数据正确</v>
      </c>
    </row>
    <row r="50" s="130" customFormat="1" customHeight="1" spans="1:88">
      <c r="A50" s="130" t="s">
        <v>36</v>
      </c>
      <c r="B50" s="132" t="str">
        <f t="shared" si="15"/>
        <v>-</v>
      </c>
      <c r="C50" s="133" t="str">
        <f t="shared" si="16"/>
        <v>-</v>
      </c>
      <c r="D50" s="134">
        <f t="shared" si="17"/>
        <v>1225880</v>
      </c>
      <c r="E50" s="134">
        <f>SUM(E48:E49)</f>
        <v>0</v>
      </c>
      <c r="F50" s="134">
        <f>SUM(F48:F49)</f>
        <v>0</v>
      </c>
      <c r="G50" s="134">
        <f>SUM(G48:G49)</f>
        <v>0</v>
      </c>
      <c r="H50" s="134">
        <f>SUM(H48:H49)</f>
        <v>0</v>
      </c>
      <c r="I50" s="134">
        <f t="shared" si="18"/>
        <v>0</v>
      </c>
      <c r="J50" s="171" t="s">
        <v>98</v>
      </c>
      <c r="K50" s="172"/>
      <c r="L50" s="143">
        <v>209</v>
      </c>
      <c r="M50" s="144" t="s">
        <v>1371</v>
      </c>
      <c r="N50" s="145" t="s">
        <v>31</v>
      </c>
      <c r="O50" s="145"/>
      <c r="P50" s="146">
        <v>42977</v>
      </c>
      <c r="Q50" s="155">
        <f>SUM(Q48:Q49)</f>
        <v>1282350</v>
      </c>
      <c r="R50" s="144" t="s">
        <v>1356</v>
      </c>
      <c r="S50" s="144" t="s">
        <v>1373</v>
      </c>
      <c r="T50" s="144"/>
      <c r="U50" s="156" t="s">
        <v>343</v>
      </c>
      <c r="V50" s="157" t="s">
        <v>1369</v>
      </c>
      <c r="W50" s="158">
        <f>SUM(W48:W49)</f>
        <v>1225880</v>
      </c>
      <c r="X50" s="158">
        <f t="shared" ref="X50:BC50" si="28">SUM(X48:X49)</f>
        <v>1225880</v>
      </c>
      <c r="Y50" s="158">
        <f t="shared" si="28"/>
        <v>1225880</v>
      </c>
      <c r="Z50" s="158">
        <f t="shared" si="28"/>
        <v>0</v>
      </c>
      <c r="AA50" s="158">
        <f t="shared" si="28"/>
        <v>42352.5</v>
      </c>
      <c r="AB50" s="158">
        <f t="shared" si="28"/>
        <v>0</v>
      </c>
      <c r="AC50" s="158">
        <f t="shared" si="28"/>
        <v>0</v>
      </c>
      <c r="AD50" s="158">
        <f t="shared" si="28"/>
        <v>0</v>
      </c>
      <c r="AE50" s="158">
        <f t="shared" si="28"/>
        <v>14117.5</v>
      </c>
      <c r="AF50" s="158">
        <f t="shared" si="28"/>
        <v>0</v>
      </c>
      <c r="AG50" s="158">
        <f t="shared" si="28"/>
        <v>0</v>
      </c>
      <c r="AH50" s="158">
        <f t="shared" si="28"/>
        <v>0</v>
      </c>
      <c r="AI50" s="158">
        <f t="shared" si="28"/>
        <v>0</v>
      </c>
      <c r="AJ50" s="158">
        <f t="shared" si="28"/>
        <v>0</v>
      </c>
      <c r="AK50" s="158">
        <f t="shared" si="28"/>
        <v>0</v>
      </c>
      <c r="AL50" s="158">
        <f t="shared" si="28"/>
        <v>0</v>
      </c>
      <c r="AM50" s="158">
        <f t="shared" si="28"/>
        <v>0</v>
      </c>
      <c r="AN50" s="158">
        <f t="shared" si="28"/>
        <v>0</v>
      </c>
      <c r="AO50" s="158">
        <f t="shared" si="28"/>
        <v>0</v>
      </c>
      <c r="AP50" s="158">
        <f t="shared" si="28"/>
        <v>0</v>
      </c>
      <c r="AQ50" s="158">
        <f t="shared" si="28"/>
        <v>0</v>
      </c>
      <c r="AR50" s="158">
        <f t="shared" si="28"/>
        <v>0</v>
      </c>
      <c r="AS50" s="158">
        <f t="shared" si="28"/>
        <v>0</v>
      </c>
      <c r="AT50" s="158">
        <f t="shared" si="28"/>
        <v>0</v>
      </c>
      <c r="AU50" s="158">
        <f t="shared" si="28"/>
        <v>0</v>
      </c>
      <c r="AV50" s="158">
        <f t="shared" si="28"/>
        <v>0</v>
      </c>
      <c r="AW50" s="158">
        <f t="shared" si="28"/>
        <v>0</v>
      </c>
      <c r="AX50" s="158">
        <f t="shared" si="28"/>
        <v>0</v>
      </c>
      <c r="AY50" s="158">
        <f t="shared" si="28"/>
        <v>0</v>
      </c>
      <c r="AZ50" s="158">
        <f t="shared" si="28"/>
        <v>0</v>
      </c>
      <c r="BA50" s="158">
        <f t="shared" si="28"/>
        <v>0</v>
      </c>
      <c r="BB50" s="158">
        <f t="shared" si="28"/>
        <v>0</v>
      </c>
      <c r="BC50" s="158">
        <f t="shared" si="28"/>
        <v>0</v>
      </c>
      <c r="BD50" s="158">
        <f t="shared" ref="BD50:CC50" si="29">SUM(BD48:BD49)</f>
        <v>0</v>
      </c>
      <c r="BE50" s="158">
        <f t="shared" si="29"/>
        <v>0</v>
      </c>
      <c r="BF50" s="158">
        <f t="shared" si="29"/>
        <v>0</v>
      </c>
      <c r="BG50" s="158">
        <f t="shared" si="29"/>
        <v>0</v>
      </c>
      <c r="BH50" s="158">
        <f t="shared" si="29"/>
        <v>0</v>
      </c>
      <c r="BI50" s="158">
        <f t="shared" si="29"/>
        <v>0</v>
      </c>
      <c r="BJ50" s="158">
        <f t="shared" si="29"/>
        <v>0</v>
      </c>
      <c r="BK50" s="158">
        <f t="shared" si="29"/>
        <v>0</v>
      </c>
      <c r="BL50" s="158">
        <f t="shared" si="29"/>
        <v>0</v>
      </c>
      <c r="BM50" s="158">
        <f t="shared" si="29"/>
        <v>0</v>
      </c>
      <c r="BN50" s="158">
        <f t="shared" si="29"/>
        <v>0</v>
      </c>
      <c r="BO50" s="158">
        <f t="shared" si="29"/>
        <v>0</v>
      </c>
      <c r="BP50" s="158">
        <f t="shared" si="29"/>
        <v>0</v>
      </c>
      <c r="BQ50" s="158">
        <f t="shared" si="29"/>
        <v>0</v>
      </c>
      <c r="BR50" s="158">
        <f t="shared" si="29"/>
        <v>0</v>
      </c>
      <c r="BS50" s="158">
        <f t="shared" si="29"/>
        <v>0</v>
      </c>
      <c r="BT50" s="158">
        <f t="shared" si="29"/>
        <v>0</v>
      </c>
      <c r="BU50" s="158">
        <f t="shared" si="29"/>
        <v>0</v>
      </c>
      <c r="BV50" s="158">
        <f t="shared" si="29"/>
        <v>0</v>
      </c>
      <c r="BW50" s="158">
        <f t="shared" si="29"/>
        <v>0</v>
      </c>
      <c r="BX50" s="158">
        <f t="shared" si="29"/>
        <v>0</v>
      </c>
      <c r="BY50" s="158">
        <f t="shared" si="29"/>
        <v>0</v>
      </c>
      <c r="BZ50" s="158">
        <f t="shared" si="29"/>
        <v>0</v>
      </c>
      <c r="CA50" s="158">
        <f t="shared" si="29"/>
        <v>0</v>
      </c>
      <c r="CB50" s="158">
        <f t="shared" si="29"/>
        <v>0</v>
      </c>
      <c r="CC50" s="158">
        <f t="shared" si="29"/>
        <v>0</v>
      </c>
      <c r="CD50" s="165">
        <f t="shared" si="19"/>
        <v>1282350</v>
      </c>
      <c r="CE50" s="158">
        <f t="shared" si="20"/>
        <v>1225880</v>
      </c>
      <c r="CF50" s="158">
        <f t="shared" si="21"/>
        <v>1225880</v>
      </c>
      <c r="CG50" s="158">
        <f t="shared" si="22"/>
        <v>0</v>
      </c>
      <c r="CH50" s="163">
        <f t="shared" si="23"/>
        <v>56470</v>
      </c>
      <c r="CI50" s="166">
        <f t="shared" si="24"/>
        <v>0.955963660467111</v>
      </c>
      <c r="CJ50" s="167" t="str">
        <f t="shared" si="25"/>
        <v>数据正确</v>
      </c>
    </row>
    <row r="51" s="60" customFormat="1" customHeight="1" outlineLevel="1" spans="1:88">
      <c r="A51" s="60" t="s">
        <v>36</v>
      </c>
      <c r="B51" s="70" t="str">
        <f t="shared" si="15"/>
        <v>-</v>
      </c>
      <c r="C51" s="71" t="str">
        <f t="shared" si="16"/>
        <v>已付清</v>
      </c>
      <c r="D51" s="72">
        <f t="shared" si="17"/>
        <v>500000</v>
      </c>
      <c r="E51" s="72">
        <v>0</v>
      </c>
      <c r="F51" s="72">
        <v>0</v>
      </c>
      <c r="G51" s="72">
        <v>0</v>
      </c>
      <c r="H51" s="72">
        <v>0</v>
      </c>
      <c r="I51" s="72">
        <f t="shared" si="18"/>
        <v>0</v>
      </c>
      <c r="J51" s="168" t="s">
        <v>98</v>
      </c>
      <c r="K51" s="87"/>
      <c r="L51" s="88" t="s">
        <v>1374</v>
      </c>
      <c r="M51" s="89" t="s">
        <v>1375</v>
      </c>
      <c r="N51" s="90" t="s">
        <v>31</v>
      </c>
      <c r="O51" s="90"/>
      <c r="P51" s="91">
        <v>42977</v>
      </c>
      <c r="Q51" s="154">
        <v>500000</v>
      </c>
      <c r="R51" s="89" t="s">
        <v>1376</v>
      </c>
      <c r="S51" s="89" t="s">
        <v>1377</v>
      </c>
      <c r="T51" s="89"/>
      <c r="U51" s="103" t="s">
        <v>343</v>
      </c>
      <c r="V51" s="105" t="s">
        <v>1378</v>
      </c>
      <c r="W51" s="102">
        <v>500000</v>
      </c>
      <c r="X51" s="102">
        <v>500000</v>
      </c>
      <c r="Y51" s="102">
        <v>500000</v>
      </c>
      <c r="Z51" s="107"/>
      <c r="AA51" s="102"/>
      <c r="AB51" s="102"/>
      <c r="AC51" s="102"/>
      <c r="AD51" s="107"/>
      <c r="AE51" s="102"/>
      <c r="AF51" s="102"/>
      <c r="AG51" s="102"/>
      <c r="AH51" s="107"/>
      <c r="AI51" s="102"/>
      <c r="AJ51" s="102"/>
      <c r="AK51" s="102"/>
      <c r="AL51" s="107"/>
      <c r="AM51" s="102"/>
      <c r="AN51" s="102"/>
      <c r="AO51" s="102"/>
      <c r="AP51" s="107"/>
      <c r="AQ51" s="102"/>
      <c r="AR51" s="102"/>
      <c r="AS51" s="102"/>
      <c r="AT51" s="107"/>
      <c r="AU51" s="102"/>
      <c r="AV51" s="102"/>
      <c r="AW51" s="102"/>
      <c r="AX51" s="107"/>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22"/>
      <c r="CD51" s="123">
        <f t="shared" si="19"/>
        <v>500000</v>
      </c>
      <c r="CE51" s="102">
        <f t="shared" si="20"/>
        <v>500000</v>
      </c>
      <c r="CF51" s="102">
        <f t="shared" si="21"/>
        <v>500000</v>
      </c>
      <c r="CG51" s="102">
        <f t="shared" si="22"/>
        <v>0</v>
      </c>
      <c r="CH51" s="124">
        <f t="shared" si="23"/>
        <v>0</v>
      </c>
      <c r="CI51" s="125">
        <f t="shared" si="24"/>
        <v>1</v>
      </c>
      <c r="CJ51" s="126" t="str">
        <f t="shared" si="25"/>
        <v>数据正确</v>
      </c>
    </row>
    <row r="52" s="60" customFormat="1" customHeight="1" outlineLevel="1" spans="1:88">
      <c r="A52" s="60" t="s">
        <v>36</v>
      </c>
      <c r="B52" s="70" t="str">
        <f t="shared" si="15"/>
        <v>-</v>
      </c>
      <c r="C52" s="71" t="str">
        <f t="shared" si="16"/>
        <v>-</v>
      </c>
      <c r="D52" s="72">
        <f t="shared" si="17"/>
        <v>305389.7</v>
      </c>
      <c r="E52" s="72">
        <v>0</v>
      </c>
      <c r="F52" s="72">
        <v>0</v>
      </c>
      <c r="G52" s="72">
        <v>0</v>
      </c>
      <c r="H52" s="72">
        <v>0</v>
      </c>
      <c r="I52" s="72">
        <f t="shared" si="18"/>
        <v>0</v>
      </c>
      <c r="J52" s="168" t="s">
        <v>98</v>
      </c>
      <c r="K52" s="87"/>
      <c r="L52" s="88" t="s">
        <v>1379</v>
      </c>
      <c r="M52" s="89" t="s">
        <v>1375</v>
      </c>
      <c r="N52" s="90" t="s">
        <v>31</v>
      </c>
      <c r="O52" s="90"/>
      <c r="P52" s="91">
        <v>42977</v>
      </c>
      <c r="Q52" s="154">
        <f>381737.2</f>
        <v>381737.2</v>
      </c>
      <c r="R52" s="89" t="s">
        <v>1356</v>
      </c>
      <c r="S52" s="89" t="s">
        <v>1377</v>
      </c>
      <c r="T52" s="89"/>
      <c r="U52" s="103" t="s">
        <v>343</v>
      </c>
      <c r="V52" s="105" t="s">
        <v>1378</v>
      </c>
      <c r="W52" s="102">
        <v>305389.76</v>
      </c>
      <c r="X52" s="102">
        <v>305389.7</v>
      </c>
      <c r="Y52" s="102">
        <v>305389.7</v>
      </c>
      <c r="Z52" s="107" t="s">
        <v>1358</v>
      </c>
      <c r="AA52" s="102">
        <v>57260.58</v>
      </c>
      <c r="AB52" s="102"/>
      <c r="AC52" s="102"/>
      <c r="AD52" s="107" t="s">
        <v>1359</v>
      </c>
      <c r="AE52" s="102">
        <v>19086.86</v>
      </c>
      <c r="AF52" s="102"/>
      <c r="AG52" s="129"/>
      <c r="AH52" s="107"/>
      <c r="AI52" s="102"/>
      <c r="AJ52" s="102"/>
      <c r="AK52" s="102"/>
      <c r="AL52" s="107"/>
      <c r="AM52" s="102"/>
      <c r="AN52" s="102"/>
      <c r="AO52" s="102"/>
      <c r="AP52" s="107"/>
      <c r="AQ52" s="102"/>
      <c r="AR52" s="102"/>
      <c r="AS52" s="102"/>
      <c r="AT52" s="107"/>
      <c r="AU52" s="102"/>
      <c r="AV52" s="102"/>
      <c r="AW52" s="102"/>
      <c r="AX52" s="107"/>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22"/>
      <c r="CD52" s="123">
        <f t="shared" si="19"/>
        <v>381737.2</v>
      </c>
      <c r="CE52" s="102">
        <f t="shared" si="20"/>
        <v>305389.7</v>
      </c>
      <c r="CF52" s="102">
        <f t="shared" si="21"/>
        <v>305389.7</v>
      </c>
      <c r="CG52" s="102">
        <f t="shared" si="22"/>
        <v>0</v>
      </c>
      <c r="CH52" s="124">
        <f t="shared" si="23"/>
        <v>76347.5</v>
      </c>
      <c r="CI52" s="125">
        <f t="shared" si="24"/>
        <v>0.799999842823807</v>
      </c>
      <c r="CJ52" s="126" t="str">
        <f t="shared" si="25"/>
        <v>数据正确</v>
      </c>
    </row>
    <row r="53" s="130" customFormat="1" customHeight="1" spans="1:88">
      <c r="A53" s="130" t="s">
        <v>36</v>
      </c>
      <c r="B53" s="132" t="str">
        <f t="shared" si="15"/>
        <v>-</v>
      </c>
      <c r="C53" s="133" t="str">
        <f t="shared" si="16"/>
        <v>-</v>
      </c>
      <c r="D53" s="134">
        <f t="shared" si="17"/>
        <v>805389.7</v>
      </c>
      <c r="E53" s="134">
        <f>SUM(E51:E52)</f>
        <v>0</v>
      </c>
      <c r="F53" s="134">
        <f>SUM(F51:F52)</f>
        <v>0</v>
      </c>
      <c r="G53" s="134">
        <f>SUM(G51:G52)</f>
        <v>0</v>
      </c>
      <c r="H53" s="134">
        <f>SUM(H51:H52)</f>
        <v>0</v>
      </c>
      <c r="I53" s="134">
        <f t="shared" si="18"/>
        <v>0</v>
      </c>
      <c r="J53" s="171" t="s">
        <v>98</v>
      </c>
      <c r="K53" s="172"/>
      <c r="L53" s="143">
        <v>210</v>
      </c>
      <c r="M53" s="144" t="s">
        <v>1375</v>
      </c>
      <c r="N53" s="145" t="s">
        <v>31</v>
      </c>
      <c r="O53" s="145"/>
      <c r="P53" s="146">
        <v>42977</v>
      </c>
      <c r="Q53" s="155">
        <f>SUM(Q51:Q52)</f>
        <v>881737.2</v>
      </c>
      <c r="R53" s="144" t="s">
        <v>1356</v>
      </c>
      <c r="S53" s="144" t="s">
        <v>1380</v>
      </c>
      <c r="T53" s="144"/>
      <c r="U53" s="156" t="s">
        <v>343</v>
      </c>
      <c r="V53" s="157" t="s">
        <v>1378</v>
      </c>
      <c r="W53" s="158">
        <f>SUM(W51:W52)</f>
        <v>805389.76</v>
      </c>
      <c r="X53" s="158">
        <f t="shared" ref="X53:BC53" si="30">SUM(X51:X52)</f>
        <v>805389.7</v>
      </c>
      <c r="Y53" s="158">
        <f t="shared" si="30"/>
        <v>805389.7</v>
      </c>
      <c r="Z53" s="158">
        <f t="shared" si="30"/>
        <v>0</v>
      </c>
      <c r="AA53" s="158">
        <f t="shared" si="30"/>
        <v>57260.58</v>
      </c>
      <c r="AB53" s="158">
        <f t="shared" si="30"/>
        <v>0</v>
      </c>
      <c r="AC53" s="158">
        <f t="shared" si="30"/>
        <v>0</v>
      </c>
      <c r="AD53" s="158">
        <f t="shared" si="30"/>
        <v>0</v>
      </c>
      <c r="AE53" s="158">
        <f t="shared" si="30"/>
        <v>19086.86</v>
      </c>
      <c r="AF53" s="158">
        <f t="shared" si="30"/>
        <v>0</v>
      </c>
      <c r="AG53" s="158">
        <f t="shared" si="30"/>
        <v>0</v>
      </c>
      <c r="AH53" s="158">
        <f t="shared" si="30"/>
        <v>0</v>
      </c>
      <c r="AI53" s="158">
        <f t="shared" si="30"/>
        <v>0</v>
      </c>
      <c r="AJ53" s="158">
        <f t="shared" si="30"/>
        <v>0</v>
      </c>
      <c r="AK53" s="158">
        <f t="shared" si="30"/>
        <v>0</v>
      </c>
      <c r="AL53" s="158">
        <f t="shared" si="30"/>
        <v>0</v>
      </c>
      <c r="AM53" s="158">
        <f t="shared" si="30"/>
        <v>0</v>
      </c>
      <c r="AN53" s="158">
        <f t="shared" si="30"/>
        <v>0</v>
      </c>
      <c r="AO53" s="158">
        <f t="shared" si="30"/>
        <v>0</v>
      </c>
      <c r="AP53" s="158">
        <f t="shared" si="30"/>
        <v>0</v>
      </c>
      <c r="AQ53" s="158">
        <f t="shared" si="30"/>
        <v>0</v>
      </c>
      <c r="AR53" s="158">
        <f t="shared" si="30"/>
        <v>0</v>
      </c>
      <c r="AS53" s="158">
        <f t="shared" si="30"/>
        <v>0</v>
      </c>
      <c r="AT53" s="158">
        <f t="shared" si="30"/>
        <v>0</v>
      </c>
      <c r="AU53" s="158">
        <f t="shared" si="30"/>
        <v>0</v>
      </c>
      <c r="AV53" s="158">
        <f t="shared" si="30"/>
        <v>0</v>
      </c>
      <c r="AW53" s="158">
        <f t="shared" si="30"/>
        <v>0</v>
      </c>
      <c r="AX53" s="158">
        <f t="shared" si="30"/>
        <v>0</v>
      </c>
      <c r="AY53" s="158">
        <f t="shared" si="30"/>
        <v>0</v>
      </c>
      <c r="AZ53" s="158">
        <f t="shared" si="30"/>
        <v>0</v>
      </c>
      <c r="BA53" s="158">
        <f t="shared" si="30"/>
        <v>0</v>
      </c>
      <c r="BB53" s="158">
        <f t="shared" si="30"/>
        <v>0</v>
      </c>
      <c r="BC53" s="158">
        <f t="shared" si="30"/>
        <v>0</v>
      </c>
      <c r="BD53" s="158">
        <f t="shared" ref="BD53:CC53" si="31">SUM(BD51:BD52)</f>
        <v>0</v>
      </c>
      <c r="BE53" s="158">
        <f t="shared" si="31"/>
        <v>0</v>
      </c>
      <c r="BF53" s="158">
        <f t="shared" si="31"/>
        <v>0</v>
      </c>
      <c r="BG53" s="158">
        <f t="shared" si="31"/>
        <v>0</v>
      </c>
      <c r="BH53" s="158">
        <f t="shared" si="31"/>
        <v>0</v>
      </c>
      <c r="BI53" s="158">
        <f t="shared" si="31"/>
        <v>0</v>
      </c>
      <c r="BJ53" s="158">
        <f t="shared" si="31"/>
        <v>0</v>
      </c>
      <c r="BK53" s="158">
        <f t="shared" si="31"/>
        <v>0</v>
      </c>
      <c r="BL53" s="158">
        <f t="shared" si="31"/>
        <v>0</v>
      </c>
      <c r="BM53" s="158">
        <f t="shared" si="31"/>
        <v>0</v>
      </c>
      <c r="BN53" s="158">
        <f t="shared" si="31"/>
        <v>0</v>
      </c>
      <c r="BO53" s="158">
        <f t="shared" si="31"/>
        <v>0</v>
      </c>
      <c r="BP53" s="158">
        <f t="shared" si="31"/>
        <v>0</v>
      </c>
      <c r="BQ53" s="158">
        <f t="shared" si="31"/>
        <v>0</v>
      </c>
      <c r="BR53" s="158">
        <f t="shared" si="31"/>
        <v>0</v>
      </c>
      <c r="BS53" s="158">
        <f t="shared" si="31"/>
        <v>0</v>
      </c>
      <c r="BT53" s="158">
        <f t="shared" si="31"/>
        <v>0</v>
      </c>
      <c r="BU53" s="158">
        <f t="shared" si="31"/>
        <v>0</v>
      </c>
      <c r="BV53" s="158">
        <f t="shared" si="31"/>
        <v>0</v>
      </c>
      <c r="BW53" s="158">
        <f t="shared" si="31"/>
        <v>0</v>
      </c>
      <c r="BX53" s="158">
        <f t="shared" si="31"/>
        <v>0</v>
      </c>
      <c r="BY53" s="158">
        <f t="shared" si="31"/>
        <v>0</v>
      </c>
      <c r="BZ53" s="158">
        <f t="shared" si="31"/>
        <v>0</v>
      </c>
      <c r="CA53" s="158">
        <f t="shared" si="31"/>
        <v>0</v>
      </c>
      <c r="CB53" s="158">
        <f t="shared" si="31"/>
        <v>0</v>
      </c>
      <c r="CC53" s="158">
        <f t="shared" si="31"/>
        <v>0</v>
      </c>
      <c r="CD53" s="165">
        <f t="shared" si="19"/>
        <v>881737.2</v>
      </c>
      <c r="CE53" s="158">
        <f t="shared" si="20"/>
        <v>805389.7</v>
      </c>
      <c r="CF53" s="158">
        <f t="shared" si="21"/>
        <v>805389.7</v>
      </c>
      <c r="CG53" s="158">
        <f t="shared" si="22"/>
        <v>0</v>
      </c>
      <c r="CH53" s="163">
        <f t="shared" si="23"/>
        <v>76347.5</v>
      </c>
      <c r="CI53" s="166">
        <f t="shared" si="24"/>
        <v>0.913412409048864</v>
      </c>
      <c r="CJ53" s="167" t="str">
        <f t="shared" si="25"/>
        <v>数据正确</v>
      </c>
    </row>
    <row r="54" s="60" customFormat="1" customHeight="1" outlineLevel="1" spans="1:88">
      <c r="A54" s="60" t="s">
        <v>36</v>
      </c>
      <c r="B54" s="70" t="str">
        <f t="shared" si="15"/>
        <v>-</v>
      </c>
      <c r="C54" s="71" t="str">
        <f t="shared" si="16"/>
        <v>-</v>
      </c>
      <c r="D54" s="72">
        <f t="shared" si="17"/>
        <v>685387</v>
      </c>
      <c r="E54" s="72">
        <v>0</v>
      </c>
      <c r="F54" s="72">
        <v>0</v>
      </c>
      <c r="G54" s="72">
        <v>0</v>
      </c>
      <c r="H54" s="72">
        <v>0</v>
      </c>
      <c r="I54" s="72">
        <f t="shared" si="18"/>
        <v>0</v>
      </c>
      <c r="J54" s="168" t="s">
        <v>98</v>
      </c>
      <c r="K54" s="87"/>
      <c r="L54" s="141" t="s">
        <v>1381</v>
      </c>
      <c r="M54" s="89" t="s">
        <v>1382</v>
      </c>
      <c r="N54" s="90" t="s">
        <v>31</v>
      </c>
      <c r="O54" s="90"/>
      <c r="P54" s="91">
        <v>42977</v>
      </c>
      <c r="Q54" s="154">
        <f>856734.1</f>
        <v>856734.1</v>
      </c>
      <c r="R54" s="89" t="s">
        <v>1356</v>
      </c>
      <c r="S54" s="89" t="s">
        <v>1383</v>
      </c>
      <c r="T54" s="89"/>
      <c r="U54" s="103" t="s">
        <v>343</v>
      </c>
      <c r="V54" s="105" t="s">
        <v>1384</v>
      </c>
      <c r="W54" s="102">
        <v>685387.28</v>
      </c>
      <c r="X54" s="102">
        <v>685387</v>
      </c>
      <c r="Y54" s="102">
        <v>685387</v>
      </c>
      <c r="Z54" s="107" t="s">
        <v>1385</v>
      </c>
      <c r="AA54" s="102">
        <v>128510.115</v>
      </c>
      <c r="AB54" s="102"/>
      <c r="AC54" s="102"/>
      <c r="AD54" s="107" t="s">
        <v>1353</v>
      </c>
      <c r="AE54" s="102">
        <v>42836.705</v>
      </c>
      <c r="AF54" s="102"/>
      <c r="AG54" s="129"/>
      <c r="AH54" s="107"/>
      <c r="AI54" s="102"/>
      <c r="AJ54" s="102"/>
      <c r="AK54" s="102"/>
      <c r="AL54" s="107"/>
      <c r="AM54" s="102"/>
      <c r="AN54" s="102"/>
      <c r="AO54" s="102"/>
      <c r="AP54" s="107"/>
      <c r="AQ54" s="102"/>
      <c r="AR54" s="102"/>
      <c r="AS54" s="102"/>
      <c r="AT54" s="107"/>
      <c r="AU54" s="102"/>
      <c r="AV54" s="102"/>
      <c r="AW54" s="102"/>
      <c r="AX54" s="107"/>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22"/>
      <c r="CD54" s="123">
        <f t="shared" si="19"/>
        <v>856734.1</v>
      </c>
      <c r="CE54" s="102">
        <f t="shared" si="20"/>
        <v>685387</v>
      </c>
      <c r="CF54" s="102">
        <f t="shared" si="21"/>
        <v>685387</v>
      </c>
      <c r="CG54" s="102">
        <f t="shared" si="22"/>
        <v>0</v>
      </c>
      <c r="CH54" s="124">
        <f t="shared" si="23"/>
        <v>171347.1</v>
      </c>
      <c r="CI54" s="125">
        <f t="shared" si="24"/>
        <v>0.799999673177477</v>
      </c>
      <c r="CJ54" s="126" t="str">
        <f t="shared" si="25"/>
        <v>数据正确</v>
      </c>
    </row>
    <row r="55" s="60" customFormat="1" customHeight="1" outlineLevel="1" spans="1:88">
      <c r="A55" s="60" t="s">
        <v>36</v>
      </c>
      <c r="B55" s="70" t="str">
        <f t="shared" si="15"/>
        <v>-</v>
      </c>
      <c r="C55" s="71" t="str">
        <f t="shared" si="16"/>
        <v>-</v>
      </c>
      <c r="D55" s="72">
        <f t="shared" si="17"/>
        <v>0</v>
      </c>
      <c r="E55" s="72">
        <v>0</v>
      </c>
      <c r="F55" s="72">
        <v>0</v>
      </c>
      <c r="G55" s="72">
        <v>0</v>
      </c>
      <c r="H55" s="72">
        <v>0</v>
      </c>
      <c r="I55" s="72">
        <f t="shared" si="18"/>
        <v>0</v>
      </c>
      <c r="J55" s="168" t="s">
        <v>98</v>
      </c>
      <c r="K55" s="87"/>
      <c r="L55" s="141" t="s">
        <v>1381</v>
      </c>
      <c r="M55" s="89" t="s">
        <v>1386</v>
      </c>
      <c r="N55" s="90" t="s">
        <v>31</v>
      </c>
      <c r="O55" s="90"/>
      <c r="P55" s="91">
        <v>42977</v>
      </c>
      <c r="Q55" s="154">
        <v>47800</v>
      </c>
      <c r="R55" s="89" t="s">
        <v>1356</v>
      </c>
      <c r="S55" s="89" t="s">
        <v>1383</v>
      </c>
      <c r="T55" s="89"/>
      <c r="U55" s="103" t="s">
        <v>343</v>
      </c>
      <c r="V55" s="105" t="s">
        <v>1384</v>
      </c>
      <c r="W55" s="102">
        <v>38240</v>
      </c>
      <c r="X55" s="102"/>
      <c r="Y55" s="102"/>
      <c r="Z55" s="107" t="s">
        <v>1385</v>
      </c>
      <c r="AA55" s="102">
        <v>7170</v>
      </c>
      <c r="AB55" s="102"/>
      <c r="AC55" s="102"/>
      <c r="AD55" s="107" t="s">
        <v>1353</v>
      </c>
      <c r="AE55" s="102">
        <v>2390</v>
      </c>
      <c r="AF55" s="102"/>
      <c r="AG55" s="102"/>
      <c r="AH55" s="107"/>
      <c r="AI55" s="102"/>
      <c r="AJ55" s="102"/>
      <c r="AK55" s="102"/>
      <c r="AL55" s="107"/>
      <c r="AM55" s="102"/>
      <c r="AN55" s="102"/>
      <c r="AO55" s="102"/>
      <c r="AP55" s="107"/>
      <c r="AQ55" s="102"/>
      <c r="AR55" s="102"/>
      <c r="AS55" s="102"/>
      <c r="AT55" s="107"/>
      <c r="AU55" s="102"/>
      <c r="AV55" s="102"/>
      <c r="AW55" s="102"/>
      <c r="AX55" s="107"/>
      <c r="AY55" s="102"/>
      <c r="AZ55" s="102"/>
      <c r="BA55" s="102"/>
      <c r="BB55" s="102"/>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22"/>
      <c r="CD55" s="123">
        <f t="shared" si="19"/>
        <v>47800</v>
      </c>
      <c r="CE55" s="102">
        <f t="shared" si="20"/>
        <v>0</v>
      </c>
      <c r="CF55" s="102">
        <f t="shared" si="21"/>
        <v>0</v>
      </c>
      <c r="CG55" s="102">
        <f t="shared" si="22"/>
        <v>0</v>
      </c>
      <c r="CH55" s="124">
        <f t="shared" si="23"/>
        <v>47800</v>
      </c>
      <c r="CI55" s="125">
        <f t="shared" si="24"/>
        <v>0</v>
      </c>
      <c r="CJ55" s="126" t="str">
        <f t="shared" si="25"/>
        <v>数据正确</v>
      </c>
    </row>
    <row r="56" s="60" customFormat="1" customHeight="1" outlineLevel="1" spans="1:88">
      <c r="A56" s="60" t="s">
        <v>36</v>
      </c>
      <c r="B56" s="70" t="str">
        <f t="shared" si="15"/>
        <v>-</v>
      </c>
      <c r="C56" s="71" t="str">
        <f t="shared" si="16"/>
        <v>已付清</v>
      </c>
      <c r="D56" s="72">
        <f t="shared" si="17"/>
        <v>32136.93</v>
      </c>
      <c r="E56" s="72">
        <v>0</v>
      </c>
      <c r="F56" s="72">
        <v>0</v>
      </c>
      <c r="G56" s="72">
        <v>0</v>
      </c>
      <c r="H56" s="72">
        <v>0</v>
      </c>
      <c r="I56" s="72">
        <f t="shared" si="18"/>
        <v>0</v>
      </c>
      <c r="J56" s="168" t="s">
        <v>98</v>
      </c>
      <c r="K56" s="87"/>
      <c r="L56" s="141" t="s">
        <v>1387</v>
      </c>
      <c r="M56" s="89" t="s">
        <v>1388</v>
      </c>
      <c r="N56" s="90" t="s">
        <v>31</v>
      </c>
      <c r="O56" s="90"/>
      <c r="P56" s="91">
        <v>42986</v>
      </c>
      <c r="Q56" s="154">
        <v>32136.93</v>
      </c>
      <c r="R56" s="89" t="s">
        <v>1389</v>
      </c>
      <c r="S56" s="89" t="s">
        <v>1383</v>
      </c>
      <c r="T56" s="89"/>
      <c r="U56" s="103" t="s">
        <v>343</v>
      </c>
      <c r="V56" s="105" t="s">
        <v>1390</v>
      </c>
      <c r="W56" s="102">
        <v>32136.93</v>
      </c>
      <c r="X56" s="102">
        <v>32136.93</v>
      </c>
      <c r="Y56" s="102">
        <v>32136.93</v>
      </c>
      <c r="Z56" s="107"/>
      <c r="AA56" s="102"/>
      <c r="AB56" s="102"/>
      <c r="AC56" s="102"/>
      <c r="AD56" s="107"/>
      <c r="AE56" s="102"/>
      <c r="AF56" s="102"/>
      <c r="AG56" s="129"/>
      <c r="AH56" s="107"/>
      <c r="AI56" s="102"/>
      <c r="AJ56" s="102"/>
      <c r="AK56" s="102"/>
      <c r="AL56" s="107"/>
      <c r="AM56" s="102"/>
      <c r="AN56" s="102"/>
      <c r="AO56" s="102"/>
      <c r="AP56" s="107"/>
      <c r="AQ56" s="102"/>
      <c r="AR56" s="102"/>
      <c r="AS56" s="102"/>
      <c r="AT56" s="107"/>
      <c r="AU56" s="102"/>
      <c r="AV56" s="102"/>
      <c r="AW56" s="102"/>
      <c r="AX56" s="107"/>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22"/>
      <c r="CD56" s="123">
        <f t="shared" si="19"/>
        <v>32136.93</v>
      </c>
      <c r="CE56" s="102">
        <f t="shared" si="20"/>
        <v>32136.93</v>
      </c>
      <c r="CF56" s="102">
        <f t="shared" si="21"/>
        <v>32136.93</v>
      </c>
      <c r="CG56" s="102">
        <f t="shared" si="22"/>
        <v>0</v>
      </c>
      <c r="CH56" s="124">
        <f t="shared" si="23"/>
        <v>0</v>
      </c>
      <c r="CI56" s="125">
        <f t="shared" si="24"/>
        <v>1</v>
      </c>
      <c r="CJ56" s="126" t="str">
        <f t="shared" si="25"/>
        <v>数据正确</v>
      </c>
    </row>
    <row r="57" s="60" customFormat="1" customHeight="1" outlineLevel="1" spans="1:88">
      <c r="A57" s="60" t="s">
        <v>36</v>
      </c>
      <c r="B57" s="70" t="str">
        <f t="shared" si="15"/>
        <v>-</v>
      </c>
      <c r="C57" s="71" t="str">
        <f t="shared" si="16"/>
        <v>已付清</v>
      </c>
      <c r="D57" s="72">
        <f t="shared" si="17"/>
        <v>20850</v>
      </c>
      <c r="E57" s="72">
        <v>0</v>
      </c>
      <c r="F57" s="72">
        <v>0</v>
      </c>
      <c r="G57" s="72">
        <v>0</v>
      </c>
      <c r="H57" s="72">
        <v>0</v>
      </c>
      <c r="I57" s="72">
        <f t="shared" si="18"/>
        <v>0</v>
      </c>
      <c r="J57" s="168" t="s">
        <v>98</v>
      </c>
      <c r="K57" s="87"/>
      <c r="L57" s="141" t="s">
        <v>1391</v>
      </c>
      <c r="M57" s="89" t="s">
        <v>1392</v>
      </c>
      <c r="N57" s="90" t="s">
        <v>31</v>
      </c>
      <c r="O57" s="90"/>
      <c r="P57" s="91">
        <v>43007</v>
      </c>
      <c r="Q57" s="154">
        <v>20850</v>
      </c>
      <c r="R57" s="89" t="s">
        <v>1393</v>
      </c>
      <c r="S57" s="89" t="s">
        <v>1383</v>
      </c>
      <c r="T57" s="89"/>
      <c r="U57" s="103" t="s">
        <v>343</v>
      </c>
      <c r="V57" s="105" t="s">
        <v>1390</v>
      </c>
      <c r="W57" s="102">
        <v>20850</v>
      </c>
      <c r="X57" s="102">
        <v>20850</v>
      </c>
      <c r="Y57" s="102">
        <v>20850</v>
      </c>
      <c r="Z57" s="107"/>
      <c r="AA57" s="102"/>
      <c r="AB57" s="102"/>
      <c r="AC57" s="102"/>
      <c r="AD57" s="107"/>
      <c r="AE57" s="102"/>
      <c r="AF57" s="102"/>
      <c r="AG57" s="102"/>
      <c r="AH57" s="107"/>
      <c r="AI57" s="102"/>
      <c r="AJ57" s="102"/>
      <c r="AK57" s="102"/>
      <c r="AL57" s="107"/>
      <c r="AM57" s="102"/>
      <c r="AN57" s="102"/>
      <c r="AO57" s="102"/>
      <c r="AP57" s="107"/>
      <c r="AQ57" s="102"/>
      <c r="AR57" s="102"/>
      <c r="AS57" s="102"/>
      <c r="AT57" s="107"/>
      <c r="AU57" s="102"/>
      <c r="AV57" s="102"/>
      <c r="AW57" s="102"/>
      <c r="AX57" s="107"/>
      <c r="AY57" s="102"/>
      <c r="AZ57" s="102"/>
      <c r="BA57" s="102"/>
      <c r="BB57" s="102"/>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22"/>
      <c r="CD57" s="123">
        <f t="shared" si="19"/>
        <v>20850</v>
      </c>
      <c r="CE57" s="102">
        <f t="shared" si="20"/>
        <v>20850</v>
      </c>
      <c r="CF57" s="102">
        <f t="shared" si="21"/>
        <v>20850</v>
      </c>
      <c r="CG57" s="102">
        <f t="shared" si="22"/>
        <v>0</v>
      </c>
      <c r="CH57" s="124">
        <f t="shared" si="23"/>
        <v>0</v>
      </c>
      <c r="CI57" s="125">
        <f t="shared" si="24"/>
        <v>1</v>
      </c>
      <c r="CJ57" s="126" t="str">
        <f t="shared" si="25"/>
        <v>数据正确</v>
      </c>
    </row>
    <row r="58" s="130" customFormat="1" customHeight="1" spans="1:88">
      <c r="A58" s="130" t="s">
        <v>36</v>
      </c>
      <c r="B58" s="132" t="str">
        <f t="shared" si="15"/>
        <v>-</v>
      </c>
      <c r="C58" s="133" t="str">
        <f t="shared" si="16"/>
        <v>-</v>
      </c>
      <c r="D58" s="134">
        <f t="shared" si="17"/>
        <v>738373.93</v>
      </c>
      <c r="E58" s="134">
        <f>SUM(E54:E57)</f>
        <v>0</v>
      </c>
      <c r="F58" s="134">
        <f>SUM(F54:F57)</f>
        <v>0</v>
      </c>
      <c r="G58" s="134">
        <f>SUM(G54:G57)</f>
        <v>0</v>
      </c>
      <c r="H58" s="134">
        <f>SUM(H54:H57)</f>
        <v>0</v>
      </c>
      <c r="I58" s="134">
        <f t="shared" si="18"/>
        <v>0</v>
      </c>
      <c r="J58" s="171" t="s">
        <v>98</v>
      </c>
      <c r="K58" s="172"/>
      <c r="L58" s="143">
        <v>211</v>
      </c>
      <c r="M58" s="144" t="s">
        <v>97</v>
      </c>
      <c r="N58" s="145" t="s">
        <v>31</v>
      </c>
      <c r="O58" s="145"/>
      <c r="P58" s="146">
        <v>42977</v>
      </c>
      <c r="Q58" s="155">
        <f>SUM(Q54:Q57)</f>
        <v>957521.03</v>
      </c>
      <c r="R58" s="144" t="s">
        <v>1356</v>
      </c>
      <c r="S58" s="144" t="s">
        <v>1394</v>
      </c>
      <c r="T58" s="144"/>
      <c r="U58" s="156" t="s">
        <v>343</v>
      </c>
      <c r="V58" s="157" t="s">
        <v>1384</v>
      </c>
      <c r="W58" s="158">
        <f>SUM(W54:W57)</f>
        <v>776614.21</v>
      </c>
      <c r="X58" s="158">
        <f t="shared" ref="X58:BC58" si="32">SUM(X54:X57)</f>
        <v>738373.93</v>
      </c>
      <c r="Y58" s="158">
        <f t="shared" si="32"/>
        <v>738373.93</v>
      </c>
      <c r="Z58" s="158">
        <f t="shared" si="32"/>
        <v>0</v>
      </c>
      <c r="AA58" s="158">
        <f t="shared" si="32"/>
        <v>135680.115</v>
      </c>
      <c r="AB58" s="158">
        <f t="shared" si="32"/>
        <v>0</v>
      </c>
      <c r="AC58" s="158">
        <f t="shared" si="32"/>
        <v>0</v>
      </c>
      <c r="AD58" s="158">
        <f t="shared" si="32"/>
        <v>0</v>
      </c>
      <c r="AE58" s="158">
        <f t="shared" si="32"/>
        <v>45226.705</v>
      </c>
      <c r="AF58" s="158">
        <f t="shared" si="32"/>
        <v>0</v>
      </c>
      <c r="AG58" s="158">
        <f t="shared" si="32"/>
        <v>0</v>
      </c>
      <c r="AH58" s="158">
        <f t="shared" si="32"/>
        <v>0</v>
      </c>
      <c r="AI58" s="158">
        <f t="shared" si="32"/>
        <v>0</v>
      </c>
      <c r="AJ58" s="158">
        <f t="shared" si="32"/>
        <v>0</v>
      </c>
      <c r="AK58" s="158">
        <f t="shared" si="32"/>
        <v>0</v>
      </c>
      <c r="AL58" s="158">
        <f t="shared" si="32"/>
        <v>0</v>
      </c>
      <c r="AM58" s="158">
        <f t="shared" si="32"/>
        <v>0</v>
      </c>
      <c r="AN58" s="158">
        <f t="shared" si="32"/>
        <v>0</v>
      </c>
      <c r="AO58" s="158">
        <f t="shared" si="32"/>
        <v>0</v>
      </c>
      <c r="AP58" s="158">
        <f t="shared" si="32"/>
        <v>0</v>
      </c>
      <c r="AQ58" s="158">
        <f t="shared" si="32"/>
        <v>0</v>
      </c>
      <c r="AR58" s="158">
        <f t="shared" si="32"/>
        <v>0</v>
      </c>
      <c r="AS58" s="158">
        <f t="shared" si="32"/>
        <v>0</v>
      </c>
      <c r="AT58" s="158">
        <f t="shared" si="32"/>
        <v>0</v>
      </c>
      <c r="AU58" s="158">
        <f t="shared" si="32"/>
        <v>0</v>
      </c>
      <c r="AV58" s="158">
        <f t="shared" si="32"/>
        <v>0</v>
      </c>
      <c r="AW58" s="158">
        <f t="shared" si="32"/>
        <v>0</v>
      </c>
      <c r="AX58" s="158">
        <f t="shared" si="32"/>
        <v>0</v>
      </c>
      <c r="AY58" s="158">
        <f t="shared" si="32"/>
        <v>0</v>
      </c>
      <c r="AZ58" s="158">
        <f t="shared" si="32"/>
        <v>0</v>
      </c>
      <c r="BA58" s="158">
        <f t="shared" si="32"/>
        <v>0</v>
      </c>
      <c r="BB58" s="158">
        <f t="shared" si="32"/>
        <v>0</v>
      </c>
      <c r="BC58" s="158">
        <f t="shared" si="32"/>
        <v>0</v>
      </c>
      <c r="BD58" s="158">
        <f t="shared" ref="BD58:CC58" si="33">SUM(BD54:BD57)</f>
        <v>0</v>
      </c>
      <c r="BE58" s="158">
        <f t="shared" si="33"/>
        <v>0</v>
      </c>
      <c r="BF58" s="158">
        <f t="shared" si="33"/>
        <v>0</v>
      </c>
      <c r="BG58" s="158">
        <f t="shared" si="33"/>
        <v>0</v>
      </c>
      <c r="BH58" s="158">
        <f t="shared" si="33"/>
        <v>0</v>
      </c>
      <c r="BI58" s="158">
        <f t="shared" si="33"/>
        <v>0</v>
      </c>
      <c r="BJ58" s="158">
        <f t="shared" si="33"/>
        <v>0</v>
      </c>
      <c r="BK58" s="158">
        <f t="shared" si="33"/>
        <v>0</v>
      </c>
      <c r="BL58" s="158">
        <f t="shared" si="33"/>
        <v>0</v>
      </c>
      <c r="BM58" s="158">
        <f t="shared" si="33"/>
        <v>0</v>
      </c>
      <c r="BN58" s="158">
        <f t="shared" si="33"/>
        <v>0</v>
      </c>
      <c r="BO58" s="158">
        <f t="shared" si="33"/>
        <v>0</v>
      </c>
      <c r="BP58" s="158">
        <f t="shared" si="33"/>
        <v>0</v>
      </c>
      <c r="BQ58" s="158">
        <f t="shared" si="33"/>
        <v>0</v>
      </c>
      <c r="BR58" s="158">
        <f t="shared" si="33"/>
        <v>0</v>
      </c>
      <c r="BS58" s="158">
        <f t="shared" si="33"/>
        <v>0</v>
      </c>
      <c r="BT58" s="158">
        <f t="shared" si="33"/>
        <v>0</v>
      </c>
      <c r="BU58" s="158">
        <f t="shared" si="33"/>
        <v>0</v>
      </c>
      <c r="BV58" s="158">
        <f t="shared" si="33"/>
        <v>0</v>
      </c>
      <c r="BW58" s="158">
        <f t="shared" si="33"/>
        <v>0</v>
      </c>
      <c r="BX58" s="158">
        <f t="shared" si="33"/>
        <v>0</v>
      </c>
      <c r="BY58" s="158">
        <f t="shared" si="33"/>
        <v>0</v>
      </c>
      <c r="BZ58" s="158">
        <f t="shared" si="33"/>
        <v>0</v>
      </c>
      <c r="CA58" s="158">
        <f t="shared" si="33"/>
        <v>0</v>
      </c>
      <c r="CB58" s="158">
        <f t="shared" si="33"/>
        <v>0</v>
      </c>
      <c r="CC58" s="158">
        <f t="shared" si="33"/>
        <v>0</v>
      </c>
      <c r="CD58" s="165">
        <f t="shared" si="19"/>
        <v>957521.03</v>
      </c>
      <c r="CE58" s="158">
        <f t="shared" si="20"/>
        <v>738373.93</v>
      </c>
      <c r="CF58" s="158">
        <f t="shared" si="21"/>
        <v>738373.93</v>
      </c>
      <c r="CG58" s="158">
        <f t="shared" si="22"/>
        <v>0</v>
      </c>
      <c r="CH58" s="163">
        <f t="shared" si="23"/>
        <v>219147.1</v>
      </c>
      <c r="CI58" s="166">
        <f t="shared" si="24"/>
        <v>0.77113077088239</v>
      </c>
      <c r="CJ58" s="167" t="str">
        <f t="shared" si="25"/>
        <v>数据正确</v>
      </c>
    </row>
    <row r="59" s="60" customFormat="1" customHeight="1" spans="1:88">
      <c r="A59" s="60" t="s">
        <v>36</v>
      </c>
      <c r="B59" s="70" t="str">
        <f t="shared" si="15"/>
        <v>-</v>
      </c>
      <c r="C59" s="71" t="str">
        <f t="shared" si="16"/>
        <v>已付清</v>
      </c>
      <c r="D59" s="72">
        <f t="shared" si="17"/>
        <v>32880.96</v>
      </c>
      <c r="E59" s="72">
        <v>0</v>
      </c>
      <c r="F59" s="72">
        <v>0</v>
      </c>
      <c r="G59" s="72">
        <v>0</v>
      </c>
      <c r="H59" s="72">
        <v>0</v>
      </c>
      <c r="I59" s="72">
        <f t="shared" si="18"/>
        <v>0</v>
      </c>
      <c r="J59" s="168" t="s">
        <v>98</v>
      </c>
      <c r="K59" s="87"/>
      <c r="L59" s="88">
        <v>228</v>
      </c>
      <c r="M59" s="89" t="s">
        <v>1395</v>
      </c>
      <c r="N59" s="90" t="s">
        <v>31</v>
      </c>
      <c r="O59" s="90"/>
      <c r="P59" s="91">
        <v>42980</v>
      </c>
      <c r="Q59" s="154">
        <v>32880.96</v>
      </c>
      <c r="R59" s="89" t="s">
        <v>1396</v>
      </c>
      <c r="S59" s="89" t="s">
        <v>1344</v>
      </c>
      <c r="T59" s="89"/>
      <c r="U59" s="103" t="s">
        <v>343</v>
      </c>
      <c r="V59" s="105" t="s">
        <v>1296</v>
      </c>
      <c r="W59" s="102">
        <v>32880.96</v>
      </c>
      <c r="X59" s="102">
        <v>32880.96</v>
      </c>
      <c r="Y59" s="102">
        <v>32880.96</v>
      </c>
      <c r="Z59" s="107"/>
      <c r="AA59" s="102"/>
      <c r="AB59" s="102"/>
      <c r="AC59" s="102"/>
      <c r="AD59" s="107"/>
      <c r="AE59" s="102"/>
      <c r="AF59" s="102"/>
      <c r="AG59" s="102"/>
      <c r="AH59" s="107"/>
      <c r="AI59" s="102"/>
      <c r="AJ59" s="102"/>
      <c r="AK59" s="102"/>
      <c r="AL59" s="107"/>
      <c r="AM59" s="102"/>
      <c r="AN59" s="102"/>
      <c r="AO59" s="102"/>
      <c r="AP59" s="107"/>
      <c r="AQ59" s="102"/>
      <c r="AR59" s="102"/>
      <c r="AS59" s="102"/>
      <c r="AT59" s="107"/>
      <c r="AU59" s="102"/>
      <c r="AV59" s="102"/>
      <c r="AW59" s="102"/>
      <c r="AX59" s="107"/>
      <c r="AY59" s="102"/>
      <c r="AZ59" s="102"/>
      <c r="BA59" s="102"/>
      <c r="BB59" s="102"/>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22"/>
      <c r="CD59" s="123">
        <f t="shared" si="19"/>
        <v>32880.96</v>
      </c>
      <c r="CE59" s="102">
        <f t="shared" si="20"/>
        <v>32880.96</v>
      </c>
      <c r="CF59" s="102">
        <f t="shared" si="21"/>
        <v>32880.96</v>
      </c>
      <c r="CG59" s="102">
        <f t="shared" si="22"/>
        <v>0</v>
      </c>
      <c r="CH59" s="124">
        <f t="shared" si="23"/>
        <v>0</v>
      </c>
      <c r="CI59" s="125">
        <f t="shared" si="24"/>
        <v>1</v>
      </c>
      <c r="CJ59" s="126" t="str">
        <f t="shared" si="25"/>
        <v>数据正确</v>
      </c>
    </row>
    <row r="60" s="60" customFormat="1" customHeight="1" spans="2:88">
      <c r="B60" s="70" t="str">
        <f t="shared" si="15"/>
        <v>-</v>
      </c>
      <c r="C60" s="71" t="str">
        <f t="shared" si="16"/>
        <v>-</v>
      </c>
      <c r="D60" s="72">
        <f t="shared" si="17"/>
        <v>0</v>
      </c>
      <c r="E60" s="72">
        <v>0</v>
      </c>
      <c r="F60" s="72">
        <v>0</v>
      </c>
      <c r="G60" s="72">
        <v>0</v>
      </c>
      <c r="H60" s="72">
        <v>0</v>
      </c>
      <c r="I60" s="72">
        <f t="shared" si="18"/>
        <v>0</v>
      </c>
      <c r="J60" s="168" t="s">
        <v>98</v>
      </c>
      <c r="K60" s="87"/>
      <c r="L60" s="88">
        <v>246</v>
      </c>
      <c r="M60" s="89" t="s">
        <v>1397</v>
      </c>
      <c r="N60" s="90" t="s">
        <v>31</v>
      </c>
      <c r="O60" s="90" t="s">
        <v>1398</v>
      </c>
      <c r="P60" s="91">
        <v>42980</v>
      </c>
      <c r="Q60" s="154">
        <v>38000</v>
      </c>
      <c r="R60" s="89" t="s">
        <v>1399</v>
      </c>
      <c r="S60" s="89" t="s">
        <v>1400</v>
      </c>
      <c r="T60" s="89"/>
      <c r="U60" s="103" t="s">
        <v>343</v>
      </c>
      <c r="V60" s="105" t="s">
        <v>1390</v>
      </c>
      <c r="W60" s="102">
        <v>38000</v>
      </c>
      <c r="X60" s="102"/>
      <c r="Y60" s="102"/>
      <c r="Z60" s="107"/>
      <c r="AA60" s="102"/>
      <c r="AB60" s="102"/>
      <c r="AC60" s="102"/>
      <c r="AD60" s="107"/>
      <c r="AE60" s="102"/>
      <c r="AF60" s="102"/>
      <c r="AG60" s="129"/>
      <c r="AH60" s="107"/>
      <c r="AI60" s="102"/>
      <c r="AJ60" s="102"/>
      <c r="AK60" s="102"/>
      <c r="AL60" s="107"/>
      <c r="AM60" s="102"/>
      <c r="AN60" s="102"/>
      <c r="AO60" s="102"/>
      <c r="AP60" s="107"/>
      <c r="AQ60" s="102"/>
      <c r="AR60" s="102"/>
      <c r="AS60" s="102"/>
      <c r="AT60" s="107"/>
      <c r="AU60" s="102"/>
      <c r="AV60" s="102"/>
      <c r="AW60" s="102"/>
      <c r="AX60" s="107"/>
      <c r="AY60" s="102"/>
      <c r="AZ60" s="102"/>
      <c r="BA60" s="102"/>
      <c r="BB60" s="102"/>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22"/>
      <c r="CD60" s="123">
        <f t="shared" si="19"/>
        <v>38000</v>
      </c>
      <c r="CE60" s="102">
        <f t="shared" si="20"/>
        <v>0</v>
      </c>
      <c r="CF60" s="102">
        <f t="shared" si="21"/>
        <v>0</v>
      </c>
      <c r="CG60" s="102">
        <f t="shared" si="22"/>
        <v>0</v>
      </c>
      <c r="CH60" s="124">
        <f t="shared" si="23"/>
        <v>38000</v>
      </c>
      <c r="CI60" s="125">
        <f t="shared" si="24"/>
        <v>0</v>
      </c>
      <c r="CJ60" s="126" t="str">
        <f t="shared" si="25"/>
        <v>数据正确</v>
      </c>
    </row>
    <row r="61" s="60" customFormat="1" customHeight="1" outlineLevel="1" spans="1:88">
      <c r="A61" s="60" t="s">
        <v>36</v>
      </c>
      <c r="B61" s="70" t="str">
        <f t="shared" si="15"/>
        <v>-</v>
      </c>
      <c r="C61" s="71" t="str">
        <f t="shared" si="16"/>
        <v>-</v>
      </c>
      <c r="D61" s="72">
        <f t="shared" si="17"/>
        <v>6222500</v>
      </c>
      <c r="E61" s="72">
        <v>0</v>
      </c>
      <c r="F61" s="72">
        <v>0</v>
      </c>
      <c r="G61" s="72">
        <v>0</v>
      </c>
      <c r="H61" s="72">
        <v>0</v>
      </c>
      <c r="I61" s="72">
        <f t="shared" si="18"/>
        <v>0</v>
      </c>
      <c r="J61" s="168" t="s">
        <v>98</v>
      </c>
      <c r="K61" s="87"/>
      <c r="L61" s="141" t="s">
        <v>1401</v>
      </c>
      <c r="M61" s="89" t="s">
        <v>1402</v>
      </c>
      <c r="N61" s="90" t="s">
        <v>31</v>
      </c>
      <c r="O61" s="90"/>
      <c r="P61" s="91">
        <v>42981</v>
      </c>
      <c r="Q61" s="154">
        <v>6550000</v>
      </c>
      <c r="R61" s="89" t="s">
        <v>1403</v>
      </c>
      <c r="S61" s="89" t="s">
        <v>1404</v>
      </c>
      <c r="T61" s="89"/>
      <c r="U61" s="103" t="s">
        <v>938</v>
      </c>
      <c r="V61" s="105" t="s">
        <v>1405</v>
      </c>
      <c r="W61" s="102">
        <v>1310000</v>
      </c>
      <c r="X61" s="102">
        <v>1310000</v>
      </c>
      <c r="Y61" s="102">
        <v>1310000</v>
      </c>
      <c r="Z61" s="107" t="s">
        <v>1406</v>
      </c>
      <c r="AA61" s="102">
        <v>3930000</v>
      </c>
      <c r="AB61" s="102">
        <v>3930000</v>
      </c>
      <c r="AC61" s="102">
        <v>3930000</v>
      </c>
      <c r="AD61" s="107" t="s">
        <v>1407</v>
      </c>
      <c r="AE61" s="102">
        <v>982500</v>
      </c>
      <c r="AF61" s="102">
        <v>982500</v>
      </c>
      <c r="AG61" s="102">
        <v>982500</v>
      </c>
      <c r="AH61" s="107" t="s">
        <v>1408</v>
      </c>
      <c r="AI61" s="102">
        <v>327500</v>
      </c>
      <c r="AJ61" s="102"/>
      <c r="AK61" s="102"/>
      <c r="AL61" s="107"/>
      <c r="AM61" s="102"/>
      <c r="AN61" s="102"/>
      <c r="AO61" s="102"/>
      <c r="AP61" s="107"/>
      <c r="AQ61" s="102"/>
      <c r="AR61" s="102"/>
      <c r="AS61" s="102"/>
      <c r="AT61" s="107"/>
      <c r="AU61" s="102"/>
      <c r="AV61" s="102"/>
      <c r="AW61" s="102"/>
      <c r="AX61" s="107"/>
      <c r="AY61" s="102"/>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22"/>
      <c r="CD61" s="123">
        <f t="shared" si="19"/>
        <v>6550000</v>
      </c>
      <c r="CE61" s="102">
        <f t="shared" si="20"/>
        <v>6222500</v>
      </c>
      <c r="CF61" s="102">
        <f t="shared" si="21"/>
        <v>6222500</v>
      </c>
      <c r="CG61" s="102">
        <f t="shared" si="22"/>
        <v>0</v>
      </c>
      <c r="CH61" s="124">
        <f t="shared" si="23"/>
        <v>327500</v>
      </c>
      <c r="CI61" s="125">
        <f t="shared" si="24"/>
        <v>0.95</v>
      </c>
      <c r="CJ61" s="126" t="str">
        <f t="shared" si="25"/>
        <v>数据正确</v>
      </c>
    </row>
    <row r="62" s="60" customFormat="1" customHeight="1" outlineLevel="1" spans="1:88">
      <c r="A62" s="60" t="s">
        <v>36</v>
      </c>
      <c r="B62" s="70" t="str">
        <f t="shared" si="15"/>
        <v>申请中</v>
      </c>
      <c r="C62" s="71" t="str">
        <f t="shared" si="16"/>
        <v>-</v>
      </c>
      <c r="D62" s="72">
        <f t="shared" si="17"/>
        <v>1547971.904</v>
      </c>
      <c r="E62" s="72">
        <v>0</v>
      </c>
      <c r="F62" s="72">
        <v>0</v>
      </c>
      <c r="G62" s="72">
        <v>0</v>
      </c>
      <c r="H62" s="72">
        <v>0</v>
      </c>
      <c r="I62" s="72">
        <f t="shared" si="18"/>
        <v>290244.732</v>
      </c>
      <c r="J62" s="168" t="s">
        <v>98</v>
      </c>
      <c r="K62" s="87"/>
      <c r="L62" s="141" t="s">
        <v>1409</v>
      </c>
      <c r="M62" s="89" t="s">
        <v>1410</v>
      </c>
      <c r="N62" s="90" t="s">
        <v>31</v>
      </c>
      <c r="O62" s="90"/>
      <c r="P62" s="91">
        <v>43000</v>
      </c>
      <c r="Q62" s="154">
        <v>1934964.88</v>
      </c>
      <c r="R62" s="89" t="s">
        <v>1411</v>
      </c>
      <c r="S62" s="89" t="s">
        <v>1404</v>
      </c>
      <c r="T62" s="89"/>
      <c r="U62" s="103" t="s">
        <v>938</v>
      </c>
      <c r="V62" s="105" t="s">
        <v>1405</v>
      </c>
      <c r="W62" s="102">
        <v>386992.976</v>
      </c>
      <c r="X62" s="102">
        <v>386992.976</v>
      </c>
      <c r="Y62" s="102">
        <v>386992.976</v>
      </c>
      <c r="Z62" s="107" t="s">
        <v>1406</v>
      </c>
      <c r="AA62" s="102">
        <v>1160978.928</v>
      </c>
      <c r="AB62" s="102">
        <v>1160978.928</v>
      </c>
      <c r="AC62" s="102">
        <v>1160978.928</v>
      </c>
      <c r="AD62" s="107" t="s">
        <v>1407</v>
      </c>
      <c r="AE62" s="102">
        <v>290244.732</v>
      </c>
      <c r="AF62" s="102">
        <f>AE62</f>
        <v>290244.732</v>
      </c>
      <c r="AG62" s="129"/>
      <c r="AH62" s="107" t="s">
        <v>1408</v>
      </c>
      <c r="AI62" s="102">
        <v>96748.244</v>
      </c>
      <c r="AJ62" s="102"/>
      <c r="AK62" s="102"/>
      <c r="AL62" s="107"/>
      <c r="AM62" s="102"/>
      <c r="AN62" s="102"/>
      <c r="AO62" s="102"/>
      <c r="AP62" s="107"/>
      <c r="AQ62" s="102"/>
      <c r="AR62" s="102"/>
      <c r="AS62" s="102"/>
      <c r="AT62" s="107"/>
      <c r="AU62" s="102"/>
      <c r="AV62" s="102"/>
      <c r="AW62" s="102"/>
      <c r="AX62" s="107"/>
      <c r="AY62" s="102"/>
      <c r="AZ62" s="102"/>
      <c r="BA62" s="102"/>
      <c r="BB62" s="102"/>
      <c r="BC62" s="102"/>
      <c r="BD62" s="102"/>
      <c r="BE62" s="102"/>
      <c r="BF62" s="102"/>
      <c r="BG62" s="102"/>
      <c r="BH62" s="102"/>
      <c r="BI62" s="102"/>
      <c r="BJ62" s="102"/>
      <c r="BK62" s="102"/>
      <c r="BL62" s="102"/>
      <c r="BM62" s="102"/>
      <c r="BN62" s="102"/>
      <c r="BO62" s="102"/>
      <c r="BP62" s="102"/>
      <c r="BQ62" s="102"/>
      <c r="BR62" s="102"/>
      <c r="BS62" s="102"/>
      <c r="BT62" s="102"/>
      <c r="BU62" s="102"/>
      <c r="BV62" s="102"/>
      <c r="BW62" s="102"/>
      <c r="BX62" s="102"/>
      <c r="BY62" s="102"/>
      <c r="BZ62" s="102"/>
      <c r="CA62" s="102"/>
      <c r="CB62" s="102"/>
      <c r="CC62" s="122"/>
      <c r="CD62" s="123">
        <f t="shared" si="19"/>
        <v>1934964.88</v>
      </c>
      <c r="CE62" s="102">
        <f t="shared" si="20"/>
        <v>1838216.636</v>
      </c>
      <c r="CF62" s="102">
        <f t="shared" si="21"/>
        <v>1547971.904</v>
      </c>
      <c r="CG62" s="102">
        <f t="shared" si="22"/>
        <v>0</v>
      </c>
      <c r="CH62" s="124">
        <f t="shared" si="23"/>
        <v>386992.976</v>
      </c>
      <c r="CI62" s="125">
        <f t="shared" si="24"/>
        <v>0.8</v>
      </c>
      <c r="CJ62" s="126" t="str">
        <f t="shared" si="25"/>
        <v>数据正确</v>
      </c>
    </row>
    <row r="63" s="60" customFormat="1" customHeight="1" outlineLevel="1" spans="1:88">
      <c r="A63" s="60" t="s">
        <v>36</v>
      </c>
      <c r="B63" s="70" t="str">
        <f t="shared" si="15"/>
        <v>申请中</v>
      </c>
      <c r="C63" s="71" t="str">
        <f t="shared" si="16"/>
        <v>-</v>
      </c>
      <c r="D63" s="72">
        <f t="shared" si="17"/>
        <v>2018522.11</v>
      </c>
      <c r="E63" s="72">
        <v>0</v>
      </c>
      <c r="F63" s="72">
        <v>0</v>
      </c>
      <c r="G63" s="72">
        <v>0</v>
      </c>
      <c r="H63" s="72">
        <v>0</v>
      </c>
      <c r="I63" s="72">
        <f t="shared" si="18"/>
        <v>378472.8945</v>
      </c>
      <c r="J63" s="168" t="s">
        <v>98</v>
      </c>
      <c r="K63" s="87"/>
      <c r="L63" s="141" t="s">
        <v>1412</v>
      </c>
      <c r="M63" s="89" t="s">
        <v>1413</v>
      </c>
      <c r="N63" s="90" t="s">
        <v>31</v>
      </c>
      <c r="O63" s="90"/>
      <c r="P63" s="91">
        <v>42990</v>
      </c>
      <c r="Q63" s="154">
        <v>2523152.63</v>
      </c>
      <c r="R63" s="89" t="s">
        <v>1414</v>
      </c>
      <c r="S63" s="89" t="s">
        <v>1404</v>
      </c>
      <c r="T63" s="89"/>
      <c r="U63" s="103" t="s">
        <v>938</v>
      </c>
      <c r="V63" s="105" t="s">
        <v>1405</v>
      </c>
      <c r="W63" s="102">
        <v>504630.526</v>
      </c>
      <c r="X63" s="102">
        <v>504630.53</v>
      </c>
      <c r="Y63" s="102">
        <v>504630.53</v>
      </c>
      <c r="Z63" s="107" t="s">
        <v>1406</v>
      </c>
      <c r="AA63" s="102">
        <v>1513891.578</v>
      </c>
      <c r="AB63" s="102">
        <v>1513891.58</v>
      </c>
      <c r="AC63" s="102">
        <v>1513891.58</v>
      </c>
      <c r="AD63" s="107" t="s">
        <v>1407</v>
      </c>
      <c r="AE63" s="102">
        <v>378472.8945</v>
      </c>
      <c r="AF63" s="102">
        <f>AE63</f>
        <v>378472.8945</v>
      </c>
      <c r="AG63" s="102"/>
      <c r="AH63" s="107" t="s">
        <v>1408</v>
      </c>
      <c r="AI63" s="102">
        <v>126157.6315</v>
      </c>
      <c r="AJ63" s="102"/>
      <c r="AK63" s="102"/>
      <c r="AL63" s="107"/>
      <c r="AM63" s="102"/>
      <c r="AN63" s="102"/>
      <c r="AO63" s="102"/>
      <c r="AP63" s="107"/>
      <c r="AQ63" s="102"/>
      <c r="AR63" s="102"/>
      <c r="AS63" s="102"/>
      <c r="AT63" s="107"/>
      <c r="AU63" s="102"/>
      <c r="AV63" s="102"/>
      <c r="AW63" s="102"/>
      <c r="AX63" s="107"/>
      <c r="AY63" s="102"/>
      <c r="AZ63" s="102"/>
      <c r="BA63" s="102"/>
      <c r="BB63" s="102"/>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22"/>
      <c r="CD63" s="123">
        <f t="shared" si="19"/>
        <v>2523152.63</v>
      </c>
      <c r="CE63" s="102">
        <f t="shared" si="20"/>
        <v>2396995.0045</v>
      </c>
      <c r="CF63" s="102">
        <f t="shared" si="21"/>
        <v>2018522.11</v>
      </c>
      <c r="CG63" s="102">
        <f t="shared" si="22"/>
        <v>0</v>
      </c>
      <c r="CH63" s="124">
        <f t="shared" si="23"/>
        <v>504630.52</v>
      </c>
      <c r="CI63" s="125">
        <f t="shared" si="24"/>
        <v>0.800000002377978</v>
      </c>
      <c r="CJ63" s="126" t="str">
        <f t="shared" si="25"/>
        <v>数据正确</v>
      </c>
    </row>
    <row r="64" s="60" customFormat="1" customHeight="1" outlineLevel="1" spans="1:88">
      <c r="A64" s="60" t="s">
        <v>36</v>
      </c>
      <c r="B64" s="70" t="str">
        <f t="shared" si="15"/>
        <v>-</v>
      </c>
      <c r="C64" s="71" t="str">
        <f t="shared" si="16"/>
        <v>-</v>
      </c>
      <c r="D64" s="72">
        <f t="shared" si="17"/>
        <v>3400000</v>
      </c>
      <c r="E64" s="72">
        <v>0</v>
      </c>
      <c r="F64" s="72">
        <v>0</v>
      </c>
      <c r="G64" s="72">
        <v>0</v>
      </c>
      <c r="H64" s="72">
        <v>0</v>
      </c>
      <c r="I64" s="72">
        <f t="shared" si="18"/>
        <v>0</v>
      </c>
      <c r="J64" s="168" t="s">
        <v>98</v>
      </c>
      <c r="K64" s="87"/>
      <c r="L64" s="141" t="s">
        <v>1415</v>
      </c>
      <c r="M64" s="89" t="s">
        <v>1416</v>
      </c>
      <c r="N64" s="90" t="s">
        <v>31</v>
      </c>
      <c r="O64" s="90">
        <v>2017090022</v>
      </c>
      <c r="P64" s="91">
        <v>42990</v>
      </c>
      <c r="Q64" s="154">
        <v>4250000</v>
      </c>
      <c r="R64" s="89" t="s">
        <v>1417</v>
      </c>
      <c r="S64" s="89" t="s">
        <v>1404</v>
      </c>
      <c r="T64" s="89"/>
      <c r="U64" s="103" t="s">
        <v>938</v>
      </c>
      <c r="V64" s="105" t="s">
        <v>1405</v>
      </c>
      <c r="W64" s="102">
        <v>850000</v>
      </c>
      <c r="X64" s="102">
        <v>850000</v>
      </c>
      <c r="Y64" s="102">
        <v>850000</v>
      </c>
      <c r="Z64" s="107" t="s">
        <v>1406</v>
      </c>
      <c r="AA64" s="102">
        <v>2550000</v>
      </c>
      <c r="AB64" s="102">
        <v>2550000</v>
      </c>
      <c r="AC64" s="102">
        <v>2550000</v>
      </c>
      <c r="AD64" s="107" t="s">
        <v>1407</v>
      </c>
      <c r="AE64" s="102">
        <v>637500</v>
      </c>
      <c r="AF64" s="102"/>
      <c r="AG64" s="129"/>
      <c r="AH64" s="107" t="s">
        <v>1408</v>
      </c>
      <c r="AI64" s="102">
        <v>212500</v>
      </c>
      <c r="AJ64" s="102"/>
      <c r="AK64" s="102"/>
      <c r="AL64" s="107"/>
      <c r="AM64" s="102"/>
      <c r="AN64" s="102"/>
      <c r="AO64" s="102"/>
      <c r="AP64" s="107"/>
      <c r="AQ64" s="102"/>
      <c r="AR64" s="102"/>
      <c r="AS64" s="102"/>
      <c r="AT64" s="107"/>
      <c r="AU64" s="102"/>
      <c r="AV64" s="102"/>
      <c r="AW64" s="102"/>
      <c r="AX64" s="107"/>
      <c r="AY64" s="102"/>
      <c r="AZ64" s="102"/>
      <c r="BA64" s="102"/>
      <c r="BB64" s="102"/>
      <c r="BC64" s="102"/>
      <c r="BD64" s="102"/>
      <c r="BE64" s="102"/>
      <c r="BF64" s="102"/>
      <c r="BG64" s="102"/>
      <c r="BH64" s="102"/>
      <c r="BI64" s="102"/>
      <c r="BJ64" s="102"/>
      <c r="BK64" s="102"/>
      <c r="BL64" s="102"/>
      <c r="BM64" s="102"/>
      <c r="BN64" s="102"/>
      <c r="BO64" s="102"/>
      <c r="BP64" s="102"/>
      <c r="BQ64" s="102"/>
      <c r="BR64" s="102"/>
      <c r="BS64" s="102"/>
      <c r="BT64" s="102"/>
      <c r="BU64" s="102"/>
      <c r="BV64" s="102"/>
      <c r="BW64" s="102"/>
      <c r="BX64" s="102"/>
      <c r="BY64" s="102"/>
      <c r="BZ64" s="102"/>
      <c r="CA64" s="102"/>
      <c r="CB64" s="102"/>
      <c r="CC64" s="122"/>
      <c r="CD64" s="123">
        <f t="shared" si="19"/>
        <v>4250000</v>
      </c>
      <c r="CE64" s="102">
        <f t="shared" si="20"/>
        <v>3400000</v>
      </c>
      <c r="CF64" s="102">
        <f t="shared" si="21"/>
        <v>3400000</v>
      </c>
      <c r="CG64" s="102">
        <f t="shared" si="22"/>
        <v>0</v>
      </c>
      <c r="CH64" s="124">
        <f t="shared" si="23"/>
        <v>850000</v>
      </c>
      <c r="CI64" s="125">
        <f t="shared" si="24"/>
        <v>0.8</v>
      </c>
      <c r="CJ64" s="126" t="str">
        <f t="shared" si="25"/>
        <v>数据正确</v>
      </c>
    </row>
    <row r="65" s="60" customFormat="1" customHeight="1" outlineLevel="1" spans="1:88">
      <c r="A65" s="60" t="s">
        <v>36</v>
      </c>
      <c r="B65" s="70" t="str">
        <f t="shared" si="15"/>
        <v>申请中</v>
      </c>
      <c r="C65" s="71" t="str">
        <f t="shared" si="16"/>
        <v>-</v>
      </c>
      <c r="D65" s="72">
        <f t="shared" si="17"/>
        <v>0</v>
      </c>
      <c r="E65" s="72">
        <v>0</v>
      </c>
      <c r="F65" s="72">
        <v>0</v>
      </c>
      <c r="G65" s="72">
        <v>0</v>
      </c>
      <c r="H65" s="72">
        <v>0</v>
      </c>
      <c r="I65" s="72">
        <f t="shared" si="18"/>
        <v>1252178.976</v>
      </c>
      <c r="J65" s="168" t="s">
        <v>98</v>
      </c>
      <c r="K65" s="87"/>
      <c r="L65" s="141" t="s">
        <v>1418</v>
      </c>
      <c r="M65" s="89" t="s">
        <v>1419</v>
      </c>
      <c r="N65" s="90" t="s">
        <v>31</v>
      </c>
      <c r="O65" s="90">
        <v>2017090047</v>
      </c>
      <c r="P65" s="91">
        <v>43048</v>
      </c>
      <c r="Q65" s="154">
        <v>1565223.72</v>
      </c>
      <c r="R65" s="89" t="s">
        <v>1420</v>
      </c>
      <c r="S65" s="89" t="s">
        <v>1404</v>
      </c>
      <c r="T65" s="89"/>
      <c r="U65" s="103" t="s">
        <v>938</v>
      </c>
      <c r="V65" s="105" t="s">
        <v>1405</v>
      </c>
      <c r="W65" s="102">
        <f>Q65*0.2</f>
        <v>313044.744</v>
      </c>
      <c r="X65" s="102">
        <f>W65</f>
        <v>313044.744</v>
      </c>
      <c r="Y65" s="102"/>
      <c r="Z65" s="107" t="s">
        <v>1406</v>
      </c>
      <c r="AA65" s="102">
        <f>Q65*0.6</f>
        <v>939134.232</v>
      </c>
      <c r="AB65" s="102">
        <f>AA65</f>
        <v>939134.232</v>
      </c>
      <c r="AC65" s="102"/>
      <c r="AD65" s="107" t="s">
        <v>1407</v>
      </c>
      <c r="AE65" s="102">
        <f>Q65*0.15</f>
        <v>234783.558</v>
      </c>
      <c r="AF65" s="102"/>
      <c r="AG65" s="129"/>
      <c r="AH65" s="107" t="s">
        <v>1408</v>
      </c>
      <c r="AI65" s="102">
        <f>Q65*0.05</f>
        <v>78261.186</v>
      </c>
      <c r="AJ65" s="102"/>
      <c r="AK65" s="102"/>
      <c r="AL65" s="107"/>
      <c r="AM65" s="102"/>
      <c r="AN65" s="102"/>
      <c r="AO65" s="102"/>
      <c r="AP65" s="107"/>
      <c r="AQ65" s="102"/>
      <c r="AR65" s="102"/>
      <c r="AS65" s="102"/>
      <c r="AT65" s="107"/>
      <c r="AU65" s="102"/>
      <c r="AV65" s="102"/>
      <c r="AW65" s="102"/>
      <c r="AX65" s="107"/>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c r="CB65" s="102"/>
      <c r="CC65" s="122"/>
      <c r="CD65" s="123">
        <f t="shared" si="19"/>
        <v>1565223.72</v>
      </c>
      <c r="CE65" s="102">
        <f t="shared" si="20"/>
        <v>1252178.976</v>
      </c>
      <c r="CF65" s="102">
        <f t="shared" si="21"/>
        <v>0</v>
      </c>
      <c r="CG65" s="102">
        <f t="shared" si="22"/>
        <v>0</v>
      </c>
      <c r="CH65" s="124">
        <f t="shared" si="23"/>
        <v>1565223.72</v>
      </c>
      <c r="CI65" s="125">
        <f t="shared" si="24"/>
        <v>0</v>
      </c>
      <c r="CJ65" s="126" t="str">
        <f t="shared" si="25"/>
        <v>数据正确</v>
      </c>
    </row>
    <row r="66" s="130" customFormat="1" customHeight="1" spans="1:88">
      <c r="A66" s="130" t="s">
        <v>36</v>
      </c>
      <c r="B66" s="132" t="str">
        <f t="shared" si="15"/>
        <v>申请中</v>
      </c>
      <c r="C66" s="133" t="str">
        <f t="shared" si="16"/>
        <v>-</v>
      </c>
      <c r="D66" s="134">
        <f t="shared" si="17"/>
        <v>13188994.014</v>
      </c>
      <c r="E66" s="134">
        <f>SUM(E61:E64)</f>
        <v>0</v>
      </c>
      <c r="F66" s="134">
        <f>SUM(F61:F64)</f>
        <v>0</v>
      </c>
      <c r="G66" s="134">
        <f>SUM(G61:G64)</f>
        <v>0</v>
      </c>
      <c r="H66" s="134">
        <f>SUM(H61:H64)</f>
        <v>0</v>
      </c>
      <c r="I66" s="134">
        <f t="shared" si="18"/>
        <v>668717.626499999</v>
      </c>
      <c r="J66" s="171" t="s">
        <v>98</v>
      </c>
      <c r="K66" s="172"/>
      <c r="L66" s="143">
        <v>230</v>
      </c>
      <c r="M66" s="144" t="s">
        <v>97</v>
      </c>
      <c r="N66" s="145" t="s">
        <v>31</v>
      </c>
      <c r="O66" s="145" t="s">
        <v>97</v>
      </c>
      <c r="P66" s="146">
        <v>42981</v>
      </c>
      <c r="Q66" s="155">
        <f>SUM(Q61:Q64)</f>
        <v>15258117.51</v>
      </c>
      <c r="R66" s="144" t="s">
        <v>1421</v>
      </c>
      <c r="S66" s="144" t="s">
        <v>1422</v>
      </c>
      <c r="T66" s="144"/>
      <c r="U66" s="156" t="s">
        <v>938</v>
      </c>
      <c r="V66" s="157" t="s">
        <v>1405</v>
      </c>
      <c r="W66" s="158">
        <f>SUM(W61:W64)</f>
        <v>3051623.502</v>
      </c>
      <c r="X66" s="158">
        <f t="shared" ref="X66:BC66" si="34">SUM(X61:X64)</f>
        <v>3051623.506</v>
      </c>
      <c r="Y66" s="158">
        <f t="shared" si="34"/>
        <v>3051623.506</v>
      </c>
      <c r="Z66" s="158">
        <f t="shared" si="34"/>
        <v>0</v>
      </c>
      <c r="AA66" s="158">
        <f t="shared" si="34"/>
        <v>9154870.506</v>
      </c>
      <c r="AB66" s="158">
        <f t="shared" si="34"/>
        <v>9154870.508</v>
      </c>
      <c r="AC66" s="158">
        <f t="shared" si="34"/>
        <v>9154870.508</v>
      </c>
      <c r="AD66" s="158">
        <f t="shared" si="34"/>
        <v>0</v>
      </c>
      <c r="AE66" s="158">
        <f t="shared" si="34"/>
        <v>2288717.6265</v>
      </c>
      <c r="AF66" s="158">
        <f t="shared" si="34"/>
        <v>1651217.6265</v>
      </c>
      <c r="AG66" s="158">
        <f t="shared" si="34"/>
        <v>982500</v>
      </c>
      <c r="AH66" s="158">
        <f t="shared" si="34"/>
        <v>0</v>
      </c>
      <c r="AI66" s="158">
        <f t="shared" si="34"/>
        <v>762905.8755</v>
      </c>
      <c r="AJ66" s="158">
        <f t="shared" si="34"/>
        <v>0</v>
      </c>
      <c r="AK66" s="158">
        <f t="shared" si="34"/>
        <v>0</v>
      </c>
      <c r="AL66" s="158">
        <f t="shared" si="34"/>
        <v>0</v>
      </c>
      <c r="AM66" s="158">
        <f t="shared" si="34"/>
        <v>0</v>
      </c>
      <c r="AN66" s="158">
        <f t="shared" si="34"/>
        <v>0</v>
      </c>
      <c r="AO66" s="158">
        <f t="shared" si="34"/>
        <v>0</v>
      </c>
      <c r="AP66" s="158">
        <f t="shared" si="34"/>
        <v>0</v>
      </c>
      <c r="AQ66" s="158">
        <f t="shared" si="34"/>
        <v>0</v>
      </c>
      <c r="AR66" s="158">
        <f t="shared" si="34"/>
        <v>0</v>
      </c>
      <c r="AS66" s="158">
        <f t="shared" si="34"/>
        <v>0</v>
      </c>
      <c r="AT66" s="158">
        <f t="shared" si="34"/>
        <v>0</v>
      </c>
      <c r="AU66" s="158">
        <f t="shared" si="34"/>
        <v>0</v>
      </c>
      <c r="AV66" s="158">
        <f t="shared" si="34"/>
        <v>0</v>
      </c>
      <c r="AW66" s="158">
        <f t="shared" si="34"/>
        <v>0</v>
      </c>
      <c r="AX66" s="158">
        <f t="shared" si="34"/>
        <v>0</v>
      </c>
      <c r="AY66" s="158">
        <f t="shared" si="34"/>
        <v>0</v>
      </c>
      <c r="AZ66" s="158">
        <f t="shared" si="34"/>
        <v>0</v>
      </c>
      <c r="BA66" s="158">
        <f t="shared" si="34"/>
        <v>0</v>
      </c>
      <c r="BB66" s="158">
        <f t="shared" si="34"/>
        <v>0</v>
      </c>
      <c r="BC66" s="158">
        <f t="shared" si="34"/>
        <v>0</v>
      </c>
      <c r="BD66" s="158">
        <f t="shared" ref="BD66:CC66" si="35">SUM(BD61:BD64)</f>
        <v>0</v>
      </c>
      <c r="BE66" s="158">
        <f t="shared" si="35"/>
        <v>0</v>
      </c>
      <c r="BF66" s="158">
        <f t="shared" si="35"/>
        <v>0</v>
      </c>
      <c r="BG66" s="158">
        <f t="shared" si="35"/>
        <v>0</v>
      </c>
      <c r="BH66" s="158">
        <f t="shared" si="35"/>
        <v>0</v>
      </c>
      <c r="BI66" s="158">
        <f t="shared" si="35"/>
        <v>0</v>
      </c>
      <c r="BJ66" s="158">
        <f t="shared" si="35"/>
        <v>0</v>
      </c>
      <c r="BK66" s="158">
        <f t="shared" si="35"/>
        <v>0</v>
      </c>
      <c r="BL66" s="158">
        <f t="shared" si="35"/>
        <v>0</v>
      </c>
      <c r="BM66" s="158">
        <f t="shared" si="35"/>
        <v>0</v>
      </c>
      <c r="BN66" s="158">
        <f t="shared" si="35"/>
        <v>0</v>
      </c>
      <c r="BO66" s="158">
        <f t="shared" si="35"/>
        <v>0</v>
      </c>
      <c r="BP66" s="158">
        <f t="shared" si="35"/>
        <v>0</v>
      </c>
      <c r="BQ66" s="158">
        <f t="shared" si="35"/>
        <v>0</v>
      </c>
      <c r="BR66" s="158">
        <f t="shared" si="35"/>
        <v>0</v>
      </c>
      <c r="BS66" s="158">
        <f t="shared" si="35"/>
        <v>0</v>
      </c>
      <c r="BT66" s="158">
        <f t="shared" si="35"/>
        <v>0</v>
      </c>
      <c r="BU66" s="158">
        <f t="shared" si="35"/>
        <v>0</v>
      </c>
      <c r="BV66" s="158">
        <f t="shared" si="35"/>
        <v>0</v>
      </c>
      <c r="BW66" s="158">
        <f t="shared" si="35"/>
        <v>0</v>
      </c>
      <c r="BX66" s="158">
        <f t="shared" si="35"/>
        <v>0</v>
      </c>
      <c r="BY66" s="158">
        <f t="shared" si="35"/>
        <v>0</v>
      </c>
      <c r="BZ66" s="158">
        <f t="shared" si="35"/>
        <v>0</v>
      </c>
      <c r="CA66" s="158">
        <f t="shared" si="35"/>
        <v>0</v>
      </c>
      <c r="CB66" s="158">
        <f t="shared" si="35"/>
        <v>0</v>
      </c>
      <c r="CC66" s="158">
        <f t="shared" si="35"/>
        <v>0</v>
      </c>
      <c r="CD66" s="165">
        <f t="shared" si="19"/>
        <v>15258117.51</v>
      </c>
      <c r="CE66" s="158">
        <f t="shared" si="20"/>
        <v>13857711.6405</v>
      </c>
      <c r="CF66" s="158">
        <f t="shared" si="21"/>
        <v>13188994.014</v>
      </c>
      <c r="CG66" s="158">
        <f t="shared" si="22"/>
        <v>0</v>
      </c>
      <c r="CH66" s="163">
        <f t="shared" si="23"/>
        <v>2069123.496</v>
      </c>
      <c r="CI66" s="166">
        <f t="shared" si="24"/>
        <v>0.864391954338802</v>
      </c>
      <c r="CJ66" s="167" t="str">
        <f t="shared" si="25"/>
        <v>数据正确</v>
      </c>
    </row>
    <row r="67" s="60" customFormat="1" customHeight="1" spans="1:88">
      <c r="A67" s="60" t="s">
        <v>36</v>
      </c>
      <c r="B67" s="70" t="str">
        <f t="shared" si="15"/>
        <v>-</v>
      </c>
      <c r="C67" s="71" t="str">
        <f t="shared" si="16"/>
        <v>已付清</v>
      </c>
      <c r="D67" s="72">
        <f t="shared" si="17"/>
        <v>4998335</v>
      </c>
      <c r="E67" s="72">
        <v>0</v>
      </c>
      <c r="F67" s="72">
        <v>0</v>
      </c>
      <c r="G67" s="72">
        <v>0</v>
      </c>
      <c r="H67" s="72">
        <v>0</v>
      </c>
      <c r="I67" s="72">
        <f t="shared" si="18"/>
        <v>0</v>
      </c>
      <c r="J67" s="168" t="s">
        <v>98</v>
      </c>
      <c r="K67" s="87"/>
      <c r="L67" s="88" t="s">
        <v>1423</v>
      </c>
      <c r="M67" s="89" t="s">
        <v>1424</v>
      </c>
      <c r="N67" s="90" t="s">
        <v>31</v>
      </c>
      <c r="O67" s="90">
        <v>2017090006</v>
      </c>
      <c r="P67" s="91">
        <v>42989</v>
      </c>
      <c r="Q67" s="154">
        <v>4998335</v>
      </c>
      <c r="R67" s="89" t="s">
        <v>1425</v>
      </c>
      <c r="S67" s="89" t="s">
        <v>1426</v>
      </c>
      <c r="T67" s="89"/>
      <c r="U67" s="103" t="s">
        <v>343</v>
      </c>
      <c r="V67" s="105" t="s">
        <v>1427</v>
      </c>
      <c r="W67" s="102">
        <v>4998335</v>
      </c>
      <c r="X67" s="102">
        <v>4998335</v>
      </c>
      <c r="Y67" s="102">
        <v>4998335</v>
      </c>
      <c r="Z67" s="107"/>
      <c r="AA67" s="102"/>
      <c r="AB67" s="102"/>
      <c r="AC67" s="102"/>
      <c r="AD67" s="107"/>
      <c r="AE67" s="102"/>
      <c r="AF67" s="102"/>
      <c r="AG67" s="129"/>
      <c r="AH67" s="107"/>
      <c r="AI67" s="102"/>
      <c r="AJ67" s="102"/>
      <c r="AK67" s="102"/>
      <c r="AL67" s="107"/>
      <c r="AM67" s="102"/>
      <c r="AN67" s="102"/>
      <c r="AO67" s="102"/>
      <c r="AP67" s="107"/>
      <c r="AQ67" s="102"/>
      <c r="AR67" s="102"/>
      <c r="AS67" s="102"/>
      <c r="AT67" s="107"/>
      <c r="AU67" s="102"/>
      <c r="AV67" s="102"/>
      <c r="AW67" s="102"/>
      <c r="AX67" s="107"/>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c r="CB67" s="102"/>
      <c r="CC67" s="122"/>
      <c r="CD67" s="123">
        <f t="shared" si="19"/>
        <v>4998335</v>
      </c>
      <c r="CE67" s="102">
        <f t="shared" si="20"/>
        <v>4998335</v>
      </c>
      <c r="CF67" s="102">
        <f t="shared" si="21"/>
        <v>4998335</v>
      </c>
      <c r="CG67" s="102">
        <f t="shared" si="22"/>
        <v>0</v>
      </c>
      <c r="CH67" s="124">
        <f t="shared" si="23"/>
        <v>0</v>
      </c>
      <c r="CI67" s="125">
        <f t="shared" si="24"/>
        <v>1</v>
      </c>
      <c r="CJ67" s="126" t="str">
        <f t="shared" si="25"/>
        <v>数据正确</v>
      </c>
    </row>
    <row r="68" s="60" customFormat="1" customHeight="1" spans="1:88">
      <c r="A68" s="60" t="s">
        <v>36</v>
      </c>
      <c r="B68" s="70" t="str">
        <f t="shared" si="15"/>
        <v>-</v>
      </c>
      <c r="C68" s="71" t="str">
        <f t="shared" si="16"/>
        <v>-</v>
      </c>
      <c r="D68" s="72">
        <f t="shared" si="17"/>
        <v>0</v>
      </c>
      <c r="E68" s="72">
        <v>0</v>
      </c>
      <c r="F68" s="72">
        <v>0</v>
      </c>
      <c r="G68" s="72">
        <v>0</v>
      </c>
      <c r="H68" s="72">
        <v>0</v>
      </c>
      <c r="I68" s="72">
        <f t="shared" si="18"/>
        <v>0</v>
      </c>
      <c r="J68" s="168" t="s">
        <v>98</v>
      </c>
      <c r="K68" s="87"/>
      <c r="L68" s="88" t="s">
        <v>1428</v>
      </c>
      <c r="M68" s="89" t="s">
        <v>1413</v>
      </c>
      <c r="N68" s="90" t="s">
        <v>31</v>
      </c>
      <c r="O68" s="90">
        <v>2017090006</v>
      </c>
      <c r="P68" s="91">
        <v>43032</v>
      </c>
      <c r="Q68" s="154">
        <v>2473915.92</v>
      </c>
      <c r="R68" s="89" t="s">
        <v>1425</v>
      </c>
      <c r="S68" s="89" t="s">
        <v>1426</v>
      </c>
      <c r="T68" s="89"/>
      <c r="U68" s="103" t="s">
        <v>343</v>
      </c>
      <c r="V68" s="105" t="s">
        <v>1429</v>
      </c>
      <c r="W68" s="102">
        <f>Q68</f>
        <v>2473915.92</v>
      </c>
      <c r="X68" s="102"/>
      <c r="Y68" s="102"/>
      <c r="Z68" s="107"/>
      <c r="AA68" s="102"/>
      <c r="AB68" s="102"/>
      <c r="AC68" s="102"/>
      <c r="AD68" s="107"/>
      <c r="AE68" s="102"/>
      <c r="AF68" s="102"/>
      <c r="AG68" s="129"/>
      <c r="AH68" s="107"/>
      <c r="AI68" s="102"/>
      <c r="AJ68" s="102"/>
      <c r="AK68" s="102"/>
      <c r="AL68" s="107"/>
      <c r="AM68" s="102"/>
      <c r="AN68" s="102"/>
      <c r="AO68" s="102"/>
      <c r="AP68" s="107"/>
      <c r="AQ68" s="102"/>
      <c r="AR68" s="102"/>
      <c r="AS68" s="102"/>
      <c r="AT68" s="107"/>
      <c r="AU68" s="102"/>
      <c r="AV68" s="102"/>
      <c r="AW68" s="102"/>
      <c r="AX68" s="107"/>
      <c r="AY68" s="102"/>
      <c r="AZ68" s="102"/>
      <c r="BA68" s="102"/>
      <c r="BB68" s="102"/>
      <c r="BC68" s="102"/>
      <c r="BD68" s="102"/>
      <c r="BE68" s="102"/>
      <c r="BF68" s="102"/>
      <c r="BG68" s="102"/>
      <c r="BH68" s="102"/>
      <c r="BI68" s="102"/>
      <c r="BJ68" s="102"/>
      <c r="BK68" s="102"/>
      <c r="BL68" s="102"/>
      <c r="BM68" s="102"/>
      <c r="BN68" s="102"/>
      <c r="BO68" s="102"/>
      <c r="BP68" s="102"/>
      <c r="BQ68" s="102"/>
      <c r="BR68" s="102"/>
      <c r="BS68" s="102"/>
      <c r="BT68" s="102"/>
      <c r="BU68" s="102"/>
      <c r="BV68" s="102"/>
      <c r="BW68" s="102"/>
      <c r="BX68" s="102"/>
      <c r="BY68" s="102"/>
      <c r="BZ68" s="102"/>
      <c r="CA68" s="102"/>
      <c r="CB68" s="102"/>
      <c r="CC68" s="122"/>
      <c r="CD68" s="123">
        <f t="shared" si="19"/>
        <v>2473915.92</v>
      </c>
      <c r="CE68" s="102">
        <f t="shared" si="20"/>
        <v>0</v>
      </c>
      <c r="CF68" s="102">
        <f t="shared" si="21"/>
        <v>0</v>
      </c>
      <c r="CG68" s="102">
        <f t="shared" si="22"/>
        <v>0</v>
      </c>
      <c r="CH68" s="124">
        <f t="shared" si="23"/>
        <v>2473915.92</v>
      </c>
      <c r="CI68" s="125">
        <f t="shared" si="24"/>
        <v>0</v>
      </c>
      <c r="CJ68" s="126" t="str">
        <f t="shared" si="25"/>
        <v>数据正确</v>
      </c>
    </row>
    <row r="69" s="130" customFormat="1" customHeight="1" spans="1:88">
      <c r="A69" s="130" t="s">
        <v>36</v>
      </c>
      <c r="B69" s="132" t="str">
        <f t="shared" ref="B69:B72" si="36">IF(I69=0,"-","申请中")</f>
        <v>-</v>
      </c>
      <c r="C69" s="133" t="str">
        <f t="shared" ref="C69:C72" si="37">IF(CI69=100%,"已付清","-")</f>
        <v>-</v>
      </c>
      <c r="D69" s="134">
        <f t="shared" ref="D69:D72" si="38">CF69</f>
        <v>4998335</v>
      </c>
      <c r="E69" s="134">
        <f>SUM(E67:E68)</f>
        <v>0</v>
      </c>
      <c r="F69" s="134">
        <f>SUM(F67:F68)</f>
        <v>0</v>
      </c>
      <c r="G69" s="134">
        <f>SUM(G67:G68)</f>
        <v>0</v>
      </c>
      <c r="H69" s="134">
        <f>SUM(H67:H68)</f>
        <v>0</v>
      </c>
      <c r="I69" s="134">
        <f t="shared" ref="I69:I72" si="39">CE69-CF69-CG69</f>
        <v>0</v>
      </c>
      <c r="J69" s="171" t="s">
        <v>98</v>
      </c>
      <c r="K69" s="172"/>
      <c r="L69" s="143">
        <v>259</v>
      </c>
      <c r="M69" s="144" t="s">
        <v>1424</v>
      </c>
      <c r="N69" s="145" t="s">
        <v>31</v>
      </c>
      <c r="O69" s="145">
        <v>2017090006</v>
      </c>
      <c r="P69" s="146">
        <v>42989</v>
      </c>
      <c r="Q69" s="155">
        <f>SUM(Q67:Q68)</f>
        <v>7472250.92</v>
      </c>
      <c r="R69" s="144" t="s">
        <v>1425</v>
      </c>
      <c r="S69" s="144" t="s">
        <v>1426</v>
      </c>
      <c r="T69" s="144"/>
      <c r="U69" s="156" t="s">
        <v>343</v>
      </c>
      <c r="V69" s="157" t="s">
        <v>1427</v>
      </c>
      <c r="W69" s="158">
        <f>SUM(W67:W68)</f>
        <v>7472250.92</v>
      </c>
      <c r="X69" s="158">
        <f t="shared" ref="X69:BC69" si="40">SUM(X67:X68)</f>
        <v>4998335</v>
      </c>
      <c r="Y69" s="158">
        <f t="shared" si="40"/>
        <v>4998335</v>
      </c>
      <c r="Z69" s="158">
        <f t="shared" si="40"/>
        <v>0</v>
      </c>
      <c r="AA69" s="158">
        <f t="shared" si="40"/>
        <v>0</v>
      </c>
      <c r="AB69" s="158">
        <f t="shared" si="40"/>
        <v>0</v>
      </c>
      <c r="AC69" s="158">
        <f t="shared" si="40"/>
        <v>0</v>
      </c>
      <c r="AD69" s="158">
        <f t="shared" si="40"/>
        <v>0</v>
      </c>
      <c r="AE69" s="158">
        <f t="shared" si="40"/>
        <v>0</v>
      </c>
      <c r="AF69" s="158">
        <f t="shared" si="40"/>
        <v>0</v>
      </c>
      <c r="AG69" s="158">
        <f t="shared" si="40"/>
        <v>0</v>
      </c>
      <c r="AH69" s="158">
        <f t="shared" si="40"/>
        <v>0</v>
      </c>
      <c r="AI69" s="158">
        <f t="shared" si="40"/>
        <v>0</v>
      </c>
      <c r="AJ69" s="158">
        <f t="shared" si="40"/>
        <v>0</v>
      </c>
      <c r="AK69" s="158">
        <f t="shared" si="40"/>
        <v>0</v>
      </c>
      <c r="AL69" s="158">
        <f t="shared" si="40"/>
        <v>0</v>
      </c>
      <c r="AM69" s="158">
        <f t="shared" si="40"/>
        <v>0</v>
      </c>
      <c r="AN69" s="158">
        <f t="shared" si="40"/>
        <v>0</v>
      </c>
      <c r="AO69" s="158">
        <f t="shared" si="40"/>
        <v>0</v>
      </c>
      <c r="AP69" s="158">
        <f t="shared" si="40"/>
        <v>0</v>
      </c>
      <c r="AQ69" s="158">
        <f t="shared" si="40"/>
        <v>0</v>
      </c>
      <c r="AR69" s="158">
        <f t="shared" si="40"/>
        <v>0</v>
      </c>
      <c r="AS69" s="158">
        <f t="shared" si="40"/>
        <v>0</v>
      </c>
      <c r="AT69" s="158">
        <f t="shared" si="40"/>
        <v>0</v>
      </c>
      <c r="AU69" s="158">
        <f t="shared" si="40"/>
        <v>0</v>
      </c>
      <c r="AV69" s="158">
        <f t="shared" si="40"/>
        <v>0</v>
      </c>
      <c r="AW69" s="158">
        <f t="shared" si="40"/>
        <v>0</v>
      </c>
      <c r="AX69" s="158">
        <f t="shared" si="40"/>
        <v>0</v>
      </c>
      <c r="AY69" s="158">
        <f t="shared" si="40"/>
        <v>0</v>
      </c>
      <c r="AZ69" s="158">
        <f t="shared" si="40"/>
        <v>0</v>
      </c>
      <c r="BA69" s="158">
        <f t="shared" si="40"/>
        <v>0</v>
      </c>
      <c r="BB69" s="158">
        <f t="shared" si="40"/>
        <v>0</v>
      </c>
      <c r="BC69" s="158">
        <f t="shared" si="40"/>
        <v>0</v>
      </c>
      <c r="BD69" s="158">
        <f t="shared" ref="BD69:CC69" si="41">SUM(BD67:BD68)</f>
        <v>0</v>
      </c>
      <c r="BE69" s="158">
        <f t="shared" si="41"/>
        <v>0</v>
      </c>
      <c r="BF69" s="158">
        <f t="shared" si="41"/>
        <v>0</v>
      </c>
      <c r="BG69" s="158">
        <f t="shared" si="41"/>
        <v>0</v>
      </c>
      <c r="BH69" s="158">
        <f t="shared" si="41"/>
        <v>0</v>
      </c>
      <c r="BI69" s="158">
        <f t="shared" si="41"/>
        <v>0</v>
      </c>
      <c r="BJ69" s="158">
        <f t="shared" si="41"/>
        <v>0</v>
      </c>
      <c r="BK69" s="158">
        <f t="shared" si="41"/>
        <v>0</v>
      </c>
      <c r="BL69" s="158">
        <f t="shared" si="41"/>
        <v>0</v>
      </c>
      <c r="BM69" s="158">
        <f t="shared" si="41"/>
        <v>0</v>
      </c>
      <c r="BN69" s="158">
        <f t="shared" si="41"/>
        <v>0</v>
      </c>
      <c r="BO69" s="158">
        <f t="shared" si="41"/>
        <v>0</v>
      </c>
      <c r="BP69" s="158">
        <f t="shared" si="41"/>
        <v>0</v>
      </c>
      <c r="BQ69" s="158">
        <f t="shared" si="41"/>
        <v>0</v>
      </c>
      <c r="BR69" s="158">
        <f t="shared" si="41"/>
        <v>0</v>
      </c>
      <c r="BS69" s="158">
        <f t="shared" si="41"/>
        <v>0</v>
      </c>
      <c r="BT69" s="158">
        <f t="shared" si="41"/>
        <v>0</v>
      </c>
      <c r="BU69" s="158">
        <f t="shared" si="41"/>
        <v>0</v>
      </c>
      <c r="BV69" s="158">
        <f t="shared" si="41"/>
        <v>0</v>
      </c>
      <c r="BW69" s="158">
        <f t="shared" si="41"/>
        <v>0</v>
      </c>
      <c r="BX69" s="158">
        <f t="shared" si="41"/>
        <v>0</v>
      </c>
      <c r="BY69" s="158">
        <f t="shared" si="41"/>
        <v>0</v>
      </c>
      <c r="BZ69" s="158">
        <f t="shared" si="41"/>
        <v>0</v>
      </c>
      <c r="CA69" s="158">
        <f t="shared" si="41"/>
        <v>0</v>
      </c>
      <c r="CB69" s="158">
        <f t="shared" si="41"/>
        <v>0</v>
      </c>
      <c r="CC69" s="158">
        <f t="shared" si="41"/>
        <v>0</v>
      </c>
      <c r="CD69" s="165">
        <f t="shared" si="19"/>
        <v>7472250.92</v>
      </c>
      <c r="CE69" s="158">
        <f t="shared" si="20"/>
        <v>4998335</v>
      </c>
      <c r="CF69" s="158">
        <f t="shared" si="21"/>
        <v>4998335</v>
      </c>
      <c r="CG69" s="158">
        <f t="shared" ref="CG69:CG72" si="42">E69+F69+G69+H69</f>
        <v>0</v>
      </c>
      <c r="CH69" s="163">
        <f t="shared" ref="CH69:CH72" si="43">Q69-CF69-CG69</f>
        <v>2473915.92</v>
      </c>
      <c r="CI69" s="166">
        <f t="shared" ref="CI69:CI72" si="44">IF(ISERROR((CF69+CG69)/Q69),"-",(CF69+CG69)/Q69)</f>
        <v>0.668919587084744</v>
      </c>
      <c r="CJ69" s="167" t="str">
        <f t="shared" ref="CJ69:CJ72" si="45">IF(Q69-CD69=0,"数据正确","数据错误")</f>
        <v>数据正确</v>
      </c>
    </row>
    <row r="70" s="60" customFormat="1" customHeight="1" spans="2:88">
      <c r="B70" s="70" t="str">
        <f t="shared" si="36"/>
        <v>-</v>
      </c>
      <c r="C70" s="71" t="str">
        <f t="shared" si="37"/>
        <v>-</v>
      </c>
      <c r="D70" s="72">
        <f t="shared" si="38"/>
        <v>0</v>
      </c>
      <c r="E70" s="72">
        <v>0</v>
      </c>
      <c r="F70" s="72">
        <v>0</v>
      </c>
      <c r="G70" s="72">
        <v>0</v>
      </c>
      <c r="H70" s="72">
        <v>0</v>
      </c>
      <c r="I70" s="72">
        <f t="shared" si="39"/>
        <v>0</v>
      </c>
      <c r="J70" s="168" t="s">
        <v>98</v>
      </c>
      <c r="K70" s="87"/>
      <c r="L70" s="88" t="s">
        <v>1430</v>
      </c>
      <c r="M70" s="89" t="s">
        <v>1431</v>
      </c>
      <c r="N70" s="90" t="s">
        <v>31</v>
      </c>
      <c r="O70" s="90">
        <v>2017060093</v>
      </c>
      <c r="P70" s="91">
        <v>42948</v>
      </c>
      <c r="Q70" s="154">
        <v>195000</v>
      </c>
      <c r="R70" s="89" t="s">
        <v>1432</v>
      </c>
      <c r="S70" s="89" t="s">
        <v>1433</v>
      </c>
      <c r="T70" s="89"/>
      <c r="U70" s="103" t="s">
        <v>1434</v>
      </c>
      <c r="V70" s="105" t="s">
        <v>1435</v>
      </c>
      <c r="W70" s="102">
        <v>185250</v>
      </c>
      <c r="X70" s="102"/>
      <c r="Y70" s="102"/>
      <c r="Z70" s="107" t="s">
        <v>1353</v>
      </c>
      <c r="AA70" s="102">
        <v>9750</v>
      </c>
      <c r="AB70" s="102"/>
      <c r="AC70" s="102"/>
      <c r="AD70" s="107"/>
      <c r="AE70" s="102"/>
      <c r="AF70" s="102"/>
      <c r="AG70" s="102"/>
      <c r="AH70" s="107"/>
      <c r="AI70" s="102"/>
      <c r="AJ70" s="102"/>
      <c r="AK70" s="102"/>
      <c r="AL70" s="107"/>
      <c r="AM70" s="102"/>
      <c r="AN70" s="102"/>
      <c r="AO70" s="102"/>
      <c r="AP70" s="107"/>
      <c r="AQ70" s="102"/>
      <c r="AR70" s="102"/>
      <c r="AS70" s="102"/>
      <c r="AT70" s="107"/>
      <c r="AU70" s="102"/>
      <c r="AV70" s="102"/>
      <c r="AW70" s="102"/>
      <c r="AX70" s="107"/>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c r="CB70" s="102"/>
      <c r="CC70" s="122"/>
      <c r="CD70" s="123">
        <f t="shared" ref="CD70:CF70" si="46">W70+AA70+AE70+AI70+AM70+AQ70+AU70+AY70+BC70+BG70+BK70+BO70+BS70+BW70+CA70</f>
        <v>195000</v>
      </c>
      <c r="CE70" s="102">
        <f t="shared" si="46"/>
        <v>0</v>
      </c>
      <c r="CF70" s="102">
        <f t="shared" si="46"/>
        <v>0</v>
      </c>
      <c r="CG70" s="102">
        <f t="shared" si="42"/>
        <v>0</v>
      </c>
      <c r="CH70" s="124">
        <f t="shared" si="43"/>
        <v>195000</v>
      </c>
      <c r="CI70" s="125">
        <f t="shared" si="44"/>
        <v>0</v>
      </c>
      <c r="CJ70" s="126" t="str">
        <f t="shared" si="45"/>
        <v>数据正确</v>
      </c>
    </row>
    <row r="71" s="60" customFormat="1" customHeight="1" spans="2:88">
      <c r="B71" s="70" t="str">
        <f t="shared" si="36"/>
        <v>-</v>
      </c>
      <c r="C71" s="71" t="str">
        <f t="shared" si="37"/>
        <v>-</v>
      </c>
      <c r="D71" s="72">
        <f t="shared" si="38"/>
        <v>0</v>
      </c>
      <c r="E71" s="72">
        <v>0</v>
      </c>
      <c r="F71" s="72">
        <v>0</v>
      </c>
      <c r="G71" s="72">
        <v>0</v>
      </c>
      <c r="H71" s="72">
        <v>0</v>
      </c>
      <c r="I71" s="72">
        <f t="shared" si="39"/>
        <v>0</v>
      </c>
      <c r="J71" s="168" t="s">
        <v>98</v>
      </c>
      <c r="K71" s="87"/>
      <c r="L71" s="88" t="s">
        <v>1436</v>
      </c>
      <c r="M71" s="89" t="s">
        <v>1437</v>
      </c>
      <c r="N71" s="90" t="s">
        <v>31</v>
      </c>
      <c r="O71" s="90">
        <v>2017060093</v>
      </c>
      <c r="P71" s="91">
        <v>43016</v>
      </c>
      <c r="Q71" s="154">
        <v>69000</v>
      </c>
      <c r="R71" s="89" t="s">
        <v>1438</v>
      </c>
      <c r="S71" s="89" t="s">
        <v>1433</v>
      </c>
      <c r="T71" s="89"/>
      <c r="U71" s="103" t="s">
        <v>616</v>
      </c>
      <c r="V71" s="105" t="s">
        <v>1439</v>
      </c>
      <c r="W71" s="102">
        <f>Q71*0.6</f>
        <v>41400</v>
      </c>
      <c r="X71" s="102"/>
      <c r="Y71" s="102"/>
      <c r="Z71" s="107" t="s">
        <v>1440</v>
      </c>
      <c r="AA71" s="102">
        <f>Q71*0.3</f>
        <v>20700</v>
      </c>
      <c r="AB71" s="102"/>
      <c r="AC71" s="102"/>
      <c r="AD71" s="107" t="s">
        <v>693</v>
      </c>
      <c r="AE71" s="102">
        <f>Q71*0.1</f>
        <v>6900</v>
      </c>
      <c r="AF71" s="102"/>
      <c r="AG71" s="102"/>
      <c r="AH71" s="107"/>
      <c r="AI71" s="102"/>
      <c r="AJ71" s="102"/>
      <c r="AK71" s="102"/>
      <c r="AL71" s="107"/>
      <c r="AM71" s="102"/>
      <c r="AN71" s="102"/>
      <c r="AO71" s="102"/>
      <c r="AP71" s="107"/>
      <c r="AQ71" s="102"/>
      <c r="AR71" s="102"/>
      <c r="AS71" s="102"/>
      <c r="AT71" s="107"/>
      <c r="AU71" s="102"/>
      <c r="AV71" s="102"/>
      <c r="AW71" s="102"/>
      <c r="AX71" s="107"/>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c r="CB71" s="102"/>
      <c r="CC71" s="122"/>
      <c r="CD71" s="123">
        <f t="shared" ref="CD71:CF71" si="47">W71+AA71+AE71+AI71+AM71+AQ71+AU71+AY71+BC71+BG71+BK71+BO71+BS71+BW71+CA71</f>
        <v>69000</v>
      </c>
      <c r="CE71" s="102">
        <f t="shared" si="47"/>
        <v>0</v>
      </c>
      <c r="CF71" s="102">
        <f t="shared" si="47"/>
        <v>0</v>
      </c>
      <c r="CG71" s="102">
        <f t="shared" si="42"/>
        <v>0</v>
      </c>
      <c r="CH71" s="124">
        <f t="shared" si="43"/>
        <v>69000</v>
      </c>
      <c r="CI71" s="125">
        <f t="shared" si="44"/>
        <v>0</v>
      </c>
      <c r="CJ71" s="126" t="str">
        <f t="shared" si="45"/>
        <v>数据正确</v>
      </c>
    </row>
    <row r="72" s="130" customFormat="1" customHeight="1" spans="2:88">
      <c r="B72" s="132" t="str">
        <f t="shared" si="36"/>
        <v>-</v>
      </c>
      <c r="C72" s="133" t="str">
        <f t="shared" si="37"/>
        <v>-</v>
      </c>
      <c r="D72" s="134">
        <f t="shared" si="38"/>
        <v>0</v>
      </c>
      <c r="E72" s="134">
        <f>SUM(E70:E71)</f>
        <v>0</v>
      </c>
      <c r="F72" s="134">
        <f>SUM(F70:F71)</f>
        <v>0</v>
      </c>
      <c r="G72" s="134">
        <f>SUM(G70:G71)</f>
        <v>0</v>
      </c>
      <c r="H72" s="134">
        <f>SUM(H70:H71)</f>
        <v>0</v>
      </c>
      <c r="I72" s="134">
        <f t="shared" si="39"/>
        <v>0</v>
      </c>
      <c r="J72" s="171" t="s">
        <v>98</v>
      </c>
      <c r="K72" s="172"/>
      <c r="L72" s="143">
        <v>268</v>
      </c>
      <c r="M72" s="144" t="s">
        <v>1431</v>
      </c>
      <c r="N72" s="145" t="s">
        <v>31</v>
      </c>
      <c r="O72" s="145">
        <v>2017060093</v>
      </c>
      <c r="P72" s="146">
        <v>42948</v>
      </c>
      <c r="Q72" s="155">
        <f>SUM(Q70:Q71)</f>
        <v>264000</v>
      </c>
      <c r="R72" s="144" t="s">
        <v>1432</v>
      </c>
      <c r="S72" s="144" t="s">
        <v>1433</v>
      </c>
      <c r="T72" s="144"/>
      <c r="U72" s="156" t="s">
        <v>1434</v>
      </c>
      <c r="V72" s="157" t="s">
        <v>1435</v>
      </c>
      <c r="W72" s="158">
        <f>SUM(W70:W71)</f>
        <v>226650</v>
      </c>
      <c r="X72" s="158">
        <f>SUM(X70:X71)</f>
        <v>0</v>
      </c>
      <c r="Y72" s="158">
        <f>SUM(Y70:Y71)</f>
        <v>0</v>
      </c>
      <c r="Z72" s="174" t="s">
        <v>1353</v>
      </c>
      <c r="AA72" s="158">
        <f>SUM(AA70:AA71)</f>
        <v>30450</v>
      </c>
      <c r="AB72" s="158">
        <f t="shared" ref="AB72:BG72" si="48">SUM(AB70:AB71)</f>
        <v>0</v>
      </c>
      <c r="AC72" s="158">
        <f t="shared" si="48"/>
        <v>0</v>
      </c>
      <c r="AD72" s="158">
        <f t="shared" si="48"/>
        <v>0</v>
      </c>
      <c r="AE72" s="158">
        <f t="shared" si="48"/>
        <v>6900</v>
      </c>
      <c r="AF72" s="158">
        <f t="shared" si="48"/>
        <v>0</v>
      </c>
      <c r="AG72" s="158">
        <f t="shared" si="48"/>
        <v>0</v>
      </c>
      <c r="AH72" s="158">
        <f t="shared" si="48"/>
        <v>0</v>
      </c>
      <c r="AI72" s="158">
        <f t="shared" si="48"/>
        <v>0</v>
      </c>
      <c r="AJ72" s="158">
        <f t="shared" si="48"/>
        <v>0</v>
      </c>
      <c r="AK72" s="158">
        <f t="shared" si="48"/>
        <v>0</v>
      </c>
      <c r="AL72" s="158">
        <f t="shared" si="48"/>
        <v>0</v>
      </c>
      <c r="AM72" s="158">
        <f t="shared" si="48"/>
        <v>0</v>
      </c>
      <c r="AN72" s="158">
        <f t="shared" si="48"/>
        <v>0</v>
      </c>
      <c r="AO72" s="158">
        <f t="shared" si="48"/>
        <v>0</v>
      </c>
      <c r="AP72" s="158">
        <f t="shared" si="48"/>
        <v>0</v>
      </c>
      <c r="AQ72" s="158">
        <f t="shared" si="48"/>
        <v>0</v>
      </c>
      <c r="AR72" s="158">
        <f t="shared" si="48"/>
        <v>0</v>
      </c>
      <c r="AS72" s="158">
        <f t="shared" si="48"/>
        <v>0</v>
      </c>
      <c r="AT72" s="158">
        <f t="shared" si="48"/>
        <v>0</v>
      </c>
      <c r="AU72" s="158">
        <f t="shared" si="48"/>
        <v>0</v>
      </c>
      <c r="AV72" s="158">
        <f t="shared" si="48"/>
        <v>0</v>
      </c>
      <c r="AW72" s="158">
        <f t="shared" si="48"/>
        <v>0</v>
      </c>
      <c r="AX72" s="158">
        <f t="shared" si="48"/>
        <v>0</v>
      </c>
      <c r="AY72" s="158">
        <f t="shared" si="48"/>
        <v>0</v>
      </c>
      <c r="AZ72" s="158">
        <f t="shared" si="48"/>
        <v>0</v>
      </c>
      <c r="BA72" s="158">
        <f t="shared" si="48"/>
        <v>0</v>
      </c>
      <c r="BB72" s="158">
        <f t="shared" si="48"/>
        <v>0</v>
      </c>
      <c r="BC72" s="158">
        <f t="shared" si="48"/>
        <v>0</v>
      </c>
      <c r="BD72" s="158">
        <f t="shared" si="48"/>
        <v>0</v>
      </c>
      <c r="BE72" s="158">
        <f t="shared" si="48"/>
        <v>0</v>
      </c>
      <c r="BF72" s="158">
        <f t="shared" si="48"/>
        <v>0</v>
      </c>
      <c r="BG72" s="158">
        <f t="shared" si="48"/>
        <v>0</v>
      </c>
      <c r="BH72" s="158">
        <f t="shared" ref="BH72:CC72" si="49">SUM(BH70:BH71)</f>
        <v>0</v>
      </c>
      <c r="BI72" s="158">
        <f t="shared" si="49"/>
        <v>0</v>
      </c>
      <c r="BJ72" s="158">
        <f t="shared" si="49"/>
        <v>0</v>
      </c>
      <c r="BK72" s="158">
        <f t="shared" si="49"/>
        <v>0</v>
      </c>
      <c r="BL72" s="158">
        <f t="shared" si="49"/>
        <v>0</v>
      </c>
      <c r="BM72" s="158">
        <f t="shared" si="49"/>
        <v>0</v>
      </c>
      <c r="BN72" s="158">
        <f t="shared" si="49"/>
        <v>0</v>
      </c>
      <c r="BO72" s="158">
        <f t="shared" si="49"/>
        <v>0</v>
      </c>
      <c r="BP72" s="158">
        <f t="shared" si="49"/>
        <v>0</v>
      </c>
      <c r="BQ72" s="158">
        <f t="shared" si="49"/>
        <v>0</v>
      </c>
      <c r="BR72" s="158">
        <f t="shared" si="49"/>
        <v>0</v>
      </c>
      <c r="BS72" s="158">
        <f t="shared" si="49"/>
        <v>0</v>
      </c>
      <c r="BT72" s="158">
        <f t="shared" si="49"/>
        <v>0</v>
      </c>
      <c r="BU72" s="158">
        <f t="shared" si="49"/>
        <v>0</v>
      </c>
      <c r="BV72" s="158">
        <f t="shared" si="49"/>
        <v>0</v>
      </c>
      <c r="BW72" s="158">
        <f t="shared" si="49"/>
        <v>0</v>
      </c>
      <c r="BX72" s="158">
        <f t="shared" si="49"/>
        <v>0</v>
      </c>
      <c r="BY72" s="158">
        <f t="shared" si="49"/>
        <v>0</v>
      </c>
      <c r="BZ72" s="158">
        <f t="shared" si="49"/>
        <v>0</v>
      </c>
      <c r="CA72" s="158">
        <f t="shared" si="49"/>
        <v>0</v>
      </c>
      <c r="CB72" s="158">
        <f t="shared" si="49"/>
        <v>0</v>
      </c>
      <c r="CC72" s="158">
        <f t="shared" si="49"/>
        <v>0</v>
      </c>
      <c r="CD72" s="165">
        <f>W72+AA72+AE72+AI72+AM72+AQ72+AU72+AY72+BC72+BG72+BK72+BO72+BS72+BW72+CA72</f>
        <v>264000</v>
      </c>
      <c r="CE72" s="158">
        <f>X72+AB72+AF72+AJ72+AN72+AR72+AV72+AZ72+BD72+BH72+BL72+BP72+BT72+BX72+CB72</f>
        <v>0</v>
      </c>
      <c r="CF72" s="158">
        <f>Y72+AC72+AG72+AK72+AO72+AS72+AW72+BA72+BE72+BI72+BM72+BQ72+BU72+BY72+CC72</f>
        <v>0</v>
      </c>
      <c r="CG72" s="158">
        <f t="shared" si="42"/>
        <v>0</v>
      </c>
      <c r="CH72" s="163">
        <f t="shared" si="43"/>
        <v>264000</v>
      </c>
      <c r="CI72" s="166">
        <f t="shared" si="44"/>
        <v>0</v>
      </c>
      <c r="CJ72" s="167" t="str">
        <f t="shared" si="45"/>
        <v>数据正确</v>
      </c>
    </row>
    <row r="73" s="60" customFormat="1" customHeight="1" spans="2:88">
      <c r="B73" s="70" t="str">
        <f t="shared" ref="B73:B80" si="50">IF(I73=0,"-","申请中")</f>
        <v>-</v>
      </c>
      <c r="C73" s="71" t="str">
        <f t="shared" ref="C73:C80" si="51">IF(CI73=100%,"已付清","-")</f>
        <v>-</v>
      </c>
      <c r="D73" s="72">
        <f t="shared" ref="D73:D80" si="52">CF73</f>
        <v>0</v>
      </c>
      <c r="E73" s="72">
        <v>0</v>
      </c>
      <c r="F73" s="72">
        <v>0</v>
      </c>
      <c r="G73" s="72">
        <v>0</v>
      </c>
      <c r="H73" s="72">
        <v>0</v>
      </c>
      <c r="I73" s="72">
        <f t="shared" ref="I73:I80" si="53">CE73-CF73-CG73</f>
        <v>0</v>
      </c>
      <c r="J73" s="168" t="s">
        <v>98</v>
      </c>
      <c r="K73" s="87"/>
      <c r="L73" s="88">
        <v>269</v>
      </c>
      <c r="M73" s="89" t="s">
        <v>1441</v>
      </c>
      <c r="N73" s="90" t="s">
        <v>31</v>
      </c>
      <c r="O73" s="90">
        <v>2017070074</v>
      </c>
      <c r="P73" s="91">
        <v>42968</v>
      </c>
      <c r="Q73" s="154">
        <v>206610</v>
      </c>
      <c r="R73" s="89" t="s">
        <v>1442</v>
      </c>
      <c r="S73" s="89" t="s">
        <v>1443</v>
      </c>
      <c r="T73" s="89"/>
      <c r="U73" s="103" t="s">
        <v>343</v>
      </c>
      <c r="V73" s="105" t="s">
        <v>1435</v>
      </c>
      <c r="W73" s="102">
        <v>196279.5</v>
      </c>
      <c r="X73" s="102"/>
      <c r="Y73" s="102"/>
      <c r="Z73" s="107" t="s">
        <v>1353</v>
      </c>
      <c r="AA73" s="102">
        <v>10330.5</v>
      </c>
      <c r="AB73" s="102"/>
      <c r="AC73" s="102"/>
      <c r="AD73" s="107"/>
      <c r="AE73" s="102"/>
      <c r="AF73" s="102"/>
      <c r="AG73" s="129"/>
      <c r="AH73" s="107"/>
      <c r="AI73" s="102"/>
      <c r="AJ73" s="102"/>
      <c r="AK73" s="102"/>
      <c r="AL73" s="107"/>
      <c r="AM73" s="102"/>
      <c r="AN73" s="102"/>
      <c r="AO73" s="102"/>
      <c r="AP73" s="107"/>
      <c r="AQ73" s="102"/>
      <c r="AR73" s="102"/>
      <c r="AS73" s="102"/>
      <c r="AT73" s="107"/>
      <c r="AU73" s="102"/>
      <c r="AV73" s="102"/>
      <c r="AW73" s="102"/>
      <c r="AX73" s="107"/>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22"/>
      <c r="CD73" s="123">
        <f t="shared" ref="CD73:CD85" si="54">W73+AA73+AE73+AI73+AM73+AQ73+AU73+AY73+BC73+BG73+BK73+BO73+BS73+BW73+CA73</f>
        <v>206610</v>
      </c>
      <c r="CE73" s="102">
        <f t="shared" ref="CE73:CE85" si="55">X73+AB73+AF73+AJ73+AN73+AR73+AV73+AZ73+BD73+BH73+BL73+BP73+BT73+BX73+CB73</f>
        <v>0</v>
      </c>
      <c r="CF73" s="102">
        <f t="shared" ref="CF73:CF85" si="56">Y73+AC73+AG73+AK73+AO73+AS73+AW73+BA73+BE73+BI73+BM73+BQ73+BU73+BY73+CC73</f>
        <v>0</v>
      </c>
      <c r="CG73" s="102">
        <f t="shared" ref="CG73:CG85" si="57">E73+F73+G73+H73</f>
        <v>0</v>
      </c>
      <c r="CH73" s="124">
        <f t="shared" ref="CH73:CH85" si="58">Q73-CF73-CG73</f>
        <v>206610</v>
      </c>
      <c r="CI73" s="125">
        <f t="shared" ref="CI73:CI85" si="59">IF(ISERROR((CF73+CG73)/Q73),"-",(CF73+CG73)/Q73)</f>
        <v>0</v>
      </c>
      <c r="CJ73" s="126" t="str">
        <f t="shared" ref="CJ73:CJ85" si="60">IF(Q73-CD73=0,"数据正确","数据错误")</f>
        <v>数据正确</v>
      </c>
    </row>
    <row r="74" s="60" customFormat="1" customHeight="1" spans="2:88">
      <c r="B74" s="70" t="str">
        <f t="shared" si="50"/>
        <v>-</v>
      </c>
      <c r="C74" s="71" t="str">
        <f t="shared" si="51"/>
        <v>-</v>
      </c>
      <c r="D74" s="72">
        <f t="shared" si="52"/>
        <v>3360000</v>
      </c>
      <c r="E74" s="72">
        <v>0</v>
      </c>
      <c r="F74" s="72">
        <v>0</v>
      </c>
      <c r="G74" s="72">
        <v>0</v>
      </c>
      <c r="H74" s="72">
        <v>0</v>
      </c>
      <c r="I74" s="72">
        <f t="shared" si="53"/>
        <v>0</v>
      </c>
      <c r="J74" s="168" t="s">
        <v>98</v>
      </c>
      <c r="K74" s="87"/>
      <c r="L74" s="88">
        <v>270</v>
      </c>
      <c r="M74" s="89" t="s">
        <v>1444</v>
      </c>
      <c r="N74" s="90" t="s">
        <v>31</v>
      </c>
      <c r="O74" s="90"/>
      <c r="P74" s="91">
        <v>42979</v>
      </c>
      <c r="Q74" s="154">
        <v>4200000</v>
      </c>
      <c r="R74" s="89" t="s">
        <v>1445</v>
      </c>
      <c r="S74" s="89" t="s">
        <v>1446</v>
      </c>
      <c r="T74" s="89" t="s">
        <v>1447</v>
      </c>
      <c r="U74" s="103" t="s">
        <v>343</v>
      </c>
      <c r="V74" s="105" t="s">
        <v>1448</v>
      </c>
      <c r="W74" s="102">
        <v>3360000</v>
      </c>
      <c r="X74" s="102">
        <v>3360000</v>
      </c>
      <c r="Y74" s="102">
        <v>3360000</v>
      </c>
      <c r="Z74" s="107" t="s">
        <v>1449</v>
      </c>
      <c r="AA74" s="102">
        <v>630000</v>
      </c>
      <c r="AB74" s="102"/>
      <c r="AC74" s="102"/>
      <c r="AD74" s="107" t="s">
        <v>1359</v>
      </c>
      <c r="AE74" s="102">
        <v>210000</v>
      </c>
      <c r="AF74" s="102"/>
      <c r="AG74" s="102"/>
      <c r="AH74" s="107"/>
      <c r="AI74" s="102"/>
      <c r="AJ74" s="102"/>
      <c r="AK74" s="102"/>
      <c r="AL74" s="107"/>
      <c r="AM74" s="102"/>
      <c r="AN74" s="102"/>
      <c r="AO74" s="102"/>
      <c r="AP74" s="107"/>
      <c r="AQ74" s="102"/>
      <c r="AR74" s="102"/>
      <c r="AS74" s="102"/>
      <c r="AT74" s="107"/>
      <c r="AU74" s="102"/>
      <c r="AV74" s="102"/>
      <c r="AW74" s="102"/>
      <c r="AX74" s="107"/>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c r="CB74" s="102"/>
      <c r="CC74" s="122"/>
      <c r="CD74" s="123">
        <f t="shared" si="54"/>
        <v>4200000</v>
      </c>
      <c r="CE74" s="102">
        <f t="shared" si="55"/>
        <v>3360000</v>
      </c>
      <c r="CF74" s="102">
        <f t="shared" si="56"/>
        <v>3360000</v>
      </c>
      <c r="CG74" s="102">
        <f t="shared" si="57"/>
        <v>0</v>
      </c>
      <c r="CH74" s="124">
        <f t="shared" si="58"/>
        <v>840000</v>
      </c>
      <c r="CI74" s="125">
        <f t="shared" si="59"/>
        <v>0.8</v>
      </c>
      <c r="CJ74" s="126" t="str">
        <f t="shared" si="60"/>
        <v>数据正确</v>
      </c>
    </row>
    <row r="75" s="60" customFormat="1" customHeight="1" spans="2:88">
      <c r="B75" s="70" t="str">
        <f t="shared" si="50"/>
        <v>申请中</v>
      </c>
      <c r="C75" s="71" t="str">
        <f t="shared" si="51"/>
        <v>-</v>
      </c>
      <c r="D75" s="72">
        <f t="shared" si="52"/>
        <v>2880000</v>
      </c>
      <c r="E75" s="72">
        <v>0</v>
      </c>
      <c r="F75" s="72">
        <v>0</v>
      </c>
      <c r="G75" s="72">
        <v>0</v>
      </c>
      <c r="H75" s="72">
        <v>0</v>
      </c>
      <c r="I75" s="72">
        <f t="shared" si="53"/>
        <v>540000</v>
      </c>
      <c r="J75" s="168" t="s">
        <v>98</v>
      </c>
      <c r="K75" s="87"/>
      <c r="L75" s="88">
        <v>271</v>
      </c>
      <c r="M75" s="89" t="s">
        <v>1450</v>
      </c>
      <c r="N75" s="90" t="s">
        <v>31</v>
      </c>
      <c r="O75" s="90"/>
      <c r="P75" s="91">
        <v>42979</v>
      </c>
      <c r="Q75" s="154">
        <v>3600000</v>
      </c>
      <c r="R75" s="89" t="s">
        <v>1451</v>
      </c>
      <c r="S75" s="89" t="s">
        <v>1446</v>
      </c>
      <c r="T75" s="89"/>
      <c r="U75" s="103" t="s">
        <v>343</v>
      </c>
      <c r="V75" s="105" t="s">
        <v>1448</v>
      </c>
      <c r="W75" s="102">
        <v>2880000</v>
      </c>
      <c r="X75" s="102">
        <v>2880000</v>
      </c>
      <c r="Y75" s="102">
        <v>2880000</v>
      </c>
      <c r="Z75" s="107" t="s">
        <v>1449</v>
      </c>
      <c r="AA75" s="102">
        <v>540000</v>
      </c>
      <c r="AB75" s="102">
        <v>540000</v>
      </c>
      <c r="AC75" s="102"/>
      <c r="AD75" s="107" t="s">
        <v>1359</v>
      </c>
      <c r="AE75" s="102">
        <v>180000</v>
      </c>
      <c r="AF75" s="102"/>
      <c r="AG75" s="129"/>
      <c r="AH75" s="107"/>
      <c r="AI75" s="102"/>
      <c r="AJ75" s="102"/>
      <c r="AK75" s="102"/>
      <c r="AL75" s="107"/>
      <c r="AM75" s="102"/>
      <c r="AN75" s="102"/>
      <c r="AO75" s="102"/>
      <c r="AP75" s="107"/>
      <c r="AQ75" s="102"/>
      <c r="AR75" s="102"/>
      <c r="AS75" s="102"/>
      <c r="AT75" s="107"/>
      <c r="AU75" s="102"/>
      <c r="AV75" s="102"/>
      <c r="AW75" s="102"/>
      <c r="AX75" s="107"/>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c r="CB75" s="102"/>
      <c r="CC75" s="122"/>
      <c r="CD75" s="123">
        <f t="shared" si="54"/>
        <v>3600000</v>
      </c>
      <c r="CE75" s="102">
        <f t="shared" si="55"/>
        <v>3420000</v>
      </c>
      <c r="CF75" s="102">
        <f t="shared" si="56"/>
        <v>2880000</v>
      </c>
      <c r="CG75" s="102">
        <f t="shared" si="57"/>
        <v>0</v>
      </c>
      <c r="CH75" s="124">
        <f t="shared" si="58"/>
        <v>720000</v>
      </c>
      <c r="CI75" s="125">
        <f t="shared" si="59"/>
        <v>0.8</v>
      </c>
      <c r="CJ75" s="126" t="str">
        <f t="shared" si="60"/>
        <v>数据正确</v>
      </c>
    </row>
    <row r="76" s="60" customFormat="1" customHeight="1" outlineLevel="1" spans="2:88">
      <c r="B76" s="70" t="str">
        <f t="shared" si="50"/>
        <v>-</v>
      </c>
      <c r="C76" s="71" t="str">
        <f t="shared" si="51"/>
        <v>已付清</v>
      </c>
      <c r="D76" s="72">
        <f t="shared" si="52"/>
        <v>58998.8</v>
      </c>
      <c r="E76" s="72">
        <v>0</v>
      </c>
      <c r="F76" s="72">
        <v>0</v>
      </c>
      <c r="G76" s="72">
        <v>0</v>
      </c>
      <c r="H76" s="72">
        <v>0</v>
      </c>
      <c r="I76" s="72">
        <f t="shared" si="53"/>
        <v>0</v>
      </c>
      <c r="J76" s="168" t="s">
        <v>98</v>
      </c>
      <c r="K76" s="87"/>
      <c r="L76" s="141" t="s">
        <v>1452</v>
      </c>
      <c r="M76" s="89" t="s">
        <v>1453</v>
      </c>
      <c r="N76" s="90" t="s">
        <v>31</v>
      </c>
      <c r="O76" s="90">
        <v>2017080053</v>
      </c>
      <c r="P76" s="91">
        <v>43024</v>
      </c>
      <c r="Q76" s="154">
        <v>58998.8</v>
      </c>
      <c r="R76" s="89" t="s">
        <v>1454</v>
      </c>
      <c r="S76" s="89" t="s">
        <v>1350</v>
      </c>
      <c r="T76" s="89" t="s">
        <v>620</v>
      </c>
      <c r="U76" s="103" t="s">
        <v>343</v>
      </c>
      <c r="V76" s="105" t="s">
        <v>1296</v>
      </c>
      <c r="W76" s="102">
        <v>58998.8</v>
      </c>
      <c r="X76" s="102">
        <v>58998.8</v>
      </c>
      <c r="Y76" s="102">
        <v>58998.8</v>
      </c>
      <c r="Z76" s="107"/>
      <c r="AA76" s="102"/>
      <c r="AB76" s="102"/>
      <c r="AC76" s="102"/>
      <c r="AD76" s="107"/>
      <c r="AE76" s="102"/>
      <c r="AF76" s="102"/>
      <c r="AG76" s="102"/>
      <c r="AH76" s="107"/>
      <c r="AI76" s="102"/>
      <c r="AJ76" s="102"/>
      <c r="AK76" s="102"/>
      <c r="AL76" s="107"/>
      <c r="AM76" s="102"/>
      <c r="AN76" s="102"/>
      <c r="AO76" s="102"/>
      <c r="AP76" s="107"/>
      <c r="AQ76" s="102"/>
      <c r="AR76" s="102"/>
      <c r="AS76" s="102"/>
      <c r="AT76" s="107"/>
      <c r="AU76" s="102"/>
      <c r="AV76" s="102"/>
      <c r="AW76" s="102"/>
      <c r="AX76" s="107"/>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c r="CB76" s="102"/>
      <c r="CC76" s="122"/>
      <c r="CD76" s="123">
        <f t="shared" si="54"/>
        <v>58998.8</v>
      </c>
      <c r="CE76" s="102">
        <f t="shared" si="55"/>
        <v>58998.8</v>
      </c>
      <c r="CF76" s="102">
        <f t="shared" si="56"/>
        <v>58998.8</v>
      </c>
      <c r="CG76" s="102">
        <f t="shared" si="57"/>
        <v>0</v>
      </c>
      <c r="CH76" s="124">
        <f t="shared" si="58"/>
        <v>0</v>
      </c>
      <c r="CI76" s="125">
        <f t="shared" si="59"/>
        <v>1</v>
      </c>
      <c r="CJ76" s="126" t="str">
        <f t="shared" si="60"/>
        <v>数据正确</v>
      </c>
    </row>
    <row r="77" s="60" customFormat="1" customHeight="1" outlineLevel="1" spans="2:88">
      <c r="B77" s="70" t="str">
        <f t="shared" si="50"/>
        <v>-</v>
      </c>
      <c r="C77" s="71" t="str">
        <f t="shared" si="51"/>
        <v>已付清</v>
      </c>
      <c r="D77" s="72">
        <f t="shared" si="52"/>
        <v>120099.2</v>
      </c>
      <c r="E77" s="72">
        <v>0</v>
      </c>
      <c r="F77" s="72">
        <v>0</v>
      </c>
      <c r="G77" s="72">
        <v>0</v>
      </c>
      <c r="H77" s="72">
        <v>0</v>
      </c>
      <c r="I77" s="72">
        <f t="shared" si="53"/>
        <v>0</v>
      </c>
      <c r="J77" s="168" t="s">
        <v>98</v>
      </c>
      <c r="K77" s="87"/>
      <c r="L77" s="141" t="s">
        <v>1455</v>
      </c>
      <c r="M77" s="89" t="s">
        <v>1456</v>
      </c>
      <c r="N77" s="90" t="s">
        <v>31</v>
      </c>
      <c r="O77" s="90">
        <v>2017080096</v>
      </c>
      <c r="P77" s="91">
        <v>43024</v>
      </c>
      <c r="Q77" s="154">
        <f>120099.2</f>
        <v>120099.2</v>
      </c>
      <c r="R77" s="89" t="s">
        <v>1454</v>
      </c>
      <c r="S77" s="89" t="s">
        <v>1350</v>
      </c>
      <c r="T77" s="89" t="s">
        <v>1457</v>
      </c>
      <c r="U77" s="103" t="s">
        <v>343</v>
      </c>
      <c r="V77" s="105" t="s">
        <v>1296</v>
      </c>
      <c r="W77" s="102">
        <v>120099.2</v>
      </c>
      <c r="X77" s="102">
        <v>120099.2</v>
      </c>
      <c r="Y77" s="102">
        <v>120099.2</v>
      </c>
      <c r="Z77" s="107"/>
      <c r="AA77" s="102"/>
      <c r="AB77" s="102"/>
      <c r="AC77" s="102"/>
      <c r="AD77" s="107"/>
      <c r="AE77" s="102"/>
      <c r="AF77" s="102"/>
      <c r="AG77" s="129"/>
      <c r="AH77" s="107"/>
      <c r="AI77" s="102"/>
      <c r="AJ77" s="102"/>
      <c r="AK77" s="102"/>
      <c r="AL77" s="107"/>
      <c r="AM77" s="102"/>
      <c r="AN77" s="102"/>
      <c r="AO77" s="102"/>
      <c r="AP77" s="107"/>
      <c r="AQ77" s="102"/>
      <c r="AR77" s="102"/>
      <c r="AS77" s="102"/>
      <c r="AT77" s="107"/>
      <c r="AU77" s="102"/>
      <c r="AV77" s="102"/>
      <c r="AW77" s="102"/>
      <c r="AX77" s="107"/>
      <c r="AY77" s="102"/>
      <c r="AZ77" s="102"/>
      <c r="BA77" s="102"/>
      <c r="BB77" s="102"/>
      <c r="BC77" s="102"/>
      <c r="BD77" s="102"/>
      <c r="BE77" s="102"/>
      <c r="BF77" s="102"/>
      <c r="BG77" s="102"/>
      <c r="BH77" s="102"/>
      <c r="BI77" s="102"/>
      <c r="BJ77" s="102"/>
      <c r="BK77" s="102"/>
      <c r="BL77" s="102"/>
      <c r="BM77" s="102"/>
      <c r="BN77" s="102"/>
      <c r="BO77" s="102"/>
      <c r="BP77" s="102"/>
      <c r="BQ77" s="102"/>
      <c r="BR77" s="102"/>
      <c r="BS77" s="102"/>
      <c r="BT77" s="102"/>
      <c r="BU77" s="102"/>
      <c r="BV77" s="102"/>
      <c r="BW77" s="102"/>
      <c r="BX77" s="102"/>
      <c r="BY77" s="102"/>
      <c r="BZ77" s="102"/>
      <c r="CA77" s="102"/>
      <c r="CB77" s="102"/>
      <c r="CC77" s="122"/>
      <c r="CD77" s="123">
        <f t="shared" si="54"/>
        <v>120099.2</v>
      </c>
      <c r="CE77" s="102">
        <f t="shared" si="55"/>
        <v>120099.2</v>
      </c>
      <c r="CF77" s="102">
        <f t="shared" si="56"/>
        <v>120099.2</v>
      </c>
      <c r="CG77" s="102">
        <f t="shared" si="57"/>
        <v>0</v>
      </c>
      <c r="CH77" s="124">
        <f t="shared" si="58"/>
        <v>0</v>
      </c>
      <c r="CI77" s="125">
        <f t="shared" si="59"/>
        <v>1</v>
      </c>
      <c r="CJ77" s="126" t="str">
        <f t="shared" si="60"/>
        <v>数据正确</v>
      </c>
    </row>
    <row r="78" s="60" customFormat="1" customHeight="1" outlineLevel="1" spans="2:88">
      <c r="B78" s="70" t="str">
        <f t="shared" si="50"/>
        <v>申请中</v>
      </c>
      <c r="C78" s="71" t="str">
        <f t="shared" si="51"/>
        <v>-</v>
      </c>
      <c r="D78" s="72">
        <f t="shared" si="52"/>
        <v>0</v>
      </c>
      <c r="E78" s="72">
        <v>0</v>
      </c>
      <c r="F78" s="72">
        <v>0</v>
      </c>
      <c r="G78" s="72">
        <v>0</v>
      </c>
      <c r="H78" s="72">
        <v>0</v>
      </c>
      <c r="I78" s="72">
        <f t="shared" si="53"/>
        <v>5220</v>
      </c>
      <c r="J78" s="168" t="s">
        <v>98</v>
      </c>
      <c r="K78" s="87"/>
      <c r="L78" s="141" t="s">
        <v>1458</v>
      </c>
      <c r="M78" s="89" t="s">
        <v>1459</v>
      </c>
      <c r="N78" s="90" t="s">
        <v>31</v>
      </c>
      <c r="O78" s="90"/>
      <c r="P78" s="91">
        <v>43024</v>
      </c>
      <c r="Q78" s="154">
        <v>5220</v>
      </c>
      <c r="R78" s="89" t="s">
        <v>1454</v>
      </c>
      <c r="S78" s="89" t="s">
        <v>1350</v>
      </c>
      <c r="T78" s="89"/>
      <c r="U78" s="103" t="s">
        <v>343</v>
      </c>
      <c r="V78" s="105" t="s">
        <v>1296</v>
      </c>
      <c r="W78" s="102">
        <f>Q78</f>
        <v>5220</v>
      </c>
      <c r="X78" s="102">
        <f>W78</f>
        <v>5220</v>
      </c>
      <c r="Y78" s="102"/>
      <c r="Z78" s="107"/>
      <c r="AA78" s="102"/>
      <c r="AB78" s="102"/>
      <c r="AC78" s="102"/>
      <c r="AD78" s="107"/>
      <c r="AE78" s="102"/>
      <c r="AF78" s="102"/>
      <c r="AG78" s="129"/>
      <c r="AH78" s="107"/>
      <c r="AI78" s="102"/>
      <c r="AJ78" s="102"/>
      <c r="AK78" s="102"/>
      <c r="AL78" s="107"/>
      <c r="AM78" s="102"/>
      <c r="AN78" s="102"/>
      <c r="AO78" s="102"/>
      <c r="AP78" s="107"/>
      <c r="AQ78" s="102"/>
      <c r="AR78" s="102"/>
      <c r="AS78" s="102"/>
      <c r="AT78" s="107"/>
      <c r="AU78" s="102"/>
      <c r="AV78" s="102"/>
      <c r="AW78" s="102"/>
      <c r="AX78" s="107"/>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c r="CB78" s="102"/>
      <c r="CC78" s="122"/>
      <c r="CD78" s="123">
        <f t="shared" si="54"/>
        <v>5220</v>
      </c>
      <c r="CE78" s="102">
        <f t="shared" si="55"/>
        <v>5220</v>
      </c>
      <c r="CF78" s="102">
        <f t="shared" si="56"/>
        <v>0</v>
      </c>
      <c r="CG78" s="102">
        <f t="shared" si="57"/>
        <v>0</v>
      </c>
      <c r="CH78" s="124">
        <f t="shared" si="58"/>
        <v>5220</v>
      </c>
      <c r="CI78" s="125">
        <f t="shared" si="59"/>
        <v>0</v>
      </c>
      <c r="CJ78" s="126" t="str">
        <f t="shared" si="60"/>
        <v>数据正确</v>
      </c>
    </row>
    <row r="79" s="60" customFormat="1" customHeight="1" outlineLevel="1" spans="2:88">
      <c r="B79" s="70" t="str">
        <f t="shared" si="50"/>
        <v>申请中</v>
      </c>
      <c r="C79" s="71" t="str">
        <f t="shared" si="51"/>
        <v>-</v>
      </c>
      <c r="D79" s="72">
        <f t="shared" si="52"/>
        <v>0</v>
      </c>
      <c r="E79" s="72">
        <v>0</v>
      </c>
      <c r="F79" s="72">
        <v>0</v>
      </c>
      <c r="G79" s="72">
        <v>0</v>
      </c>
      <c r="H79" s="72">
        <v>0</v>
      </c>
      <c r="I79" s="72">
        <f t="shared" si="53"/>
        <v>103693.2</v>
      </c>
      <c r="J79" s="168" t="s">
        <v>98</v>
      </c>
      <c r="K79" s="87"/>
      <c r="L79" s="141" t="s">
        <v>1460</v>
      </c>
      <c r="M79" s="89" t="s">
        <v>1461</v>
      </c>
      <c r="N79" s="90" t="s">
        <v>31</v>
      </c>
      <c r="O79" s="90"/>
      <c r="P79" s="91">
        <v>43024</v>
      </c>
      <c r="Q79" s="154">
        <v>103693.2</v>
      </c>
      <c r="R79" s="89" t="s">
        <v>1454</v>
      </c>
      <c r="S79" s="89" t="s">
        <v>1350</v>
      </c>
      <c r="T79" s="89"/>
      <c r="U79" s="103" t="s">
        <v>343</v>
      </c>
      <c r="V79" s="105" t="s">
        <v>1296</v>
      </c>
      <c r="W79" s="102">
        <f>Q79</f>
        <v>103693.2</v>
      </c>
      <c r="X79" s="102">
        <f>W79</f>
        <v>103693.2</v>
      </c>
      <c r="Y79" s="102"/>
      <c r="Z79" s="107"/>
      <c r="AA79" s="102"/>
      <c r="AB79" s="102"/>
      <c r="AC79" s="102"/>
      <c r="AD79" s="107"/>
      <c r="AE79" s="102"/>
      <c r="AF79" s="102"/>
      <c r="AG79" s="129"/>
      <c r="AH79" s="107"/>
      <c r="AI79" s="102"/>
      <c r="AJ79" s="102"/>
      <c r="AK79" s="102"/>
      <c r="AL79" s="107"/>
      <c r="AM79" s="102"/>
      <c r="AN79" s="102"/>
      <c r="AO79" s="102"/>
      <c r="AP79" s="107"/>
      <c r="AQ79" s="102"/>
      <c r="AR79" s="102"/>
      <c r="AS79" s="102"/>
      <c r="AT79" s="107"/>
      <c r="AU79" s="102"/>
      <c r="AV79" s="102"/>
      <c r="AW79" s="102"/>
      <c r="AX79" s="107"/>
      <c r="AY79" s="102"/>
      <c r="AZ79" s="102"/>
      <c r="BA79" s="102"/>
      <c r="BB79" s="102"/>
      <c r="BC79" s="102"/>
      <c r="BD79" s="102"/>
      <c r="BE79" s="102"/>
      <c r="BF79" s="102"/>
      <c r="BG79" s="102"/>
      <c r="BH79" s="102"/>
      <c r="BI79" s="102"/>
      <c r="BJ79" s="102"/>
      <c r="BK79" s="102"/>
      <c r="BL79" s="102"/>
      <c r="BM79" s="102"/>
      <c r="BN79" s="102"/>
      <c r="BO79" s="102"/>
      <c r="BP79" s="102"/>
      <c r="BQ79" s="102"/>
      <c r="BR79" s="102"/>
      <c r="BS79" s="102"/>
      <c r="BT79" s="102"/>
      <c r="BU79" s="102"/>
      <c r="BV79" s="102"/>
      <c r="BW79" s="102"/>
      <c r="BX79" s="102"/>
      <c r="BY79" s="102"/>
      <c r="BZ79" s="102"/>
      <c r="CA79" s="102"/>
      <c r="CB79" s="102"/>
      <c r="CC79" s="122"/>
      <c r="CD79" s="123">
        <f t="shared" si="54"/>
        <v>103693.2</v>
      </c>
      <c r="CE79" s="102">
        <f t="shared" si="55"/>
        <v>103693.2</v>
      </c>
      <c r="CF79" s="102">
        <f t="shared" si="56"/>
        <v>0</v>
      </c>
      <c r="CG79" s="102">
        <f t="shared" si="57"/>
        <v>0</v>
      </c>
      <c r="CH79" s="124">
        <f t="shared" si="58"/>
        <v>103693.2</v>
      </c>
      <c r="CI79" s="125">
        <f t="shared" si="59"/>
        <v>0</v>
      </c>
      <c r="CJ79" s="126" t="str">
        <f t="shared" si="60"/>
        <v>数据正确</v>
      </c>
    </row>
    <row r="80" s="60" customFormat="1" customHeight="1" outlineLevel="1" spans="2:88">
      <c r="B80" s="70" t="str">
        <f t="shared" si="50"/>
        <v>申请中</v>
      </c>
      <c r="C80" s="71" t="str">
        <f t="shared" si="51"/>
        <v>-</v>
      </c>
      <c r="D80" s="72">
        <f t="shared" si="52"/>
        <v>0</v>
      </c>
      <c r="E80" s="72">
        <v>0</v>
      </c>
      <c r="F80" s="72">
        <v>0</v>
      </c>
      <c r="G80" s="72">
        <v>0</v>
      </c>
      <c r="H80" s="72">
        <v>0</v>
      </c>
      <c r="I80" s="72">
        <f t="shared" si="53"/>
        <v>3272.4</v>
      </c>
      <c r="J80" s="168" t="s">
        <v>98</v>
      </c>
      <c r="K80" s="87"/>
      <c r="L80" s="141" t="s">
        <v>1462</v>
      </c>
      <c r="M80" s="89" t="s">
        <v>1463</v>
      </c>
      <c r="N80" s="90" t="s">
        <v>31</v>
      </c>
      <c r="O80" s="90"/>
      <c r="P80" s="91">
        <v>43024</v>
      </c>
      <c r="Q80" s="154">
        <v>3272.4</v>
      </c>
      <c r="R80" s="89" t="s">
        <v>1454</v>
      </c>
      <c r="S80" s="89" t="s">
        <v>1350</v>
      </c>
      <c r="T80" s="89"/>
      <c r="U80" s="103" t="s">
        <v>343</v>
      </c>
      <c r="V80" s="105" t="s">
        <v>1296</v>
      </c>
      <c r="W80" s="102">
        <f>Q80</f>
        <v>3272.4</v>
      </c>
      <c r="X80" s="102">
        <f>W80</f>
        <v>3272.4</v>
      </c>
      <c r="Y80" s="102"/>
      <c r="Z80" s="107"/>
      <c r="AA80" s="102"/>
      <c r="AB80" s="102"/>
      <c r="AC80" s="102"/>
      <c r="AD80" s="107"/>
      <c r="AE80" s="102"/>
      <c r="AF80" s="102"/>
      <c r="AG80" s="129"/>
      <c r="AH80" s="107"/>
      <c r="AI80" s="102"/>
      <c r="AJ80" s="102"/>
      <c r="AK80" s="102"/>
      <c r="AL80" s="107"/>
      <c r="AM80" s="102"/>
      <c r="AN80" s="102"/>
      <c r="AO80" s="102"/>
      <c r="AP80" s="107"/>
      <c r="AQ80" s="102"/>
      <c r="AR80" s="102"/>
      <c r="AS80" s="102"/>
      <c r="AT80" s="107"/>
      <c r="AU80" s="102"/>
      <c r="AV80" s="102"/>
      <c r="AW80" s="102"/>
      <c r="AX80" s="107"/>
      <c r="AY80" s="102"/>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c r="CB80" s="102"/>
      <c r="CC80" s="122"/>
      <c r="CD80" s="123">
        <f t="shared" si="54"/>
        <v>3272.4</v>
      </c>
      <c r="CE80" s="102">
        <f t="shared" si="55"/>
        <v>3272.4</v>
      </c>
      <c r="CF80" s="102">
        <f t="shared" si="56"/>
        <v>0</v>
      </c>
      <c r="CG80" s="102">
        <f t="shared" si="57"/>
        <v>0</v>
      </c>
      <c r="CH80" s="124">
        <f t="shared" si="58"/>
        <v>3272.4</v>
      </c>
      <c r="CI80" s="125">
        <f t="shared" si="59"/>
        <v>0</v>
      </c>
      <c r="CJ80" s="126" t="str">
        <f t="shared" si="60"/>
        <v>数据正确</v>
      </c>
    </row>
    <row r="81" s="130" customFormat="1" customHeight="1" spans="2:88">
      <c r="B81" s="132" t="str">
        <f t="shared" ref="B81:B102" si="61">IF(I81=0,"-","申请中")</f>
        <v>申请中</v>
      </c>
      <c r="C81" s="133" t="str">
        <f t="shared" ref="C81:C102" si="62">IF(CI81=100%,"已付清","-")</f>
        <v>-</v>
      </c>
      <c r="D81" s="134">
        <f t="shared" ref="D81:D102" si="63">CF81</f>
        <v>179098</v>
      </c>
      <c r="E81" s="134">
        <f>SUM(E76:E80)</f>
        <v>0</v>
      </c>
      <c r="F81" s="134">
        <f>SUM(F76:F80)</f>
        <v>0</v>
      </c>
      <c r="G81" s="134">
        <f>SUM(G76:G80)</f>
        <v>0</v>
      </c>
      <c r="H81" s="134">
        <f>SUM(H76:H80)</f>
        <v>0</v>
      </c>
      <c r="I81" s="134">
        <f t="shared" ref="I81:I102" si="64">CE81-CF81-CG81</f>
        <v>112185.6</v>
      </c>
      <c r="J81" s="171" t="s">
        <v>98</v>
      </c>
      <c r="K81" s="172"/>
      <c r="L81" s="143">
        <v>272</v>
      </c>
      <c r="M81" s="144" t="s">
        <v>1464</v>
      </c>
      <c r="N81" s="145" t="s">
        <v>31</v>
      </c>
      <c r="O81" s="145" t="s">
        <v>97</v>
      </c>
      <c r="P81" s="146">
        <v>42980</v>
      </c>
      <c r="Q81" s="155">
        <f>SUM(Q76:Q80)</f>
        <v>291283.6</v>
      </c>
      <c r="R81" s="144" t="s">
        <v>1465</v>
      </c>
      <c r="S81" s="144" t="s">
        <v>1466</v>
      </c>
      <c r="T81" s="144" t="s">
        <v>97</v>
      </c>
      <c r="U81" s="156" t="s">
        <v>343</v>
      </c>
      <c r="V81" s="157" t="s">
        <v>1296</v>
      </c>
      <c r="W81" s="158">
        <f>SUM(W76:W80)</f>
        <v>291283.6</v>
      </c>
      <c r="X81" s="158">
        <f t="shared" ref="X81:BC81" si="65">SUM(X76:X80)</f>
        <v>291283.6</v>
      </c>
      <c r="Y81" s="158">
        <f t="shared" si="65"/>
        <v>179098</v>
      </c>
      <c r="Z81" s="158">
        <f t="shared" si="65"/>
        <v>0</v>
      </c>
      <c r="AA81" s="158">
        <f t="shared" si="65"/>
        <v>0</v>
      </c>
      <c r="AB81" s="158">
        <f t="shared" si="65"/>
        <v>0</v>
      </c>
      <c r="AC81" s="158">
        <f t="shared" si="65"/>
        <v>0</v>
      </c>
      <c r="AD81" s="158">
        <f t="shared" si="65"/>
        <v>0</v>
      </c>
      <c r="AE81" s="158">
        <f t="shared" si="65"/>
        <v>0</v>
      </c>
      <c r="AF81" s="158">
        <f t="shared" si="65"/>
        <v>0</v>
      </c>
      <c r="AG81" s="158">
        <f t="shared" si="65"/>
        <v>0</v>
      </c>
      <c r="AH81" s="158">
        <f t="shared" si="65"/>
        <v>0</v>
      </c>
      <c r="AI81" s="158">
        <f t="shared" si="65"/>
        <v>0</v>
      </c>
      <c r="AJ81" s="158">
        <f t="shared" si="65"/>
        <v>0</v>
      </c>
      <c r="AK81" s="158">
        <f t="shared" si="65"/>
        <v>0</v>
      </c>
      <c r="AL81" s="158">
        <f t="shared" si="65"/>
        <v>0</v>
      </c>
      <c r="AM81" s="158">
        <f t="shared" si="65"/>
        <v>0</v>
      </c>
      <c r="AN81" s="158">
        <f t="shared" si="65"/>
        <v>0</v>
      </c>
      <c r="AO81" s="158">
        <f t="shared" si="65"/>
        <v>0</v>
      </c>
      <c r="AP81" s="158">
        <f t="shared" si="65"/>
        <v>0</v>
      </c>
      <c r="AQ81" s="158">
        <f t="shared" si="65"/>
        <v>0</v>
      </c>
      <c r="AR81" s="158">
        <f t="shared" si="65"/>
        <v>0</v>
      </c>
      <c r="AS81" s="158">
        <f t="shared" si="65"/>
        <v>0</v>
      </c>
      <c r="AT81" s="158">
        <f t="shared" si="65"/>
        <v>0</v>
      </c>
      <c r="AU81" s="158">
        <f t="shared" si="65"/>
        <v>0</v>
      </c>
      <c r="AV81" s="158">
        <f t="shared" si="65"/>
        <v>0</v>
      </c>
      <c r="AW81" s="158">
        <f t="shared" si="65"/>
        <v>0</v>
      </c>
      <c r="AX81" s="158">
        <f t="shared" si="65"/>
        <v>0</v>
      </c>
      <c r="AY81" s="158">
        <f t="shared" si="65"/>
        <v>0</v>
      </c>
      <c r="AZ81" s="158">
        <f t="shared" si="65"/>
        <v>0</v>
      </c>
      <c r="BA81" s="158">
        <f t="shared" si="65"/>
        <v>0</v>
      </c>
      <c r="BB81" s="158">
        <f t="shared" si="65"/>
        <v>0</v>
      </c>
      <c r="BC81" s="158">
        <f t="shared" si="65"/>
        <v>0</v>
      </c>
      <c r="BD81" s="158">
        <f t="shared" ref="BD81:CC81" si="66">SUM(BD76:BD80)</f>
        <v>0</v>
      </c>
      <c r="BE81" s="158">
        <f t="shared" si="66"/>
        <v>0</v>
      </c>
      <c r="BF81" s="158">
        <f t="shared" si="66"/>
        <v>0</v>
      </c>
      <c r="BG81" s="158">
        <f t="shared" si="66"/>
        <v>0</v>
      </c>
      <c r="BH81" s="158">
        <f t="shared" si="66"/>
        <v>0</v>
      </c>
      <c r="BI81" s="158">
        <f t="shared" si="66"/>
        <v>0</v>
      </c>
      <c r="BJ81" s="158">
        <f t="shared" si="66"/>
        <v>0</v>
      </c>
      <c r="BK81" s="158">
        <f t="shared" si="66"/>
        <v>0</v>
      </c>
      <c r="BL81" s="158">
        <f t="shared" si="66"/>
        <v>0</v>
      </c>
      <c r="BM81" s="158">
        <f t="shared" si="66"/>
        <v>0</v>
      </c>
      <c r="BN81" s="158">
        <f t="shared" si="66"/>
        <v>0</v>
      </c>
      <c r="BO81" s="158">
        <f t="shared" si="66"/>
        <v>0</v>
      </c>
      <c r="BP81" s="158">
        <f t="shared" si="66"/>
        <v>0</v>
      </c>
      <c r="BQ81" s="158">
        <f t="shared" si="66"/>
        <v>0</v>
      </c>
      <c r="BR81" s="158">
        <f t="shared" si="66"/>
        <v>0</v>
      </c>
      <c r="BS81" s="158">
        <f t="shared" si="66"/>
        <v>0</v>
      </c>
      <c r="BT81" s="158">
        <f t="shared" si="66"/>
        <v>0</v>
      </c>
      <c r="BU81" s="158">
        <f t="shared" si="66"/>
        <v>0</v>
      </c>
      <c r="BV81" s="158">
        <f t="shared" si="66"/>
        <v>0</v>
      </c>
      <c r="BW81" s="158">
        <f t="shared" si="66"/>
        <v>0</v>
      </c>
      <c r="BX81" s="158">
        <f t="shared" si="66"/>
        <v>0</v>
      </c>
      <c r="BY81" s="158">
        <f t="shared" si="66"/>
        <v>0</v>
      </c>
      <c r="BZ81" s="158">
        <f t="shared" si="66"/>
        <v>0</v>
      </c>
      <c r="CA81" s="158">
        <f t="shared" si="66"/>
        <v>0</v>
      </c>
      <c r="CB81" s="158">
        <f t="shared" si="66"/>
        <v>0</v>
      </c>
      <c r="CC81" s="158">
        <f t="shared" si="66"/>
        <v>0</v>
      </c>
      <c r="CD81" s="123">
        <f t="shared" si="54"/>
        <v>291283.6</v>
      </c>
      <c r="CE81" s="102">
        <f t="shared" si="55"/>
        <v>291283.6</v>
      </c>
      <c r="CF81" s="102">
        <f t="shared" si="56"/>
        <v>179098</v>
      </c>
      <c r="CG81" s="102">
        <f t="shared" si="57"/>
        <v>0</v>
      </c>
      <c r="CH81" s="124">
        <f t="shared" si="58"/>
        <v>112185.6</v>
      </c>
      <c r="CI81" s="125">
        <f t="shared" si="59"/>
        <v>0.614857822410874</v>
      </c>
      <c r="CJ81" s="126" t="str">
        <f t="shared" si="60"/>
        <v>数据正确</v>
      </c>
    </row>
    <row r="82" s="60" customFormat="1" customHeight="1" spans="1:88">
      <c r="A82" s="60" t="s">
        <v>36</v>
      </c>
      <c r="B82" s="70" t="str">
        <f t="shared" si="61"/>
        <v>-</v>
      </c>
      <c r="C82" s="71" t="str">
        <f t="shared" si="62"/>
        <v>已付清</v>
      </c>
      <c r="D82" s="72">
        <f t="shared" si="63"/>
        <v>28000</v>
      </c>
      <c r="E82" s="72">
        <v>0</v>
      </c>
      <c r="F82" s="72">
        <v>0</v>
      </c>
      <c r="G82" s="72">
        <v>0</v>
      </c>
      <c r="H82" s="72">
        <v>0</v>
      </c>
      <c r="I82" s="72">
        <f t="shared" si="64"/>
        <v>0</v>
      </c>
      <c r="J82" s="168" t="s">
        <v>98</v>
      </c>
      <c r="K82" s="87"/>
      <c r="L82" s="88">
        <v>273</v>
      </c>
      <c r="M82" s="89" t="s">
        <v>1467</v>
      </c>
      <c r="N82" s="90" t="s">
        <v>31</v>
      </c>
      <c r="O82" s="90">
        <v>2017090011</v>
      </c>
      <c r="P82" s="91">
        <v>42996</v>
      </c>
      <c r="Q82" s="154">
        <v>28000</v>
      </c>
      <c r="R82" s="89" t="s">
        <v>1468</v>
      </c>
      <c r="S82" s="89" t="s">
        <v>1400</v>
      </c>
      <c r="T82" s="89"/>
      <c r="U82" s="103" t="s">
        <v>343</v>
      </c>
      <c r="V82" s="105" t="s">
        <v>1296</v>
      </c>
      <c r="W82" s="102">
        <v>28000</v>
      </c>
      <c r="X82" s="102">
        <v>28000</v>
      </c>
      <c r="Y82" s="102">
        <v>28000</v>
      </c>
      <c r="Z82" s="107"/>
      <c r="AA82" s="102"/>
      <c r="AB82" s="102"/>
      <c r="AC82" s="102"/>
      <c r="AD82" s="107"/>
      <c r="AE82" s="102"/>
      <c r="AF82" s="102"/>
      <c r="AG82" s="129"/>
      <c r="AH82" s="107"/>
      <c r="AI82" s="102"/>
      <c r="AJ82" s="102"/>
      <c r="AK82" s="102"/>
      <c r="AL82" s="107"/>
      <c r="AM82" s="102"/>
      <c r="AN82" s="102"/>
      <c r="AO82" s="102"/>
      <c r="AP82" s="107"/>
      <c r="AQ82" s="102"/>
      <c r="AR82" s="102"/>
      <c r="AS82" s="102"/>
      <c r="AT82" s="107"/>
      <c r="AU82" s="102"/>
      <c r="AV82" s="102"/>
      <c r="AW82" s="102"/>
      <c r="AX82" s="107"/>
      <c r="AY82" s="102"/>
      <c r="AZ82" s="102"/>
      <c r="BA82" s="102"/>
      <c r="BB82" s="102"/>
      <c r="BC82" s="102"/>
      <c r="BD82" s="102"/>
      <c r="BE82" s="102"/>
      <c r="BF82" s="102"/>
      <c r="BG82" s="102"/>
      <c r="BH82" s="102"/>
      <c r="BI82" s="102"/>
      <c r="BJ82" s="102"/>
      <c r="BK82" s="102"/>
      <c r="BL82" s="102"/>
      <c r="BM82" s="102"/>
      <c r="BN82" s="102"/>
      <c r="BO82" s="102"/>
      <c r="BP82" s="102"/>
      <c r="BQ82" s="102"/>
      <c r="BR82" s="102"/>
      <c r="BS82" s="102"/>
      <c r="BT82" s="102"/>
      <c r="BU82" s="102"/>
      <c r="BV82" s="102"/>
      <c r="BW82" s="102"/>
      <c r="BX82" s="102"/>
      <c r="BY82" s="102"/>
      <c r="BZ82" s="102"/>
      <c r="CA82" s="102"/>
      <c r="CB82" s="102"/>
      <c r="CC82" s="122"/>
      <c r="CD82" s="123">
        <f t="shared" si="54"/>
        <v>28000</v>
      </c>
      <c r="CE82" s="102">
        <f t="shared" si="55"/>
        <v>28000</v>
      </c>
      <c r="CF82" s="102">
        <f t="shared" si="56"/>
        <v>28000</v>
      </c>
      <c r="CG82" s="102">
        <f t="shared" si="57"/>
        <v>0</v>
      </c>
      <c r="CH82" s="124">
        <f t="shared" si="58"/>
        <v>0</v>
      </c>
      <c r="CI82" s="125">
        <f t="shared" si="59"/>
        <v>1</v>
      </c>
      <c r="CJ82" s="126" t="str">
        <f t="shared" si="60"/>
        <v>数据正确</v>
      </c>
    </row>
    <row r="83" s="60" customFormat="1" customHeight="1" spans="1:88">
      <c r="A83" s="60" t="s">
        <v>36</v>
      </c>
      <c r="B83" s="70" t="str">
        <f t="shared" si="61"/>
        <v>-</v>
      </c>
      <c r="C83" s="71" t="str">
        <f t="shared" si="62"/>
        <v>-</v>
      </c>
      <c r="D83" s="72">
        <f t="shared" si="63"/>
        <v>530000</v>
      </c>
      <c r="E83" s="72">
        <v>0</v>
      </c>
      <c r="F83" s="72">
        <v>0</v>
      </c>
      <c r="G83" s="72">
        <v>0</v>
      </c>
      <c r="H83" s="72">
        <v>0</v>
      </c>
      <c r="I83" s="72">
        <f t="shared" si="64"/>
        <v>0</v>
      </c>
      <c r="J83" s="168" t="s">
        <v>98</v>
      </c>
      <c r="K83" s="87"/>
      <c r="L83" s="88">
        <v>274</v>
      </c>
      <c r="M83" s="89" t="s">
        <v>1469</v>
      </c>
      <c r="N83" s="90" t="s">
        <v>31</v>
      </c>
      <c r="O83" s="90">
        <v>2017080065</v>
      </c>
      <c r="P83" s="91">
        <v>43004</v>
      </c>
      <c r="Q83" s="154">
        <v>2650000</v>
      </c>
      <c r="R83" s="89" t="s">
        <v>1470</v>
      </c>
      <c r="S83" s="89" t="s">
        <v>1471</v>
      </c>
      <c r="T83" s="89"/>
      <c r="U83" s="103" t="s">
        <v>650</v>
      </c>
      <c r="V83" s="105" t="s">
        <v>1335</v>
      </c>
      <c r="W83" s="102">
        <v>530000</v>
      </c>
      <c r="X83" s="102">
        <v>530000</v>
      </c>
      <c r="Y83" s="102">
        <v>530000</v>
      </c>
      <c r="Z83" s="107" t="s">
        <v>1472</v>
      </c>
      <c r="AA83" s="102">
        <v>1060000</v>
      </c>
      <c r="AB83" s="102"/>
      <c r="AC83" s="102"/>
      <c r="AD83" s="107" t="s">
        <v>1473</v>
      </c>
      <c r="AE83" s="102">
        <v>795000</v>
      </c>
      <c r="AF83" s="102"/>
      <c r="AG83" s="102"/>
      <c r="AH83" s="107" t="s">
        <v>1188</v>
      </c>
      <c r="AI83" s="102">
        <v>265000</v>
      </c>
      <c r="AJ83" s="102"/>
      <c r="AK83" s="102"/>
      <c r="AL83" s="107"/>
      <c r="AM83" s="102"/>
      <c r="AN83" s="102"/>
      <c r="AO83" s="102"/>
      <c r="AP83" s="107"/>
      <c r="AQ83" s="102"/>
      <c r="AR83" s="102"/>
      <c r="AS83" s="102"/>
      <c r="AT83" s="107"/>
      <c r="AU83" s="102"/>
      <c r="AV83" s="102"/>
      <c r="AW83" s="102"/>
      <c r="AX83" s="107"/>
      <c r="AY83" s="102"/>
      <c r="AZ83" s="102"/>
      <c r="BA83" s="102"/>
      <c r="BB83" s="102"/>
      <c r="BC83" s="102"/>
      <c r="BD83" s="102"/>
      <c r="BE83" s="102"/>
      <c r="BF83" s="102"/>
      <c r="BG83" s="102"/>
      <c r="BH83" s="102"/>
      <c r="BI83" s="102"/>
      <c r="BJ83" s="102"/>
      <c r="BK83" s="102"/>
      <c r="BL83" s="102"/>
      <c r="BM83" s="102"/>
      <c r="BN83" s="102"/>
      <c r="BO83" s="102"/>
      <c r="BP83" s="102"/>
      <c r="BQ83" s="102"/>
      <c r="BR83" s="102"/>
      <c r="BS83" s="102"/>
      <c r="BT83" s="102"/>
      <c r="BU83" s="102"/>
      <c r="BV83" s="102"/>
      <c r="BW83" s="102"/>
      <c r="BX83" s="102"/>
      <c r="BY83" s="102"/>
      <c r="BZ83" s="102"/>
      <c r="CA83" s="102"/>
      <c r="CB83" s="102"/>
      <c r="CC83" s="122"/>
      <c r="CD83" s="123">
        <f t="shared" si="54"/>
        <v>2650000</v>
      </c>
      <c r="CE83" s="102">
        <f t="shared" si="55"/>
        <v>530000</v>
      </c>
      <c r="CF83" s="102">
        <f t="shared" si="56"/>
        <v>530000</v>
      </c>
      <c r="CG83" s="102">
        <f t="shared" si="57"/>
        <v>0</v>
      </c>
      <c r="CH83" s="124">
        <f t="shared" si="58"/>
        <v>2120000</v>
      </c>
      <c r="CI83" s="125">
        <f t="shared" si="59"/>
        <v>0.2</v>
      </c>
      <c r="CJ83" s="126" t="str">
        <f t="shared" si="60"/>
        <v>数据正确</v>
      </c>
    </row>
    <row r="84" s="60" customFormat="1" customHeight="1" spans="2:88">
      <c r="B84" s="70" t="str">
        <f t="shared" si="61"/>
        <v>-</v>
      </c>
      <c r="C84" s="71" t="str">
        <f t="shared" si="62"/>
        <v>-</v>
      </c>
      <c r="D84" s="72">
        <f t="shared" si="63"/>
        <v>943000</v>
      </c>
      <c r="E84" s="72">
        <v>0</v>
      </c>
      <c r="F84" s="72">
        <v>0</v>
      </c>
      <c r="G84" s="72">
        <v>0</v>
      </c>
      <c r="H84" s="72">
        <v>0</v>
      </c>
      <c r="I84" s="72">
        <f t="shared" si="64"/>
        <v>0</v>
      </c>
      <c r="J84" s="168" t="s">
        <v>98</v>
      </c>
      <c r="K84" s="87"/>
      <c r="L84" s="88">
        <v>275</v>
      </c>
      <c r="M84" s="89" t="s">
        <v>1474</v>
      </c>
      <c r="N84" s="90" t="s">
        <v>31</v>
      </c>
      <c r="O84" s="90">
        <v>2017080064</v>
      </c>
      <c r="P84" s="91">
        <v>43017</v>
      </c>
      <c r="Q84" s="154">
        <v>4715000</v>
      </c>
      <c r="R84" s="89" t="s">
        <v>1475</v>
      </c>
      <c r="S84" s="89" t="s">
        <v>1476</v>
      </c>
      <c r="T84" s="89"/>
      <c r="U84" s="103" t="s">
        <v>343</v>
      </c>
      <c r="V84" s="105" t="s">
        <v>1335</v>
      </c>
      <c r="W84" s="102">
        <v>943000</v>
      </c>
      <c r="X84" s="102">
        <v>943000</v>
      </c>
      <c r="Y84" s="102">
        <v>943000</v>
      </c>
      <c r="Z84" s="107" t="s">
        <v>1472</v>
      </c>
      <c r="AA84" s="102">
        <v>1886000</v>
      </c>
      <c r="AB84" s="102"/>
      <c r="AC84" s="102"/>
      <c r="AD84" s="107" t="s">
        <v>1473</v>
      </c>
      <c r="AE84" s="102">
        <v>1414500</v>
      </c>
      <c r="AF84" s="102"/>
      <c r="AG84" s="129"/>
      <c r="AH84" s="107" t="s">
        <v>1477</v>
      </c>
      <c r="AI84" s="102">
        <v>471500</v>
      </c>
      <c r="AJ84" s="102"/>
      <c r="AK84" s="102"/>
      <c r="AL84" s="107"/>
      <c r="AM84" s="102"/>
      <c r="AN84" s="102"/>
      <c r="AO84" s="102"/>
      <c r="AP84" s="107"/>
      <c r="AQ84" s="102"/>
      <c r="AR84" s="102"/>
      <c r="AS84" s="102"/>
      <c r="AT84" s="107"/>
      <c r="AU84" s="102"/>
      <c r="AV84" s="102"/>
      <c r="AW84" s="102"/>
      <c r="AX84" s="107"/>
      <c r="AY84" s="102"/>
      <c r="AZ84" s="102"/>
      <c r="BA84" s="102"/>
      <c r="BB84" s="102"/>
      <c r="BC84" s="102"/>
      <c r="BD84" s="102"/>
      <c r="BE84" s="102"/>
      <c r="BF84" s="102"/>
      <c r="BG84" s="102"/>
      <c r="BH84" s="102"/>
      <c r="BI84" s="102"/>
      <c r="BJ84" s="102"/>
      <c r="BK84" s="102"/>
      <c r="BL84" s="102"/>
      <c r="BM84" s="102"/>
      <c r="BN84" s="102"/>
      <c r="BO84" s="102"/>
      <c r="BP84" s="102"/>
      <c r="BQ84" s="102"/>
      <c r="BR84" s="102"/>
      <c r="BS84" s="102"/>
      <c r="BT84" s="102"/>
      <c r="BU84" s="102"/>
      <c r="BV84" s="102"/>
      <c r="BW84" s="102"/>
      <c r="BX84" s="102"/>
      <c r="BY84" s="102"/>
      <c r="BZ84" s="102"/>
      <c r="CA84" s="102"/>
      <c r="CB84" s="102"/>
      <c r="CC84" s="122"/>
      <c r="CD84" s="123">
        <f t="shared" si="54"/>
        <v>4715000</v>
      </c>
      <c r="CE84" s="102">
        <f t="shared" si="55"/>
        <v>943000</v>
      </c>
      <c r="CF84" s="102">
        <f t="shared" si="56"/>
        <v>943000</v>
      </c>
      <c r="CG84" s="102">
        <f t="shared" si="57"/>
        <v>0</v>
      </c>
      <c r="CH84" s="124">
        <f t="shared" si="58"/>
        <v>3772000</v>
      </c>
      <c r="CI84" s="125">
        <f t="shared" si="59"/>
        <v>0.2</v>
      </c>
      <c r="CJ84" s="126" t="str">
        <f t="shared" si="60"/>
        <v>数据正确</v>
      </c>
    </row>
    <row r="85" s="60" customFormat="1" customHeight="1" spans="1:88">
      <c r="A85" s="60" t="s">
        <v>36</v>
      </c>
      <c r="B85" s="70" t="str">
        <f t="shared" si="61"/>
        <v>-</v>
      </c>
      <c r="C85" s="71" t="str">
        <f t="shared" si="62"/>
        <v>-</v>
      </c>
      <c r="D85" s="72">
        <f t="shared" si="63"/>
        <v>346000</v>
      </c>
      <c r="E85" s="72">
        <v>0</v>
      </c>
      <c r="F85" s="72">
        <v>0</v>
      </c>
      <c r="G85" s="72">
        <v>0</v>
      </c>
      <c r="H85" s="72">
        <v>0</v>
      </c>
      <c r="I85" s="72">
        <f t="shared" si="64"/>
        <v>0</v>
      </c>
      <c r="J85" s="168" t="s">
        <v>98</v>
      </c>
      <c r="K85" s="87"/>
      <c r="L85" s="88">
        <v>276</v>
      </c>
      <c r="M85" s="89" t="s">
        <v>1478</v>
      </c>
      <c r="N85" s="90" t="s">
        <v>31</v>
      </c>
      <c r="O85" s="90">
        <v>2017080059</v>
      </c>
      <c r="P85" s="91">
        <v>43019</v>
      </c>
      <c r="Q85" s="154">
        <v>1730000</v>
      </c>
      <c r="R85" s="89" t="s">
        <v>1479</v>
      </c>
      <c r="S85" s="89" t="s">
        <v>1480</v>
      </c>
      <c r="T85" s="89"/>
      <c r="U85" s="103" t="s">
        <v>343</v>
      </c>
      <c r="V85" s="105" t="s">
        <v>1335</v>
      </c>
      <c r="W85" s="102">
        <v>346000</v>
      </c>
      <c r="X85" s="102">
        <v>346000</v>
      </c>
      <c r="Y85" s="102">
        <v>346000</v>
      </c>
      <c r="Z85" s="107" t="s">
        <v>1472</v>
      </c>
      <c r="AA85" s="102">
        <v>692000</v>
      </c>
      <c r="AB85" s="102"/>
      <c r="AC85" s="102"/>
      <c r="AD85" s="107" t="s">
        <v>1473</v>
      </c>
      <c r="AE85" s="102">
        <v>519000</v>
      </c>
      <c r="AF85" s="102"/>
      <c r="AG85" s="102"/>
      <c r="AH85" s="107" t="s">
        <v>1477</v>
      </c>
      <c r="AI85" s="102">
        <v>173000</v>
      </c>
      <c r="AJ85" s="102"/>
      <c r="AK85" s="102"/>
      <c r="AL85" s="107"/>
      <c r="AM85" s="102"/>
      <c r="AN85" s="102"/>
      <c r="AO85" s="102"/>
      <c r="AP85" s="107"/>
      <c r="AQ85" s="102"/>
      <c r="AR85" s="102"/>
      <c r="AS85" s="102"/>
      <c r="AT85" s="107"/>
      <c r="AU85" s="102"/>
      <c r="AV85" s="102"/>
      <c r="AW85" s="102"/>
      <c r="AX85" s="107"/>
      <c r="AY85" s="102"/>
      <c r="AZ85" s="102"/>
      <c r="BA85" s="102"/>
      <c r="BB85" s="102"/>
      <c r="BC85" s="102"/>
      <c r="BD85" s="102"/>
      <c r="BE85" s="102"/>
      <c r="BF85" s="102"/>
      <c r="BG85" s="102"/>
      <c r="BH85" s="102"/>
      <c r="BI85" s="102"/>
      <c r="BJ85" s="102"/>
      <c r="BK85" s="102"/>
      <c r="BL85" s="102"/>
      <c r="BM85" s="102"/>
      <c r="BN85" s="102"/>
      <c r="BO85" s="102"/>
      <c r="BP85" s="102"/>
      <c r="BQ85" s="102"/>
      <c r="BR85" s="102"/>
      <c r="BS85" s="102"/>
      <c r="BT85" s="102"/>
      <c r="BU85" s="102"/>
      <c r="BV85" s="102"/>
      <c r="BW85" s="102"/>
      <c r="BX85" s="102"/>
      <c r="BY85" s="102"/>
      <c r="BZ85" s="102"/>
      <c r="CA85" s="102"/>
      <c r="CB85" s="102"/>
      <c r="CC85" s="122"/>
      <c r="CD85" s="123">
        <f t="shared" si="54"/>
        <v>1730000</v>
      </c>
      <c r="CE85" s="102">
        <f t="shared" si="55"/>
        <v>346000</v>
      </c>
      <c r="CF85" s="102">
        <f t="shared" si="56"/>
        <v>346000</v>
      </c>
      <c r="CG85" s="102">
        <f t="shared" si="57"/>
        <v>0</v>
      </c>
      <c r="CH85" s="124">
        <f t="shared" si="58"/>
        <v>1384000</v>
      </c>
      <c r="CI85" s="125">
        <f t="shared" si="59"/>
        <v>0.2</v>
      </c>
      <c r="CJ85" s="126" t="str">
        <f t="shared" si="60"/>
        <v>数据正确</v>
      </c>
    </row>
    <row r="86" s="60" customFormat="1" customHeight="1" spans="1:88">
      <c r="A86" s="60" t="s">
        <v>36</v>
      </c>
      <c r="B86" s="70" t="str">
        <f t="shared" si="61"/>
        <v>-</v>
      </c>
      <c r="C86" s="71" t="str">
        <f t="shared" si="62"/>
        <v>-</v>
      </c>
      <c r="D86" s="72">
        <f t="shared" si="63"/>
        <v>266000</v>
      </c>
      <c r="E86" s="72">
        <v>0</v>
      </c>
      <c r="F86" s="72">
        <v>0</v>
      </c>
      <c r="G86" s="72">
        <v>0</v>
      </c>
      <c r="H86" s="72">
        <v>0</v>
      </c>
      <c r="I86" s="72">
        <f t="shared" si="64"/>
        <v>0</v>
      </c>
      <c r="J86" s="168" t="s">
        <v>98</v>
      </c>
      <c r="K86" s="87"/>
      <c r="L86" s="88">
        <v>277</v>
      </c>
      <c r="M86" s="89" t="s">
        <v>1481</v>
      </c>
      <c r="N86" s="90" t="s">
        <v>31</v>
      </c>
      <c r="O86" s="90">
        <v>2017080059</v>
      </c>
      <c r="P86" s="91">
        <v>43020</v>
      </c>
      <c r="Q86" s="154">
        <v>1330000</v>
      </c>
      <c r="R86" s="89" t="s">
        <v>1482</v>
      </c>
      <c r="S86" s="89" t="s">
        <v>1483</v>
      </c>
      <c r="T86" s="89"/>
      <c r="U86" s="103" t="s">
        <v>343</v>
      </c>
      <c r="V86" s="105" t="s">
        <v>1335</v>
      </c>
      <c r="W86" s="102">
        <v>266000</v>
      </c>
      <c r="X86" s="102">
        <v>266000</v>
      </c>
      <c r="Y86" s="102">
        <v>266000</v>
      </c>
      <c r="Z86" s="107" t="s">
        <v>1472</v>
      </c>
      <c r="AA86" s="102">
        <v>532000</v>
      </c>
      <c r="AB86" s="102"/>
      <c r="AC86" s="102"/>
      <c r="AD86" s="107" t="s">
        <v>1473</v>
      </c>
      <c r="AE86" s="102">
        <v>399000</v>
      </c>
      <c r="AF86" s="102"/>
      <c r="AG86" s="129"/>
      <c r="AH86" s="107" t="s">
        <v>1477</v>
      </c>
      <c r="AI86" s="102">
        <v>133000</v>
      </c>
      <c r="AJ86" s="102"/>
      <c r="AK86" s="102"/>
      <c r="AL86" s="107"/>
      <c r="AM86" s="102"/>
      <c r="AN86" s="102"/>
      <c r="AO86" s="102"/>
      <c r="AP86" s="107"/>
      <c r="AQ86" s="102"/>
      <c r="AR86" s="102"/>
      <c r="AS86" s="102"/>
      <c r="AT86" s="107"/>
      <c r="AU86" s="102"/>
      <c r="AV86" s="102"/>
      <c r="AW86" s="102"/>
      <c r="AX86" s="107"/>
      <c r="AY86" s="102"/>
      <c r="AZ86" s="102"/>
      <c r="BA86" s="102"/>
      <c r="BB86" s="102"/>
      <c r="BC86" s="102"/>
      <c r="BD86" s="102"/>
      <c r="BE86" s="102"/>
      <c r="BF86" s="102"/>
      <c r="BG86" s="102"/>
      <c r="BH86" s="102"/>
      <c r="BI86" s="102"/>
      <c r="BJ86" s="102"/>
      <c r="BK86" s="102"/>
      <c r="BL86" s="102"/>
      <c r="BM86" s="102"/>
      <c r="BN86" s="102"/>
      <c r="BO86" s="102"/>
      <c r="BP86" s="102"/>
      <c r="BQ86" s="102"/>
      <c r="BR86" s="102"/>
      <c r="BS86" s="102"/>
      <c r="BT86" s="102"/>
      <c r="BU86" s="102"/>
      <c r="BV86" s="102"/>
      <c r="BW86" s="102"/>
      <c r="BX86" s="102"/>
      <c r="BY86" s="102"/>
      <c r="BZ86" s="102"/>
      <c r="CA86" s="102"/>
      <c r="CB86" s="102"/>
      <c r="CC86" s="122"/>
      <c r="CD86" s="123">
        <f t="shared" ref="CD81:CD102" si="67">W86+AA86+AE86+AI86+AM86+AQ86+AU86+AY86+BC86+BG86+BK86+BO86+BS86+BW86+CA86</f>
        <v>1330000</v>
      </c>
      <c r="CE86" s="102">
        <f t="shared" ref="CE81:CE102" si="68">X86+AB86+AF86+AJ86+AN86+AR86+AV86+AZ86+BD86+BH86+BL86+BP86+BT86+BX86+CB86</f>
        <v>266000</v>
      </c>
      <c r="CF86" s="102">
        <f t="shared" ref="CF81:CF102" si="69">Y86+AC86+AG86+AK86+AO86+AS86+AW86+BA86+BE86+BI86+BM86+BQ86+BU86+BY86+CC86</f>
        <v>266000</v>
      </c>
      <c r="CG86" s="102">
        <f t="shared" ref="CG81:CG102" si="70">E86+F86+G86+H86</f>
        <v>0</v>
      </c>
      <c r="CH86" s="124">
        <f t="shared" ref="CH81:CH102" si="71">Q86-CF86-CG86</f>
        <v>1064000</v>
      </c>
      <c r="CI86" s="125">
        <f t="shared" ref="CI81:CI102" si="72">IF(ISERROR((CF86+CG86)/Q86),"-",(CF86+CG86)/Q86)</f>
        <v>0.2</v>
      </c>
      <c r="CJ86" s="126" t="str">
        <f t="shared" ref="CJ81:CJ102" si="73">IF(Q86-CD86=0,"数据正确","数据错误")</f>
        <v>数据正确</v>
      </c>
    </row>
    <row r="87" s="60" customFormat="1" customHeight="1" spans="1:88">
      <c r="A87" s="60" t="s">
        <v>36</v>
      </c>
      <c r="B87" s="70" t="str">
        <f t="shared" si="61"/>
        <v>-</v>
      </c>
      <c r="C87" s="71" t="str">
        <f t="shared" si="62"/>
        <v>-</v>
      </c>
      <c r="D87" s="72">
        <f t="shared" si="63"/>
        <v>460000</v>
      </c>
      <c r="E87" s="72">
        <v>0</v>
      </c>
      <c r="F87" s="72">
        <v>0</v>
      </c>
      <c r="G87" s="72">
        <v>0</v>
      </c>
      <c r="H87" s="72">
        <v>0</v>
      </c>
      <c r="I87" s="72">
        <f t="shared" si="64"/>
        <v>0</v>
      </c>
      <c r="J87" s="168" t="s">
        <v>98</v>
      </c>
      <c r="K87" s="87"/>
      <c r="L87" s="88">
        <v>278</v>
      </c>
      <c r="M87" s="89" t="s">
        <v>1484</v>
      </c>
      <c r="N87" s="90" t="s">
        <v>31</v>
      </c>
      <c r="O87" s="90">
        <v>2017080066</v>
      </c>
      <c r="P87" s="91">
        <v>43020</v>
      </c>
      <c r="Q87" s="154">
        <v>2300000</v>
      </c>
      <c r="R87" s="89" t="s">
        <v>1485</v>
      </c>
      <c r="S87" s="89" t="s">
        <v>1483</v>
      </c>
      <c r="T87" s="89"/>
      <c r="U87" s="103" t="s">
        <v>343</v>
      </c>
      <c r="V87" s="105" t="s">
        <v>1335</v>
      </c>
      <c r="W87" s="102">
        <v>460000</v>
      </c>
      <c r="X87" s="102">
        <v>460000</v>
      </c>
      <c r="Y87" s="102">
        <v>460000</v>
      </c>
      <c r="Z87" s="107" t="s">
        <v>1472</v>
      </c>
      <c r="AA87" s="102">
        <v>920000</v>
      </c>
      <c r="AB87" s="102"/>
      <c r="AC87" s="102"/>
      <c r="AD87" s="107" t="s">
        <v>1473</v>
      </c>
      <c r="AE87" s="102">
        <v>690000</v>
      </c>
      <c r="AF87" s="102"/>
      <c r="AG87" s="102"/>
      <c r="AH87" s="107" t="s">
        <v>1477</v>
      </c>
      <c r="AI87" s="102">
        <v>230000</v>
      </c>
      <c r="AJ87" s="102"/>
      <c r="AK87" s="102"/>
      <c r="AL87" s="107"/>
      <c r="AM87" s="102"/>
      <c r="AN87" s="102"/>
      <c r="AO87" s="102"/>
      <c r="AP87" s="107"/>
      <c r="AQ87" s="102"/>
      <c r="AR87" s="102"/>
      <c r="AS87" s="102"/>
      <c r="AT87" s="107"/>
      <c r="AU87" s="102"/>
      <c r="AV87" s="102"/>
      <c r="AW87" s="102"/>
      <c r="AX87" s="107"/>
      <c r="AY87" s="102"/>
      <c r="AZ87" s="102"/>
      <c r="BA87" s="102"/>
      <c r="BB87" s="102"/>
      <c r="BC87" s="102"/>
      <c r="BD87" s="102"/>
      <c r="BE87" s="102"/>
      <c r="BF87" s="102"/>
      <c r="BG87" s="102"/>
      <c r="BH87" s="102"/>
      <c r="BI87" s="102"/>
      <c r="BJ87" s="102"/>
      <c r="BK87" s="102"/>
      <c r="BL87" s="102"/>
      <c r="BM87" s="102"/>
      <c r="BN87" s="102"/>
      <c r="BO87" s="102"/>
      <c r="BP87" s="102"/>
      <c r="BQ87" s="102"/>
      <c r="BR87" s="102"/>
      <c r="BS87" s="102"/>
      <c r="BT87" s="102"/>
      <c r="BU87" s="102"/>
      <c r="BV87" s="102"/>
      <c r="BW87" s="102"/>
      <c r="BX87" s="102"/>
      <c r="BY87" s="102"/>
      <c r="BZ87" s="102"/>
      <c r="CA87" s="102"/>
      <c r="CB87" s="102"/>
      <c r="CC87" s="122"/>
      <c r="CD87" s="123">
        <f t="shared" si="67"/>
        <v>2300000</v>
      </c>
      <c r="CE87" s="102">
        <f t="shared" si="68"/>
        <v>460000</v>
      </c>
      <c r="CF87" s="102">
        <f t="shared" si="69"/>
        <v>460000</v>
      </c>
      <c r="CG87" s="102">
        <f t="shared" si="70"/>
        <v>0</v>
      </c>
      <c r="CH87" s="124">
        <f t="shared" si="71"/>
        <v>1840000</v>
      </c>
      <c r="CI87" s="125">
        <f t="shared" si="72"/>
        <v>0.2</v>
      </c>
      <c r="CJ87" s="126" t="str">
        <f t="shared" si="73"/>
        <v>数据正确</v>
      </c>
    </row>
    <row r="88" s="60" customFormat="1" customHeight="1" spans="1:88">
      <c r="A88" s="60" t="s">
        <v>36</v>
      </c>
      <c r="B88" s="70" t="str">
        <f t="shared" si="61"/>
        <v>-</v>
      </c>
      <c r="C88" s="71" t="str">
        <f t="shared" si="62"/>
        <v>已付清</v>
      </c>
      <c r="D88" s="72">
        <f t="shared" si="63"/>
        <v>21517</v>
      </c>
      <c r="E88" s="72">
        <v>0</v>
      </c>
      <c r="F88" s="72">
        <v>0</v>
      </c>
      <c r="G88" s="72">
        <v>0</v>
      </c>
      <c r="H88" s="72">
        <v>0</v>
      </c>
      <c r="I88" s="72">
        <f t="shared" si="64"/>
        <v>0</v>
      </c>
      <c r="J88" s="168" t="s">
        <v>98</v>
      </c>
      <c r="K88" s="87"/>
      <c r="L88" s="88">
        <v>279</v>
      </c>
      <c r="M88" s="89" t="s">
        <v>1486</v>
      </c>
      <c r="N88" s="90" t="s">
        <v>31</v>
      </c>
      <c r="O88" s="90"/>
      <c r="P88" s="91">
        <v>43009</v>
      </c>
      <c r="Q88" s="154">
        <v>21517</v>
      </c>
      <c r="R88" s="89" t="s">
        <v>1487</v>
      </c>
      <c r="S88" s="89" t="s">
        <v>1400</v>
      </c>
      <c r="T88" s="89"/>
      <c r="U88" s="103" t="s">
        <v>343</v>
      </c>
      <c r="V88" s="105" t="s">
        <v>1314</v>
      </c>
      <c r="W88" s="102">
        <v>21517</v>
      </c>
      <c r="X88" s="102">
        <v>21517</v>
      </c>
      <c r="Y88" s="102">
        <v>21517</v>
      </c>
      <c r="Z88" s="107"/>
      <c r="AA88" s="102"/>
      <c r="AB88" s="102"/>
      <c r="AC88" s="102"/>
      <c r="AD88" s="107"/>
      <c r="AE88" s="102"/>
      <c r="AF88" s="102"/>
      <c r="AG88" s="129"/>
      <c r="AH88" s="107"/>
      <c r="AI88" s="102"/>
      <c r="AJ88" s="102"/>
      <c r="AK88" s="102"/>
      <c r="AL88" s="107"/>
      <c r="AM88" s="102"/>
      <c r="AN88" s="102"/>
      <c r="AO88" s="102"/>
      <c r="AP88" s="107"/>
      <c r="AQ88" s="102"/>
      <c r="AR88" s="102"/>
      <c r="AS88" s="102"/>
      <c r="AT88" s="107"/>
      <c r="AU88" s="102"/>
      <c r="AV88" s="102"/>
      <c r="AW88" s="102"/>
      <c r="AX88" s="107"/>
      <c r="AY88" s="102"/>
      <c r="AZ88" s="102"/>
      <c r="BA88" s="102"/>
      <c r="BB88" s="102"/>
      <c r="BC88" s="102"/>
      <c r="BD88" s="102"/>
      <c r="BE88" s="102"/>
      <c r="BF88" s="102"/>
      <c r="BG88" s="102"/>
      <c r="BH88" s="102"/>
      <c r="BI88" s="102"/>
      <c r="BJ88" s="102"/>
      <c r="BK88" s="102"/>
      <c r="BL88" s="102"/>
      <c r="BM88" s="102"/>
      <c r="BN88" s="102"/>
      <c r="BO88" s="102"/>
      <c r="BP88" s="102"/>
      <c r="BQ88" s="102"/>
      <c r="BR88" s="102"/>
      <c r="BS88" s="102"/>
      <c r="BT88" s="102"/>
      <c r="BU88" s="102"/>
      <c r="BV88" s="102"/>
      <c r="BW88" s="102"/>
      <c r="BX88" s="102"/>
      <c r="BY88" s="102"/>
      <c r="BZ88" s="102"/>
      <c r="CA88" s="102"/>
      <c r="CB88" s="102"/>
      <c r="CC88" s="122"/>
      <c r="CD88" s="123">
        <f t="shared" si="67"/>
        <v>21517</v>
      </c>
      <c r="CE88" s="102">
        <f t="shared" si="68"/>
        <v>21517</v>
      </c>
      <c r="CF88" s="102">
        <f t="shared" si="69"/>
        <v>21517</v>
      </c>
      <c r="CG88" s="102">
        <f t="shared" si="70"/>
        <v>0</v>
      </c>
      <c r="CH88" s="124">
        <f t="shared" si="71"/>
        <v>0</v>
      </c>
      <c r="CI88" s="125">
        <f t="shared" si="72"/>
        <v>1</v>
      </c>
      <c r="CJ88" s="126" t="str">
        <f t="shared" si="73"/>
        <v>数据正确</v>
      </c>
    </row>
    <row r="89" s="60" customFormat="1" customHeight="1" spans="2:88">
      <c r="B89" s="70" t="str">
        <f t="shared" si="61"/>
        <v>-</v>
      </c>
      <c r="C89" s="71" t="str">
        <f t="shared" si="62"/>
        <v>-</v>
      </c>
      <c r="D89" s="72">
        <f t="shared" si="63"/>
        <v>752000</v>
      </c>
      <c r="E89" s="72">
        <v>0</v>
      </c>
      <c r="F89" s="72">
        <v>0</v>
      </c>
      <c r="G89" s="72">
        <v>0</v>
      </c>
      <c r="H89" s="72">
        <v>0</v>
      </c>
      <c r="I89" s="72">
        <f t="shared" si="64"/>
        <v>0</v>
      </c>
      <c r="J89" s="168" t="s">
        <v>98</v>
      </c>
      <c r="K89" s="87"/>
      <c r="L89" s="88">
        <v>280</v>
      </c>
      <c r="M89" s="89" t="s">
        <v>1488</v>
      </c>
      <c r="N89" s="90" t="s">
        <v>31</v>
      </c>
      <c r="O89" s="90">
        <v>2017080075</v>
      </c>
      <c r="P89" s="91">
        <v>43003</v>
      </c>
      <c r="Q89" s="154">
        <v>3760000</v>
      </c>
      <c r="R89" s="89" t="s">
        <v>1489</v>
      </c>
      <c r="S89" s="89" t="s">
        <v>1490</v>
      </c>
      <c r="T89" s="89"/>
      <c r="U89" s="103" t="s">
        <v>343</v>
      </c>
      <c r="V89" s="105" t="s">
        <v>1491</v>
      </c>
      <c r="W89" s="102">
        <v>752000</v>
      </c>
      <c r="X89" s="102">
        <v>752000</v>
      </c>
      <c r="Y89" s="102">
        <v>752000</v>
      </c>
      <c r="Z89" s="107" t="s">
        <v>1492</v>
      </c>
      <c r="AA89" s="102">
        <v>3008000</v>
      </c>
      <c r="AB89" s="102"/>
      <c r="AC89" s="102"/>
      <c r="AD89" s="107"/>
      <c r="AE89" s="102"/>
      <c r="AF89" s="102"/>
      <c r="AG89" s="102"/>
      <c r="AH89" s="107"/>
      <c r="AI89" s="102"/>
      <c r="AJ89" s="102"/>
      <c r="AK89" s="102"/>
      <c r="AL89" s="107"/>
      <c r="AM89" s="102"/>
      <c r="AN89" s="102"/>
      <c r="AO89" s="102"/>
      <c r="AP89" s="107"/>
      <c r="AQ89" s="102"/>
      <c r="AR89" s="102"/>
      <c r="AS89" s="102"/>
      <c r="AT89" s="107"/>
      <c r="AU89" s="102"/>
      <c r="AV89" s="102"/>
      <c r="AW89" s="102"/>
      <c r="AX89" s="107"/>
      <c r="AY89" s="102"/>
      <c r="AZ89" s="102"/>
      <c r="BA89" s="102"/>
      <c r="BB89" s="102"/>
      <c r="BC89" s="102"/>
      <c r="BD89" s="102"/>
      <c r="BE89" s="102"/>
      <c r="BF89" s="102"/>
      <c r="BG89" s="102"/>
      <c r="BH89" s="102"/>
      <c r="BI89" s="102"/>
      <c r="BJ89" s="102"/>
      <c r="BK89" s="102"/>
      <c r="BL89" s="102"/>
      <c r="BM89" s="102"/>
      <c r="BN89" s="102"/>
      <c r="BO89" s="102"/>
      <c r="BP89" s="102"/>
      <c r="BQ89" s="102"/>
      <c r="BR89" s="102"/>
      <c r="BS89" s="102"/>
      <c r="BT89" s="102"/>
      <c r="BU89" s="102"/>
      <c r="BV89" s="102"/>
      <c r="BW89" s="102"/>
      <c r="BX89" s="102"/>
      <c r="BY89" s="102"/>
      <c r="BZ89" s="102"/>
      <c r="CA89" s="102"/>
      <c r="CB89" s="102"/>
      <c r="CC89" s="122"/>
      <c r="CD89" s="123">
        <f t="shared" si="67"/>
        <v>3760000</v>
      </c>
      <c r="CE89" s="102">
        <f t="shared" si="68"/>
        <v>752000</v>
      </c>
      <c r="CF89" s="102">
        <f t="shared" si="69"/>
        <v>752000</v>
      </c>
      <c r="CG89" s="102">
        <f t="shared" si="70"/>
        <v>0</v>
      </c>
      <c r="CH89" s="124">
        <f t="shared" si="71"/>
        <v>3008000</v>
      </c>
      <c r="CI89" s="125">
        <f t="shared" si="72"/>
        <v>0.2</v>
      </c>
      <c r="CJ89" s="126" t="str">
        <f t="shared" si="73"/>
        <v>数据正确</v>
      </c>
    </row>
    <row r="90" s="60" customFormat="1" customHeight="1" spans="2:88">
      <c r="B90" s="70" t="str">
        <f t="shared" si="61"/>
        <v>-</v>
      </c>
      <c r="C90" s="71" t="str">
        <f t="shared" si="62"/>
        <v>-</v>
      </c>
      <c r="D90" s="72">
        <f t="shared" si="63"/>
        <v>600300</v>
      </c>
      <c r="E90" s="72">
        <v>0</v>
      </c>
      <c r="F90" s="72">
        <v>0</v>
      </c>
      <c r="G90" s="72">
        <v>0</v>
      </c>
      <c r="H90" s="72">
        <v>0</v>
      </c>
      <c r="I90" s="72">
        <f t="shared" si="64"/>
        <v>0</v>
      </c>
      <c r="J90" s="168" t="s">
        <v>98</v>
      </c>
      <c r="K90" s="87"/>
      <c r="L90" s="88">
        <v>281</v>
      </c>
      <c r="M90" s="89" t="s">
        <v>1493</v>
      </c>
      <c r="N90" s="90" t="s">
        <v>31</v>
      </c>
      <c r="O90" s="90">
        <v>2017060076</v>
      </c>
      <c r="P90" s="91">
        <v>42990</v>
      </c>
      <c r="Q90" s="154">
        <v>667000</v>
      </c>
      <c r="R90" s="89" t="s">
        <v>1494</v>
      </c>
      <c r="S90" s="89" t="s">
        <v>1495</v>
      </c>
      <c r="T90" s="89" t="s">
        <v>1329</v>
      </c>
      <c r="U90" s="103" t="s">
        <v>1496</v>
      </c>
      <c r="V90" s="105" t="s">
        <v>1497</v>
      </c>
      <c r="W90" s="102">
        <v>66700</v>
      </c>
      <c r="X90" s="102">
        <v>66700</v>
      </c>
      <c r="Y90" s="102">
        <v>66700</v>
      </c>
      <c r="Z90" s="107" t="s">
        <v>1498</v>
      </c>
      <c r="AA90" s="102">
        <v>533600</v>
      </c>
      <c r="AB90" s="102">
        <v>533600</v>
      </c>
      <c r="AC90" s="102">
        <v>533600</v>
      </c>
      <c r="AD90" s="107" t="s">
        <v>1188</v>
      </c>
      <c r="AE90" s="102">
        <v>66700</v>
      </c>
      <c r="AF90" s="102"/>
      <c r="AG90" s="129"/>
      <c r="AH90" s="107"/>
      <c r="AI90" s="102"/>
      <c r="AJ90" s="102"/>
      <c r="AK90" s="102"/>
      <c r="AL90" s="107"/>
      <c r="AM90" s="102"/>
      <c r="AN90" s="102"/>
      <c r="AO90" s="102"/>
      <c r="AP90" s="107"/>
      <c r="AQ90" s="102"/>
      <c r="AR90" s="102"/>
      <c r="AS90" s="102"/>
      <c r="AT90" s="107"/>
      <c r="AU90" s="102"/>
      <c r="AV90" s="102"/>
      <c r="AW90" s="102"/>
      <c r="AX90" s="107"/>
      <c r="AY90" s="102"/>
      <c r="AZ90" s="102"/>
      <c r="BA90" s="102"/>
      <c r="BB90" s="102"/>
      <c r="BC90" s="102"/>
      <c r="BD90" s="102"/>
      <c r="BE90" s="102"/>
      <c r="BF90" s="102"/>
      <c r="BG90" s="102"/>
      <c r="BH90" s="102"/>
      <c r="BI90" s="102"/>
      <c r="BJ90" s="102"/>
      <c r="BK90" s="102"/>
      <c r="BL90" s="102"/>
      <c r="BM90" s="102"/>
      <c r="BN90" s="102"/>
      <c r="BO90" s="102"/>
      <c r="BP90" s="102"/>
      <c r="BQ90" s="102"/>
      <c r="BR90" s="102"/>
      <c r="BS90" s="102"/>
      <c r="BT90" s="102"/>
      <c r="BU90" s="102"/>
      <c r="BV90" s="102"/>
      <c r="BW90" s="102"/>
      <c r="BX90" s="102"/>
      <c r="BY90" s="102"/>
      <c r="BZ90" s="102"/>
      <c r="CA90" s="102"/>
      <c r="CB90" s="102"/>
      <c r="CC90" s="122"/>
      <c r="CD90" s="123">
        <f t="shared" si="67"/>
        <v>667000</v>
      </c>
      <c r="CE90" s="102">
        <f t="shared" si="68"/>
        <v>600300</v>
      </c>
      <c r="CF90" s="102">
        <f t="shared" si="69"/>
        <v>600300</v>
      </c>
      <c r="CG90" s="102">
        <f t="shared" si="70"/>
        <v>0</v>
      </c>
      <c r="CH90" s="124">
        <f t="shared" si="71"/>
        <v>66700</v>
      </c>
      <c r="CI90" s="125">
        <f t="shared" si="72"/>
        <v>0.9</v>
      </c>
      <c r="CJ90" s="126" t="str">
        <f t="shared" si="73"/>
        <v>数据正确</v>
      </c>
    </row>
    <row r="91" s="60" customFormat="1" customHeight="1" outlineLevel="1" spans="2:88">
      <c r="B91" s="70" t="str">
        <f t="shared" si="61"/>
        <v>-</v>
      </c>
      <c r="C91" s="71" t="str">
        <f t="shared" si="62"/>
        <v>-</v>
      </c>
      <c r="D91" s="72">
        <f t="shared" si="63"/>
        <v>0</v>
      </c>
      <c r="E91" s="72">
        <v>0</v>
      </c>
      <c r="F91" s="72">
        <v>0</v>
      </c>
      <c r="G91" s="72">
        <v>0</v>
      </c>
      <c r="H91" s="72">
        <v>0</v>
      </c>
      <c r="I91" s="72">
        <f t="shared" si="64"/>
        <v>0</v>
      </c>
      <c r="J91" s="168" t="s">
        <v>98</v>
      </c>
      <c r="K91" s="87"/>
      <c r="L91" s="88" t="s">
        <v>1499</v>
      </c>
      <c r="M91" s="89" t="s">
        <v>1500</v>
      </c>
      <c r="N91" s="90" t="s">
        <v>31</v>
      </c>
      <c r="O91" s="90">
        <v>2017090006</v>
      </c>
      <c r="P91" s="91">
        <v>43005</v>
      </c>
      <c r="Q91" s="154">
        <v>470000</v>
      </c>
      <c r="R91" s="89" t="s">
        <v>1501</v>
      </c>
      <c r="S91" s="89" t="s">
        <v>1502</v>
      </c>
      <c r="T91" s="89"/>
      <c r="U91" s="103" t="s">
        <v>938</v>
      </c>
      <c r="V91" s="105" t="s">
        <v>1272</v>
      </c>
      <c r="W91" s="102">
        <v>470000</v>
      </c>
      <c r="X91" s="102"/>
      <c r="Y91" s="102"/>
      <c r="Z91" s="107"/>
      <c r="AA91" s="102"/>
      <c r="AB91" s="102"/>
      <c r="AC91" s="102"/>
      <c r="AD91" s="107"/>
      <c r="AE91" s="102"/>
      <c r="AF91" s="102"/>
      <c r="AG91" s="102"/>
      <c r="AH91" s="107"/>
      <c r="AI91" s="102"/>
      <c r="AJ91" s="102"/>
      <c r="AK91" s="102"/>
      <c r="AL91" s="107"/>
      <c r="AM91" s="102"/>
      <c r="AN91" s="102"/>
      <c r="AO91" s="102"/>
      <c r="AP91" s="107"/>
      <c r="AQ91" s="102"/>
      <c r="AR91" s="102"/>
      <c r="AS91" s="102"/>
      <c r="AT91" s="107"/>
      <c r="AU91" s="102"/>
      <c r="AV91" s="102"/>
      <c r="AW91" s="102"/>
      <c r="AX91" s="107"/>
      <c r="AY91" s="102"/>
      <c r="AZ91" s="102"/>
      <c r="BA91" s="102"/>
      <c r="BB91" s="102"/>
      <c r="BC91" s="102"/>
      <c r="BD91" s="102"/>
      <c r="BE91" s="102"/>
      <c r="BF91" s="102"/>
      <c r="BG91" s="102"/>
      <c r="BH91" s="102"/>
      <c r="BI91" s="102"/>
      <c r="BJ91" s="102"/>
      <c r="BK91" s="102"/>
      <c r="BL91" s="102"/>
      <c r="BM91" s="102"/>
      <c r="BN91" s="102"/>
      <c r="BO91" s="102"/>
      <c r="BP91" s="102"/>
      <c r="BQ91" s="102"/>
      <c r="BR91" s="102"/>
      <c r="BS91" s="102"/>
      <c r="BT91" s="102"/>
      <c r="BU91" s="102"/>
      <c r="BV91" s="102"/>
      <c r="BW91" s="102"/>
      <c r="BX91" s="102"/>
      <c r="BY91" s="102"/>
      <c r="BZ91" s="102"/>
      <c r="CA91" s="102"/>
      <c r="CB91" s="102"/>
      <c r="CC91" s="122"/>
      <c r="CD91" s="123">
        <f t="shared" si="67"/>
        <v>470000</v>
      </c>
      <c r="CE91" s="102">
        <f t="shared" si="68"/>
        <v>0</v>
      </c>
      <c r="CF91" s="102">
        <f t="shared" si="69"/>
        <v>0</v>
      </c>
      <c r="CG91" s="102">
        <f t="shared" si="70"/>
        <v>0</v>
      </c>
      <c r="CH91" s="124">
        <f t="shared" si="71"/>
        <v>470000</v>
      </c>
      <c r="CI91" s="125">
        <f t="shared" si="72"/>
        <v>0</v>
      </c>
      <c r="CJ91" s="126" t="str">
        <f t="shared" si="73"/>
        <v>数据正确</v>
      </c>
    </row>
    <row r="92" s="60" customFormat="1" customHeight="1" outlineLevel="1" spans="2:88">
      <c r="B92" s="70" t="str">
        <f t="shared" si="61"/>
        <v>-</v>
      </c>
      <c r="C92" s="71" t="str">
        <f t="shared" si="62"/>
        <v>-</v>
      </c>
      <c r="D92" s="72">
        <f t="shared" si="63"/>
        <v>0</v>
      </c>
      <c r="E92" s="72">
        <v>0</v>
      </c>
      <c r="F92" s="72">
        <v>0</v>
      </c>
      <c r="G92" s="72">
        <v>0</v>
      </c>
      <c r="H92" s="72">
        <v>0</v>
      </c>
      <c r="I92" s="72">
        <f t="shared" si="64"/>
        <v>0</v>
      </c>
      <c r="J92" s="168" t="s">
        <v>98</v>
      </c>
      <c r="K92" s="87"/>
      <c r="L92" s="88" t="s">
        <v>1503</v>
      </c>
      <c r="M92" s="89" t="s">
        <v>1504</v>
      </c>
      <c r="N92" s="90" t="s">
        <v>31</v>
      </c>
      <c r="O92" s="90"/>
      <c r="P92" s="91">
        <v>43028</v>
      </c>
      <c r="Q92" s="154">
        <v>53000</v>
      </c>
      <c r="R92" s="89" t="s">
        <v>1505</v>
      </c>
      <c r="S92" s="89" t="s">
        <v>1502</v>
      </c>
      <c r="T92" s="89"/>
      <c r="U92" s="103" t="s">
        <v>938</v>
      </c>
      <c r="V92" s="105" t="s">
        <v>1506</v>
      </c>
      <c r="W92" s="102">
        <v>50350</v>
      </c>
      <c r="X92" s="102"/>
      <c r="Y92" s="102"/>
      <c r="Z92" s="107" t="s">
        <v>331</v>
      </c>
      <c r="AA92" s="102">
        <v>2650</v>
      </c>
      <c r="AB92" s="102"/>
      <c r="AC92" s="102"/>
      <c r="AD92" s="107"/>
      <c r="AE92" s="102"/>
      <c r="AF92" s="102"/>
      <c r="AG92" s="129"/>
      <c r="AH92" s="107"/>
      <c r="AI92" s="102"/>
      <c r="AJ92" s="102"/>
      <c r="AK92" s="102"/>
      <c r="AL92" s="107"/>
      <c r="AM92" s="102"/>
      <c r="AN92" s="102"/>
      <c r="AO92" s="102"/>
      <c r="AP92" s="107"/>
      <c r="AQ92" s="102"/>
      <c r="AR92" s="102"/>
      <c r="AS92" s="102"/>
      <c r="AT92" s="107"/>
      <c r="AU92" s="102"/>
      <c r="AV92" s="102"/>
      <c r="AW92" s="102"/>
      <c r="AX92" s="107"/>
      <c r="AY92" s="102"/>
      <c r="AZ92" s="102"/>
      <c r="BA92" s="102"/>
      <c r="BB92" s="102"/>
      <c r="BC92" s="102"/>
      <c r="BD92" s="102"/>
      <c r="BE92" s="102"/>
      <c r="BF92" s="102"/>
      <c r="BG92" s="102"/>
      <c r="BH92" s="102"/>
      <c r="BI92" s="102"/>
      <c r="BJ92" s="102"/>
      <c r="BK92" s="102"/>
      <c r="BL92" s="102"/>
      <c r="BM92" s="102"/>
      <c r="BN92" s="102"/>
      <c r="BO92" s="102"/>
      <c r="BP92" s="102"/>
      <c r="BQ92" s="102"/>
      <c r="BR92" s="102"/>
      <c r="BS92" s="102"/>
      <c r="BT92" s="102"/>
      <c r="BU92" s="102"/>
      <c r="BV92" s="102"/>
      <c r="BW92" s="102"/>
      <c r="BX92" s="102"/>
      <c r="BY92" s="102"/>
      <c r="BZ92" s="102"/>
      <c r="CA92" s="102"/>
      <c r="CB92" s="102"/>
      <c r="CC92" s="122"/>
      <c r="CD92" s="123">
        <f t="shared" si="67"/>
        <v>53000</v>
      </c>
      <c r="CE92" s="102">
        <f t="shared" si="68"/>
        <v>0</v>
      </c>
      <c r="CF92" s="102">
        <f t="shared" si="69"/>
        <v>0</v>
      </c>
      <c r="CG92" s="102">
        <f t="shared" si="70"/>
        <v>0</v>
      </c>
      <c r="CH92" s="124">
        <f t="shared" si="71"/>
        <v>53000</v>
      </c>
      <c r="CI92" s="125">
        <f t="shared" si="72"/>
        <v>0</v>
      </c>
      <c r="CJ92" s="126" t="str">
        <f t="shared" si="73"/>
        <v>数据正确</v>
      </c>
    </row>
    <row r="93" s="60" customFormat="1" customHeight="1" spans="2:88">
      <c r="B93" s="70" t="str">
        <f t="shared" si="61"/>
        <v>-</v>
      </c>
      <c r="C93" s="71" t="str">
        <f t="shared" si="62"/>
        <v>-</v>
      </c>
      <c r="D93" s="72">
        <f t="shared" si="63"/>
        <v>0</v>
      </c>
      <c r="E93" s="72">
        <f>SUM(E91:E92)</f>
        <v>0</v>
      </c>
      <c r="F93" s="72">
        <f>SUM(F91:F92)</f>
        <v>0</v>
      </c>
      <c r="G93" s="72">
        <f>SUM(G91:G92)</f>
        <v>0</v>
      </c>
      <c r="H93" s="72">
        <f>SUM(H91:H92)</f>
        <v>0</v>
      </c>
      <c r="I93" s="72">
        <f t="shared" si="64"/>
        <v>0</v>
      </c>
      <c r="J93" s="171" t="s">
        <v>98</v>
      </c>
      <c r="K93" s="87"/>
      <c r="L93" s="143">
        <v>292</v>
      </c>
      <c r="M93" s="144" t="s">
        <v>1500</v>
      </c>
      <c r="N93" s="145" t="s">
        <v>31</v>
      </c>
      <c r="O93" s="145">
        <v>2017090006</v>
      </c>
      <c r="P93" s="146">
        <v>43005</v>
      </c>
      <c r="Q93" s="155">
        <f>SUM(Q91:Q92)</f>
        <v>523000</v>
      </c>
      <c r="R93" s="144" t="s">
        <v>1501</v>
      </c>
      <c r="S93" s="144" t="s">
        <v>1502</v>
      </c>
      <c r="T93" s="144"/>
      <c r="U93" s="156" t="s">
        <v>938</v>
      </c>
      <c r="V93" s="157" t="s">
        <v>1272</v>
      </c>
      <c r="W93" s="102">
        <f>SUM(W91:W92)</f>
        <v>520350</v>
      </c>
      <c r="X93" s="102">
        <f t="shared" ref="X93:BC93" si="74">SUM(X91:X92)</f>
        <v>0</v>
      </c>
      <c r="Y93" s="102">
        <f t="shared" si="74"/>
        <v>0</v>
      </c>
      <c r="Z93" s="102">
        <f t="shared" si="74"/>
        <v>0</v>
      </c>
      <c r="AA93" s="102">
        <f t="shared" si="74"/>
        <v>2650</v>
      </c>
      <c r="AB93" s="102">
        <f t="shared" si="74"/>
        <v>0</v>
      </c>
      <c r="AC93" s="102">
        <f t="shared" si="74"/>
        <v>0</v>
      </c>
      <c r="AD93" s="102">
        <f t="shared" si="74"/>
        <v>0</v>
      </c>
      <c r="AE93" s="102">
        <f t="shared" si="74"/>
        <v>0</v>
      </c>
      <c r="AF93" s="102">
        <f t="shared" si="74"/>
        <v>0</v>
      </c>
      <c r="AG93" s="102">
        <f t="shared" si="74"/>
        <v>0</v>
      </c>
      <c r="AH93" s="102">
        <f t="shared" si="74"/>
        <v>0</v>
      </c>
      <c r="AI93" s="102">
        <f t="shared" si="74"/>
        <v>0</v>
      </c>
      <c r="AJ93" s="102">
        <f t="shared" si="74"/>
        <v>0</v>
      </c>
      <c r="AK93" s="102">
        <f t="shared" si="74"/>
        <v>0</v>
      </c>
      <c r="AL93" s="102">
        <f t="shared" si="74"/>
        <v>0</v>
      </c>
      <c r="AM93" s="102">
        <f t="shared" si="74"/>
        <v>0</v>
      </c>
      <c r="AN93" s="102">
        <f t="shared" si="74"/>
        <v>0</v>
      </c>
      <c r="AO93" s="102">
        <f t="shared" si="74"/>
        <v>0</v>
      </c>
      <c r="AP93" s="102">
        <f t="shared" si="74"/>
        <v>0</v>
      </c>
      <c r="AQ93" s="102">
        <f t="shared" si="74"/>
        <v>0</v>
      </c>
      <c r="AR93" s="102">
        <f t="shared" si="74"/>
        <v>0</v>
      </c>
      <c r="AS93" s="102">
        <f t="shared" si="74"/>
        <v>0</v>
      </c>
      <c r="AT93" s="102">
        <f t="shared" si="74"/>
        <v>0</v>
      </c>
      <c r="AU93" s="102">
        <f t="shared" si="74"/>
        <v>0</v>
      </c>
      <c r="AV93" s="102">
        <f t="shared" si="74"/>
        <v>0</v>
      </c>
      <c r="AW93" s="102">
        <f t="shared" si="74"/>
        <v>0</v>
      </c>
      <c r="AX93" s="102">
        <f t="shared" si="74"/>
        <v>0</v>
      </c>
      <c r="AY93" s="102">
        <f t="shared" si="74"/>
        <v>0</v>
      </c>
      <c r="AZ93" s="102">
        <f t="shared" si="74"/>
        <v>0</v>
      </c>
      <c r="BA93" s="102">
        <f t="shared" si="74"/>
        <v>0</v>
      </c>
      <c r="BB93" s="102">
        <f t="shared" si="74"/>
        <v>0</v>
      </c>
      <c r="BC93" s="102">
        <f t="shared" si="74"/>
        <v>0</v>
      </c>
      <c r="BD93" s="102">
        <f t="shared" ref="BD93:CC93" si="75">SUM(BD91:BD92)</f>
        <v>0</v>
      </c>
      <c r="BE93" s="102">
        <f t="shared" si="75"/>
        <v>0</v>
      </c>
      <c r="BF93" s="102">
        <f t="shared" si="75"/>
        <v>0</v>
      </c>
      <c r="BG93" s="102">
        <f t="shared" si="75"/>
        <v>0</v>
      </c>
      <c r="BH93" s="102">
        <f t="shared" si="75"/>
        <v>0</v>
      </c>
      <c r="BI93" s="102">
        <f t="shared" si="75"/>
        <v>0</v>
      </c>
      <c r="BJ93" s="102">
        <f t="shared" si="75"/>
        <v>0</v>
      </c>
      <c r="BK93" s="102">
        <f t="shared" si="75"/>
        <v>0</v>
      </c>
      <c r="BL93" s="102">
        <f t="shared" si="75"/>
        <v>0</v>
      </c>
      <c r="BM93" s="102">
        <f t="shared" si="75"/>
        <v>0</v>
      </c>
      <c r="BN93" s="102">
        <f t="shared" si="75"/>
        <v>0</v>
      </c>
      <c r="BO93" s="102">
        <f t="shared" si="75"/>
        <v>0</v>
      </c>
      <c r="BP93" s="102">
        <f t="shared" si="75"/>
        <v>0</v>
      </c>
      <c r="BQ93" s="102">
        <f t="shared" si="75"/>
        <v>0</v>
      </c>
      <c r="BR93" s="102">
        <f t="shared" si="75"/>
        <v>0</v>
      </c>
      <c r="BS93" s="102">
        <f t="shared" si="75"/>
        <v>0</v>
      </c>
      <c r="BT93" s="102">
        <f t="shared" si="75"/>
        <v>0</v>
      </c>
      <c r="BU93" s="102">
        <f t="shared" si="75"/>
        <v>0</v>
      </c>
      <c r="BV93" s="102">
        <f t="shared" si="75"/>
        <v>0</v>
      </c>
      <c r="BW93" s="102">
        <f t="shared" si="75"/>
        <v>0</v>
      </c>
      <c r="BX93" s="102">
        <f t="shared" si="75"/>
        <v>0</v>
      </c>
      <c r="BY93" s="102">
        <f t="shared" si="75"/>
        <v>0</v>
      </c>
      <c r="BZ93" s="102">
        <f t="shared" si="75"/>
        <v>0</v>
      </c>
      <c r="CA93" s="102">
        <f t="shared" si="75"/>
        <v>0</v>
      </c>
      <c r="CB93" s="102">
        <f t="shared" si="75"/>
        <v>0</v>
      </c>
      <c r="CC93" s="102">
        <f t="shared" si="75"/>
        <v>0</v>
      </c>
      <c r="CD93" s="123">
        <f t="shared" si="67"/>
        <v>523000</v>
      </c>
      <c r="CE93" s="102">
        <f t="shared" si="68"/>
        <v>0</v>
      </c>
      <c r="CF93" s="102">
        <f t="shared" si="69"/>
        <v>0</v>
      </c>
      <c r="CG93" s="102">
        <f t="shared" si="70"/>
        <v>0</v>
      </c>
      <c r="CH93" s="124">
        <f t="shared" si="71"/>
        <v>523000</v>
      </c>
      <c r="CI93" s="125">
        <f t="shared" si="72"/>
        <v>0</v>
      </c>
      <c r="CJ93" s="126" t="str">
        <f t="shared" si="73"/>
        <v>数据正确</v>
      </c>
    </row>
    <row r="94" s="60" customFormat="1" customHeight="1" spans="2:88">
      <c r="B94" s="70" t="str">
        <f t="shared" si="61"/>
        <v>-</v>
      </c>
      <c r="C94" s="71" t="str">
        <f t="shared" si="62"/>
        <v>-</v>
      </c>
      <c r="D94" s="72">
        <f t="shared" si="63"/>
        <v>834600</v>
      </c>
      <c r="E94" s="72">
        <v>0</v>
      </c>
      <c r="F94" s="72">
        <v>0</v>
      </c>
      <c r="G94" s="72">
        <v>0</v>
      </c>
      <c r="H94" s="72">
        <v>0</v>
      </c>
      <c r="I94" s="72">
        <f t="shared" si="64"/>
        <v>0</v>
      </c>
      <c r="J94" s="168" t="s">
        <v>98</v>
      </c>
      <c r="K94" s="87"/>
      <c r="L94" s="88">
        <v>293</v>
      </c>
      <c r="M94" s="89" t="s">
        <v>1507</v>
      </c>
      <c r="N94" s="90" t="s">
        <v>31</v>
      </c>
      <c r="O94" s="90">
        <v>2017080067</v>
      </c>
      <c r="P94" s="91">
        <v>42992</v>
      </c>
      <c r="Q94" s="154">
        <v>4173000</v>
      </c>
      <c r="R94" s="89" t="s">
        <v>1508</v>
      </c>
      <c r="S94" s="89" t="s">
        <v>1476</v>
      </c>
      <c r="T94" s="89"/>
      <c r="U94" s="103" t="s">
        <v>343</v>
      </c>
      <c r="V94" s="105" t="s">
        <v>1335</v>
      </c>
      <c r="W94" s="102">
        <v>834600</v>
      </c>
      <c r="X94" s="102">
        <v>834600</v>
      </c>
      <c r="Y94" s="102">
        <v>834600</v>
      </c>
      <c r="Z94" s="107" t="s">
        <v>1472</v>
      </c>
      <c r="AA94" s="102">
        <v>1669200</v>
      </c>
      <c r="AB94" s="102"/>
      <c r="AC94" s="102"/>
      <c r="AD94" s="107" t="s">
        <v>1473</v>
      </c>
      <c r="AE94" s="102">
        <v>1251900</v>
      </c>
      <c r="AF94" s="102"/>
      <c r="AG94" s="129"/>
      <c r="AH94" s="107" t="s">
        <v>1477</v>
      </c>
      <c r="AI94" s="102">
        <v>417300</v>
      </c>
      <c r="AJ94" s="102"/>
      <c r="AK94" s="102"/>
      <c r="AL94" s="107"/>
      <c r="AM94" s="102"/>
      <c r="AN94" s="102"/>
      <c r="AO94" s="102"/>
      <c r="AP94" s="107"/>
      <c r="AQ94" s="102"/>
      <c r="AR94" s="102"/>
      <c r="AS94" s="102"/>
      <c r="AT94" s="107"/>
      <c r="AU94" s="102"/>
      <c r="AV94" s="102"/>
      <c r="AW94" s="102"/>
      <c r="AX94" s="107"/>
      <c r="AY94" s="102"/>
      <c r="AZ94" s="102"/>
      <c r="BA94" s="102"/>
      <c r="BB94" s="102"/>
      <c r="BC94" s="102"/>
      <c r="BD94" s="102"/>
      <c r="BE94" s="102"/>
      <c r="BF94" s="102"/>
      <c r="BG94" s="102"/>
      <c r="BH94" s="102"/>
      <c r="BI94" s="102"/>
      <c r="BJ94" s="102"/>
      <c r="BK94" s="102"/>
      <c r="BL94" s="102"/>
      <c r="BM94" s="102"/>
      <c r="BN94" s="102"/>
      <c r="BO94" s="102"/>
      <c r="BP94" s="102"/>
      <c r="BQ94" s="102"/>
      <c r="BR94" s="102"/>
      <c r="BS94" s="102"/>
      <c r="BT94" s="102"/>
      <c r="BU94" s="102"/>
      <c r="BV94" s="102"/>
      <c r="BW94" s="102"/>
      <c r="BX94" s="102"/>
      <c r="BY94" s="102"/>
      <c r="BZ94" s="102"/>
      <c r="CA94" s="102"/>
      <c r="CB94" s="102"/>
      <c r="CC94" s="122"/>
      <c r="CD94" s="123">
        <f t="shared" si="67"/>
        <v>4173000</v>
      </c>
      <c r="CE94" s="102">
        <f t="shared" si="68"/>
        <v>834600</v>
      </c>
      <c r="CF94" s="102">
        <f t="shared" si="69"/>
        <v>834600</v>
      </c>
      <c r="CG94" s="102">
        <f t="shared" si="70"/>
        <v>0</v>
      </c>
      <c r="CH94" s="124">
        <f t="shared" si="71"/>
        <v>3338400</v>
      </c>
      <c r="CI94" s="125">
        <f t="shared" si="72"/>
        <v>0.2</v>
      </c>
      <c r="CJ94" s="126" t="str">
        <f t="shared" si="73"/>
        <v>数据正确</v>
      </c>
    </row>
    <row r="95" s="60" customFormat="1" customHeight="1" spans="2:88">
      <c r="B95" s="70" t="str">
        <f t="shared" si="61"/>
        <v>-</v>
      </c>
      <c r="C95" s="71" t="str">
        <f t="shared" si="62"/>
        <v>-</v>
      </c>
      <c r="D95" s="72">
        <f t="shared" si="63"/>
        <v>0</v>
      </c>
      <c r="E95" s="72">
        <v>0</v>
      </c>
      <c r="F95" s="72">
        <v>0</v>
      </c>
      <c r="G95" s="72">
        <v>0</v>
      </c>
      <c r="H95" s="72">
        <v>0</v>
      </c>
      <c r="I95" s="72">
        <f t="shared" si="64"/>
        <v>0</v>
      </c>
      <c r="J95" s="168" t="s">
        <v>98</v>
      </c>
      <c r="K95" s="87"/>
      <c r="L95" s="88">
        <v>294</v>
      </c>
      <c r="M95" s="89" t="s">
        <v>1509</v>
      </c>
      <c r="N95" s="90" t="s">
        <v>31</v>
      </c>
      <c r="O95" s="90"/>
      <c r="P95" s="91">
        <v>43004</v>
      </c>
      <c r="Q95" s="154">
        <v>32000</v>
      </c>
      <c r="R95" s="89" t="s">
        <v>1510</v>
      </c>
      <c r="S95" s="89" t="s">
        <v>1511</v>
      </c>
      <c r="T95" s="89"/>
      <c r="U95" s="103" t="s">
        <v>625</v>
      </c>
      <c r="V95" s="105" t="s">
        <v>1512</v>
      </c>
      <c r="W95" s="102">
        <v>32000</v>
      </c>
      <c r="X95" s="102"/>
      <c r="Y95" s="102"/>
      <c r="Z95" s="107"/>
      <c r="AA95" s="102"/>
      <c r="AB95" s="102"/>
      <c r="AC95" s="102"/>
      <c r="AD95" s="107"/>
      <c r="AE95" s="102"/>
      <c r="AF95" s="102"/>
      <c r="AG95" s="102"/>
      <c r="AH95" s="107"/>
      <c r="AI95" s="102"/>
      <c r="AJ95" s="102"/>
      <c r="AK95" s="102"/>
      <c r="AL95" s="107"/>
      <c r="AM95" s="102"/>
      <c r="AN95" s="102"/>
      <c r="AO95" s="102"/>
      <c r="AP95" s="107"/>
      <c r="AQ95" s="102"/>
      <c r="AR95" s="102"/>
      <c r="AS95" s="102"/>
      <c r="AT95" s="107"/>
      <c r="AU95" s="102"/>
      <c r="AV95" s="102"/>
      <c r="AW95" s="102"/>
      <c r="AX95" s="107"/>
      <c r="AY95" s="102"/>
      <c r="AZ95" s="102"/>
      <c r="BA95" s="102"/>
      <c r="BB95" s="102"/>
      <c r="BC95" s="102"/>
      <c r="BD95" s="102"/>
      <c r="BE95" s="102"/>
      <c r="BF95" s="102"/>
      <c r="BG95" s="102"/>
      <c r="BH95" s="102"/>
      <c r="BI95" s="102"/>
      <c r="BJ95" s="102"/>
      <c r="BK95" s="102"/>
      <c r="BL95" s="102"/>
      <c r="BM95" s="102"/>
      <c r="BN95" s="102"/>
      <c r="BO95" s="102"/>
      <c r="BP95" s="102"/>
      <c r="BQ95" s="102"/>
      <c r="BR95" s="102"/>
      <c r="BS95" s="102"/>
      <c r="BT95" s="102"/>
      <c r="BU95" s="102"/>
      <c r="BV95" s="102"/>
      <c r="BW95" s="102"/>
      <c r="BX95" s="102"/>
      <c r="BY95" s="102"/>
      <c r="BZ95" s="102"/>
      <c r="CA95" s="102"/>
      <c r="CB95" s="102"/>
      <c r="CC95" s="122"/>
      <c r="CD95" s="123">
        <f t="shared" si="67"/>
        <v>32000</v>
      </c>
      <c r="CE95" s="102">
        <f t="shared" si="68"/>
        <v>0</v>
      </c>
      <c r="CF95" s="102">
        <f t="shared" si="69"/>
        <v>0</v>
      </c>
      <c r="CG95" s="102">
        <f t="shared" si="70"/>
        <v>0</v>
      </c>
      <c r="CH95" s="124">
        <f t="shared" si="71"/>
        <v>32000</v>
      </c>
      <c r="CI95" s="125">
        <f t="shared" si="72"/>
        <v>0</v>
      </c>
      <c r="CJ95" s="126" t="str">
        <f t="shared" si="73"/>
        <v>数据正确</v>
      </c>
    </row>
    <row r="96" s="60" customFormat="1" customHeight="1" spans="2:88">
      <c r="B96" s="70" t="str">
        <f t="shared" si="61"/>
        <v>申请中</v>
      </c>
      <c r="C96" s="71" t="str">
        <f t="shared" si="62"/>
        <v>-</v>
      </c>
      <c r="D96" s="72">
        <f t="shared" si="63"/>
        <v>0</v>
      </c>
      <c r="E96" s="72">
        <v>0</v>
      </c>
      <c r="F96" s="72">
        <v>0</v>
      </c>
      <c r="G96" s="72">
        <v>0</v>
      </c>
      <c r="H96" s="72">
        <v>0</v>
      </c>
      <c r="I96" s="72">
        <f t="shared" si="64"/>
        <v>80000</v>
      </c>
      <c r="J96" s="168" t="s">
        <v>98</v>
      </c>
      <c r="K96" s="87"/>
      <c r="L96" s="88">
        <v>297</v>
      </c>
      <c r="M96" s="89" t="s">
        <v>1513</v>
      </c>
      <c r="N96" s="90" t="s">
        <v>31</v>
      </c>
      <c r="O96" s="90">
        <v>2017080057</v>
      </c>
      <c r="P96" s="91">
        <v>43024</v>
      </c>
      <c r="Q96" s="154">
        <v>400000</v>
      </c>
      <c r="R96" s="89" t="s">
        <v>1514</v>
      </c>
      <c r="S96" s="89" t="s">
        <v>1515</v>
      </c>
      <c r="T96" s="89" t="s">
        <v>1516</v>
      </c>
      <c r="U96" s="103" t="s">
        <v>354</v>
      </c>
      <c r="V96" s="105" t="s">
        <v>1517</v>
      </c>
      <c r="W96" s="102">
        <v>80000</v>
      </c>
      <c r="X96" s="102">
        <v>80000</v>
      </c>
      <c r="Y96" s="102"/>
      <c r="Z96" s="107" t="s">
        <v>1472</v>
      </c>
      <c r="AA96" s="102">
        <v>160000</v>
      </c>
      <c r="AB96" s="102"/>
      <c r="AC96" s="102"/>
      <c r="AD96" s="107" t="s">
        <v>1473</v>
      </c>
      <c r="AE96" s="102">
        <v>120000</v>
      </c>
      <c r="AF96" s="102"/>
      <c r="AG96" s="129"/>
      <c r="AH96" s="107" t="s">
        <v>1477</v>
      </c>
      <c r="AI96" s="102">
        <v>40000</v>
      </c>
      <c r="AJ96" s="102"/>
      <c r="AK96" s="102"/>
      <c r="AL96" s="107"/>
      <c r="AM96" s="102"/>
      <c r="AN96" s="102"/>
      <c r="AO96" s="102"/>
      <c r="AP96" s="107"/>
      <c r="AQ96" s="102"/>
      <c r="AR96" s="102"/>
      <c r="AS96" s="102"/>
      <c r="AT96" s="107"/>
      <c r="AU96" s="102"/>
      <c r="AV96" s="102"/>
      <c r="AW96" s="102"/>
      <c r="AX96" s="107"/>
      <c r="AY96" s="102"/>
      <c r="AZ96" s="102"/>
      <c r="BA96" s="102"/>
      <c r="BB96" s="102"/>
      <c r="BC96" s="102"/>
      <c r="BD96" s="102"/>
      <c r="BE96" s="102"/>
      <c r="BF96" s="102"/>
      <c r="BG96" s="102"/>
      <c r="BH96" s="102"/>
      <c r="BI96" s="102"/>
      <c r="BJ96" s="102"/>
      <c r="BK96" s="102"/>
      <c r="BL96" s="102"/>
      <c r="BM96" s="102"/>
      <c r="BN96" s="102"/>
      <c r="BO96" s="102"/>
      <c r="BP96" s="102"/>
      <c r="BQ96" s="102"/>
      <c r="BR96" s="102"/>
      <c r="BS96" s="102"/>
      <c r="BT96" s="102"/>
      <c r="BU96" s="102"/>
      <c r="BV96" s="102"/>
      <c r="BW96" s="102"/>
      <c r="BX96" s="102"/>
      <c r="BY96" s="102"/>
      <c r="BZ96" s="102"/>
      <c r="CA96" s="102"/>
      <c r="CB96" s="102"/>
      <c r="CC96" s="122"/>
      <c r="CD96" s="123">
        <f t="shared" si="67"/>
        <v>400000</v>
      </c>
      <c r="CE96" s="102">
        <f t="shared" si="68"/>
        <v>80000</v>
      </c>
      <c r="CF96" s="102">
        <f t="shared" si="69"/>
        <v>0</v>
      </c>
      <c r="CG96" s="102">
        <f t="shared" si="70"/>
        <v>0</v>
      </c>
      <c r="CH96" s="124">
        <f t="shared" si="71"/>
        <v>400000</v>
      </c>
      <c r="CI96" s="125">
        <f t="shared" si="72"/>
        <v>0</v>
      </c>
      <c r="CJ96" s="126" t="str">
        <f t="shared" si="73"/>
        <v>数据正确</v>
      </c>
    </row>
    <row r="97" s="60" customFormat="1" customHeight="1" spans="2:88">
      <c r="B97" s="70" t="str">
        <f t="shared" si="61"/>
        <v>申请中</v>
      </c>
      <c r="C97" s="71" t="str">
        <f t="shared" si="62"/>
        <v>-</v>
      </c>
      <c r="D97" s="72">
        <f t="shared" si="63"/>
        <v>0</v>
      </c>
      <c r="E97" s="72">
        <v>0</v>
      </c>
      <c r="F97" s="72">
        <v>0</v>
      </c>
      <c r="G97" s="72">
        <v>0</v>
      </c>
      <c r="H97" s="72">
        <v>0</v>
      </c>
      <c r="I97" s="72">
        <f t="shared" si="64"/>
        <v>346000</v>
      </c>
      <c r="J97" s="168" t="s">
        <v>98</v>
      </c>
      <c r="K97" s="87"/>
      <c r="L97" s="88">
        <v>308</v>
      </c>
      <c r="M97" s="89" t="s">
        <v>1518</v>
      </c>
      <c r="N97" s="90" t="s">
        <v>31</v>
      </c>
      <c r="O97" s="90"/>
      <c r="P97" s="91">
        <v>43038</v>
      </c>
      <c r="Q97" s="154">
        <v>1730000</v>
      </c>
      <c r="R97" s="89" t="s">
        <v>1482</v>
      </c>
      <c r="S97" s="89" t="s">
        <v>1519</v>
      </c>
      <c r="T97" s="89" t="s">
        <v>1520</v>
      </c>
      <c r="U97" s="103" t="s">
        <v>343</v>
      </c>
      <c r="V97" s="105" t="s">
        <v>1521</v>
      </c>
      <c r="W97" s="102">
        <v>346000</v>
      </c>
      <c r="X97" s="102">
        <v>346000</v>
      </c>
      <c r="Y97" s="102"/>
      <c r="Z97" s="107" t="s">
        <v>1472</v>
      </c>
      <c r="AA97" s="102">
        <v>692000</v>
      </c>
      <c r="AB97" s="102"/>
      <c r="AC97" s="102"/>
      <c r="AD97" s="107" t="s">
        <v>1473</v>
      </c>
      <c r="AE97" s="102">
        <v>519000</v>
      </c>
      <c r="AF97" s="102"/>
      <c r="AG97" s="102"/>
      <c r="AH97" s="107" t="s">
        <v>1477</v>
      </c>
      <c r="AI97" s="102">
        <v>173000</v>
      </c>
      <c r="AJ97" s="102"/>
      <c r="AK97" s="102"/>
      <c r="AL97" s="107"/>
      <c r="AM97" s="102"/>
      <c r="AN97" s="102"/>
      <c r="AO97" s="102"/>
      <c r="AP97" s="107"/>
      <c r="AQ97" s="102"/>
      <c r="AR97" s="102"/>
      <c r="AS97" s="102"/>
      <c r="AT97" s="107"/>
      <c r="AU97" s="102"/>
      <c r="AV97" s="102"/>
      <c r="AW97" s="102"/>
      <c r="AX97" s="107"/>
      <c r="AY97" s="102"/>
      <c r="AZ97" s="102"/>
      <c r="BA97" s="102"/>
      <c r="BB97" s="102"/>
      <c r="BC97" s="102"/>
      <c r="BD97" s="102"/>
      <c r="BE97" s="102"/>
      <c r="BF97" s="102"/>
      <c r="BG97" s="102"/>
      <c r="BH97" s="102"/>
      <c r="BI97" s="102"/>
      <c r="BJ97" s="102"/>
      <c r="BK97" s="102"/>
      <c r="BL97" s="102"/>
      <c r="BM97" s="102"/>
      <c r="BN97" s="102"/>
      <c r="BO97" s="102"/>
      <c r="BP97" s="102"/>
      <c r="BQ97" s="102"/>
      <c r="BR97" s="102"/>
      <c r="BS97" s="102"/>
      <c r="BT97" s="102"/>
      <c r="BU97" s="102"/>
      <c r="BV97" s="102"/>
      <c r="BW97" s="102"/>
      <c r="BX97" s="102"/>
      <c r="BY97" s="102"/>
      <c r="BZ97" s="102"/>
      <c r="CA97" s="102"/>
      <c r="CB97" s="102"/>
      <c r="CC97" s="122"/>
      <c r="CD97" s="123">
        <f t="shared" si="67"/>
        <v>1730000</v>
      </c>
      <c r="CE97" s="102">
        <f t="shared" si="68"/>
        <v>346000</v>
      </c>
      <c r="CF97" s="102">
        <f t="shared" si="69"/>
        <v>0</v>
      </c>
      <c r="CG97" s="102">
        <f t="shared" si="70"/>
        <v>0</v>
      </c>
      <c r="CH97" s="124">
        <f t="shared" si="71"/>
        <v>1730000</v>
      </c>
      <c r="CI97" s="125">
        <f t="shared" si="72"/>
        <v>0</v>
      </c>
      <c r="CJ97" s="126" t="str">
        <f t="shared" si="73"/>
        <v>数据正确</v>
      </c>
    </row>
    <row r="98" s="60" customFormat="1" customHeight="1" spans="2:88">
      <c r="B98" s="70" t="str">
        <f t="shared" si="61"/>
        <v>申请中</v>
      </c>
      <c r="C98" s="71" t="str">
        <f t="shared" si="62"/>
        <v>-</v>
      </c>
      <c r="D98" s="72">
        <f t="shared" si="63"/>
        <v>0</v>
      </c>
      <c r="E98" s="72">
        <v>0</v>
      </c>
      <c r="F98" s="72">
        <v>0</v>
      </c>
      <c r="G98" s="72">
        <v>0</v>
      </c>
      <c r="H98" s="72">
        <v>0</v>
      </c>
      <c r="I98" s="72">
        <f t="shared" si="64"/>
        <v>1165000</v>
      </c>
      <c r="J98" s="168" t="s">
        <v>98</v>
      </c>
      <c r="K98" s="87"/>
      <c r="L98" s="88">
        <v>309</v>
      </c>
      <c r="M98" s="89" t="s">
        <v>1522</v>
      </c>
      <c r="N98" s="90" t="s">
        <v>31</v>
      </c>
      <c r="O98" s="90"/>
      <c r="P98" s="91">
        <v>43027</v>
      </c>
      <c r="Q98" s="154">
        <v>1165000</v>
      </c>
      <c r="R98" s="89" t="s">
        <v>1523</v>
      </c>
      <c r="S98" s="89" t="s">
        <v>1524</v>
      </c>
      <c r="T98" s="89"/>
      <c r="U98" s="103" t="s">
        <v>650</v>
      </c>
      <c r="V98" s="105" t="s">
        <v>1525</v>
      </c>
      <c r="W98" s="102">
        <v>1165000</v>
      </c>
      <c r="X98" s="102">
        <v>1165000</v>
      </c>
      <c r="Y98" s="102"/>
      <c r="Z98" s="107"/>
      <c r="AA98" s="102"/>
      <c r="AB98" s="102"/>
      <c r="AC98" s="102"/>
      <c r="AD98" s="107"/>
      <c r="AE98" s="102"/>
      <c r="AF98" s="102"/>
      <c r="AG98" s="129"/>
      <c r="AH98" s="107"/>
      <c r="AI98" s="102"/>
      <c r="AJ98" s="102"/>
      <c r="AK98" s="102"/>
      <c r="AL98" s="107"/>
      <c r="AM98" s="102"/>
      <c r="AN98" s="102"/>
      <c r="AO98" s="102"/>
      <c r="AP98" s="107"/>
      <c r="AQ98" s="102"/>
      <c r="AR98" s="102"/>
      <c r="AS98" s="102"/>
      <c r="AT98" s="107"/>
      <c r="AU98" s="102"/>
      <c r="AV98" s="102"/>
      <c r="AW98" s="102"/>
      <c r="AX98" s="107"/>
      <c r="AY98" s="102"/>
      <c r="AZ98" s="102"/>
      <c r="BA98" s="102"/>
      <c r="BB98" s="102"/>
      <c r="BC98" s="102"/>
      <c r="BD98" s="102"/>
      <c r="BE98" s="102"/>
      <c r="BF98" s="102"/>
      <c r="BG98" s="102"/>
      <c r="BH98" s="102"/>
      <c r="BI98" s="102"/>
      <c r="BJ98" s="102"/>
      <c r="BK98" s="102"/>
      <c r="BL98" s="102"/>
      <c r="BM98" s="102"/>
      <c r="BN98" s="102"/>
      <c r="BO98" s="102"/>
      <c r="BP98" s="102"/>
      <c r="BQ98" s="102"/>
      <c r="BR98" s="102"/>
      <c r="BS98" s="102"/>
      <c r="BT98" s="102"/>
      <c r="BU98" s="102"/>
      <c r="BV98" s="102"/>
      <c r="BW98" s="102"/>
      <c r="BX98" s="102"/>
      <c r="BY98" s="102"/>
      <c r="BZ98" s="102"/>
      <c r="CA98" s="102"/>
      <c r="CB98" s="102"/>
      <c r="CC98" s="122"/>
      <c r="CD98" s="123">
        <f t="shared" si="67"/>
        <v>1165000</v>
      </c>
      <c r="CE98" s="102">
        <f t="shared" si="68"/>
        <v>1165000</v>
      </c>
      <c r="CF98" s="102">
        <f t="shared" si="69"/>
        <v>0</v>
      </c>
      <c r="CG98" s="102">
        <f t="shared" si="70"/>
        <v>0</v>
      </c>
      <c r="CH98" s="124">
        <f t="shared" si="71"/>
        <v>1165000</v>
      </c>
      <c r="CI98" s="125">
        <f t="shared" si="72"/>
        <v>0</v>
      </c>
      <c r="CJ98" s="126" t="str">
        <f t="shared" si="73"/>
        <v>数据正确</v>
      </c>
    </row>
    <row r="99" s="60" customFormat="1" customHeight="1" spans="1:88">
      <c r="A99" s="60" t="s">
        <v>36</v>
      </c>
      <c r="B99" s="70" t="str">
        <f t="shared" si="61"/>
        <v>申请中</v>
      </c>
      <c r="C99" s="71" t="str">
        <f t="shared" si="62"/>
        <v>-</v>
      </c>
      <c r="D99" s="72">
        <f t="shared" si="63"/>
        <v>0</v>
      </c>
      <c r="E99" s="72">
        <v>0</v>
      </c>
      <c r="F99" s="72">
        <v>0</v>
      </c>
      <c r="G99" s="72">
        <v>0</v>
      </c>
      <c r="H99" s="72">
        <v>0</v>
      </c>
      <c r="I99" s="72">
        <f t="shared" si="64"/>
        <v>48154.5</v>
      </c>
      <c r="J99" s="168" t="s">
        <v>98</v>
      </c>
      <c r="K99" s="87"/>
      <c r="L99" s="88">
        <v>310</v>
      </c>
      <c r="M99" s="89" t="s">
        <v>1526</v>
      </c>
      <c r="N99" s="90" t="s">
        <v>31</v>
      </c>
      <c r="O99" s="90"/>
      <c r="P99" s="91">
        <v>43036</v>
      </c>
      <c r="Q99" s="154">
        <v>48154.5</v>
      </c>
      <c r="R99" s="89" t="s">
        <v>1527</v>
      </c>
      <c r="S99" s="89" t="s">
        <v>1400</v>
      </c>
      <c r="T99" s="89" t="s">
        <v>1528</v>
      </c>
      <c r="U99" s="103" t="s">
        <v>343</v>
      </c>
      <c r="V99" s="105" t="s">
        <v>1529</v>
      </c>
      <c r="W99" s="102">
        <f>Q99</f>
        <v>48154.5</v>
      </c>
      <c r="X99" s="102">
        <v>48154.5</v>
      </c>
      <c r="Y99" s="102"/>
      <c r="Z99" s="107"/>
      <c r="AA99" s="102"/>
      <c r="AB99" s="102"/>
      <c r="AC99" s="102"/>
      <c r="AD99" s="107"/>
      <c r="AE99" s="102"/>
      <c r="AF99" s="102"/>
      <c r="AG99" s="102"/>
      <c r="AH99" s="107"/>
      <c r="AI99" s="102"/>
      <c r="AJ99" s="102"/>
      <c r="AK99" s="102"/>
      <c r="AL99" s="107"/>
      <c r="AM99" s="102"/>
      <c r="AN99" s="102"/>
      <c r="AO99" s="102"/>
      <c r="AP99" s="107"/>
      <c r="AQ99" s="102"/>
      <c r="AR99" s="102"/>
      <c r="AS99" s="102"/>
      <c r="AT99" s="107"/>
      <c r="AU99" s="102"/>
      <c r="AV99" s="102"/>
      <c r="AW99" s="102"/>
      <c r="AX99" s="107"/>
      <c r="AY99" s="102"/>
      <c r="AZ99" s="102"/>
      <c r="BA99" s="102"/>
      <c r="BB99" s="102"/>
      <c r="BC99" s="102"/>
      <c r="BD99" s="102"/>
      <c r="BE99" s="102"/>
      <c r="BF99" s="102"/>
      <c r="BG99" s="102"/>
      <c r="BH99" s="102"/>
      <c r="BI99" s="102"/>
      <c r="BJ99" s="102"/>
      <c r="BK99" s="102"/>
      <c r="BL99" s="102"/>
      <c r="BM99" s="102"/>
      <c r="BN99" s="102"/>
      <c r="BO99" s="102"/>
      <c r="BP99" s="102"/>
      <c r="BQ99" s="102"/>
      <c r="BR99" s="102"/>
      <c r="BS99" s="102"/>
      <c r="BT99" s="102"/>
      <c r="BU99" s="102"/>
      <c r="BV99" s="102"/>
      <c r="BW99" s="102"/>
      <c r="BX99" s="102"/>
      <c r="BY99" s="102"/>
      <c r="BZ99" s="102"/>
      <c r="CA99" s="102"/>
      <c r="CB99" s="102"/>
      <c r="CC99" s="122"/>
      <c r="CD99" s="123">
        <f t="shared" si="67"/>
        <v>48154.5</v>
      </c>
      <c r="CE99" s="102">
        <f t="shared" si="68"/>
        <v>48154.5</v>
      </c>
      <c r="CF99" s="102">
        <f t="shared" si="69"/>
        <v>0</v>
      </c>
      <c r="CG99" s="102">
        <f t="shared" si="70"/>
        <v>0</v>
      </c>
      <c r="CH99" s="124">
        <f t="shared" si="71"/>
        <v>48154.5</v>
      </c>
      <c r="CI99" s="125">
        <f t="shared" si="72"/>
        <v>0</v>
      </c>
      <c r="CJ99" s="126" t="str">
        <f t="shared" si="73"/>
        <v>数据正确</v>
      </c>
    </row>
    <row r="100" s="60" customFormat="1" customHeight="1" spans="2:88">
      <c r="B100" s="70" t="str">
        <f t="shared" si="61"/>
        <v>-</v>
      </c>
      <c r="C100" s="71" t="str">
        <f t="shared" si="62"/>
        <v>-</v>
      </c>
      <c r="D100" s="72">
        <f t="shared" si="63"/>
        <v>0</v>
      </c>
      <c r="E100" s="72">
        <v>0</v>
      </c>
      <c r="F100" s="72">
        <v>0</v>
      </c>
      <c r="G100" s="72">
        <v>0</v>
      </c>
      <c r="H100" s="72">
        <v>0</v>
      </c>
      <c r="I100" s="72">
        <f t="shared" si="64"/>
        <v>0</v>
      </c>
      <c r="J100" s="86" t="s">
        <v>98</v>
      </c>
      <c r="K100" s="87"/>
      <c r="L100" s="138">
        <v>315</v>
      </c>
      <c r="M100" s="89" t="s">
        <v>1530</v>
      </c>
      <c r="N100" s="90" t="s">
        <v>31</v>
      </c>
      <c r="O100" s="139"/>
      <c r="P100" s="140">
        <v>43028</v>
      </c>
      <c r="Q100" s="129">
        <f>171786.61+135000</f>
        <v>306786.61</v>
      </c>
      <c r="R100" s="139" t="s">
        <v>1531</v>
      </c>
      <c r="S100" s="139" t="s">
        <v>1502</v>
      </c>
      <c r="T100" s="139"/>
      <c r="U100" s="153" t="s">
        <v>343</v>
      </c>
      <c r="V100" s="104" t="s">
        <v>1296</v>
      </c>
      <c r="W100" s="102">
        <f>Q100</f>
        <v>306786.61</v>
      </c>
      <c r="X100" s="102"/>
      <c r="Y100" s="129"/>
      <c r="Z100" s="107"/>
      <c r="AA100" s="102"/>
      <c r="AB100" s="102"/>
      <c r="AC100" s="129"/>
      <c r="AD100" s="107"/>
      <c r="AE100" s="102"/>
      <c r="AF100" s="102"/>
      <c r="AG100" s="129"/>
      <c r="AH100" s="107"/>
      <c r="AI100" s="102"/>
      <c r="AJ100" s="102"/>
      <c r="AK100" s="102"/>
      <c r="AL100" s="107"/>
      <c r="AM100" s="102"/>
      <c r="AN100" s="102"/>
      <c r="AO100" s="102"/>
      <c r="AP100" s="107"/>
      <c r="AQ100" s="102"/>
      <c r="AR100" s="102"/>
      <c r="AS100" s="102"/>
      <c r="AT100" s="107"/>
      <c r="AU100" s="102"/>
      <c r="AV100" s="102"/>
      <c r="AW100" s="102"/>
      <c r="AX100" s="107"/>
      <c r="AY100" s="102"/>
      <c r="AZ100" s="102"/>
      <c r="BA100" s="102"/>
      <c r="BB100" s="102"/>
      <c r="BC100" s="102"/>
      <c r="BD100" s="102"/>
      <c r="BE100" s="102"/>
      <c r="BF100" s="102"/>
      <c r="BG100" s="102"/>
      <c r="BH100" s="102"/>
      <c r="BI100" s="102"/>
      <c r="BJ100" s="102"/>
      <c r="BK100" s="102"/>
      <c r="BL100" s="102"/>
      <c r="BM100" s="102"/>
      <c r="BN100" s="102"/>
      <c r="BO100" s="102"/>
      <c r="BP100" s="102"/>
      <c r="BQ100" s="102"/>
      <c r="BR100" s="102"/>
      <c r="BS100" s="102"/>
      <c r="BT100" s="102"/>
      <c r="BU100" s="102"/>
      <c r="BV100" s="102"/>
      <c r="BW100" s="102"/>
      <c r="BX100" s="102"/>
      <c r="BY100" s="102"/>
      <c r="BZ100" s="102"/>
      <c r="CA100" s="102"/>
      <c r="CB100" s="102"/>
      <c r="CC100" s="122"/>
      <c r="CD100" s="123">
        <f t="shared" si="67"/>
        <v>306786.61</v>
      </c>
      <c r="CE100" s="102">
        <f t="shared" si="68"/>
        <v>0</v>
      </c>
      <c r="CF100" s="102">
        <f t="shared" si="69"/>
        <v>0</v>
      </c>
      <c r="CG100" s="102">
        <f t="shared" si="70"/>
        <v>0</v>
      </c>
      <c r="CH100" s="124">
        <f t="shared" si="71"/>
        <v>306786.61</v>
      </c>
      <c r="CI100" s="125">
        <f t="shared" si="72"/>
        <v>0</v>
      </c>
      <c r="CJ100" s="126" t="str">
        <f t="shared" si="73"/>
        <v>数据正确</v>
      </c>
    </row>
    <row r="101" s="60" customFormat="1" customHeight="1" spans="2:88">
      <c r="B101" s="70" t="str">
        <f t="shared" si="61"/>
        <v>-</v>
      </c>
      <c r="C101" s="71" t="str">
        <f t="shared" si="62"/>
        <v>-</v>
      </c>
      <c r="D101" s="72">
        <f t="shared" si="63"/>
        <v>0</v>
      </c>
      <c r="E101" s="72">
        <v>0</v>
      </c>
      <c r="F101" s="72">
        <v>0</v>
      </c>
      <c r="G101" s="72">
        <v>0</v>
      </c>
      <c r="H101" s="72">
        <v>0</v>
      </c>
      <c r="I101" s="72">
        <f t="shared" si="64"/>
        <v>0</v>
      </c>
      <c r="J101" s="86" t="s">
        <v>98</v>
      </c>
      <c r="K101" s="87"/>
      <c r="L101" s="88">
        <v>316</v>
      </c>
      <c r="M101" s="89" t="s">
        <v>1532</v>
      </c>
      <c r="N101" s="90" t="s">
        <v>31</v>
      </c>
      <c r="O101" s="89"/>
      <c r="P101" s="91">
        <v>43037</v>
      </c>
      <c r="Q101" s="102">
        <v>663000</v>
      </c>
      <c r="R101" s="89" t="s">
        <v>1533</v>
      </c>
      <c r="S101" s="89" t="s">
        <v>1207</v>
      </c>
      <c r="T101" s="89"/>
      <c r="U101" s="103" t="s">
        <v>343</v>
      </c>
      <c r="V101" s="104" t="s">
        <v>1534</v>
      </c>
      <c r="W101" s="102">
        <f>Q101</f>
        <v>663000</v>
      </c>
      <c r="X101" s="102"/>
      <c r="Y101" s="102"/>
      <c r="Z101" s="107"/>
      <c r="AA101" s="102"/>
      <c r="AB101" s="102"/>
      <c r="AC101" s="102"/>
      <c r="AD101" s="107"/>
      <c r="AE101" s="102"/>
      <c r="AF101" s="102"/>
      <c r="AG101" s="102"/>
      <c r="AH101" s="107"/>
      <c r="AI101" s="102"/>
      <c r="AJ101" s="102"/>
      <c r="AK101" s="102"/>
      <c r="AL101" s="107"/>
      <c r="AM101" s="102"/>
      <c r="AN101" s="102"/>
      <c r="AO101" s="102"/>
      <c r="AP101" s="107"/>
      <c r="AQ101" s="102"/>
      <c r="AR101" s="102"/>
      <c r="AS101" s="102"/>
      <c r="AT101" s="107"/>
      <c r="AU101" s="102"/>
      <c r="AV101" s="102"/>
      <c r="AW101" s="102"/>
      <c r="AX101" s="107"/>
      <c r="AY101" s="102"/>
      <c r="AZ101" s="102"/>
      <c r="BA101" s="102"/>
      <c r="BB101" s="102"/>
      <c r="BC101" s="102"/>
      <c r="BD101" s="102"/>
      <c r="BE101" s="102"/>
      <c r="BF101" s="102"/>
      <c r="BG101" s="102"/>
      <c r="BH101" s="102"/>
      <c r="BI101" s="102"/>
      <c r="BJ101" s="102"/>
      <c r="BK101" s="102"/>
      <c r="BL101" s="102"/>
      <c r="BM101" s="102"/>
      <c r="BN101" s="102"/>
      <c r="BO101" s="102"/>
      <c r="BP101" s="102"/>
      <c r="BQ101" s="102"/>
      <c r="BR101" s="102"/>
      <c r="BS101" s="102"/>
      <c r="BT101" s="102"/>
      <c r="BU101" s="102"/>
      <c r="BV101" s="102"/>
      <c r="BW101" s="102"/>
      <c r="BX101" s="102"/>
      <c r="BY101" s="102"/>
      <c r="BZ101" s="102"/>
      <c r="CA101" s="102"/>
      <c r="CB101" s="102"/>
      <c r="CC101" s="122"/>
      <c r="CD101" s="123">
        <f t="shared" si="67"/>
        <v>663000</v>
      </c>
      <c r="CE101" s="102">
        <f t="shared" si="68"/>
        <v>0</v>
      </c>
      <c r="CF101" s="102">
        <f t="shared" si="69"/>
        <v>0</v>
      </c>
      <c r="CG101" s="102">
        <f t="shared" si="70"/>
        <v>0</v>
      </c>
      <c r="CH101" s="124">
        <f t="shared" si="71"/>
        <v>663000</v>
      </c>
      <c r="CI101" s="125">
        <f t="shared" si="72"/>
        <v>0</v>
      </c>
      <c r="CJ101" s="126" t="str">
        <f t="shared" si="73"/>
        <v>数据正确</v>
      </c>
    </row>
    <row r="102" s="60" customFormat="1" customHeight="1" spans="2:88">
      <c r="B102" s="70" t="str">
        <f t="shared" si="61"/>
        <v>-</v>
      </c>
      <c r="C102" s="71" t="str">
        <f t="shared" si="62"/>
        <v>-</v>
      </c>
      <c r="D102" s="72">
        <f t="shared" si="63"/>
        <v>0</v>
      </c>
      <c r="E102" s="72">
        <v>0</v>
      </c>
      <c r="F102" s="72">
        <v>0</v>
      </c>
      <c r="G102" s="72">
        <v>0</v>
      </c>
      <c r="H102" s="72">
        <v>0</v>
      </c>
      <c r="I102" s="72">
        <f t="shared" si="64"/>
        <v>0</v>
      </c>
      <c r="J102" s="86" t="s">
        <v>98</v>
      </c>
      <c r="K102" s="87"/>
      <c r="L102" s="138">
        <v>317</v>
      </c>
      <c r="M102" s="89" t="s">
        <v>1535</v>
      </c>
      <c r="N102" s="90" t="s">
        <v>31</v>
      </c>
      <c r="O102" s="139">
        <v>2017090030</v>
      </c>
      <c r="P102" s="140">
        <v>43008</v>
      </c>
      <c r="Q102" s="129">
        <v>30000</v>
      </c>
      <c r="R102" s="139" t="s">
        <v>1536</v>
      </c>
      <c r="S102" s="139" t="s">
        <v>1537</v>
      </c>
      <c r="T102" s="139"/>
      <c r="U102" s="153" t="s">
        <v>343</v>
      </c>
      <c r="V102" s="105" t="s">
        <v>1512</v>
      </c>
      <c r="W102" s="102">
        <f>Q102</f>
        <v>30000</v>
      </c>
      <c r="X102" s="102"/>
      <c r="Y102" s="129"/>
      <c r="Z102" s="107"/>
      <c r="AA102" s="102"/>
      <c r="AB102" s="102"/>
      <c r="AC102" s="129"/>
      <c r="AD102" s="107"/>
      <c r="AE102" s="102"/>
      <c r="AF102" s="102"/>
      <c r="AG102" s="129"/>
      <c r="AH102" s="107"/>
      <c r="AI102" s="102"/>
      <c r="AJ102" s="102"/>
      <c r="AK102" s="102"/>
      <c r="AL102" s="107"/>
      <c r="AM102" s="102"/>
      <c r="AN102" s="102"/>
      <c r="AO102" s="102"/>
      <c r="AP102" s="107"/>
      <c r="AQ102" s="102"/>
      <c r="AR102" s="102"/>
      <c r="AS102" s="102"/>
      <c r="AT102" s="107"/>
      <c r="AU102" s="102"/>
      <c r="AV102" s="102"/>
      <c r="AW102" s="102"/>
      <c r="AX102" s="107"/>
      <c r="AY102" s="102"/>
      <c r="AZ102" s="102"/>
      <c r="BA102" s="102"/>
      <c r="BB102" s="102"/>
      <c r="BC102" s="102"/>
      <c r="BD102" s="102"/>
      <c r="BE102" s="102"/>
      <c r="BF102" s="102"/>
      <c r="BG102" s="102"/>
      <c r="BH102" s="102"/>
      <c r="BI102" s="102"/>
      <c r="BJ102" s="102"/>
      <c r="BK102" s="102"/>
      <c r="BL102" s="102"/>
      <c r="BM102" s="102"/>
      <c r="BN102" s="102"/>
      <c r="BO102" s="102"/>
      <c r="BP102" s="102"/>
      <c r="BQ102" s="102"/>
      <c r="BR102" s="102"/>
      <c r="BS102" s="102"/>
      <c r="BT102" s="102"/>
      <c r="BU102" s="102"/>
      <c r="BV102" s="102"/>
      <c r="BW102" s="102"/>
      <c r="BX102" s="102"/>
      <c r="BY102" s="102"/>
      <c r="BZ102" s="102"/>
      <c r="CA102" s="102"/>
      <c r="CB102" s="102"/>
      <c r="CC102" s="122"/>
      <c r="CD102" s="123">
        <f t="shared" si="67"/>
        <v>30000</v>
      </c>
      <c r="CE102" s="102">
        <f t="shared" si="68"/>
        <v>0</v>
      </c>
      <c r="CF102" s="102">
        <f t="shared" si="69"/>
        <v>0</v>
      </c>
      <c r="CG102" s="102">
        <f t="shared" si="70"/>
        <v>0</v>
      </c>
      <c r="CH102" s="124">
        <f t="shared" si="71"/>
        <v>30000</v>
      </c>
      <c r="CI102" s="125">
        <f t="shared" si="72"/>
        <v>0</v>
      </c>
      <c r="CJ102" s="126" t="str">
        <f t="shared" si="73"/>
        <v>数据正确</v>
      </c>
    </row>
    <row r="103" s="60" customFormat="1" customHeight="1" spans="2:88">
      <c r="B103" s="70" t="str">
        <f t="shared" ref="B103:B127" si="76">IF(I103=0,"-","申请中")</f>
        <v>申请中</v>
      </c>
      <c r="C103" s="71" t="str">
        <f t="shared" ref="C103:C127" si="77">IF(CI103=100%,"已付清","-")</f>
        <v>-</v>
      </c>
      <c r="D103" s="72">
        <f t="shared" ref="D103:D127" si="78">CF103</f>
        <v>0</v>
      </c>
      <c r="E103" s="72">
        <v>0</v>
      </c>
      <c r="F103" s="72">
        <v>0</v>
      </c>
      <c r="G103" s="72">
        <v>0</v>
      </c>
      <c r="H103" s="72">
        <v>0</v>
      </c>
      <c r="I103" s="72">
        <f t="shared" ref="I103:I127" si="79">CE103-CF103-CG103</f>
        <v>2906051.58</v>
      </c>
      <c r="J103" s="86" t="s">
        <v>98</v>
      </c>
      <c r="K103" s="87"/>
      <c r="L103" s="138">
        <v>318</v>
      </c>
      <c r="M103" s="89" t="s">
        <v>1538</v>
      </c>
      <c r="N103" s="90" t="s">
        <v>31</v>
      </c>
      <c r="O103" s="139">
        <v>2017100013</v>
      </c>
      <c r="P103" s="140">
        <v>43042</v>
      </c>
      <c r="Q103" s="129">
        <v>14530257.9</v>
      </c>
      <c r="R103" s="139" t="s">
        <v>1539</v>
      </c>
      <c r="S103" s="139" t="s">
        <v>1540</v>
      </c>
      <c r="T103" s="139" t="s">
        <v>1345</v>
      </c>
      <c r="U103" s="153" t="s">
        <v>343</v>
      </c>
      <c r="V103" s="104" t="s">
        <v>1541</v>
      </c>
      <c r="W103" s="102">
        <f>Q103*0.2</f>
        <v>2906051.58</v>
      </c>
      <c r="X103" s="102">
        <v>2906051.58</v>
      </c>
      <c r="Y103" s="129"/>
      <c r="Z103" s="107" t="s">
        <v>1336</v>
      </c>
      <c r="AA103" s="102">
        <f>Q103*0.6</f>
        <v>8718154.74</v>
      </c>
      <c r="AB103" s="102"/>
      <c r="AC103" s="129"/>
      <c r="AD103" s="107" t="s">
        <v>1542</v>
      </c>
      <c r="AE103" s="102">
        <f>Q103*0.15</f>
        <v>2179538.685</v>
      </c>
      <c r="AF103" s="102"/>
      <c r="AG103" s="129"/>
      <c r="AH103" s="107" t="s">
        <v>1359</v>
      </c>
      <c r="AI103" s="102">
        <f>Q103*0.05</f>
        <v>726512.895</v>
      </c>
      <c r="AJ103" s="102"/>
      <c r="AK103" s="102"/>
      <c r="AL103" s="107"/>
      <c r="AM103" s="102"/>
      <c r="AN103" s="102"/>
      <c r="AO103" s="102"/>
      <c r="AP103" s="107"/>
      <c r="AQ103" s="102"/>
      <c r="AR103" s="102"/>
      <c r="AS103" s="102"/>
      <c r="AT103" s="107"/>
      <c r="AU103" s="102"/>
      <c r="AV103" s="102"/>
      <c r="AW103" s="102"/>
      <c r="AX103" s="107"/>
      <c r="AY103" s="102"/>
      <c r="AZ103" s="102"/>
      <c r="BA103" s="102"/>
      <c r="BB103" s="102"/>
      <c r="BC103" s="102"/>
      <c r="BD103" s="102"/>
      <c r="BE103" s="102"/>
      <c r="BF103" s="102"/>
      <c r="BG103" s="102"/>
      <c r="BH103" s="102"/>
      <c r="BI103" s="102"/>
      <c r="BJ103" s="102"/>
      <c r="BK103" s="102"/>
      <c r="BL103" s="102"/>
      <c r="BM103" s="102"/>
      <c r="BN103" s="102"/>
      <c r="BO103" s="102"/>
      <c r="BP103" s="102"/>
      <c r="BQ103" s="102"/>
      <c r="BR103" s="102"/>
      <c r="BS103" s="102"/>
      <c r="BT103" s="102"/>
      <c r="BU103" s="102"/>
      <c r="BV103" s="102"/>
      <c r="BW103" s="102"/>
      <c r="BX103" s="102"/>
      <c r="BY103" s="102"/>
      <c r="BZ103" s="102"/>
      <c r="CA103" s="102"/>
      <c r="CB103" s="102"/>
      <c r="CC103" s="122"/>
      <c r="CD103" s="123">
        <f t="shared" ref="CD103:CD127" si="80">W103+AA103+AE103+AI103+AM103+AQ103+AU103+AY103+BC103+BG103+BK103+BO103+BS103+BW103+CA103</f>
        <v>14530257.9</v>
      </c>
      <c r="CE103" s="102">
        <f t="shared" ref="CE103:CE127" si="81">X103+AB103+AF103+AJ103+AN103+AR103+AV103+AZ103+BD103+BH103+BL103+BP103+BT103+BX103+CB103</f>
        <v>2906051.58</v>
      </c>
      <c r="CF103" s="102">
        <f t="shared" ref="CF103:CF127" si="82">Y103+AC103+AG103+AK103+AO103+AS103+AW103+BA103+BE103+BI103+BM103+BQ103+BU103+BY103+CC103</f>
        <v>0</v>
      </c>
      <c r="CG103" s="102">
        <f t="shared" ref="CG103:CG127" si="83">E103+F103+G103+H103</f>
        <v>0</v>
      </c>
      <c r="CH103" s="124">
        <f t="shared" ref="CH103:CH127" si="84">Q103-CF103-CG103</f>
        <v>14530257.9</v>
      </c>
      <c r="CI103" s="125">
        <f t="shared" ref="CI103:CI127" si="85">IF(ISERROR((CF103+CG103)/Q103),"-",(CF103+CG103)/Q103)</f>
        <v>0</v>
      </c>
      <c r="CJ103" s="126" t="str">
        <f t="shared" ref="CJ103:CJ127" si="86">IF(Q103-CD103=0,"数据正确","数据错误")</f>
        <v>数据正确</v>
      </c>
    </row>
    <row r="104" s="60" customFormat="1" customHeight="1" spans="2:88">
      <c r="B104" s="70" t="str">
        <f t="shared" si="76"/>
        <v>-</v>
      </c>
      <c r="C104" s="71" t="str">
        <f t="shared" si="77"/>
        <v>-</v>
      </c>
      <c r="D104" s="72">
        <f t="shared" si="78"/>
        <v>0</v>
      </c>
      <c r="E104" s="72">
        <v>0</v>
      </c>
      <c r="F104" s="72">
        <v>0</v>
      </c>
      <c r="G104" s="72">
        <v>0</v>
      </c>
      <c r="H104" s="72">
        <v>0</v>
      </c>
      <c r="I104" s="72">
        <f t="shared" si="79"/>
        <v>0</v>
      </c>
      <c r="J104" s="86" t="s">
        <v>98</v>
      </c>
      <c r="K104" s="87"/>
      <c r="L104" s="138">
        <v>319</v>
      </c>
      <c r="M104" s="89" t="s">
        <v>1543</v>
      </c>
      <c r="N104" s="90" t="s">
        <v>31</v>
      </c>
      <c r="O104" s="139"/>
      <c r="P104" s="140">
        <v>43042</v>
      </c>
      <c r="Q104" s="129">
        <v>0</v>
      </c>
      <c r="R104" s="139" t="s">
        <v>1544</v>
      </c>
      <c r="S104" s="139" t="s">
        <v>1545</v>
      </c>
      <c r="T104" s="139"/>
      <c r="U104" s="153" t="s">
        <v>650</v>
      </c>
      <c r="V104" s="104" t="s">
        <v>1546</v>
      </c>
      <c r="W104" s="102">
        <f>Q104*0.95</f>
        <v>0</v>
      </c>
      <c r="X104" s="102"/>
      <c r="Y104" s="129"/>
      <c r="Z104" s="107" t="s">
        <v>1359</v>
      </c>
      <c r="AA104" s="102">
        <f>Q104*0.05</f>
        <v>0</v>
      </c>
      <c r="AB104" s="102"/>
      <c r="AC104" s="129"/>
      <c r="AD104" s="107"/>
      <c r="AE104" s="102"/>
      <c r="AF104" s="102"/>
      <c r="AG104" s="129"/>
      <c r="AH104" s="107"/>
      <c r="AI104" s="102"/>
      <c r="AJ104" s="102"/>
      <c r="AK104" s="102"/>
      <c r="AL104" s="107"/>
      <c r="AM104" s="102"/>
      <c r="AN104" s="102"/>
      <c r="AO104" s="102"/>
      <c r="AP104" s="107"/>
      <c r="AQ104" s="102"/>
      <c r="AR104" s="102"/>
      <c r="AS104" s="102"/>
      <c r="AT104" s="107"/>
      <c r="AU104" s="102"/>
      <c r="AV104" s="102"/>
      <c r="AW104" s="102"/>
      <c r="AX104" s="107"/>
      <c r="AY104" s="102"/>
      <c r="AZ104" s="102"/>
      <c r="BA104" s="102"/>
      <c r="BB104" s="102"/>
      <c r="BC104" s="102"/>
      <c r="BD104" s="102"/>
      <c r="BE104" s="102"/>
      <c r="BF104" s="102"/>
      <c r="BG104" s="102"/>
      <c r="BH104" s="102"/>
      <c r="BI104" s="102"/>
      <c r="BJ104" s="102"/>
      <c r="BK104" s="102"/>
      <c r="BL104" s="102"/>
      <c r="BM104" s="102"/>
      <c r="BN104" s="102"/>
      <c r="BO104" s="102"/>
      <c r="BP104" s="102"/>
      <c r="BQ104" s="102"/>
      <c r="BR104" s="102"/>
      <c r="BS104" s="102"/>
      <c r="BT104" s="102"/>
      <c r="BU104" s="102"/>
      <c r="BV104" s="102"/>
      <c r="BW104" s="102"/>
      <c r="BX104" s="102"/>
      <c r="BY104" s="102"/>
      <c r="BZ104" s="102"/>
      <c r="CA104" s="102"/>
      <c r="CB104" s="102"/>
      <c r="CC104" s="122"/>
      <c r="CD104" s="123">
        <f t="shared" si="80"/>
        <v>0</v>
      </c>
      <c r="CE104" s="102">
        <f t="shared" si="81"/>
        <v>0</v>
      </c>
      <c r="CF104" s="102">
        <f t="shared" si="82"/>
        <v>0</v>
      </c>
      <c r="CG104" s="102">
        <f t="shared" si="83"/>
        <v>0</v>
      </c>
      <c r="CH104" s="124">
        <f t="shared" si="84"/>
        <v>0</v>
      </c>
      <c r="CI104" s="125" t="str">
        <f t="shared" si="85"/>
        <v>-</v>
      </c>
      <c r="CJ104" s="126" t="str">
        <f t="shared" si="86"/>
        <v>数据正确</v>
      </c>
    </row>
    <row r="105" s="60" customFormat="1" customHeight="1" spans="2:88">
      <c r="B105" s="70" t="str">
        <f t="shared" si="76"/>
        <v>-</v>
      </c>
      <c r="C105" s="71" t="str">
        <f t="shared" si="77"/>
        <v>-</v>
      </c>
      <c r="D105" s="72">
        <f t="shared" si="78"/>
        <v>0</v>
      </c>
      <c r="E105" s="72">
        <v>0</v>
      </c>
      <c r="F105" s="72">
        <v>0</v>
      </c>
      <c r="G105" s="72">
        <v>0</v>
      </c>
      <c r="H105" s="72">
        <v>0</v>
      </c>
      <c r="I105" s="72">
        <f t="shared" si="79"/>
        <v>0</v>
      </c>
      <c r="J105" s="86" t="s">
        <v>98</v>
      </c>
      <c r="K105" s="87"/>
      <c r="L105" s="138">
        <v>320</v>
      </c>
      <c r="M105" s="89" t="s">
        <v>1547</v>
      </c>
      <c r="N105" s="90" t="s">
        <v>31</v>
      </c>
      <c r="O105" s="139"/>
      <c r="P105" s="140">
        <v>43004</v>
      </c>
      <c r="Q105" s="129">
        <v>19713.22</v>
      </c>
      <c r="R105" s="139" t="s">
        <v>1548</v>
      </c>
      <c r="S105" s="139" t="s">
        <v>1549</v>
      </c>
      <c r="T105" s="139"/>
      <c r="U105" s="153" t="s">
        <v>343</v>
      </c>
      <c r="V105" s="104" t="s">
        <v>1529</v>
      </c>
      <c r="W105" s="102">
        <f>Q105</f>
        <v>19713.22</v>
      </c>
      <c r="X105" s="102"/>
      <c r="Y105" s="129"/>
      <c r="Z105" s="107"/>
      <c r="AA105" s="102"/>
      <c r="AB105" s="102"/>
      <c r="AC105" s="129"/>
      <c r="AD105" s="107"/>
      <c r="AE105" s="102"/>
      <c r="AF105" s="102"/>
      <c r="AG105" s="129"/>
      <c r="AH105" s="107"/>
      <c r="AI105" s="102"/>
      <c r="AJ105" s="102"/>
      <c r="AK105" s="102"/>
      <c r="AL105" s="107"/>
      <c r="AM105" s="102"/>
      <c r="AN105" s="102"/>
      <c r="AO105" s="102"/>
      <c r="AP105" s="107"/>
      <c r="AQ105" s="102"/>
      <c r="AR105" s="102"/>
      <c r="AS105" s="102"/>
      <c r="AT105" s="107"/>
      <c r="AU105" s="102"/>
      <c r="AV105" s="102"/>
      <c r="AW105" s="102"/>
      <c r="AX105" s="107"/>
      <c r="AY105" s="102"/>
      <c r="AZ105" s="102"/>
      <c r="BA105" s="102"/>
      <c r="BB105" s="102"/>
      <c r="BC105" s="102"/>
      <c r="BD105" s="102"/>
      <c r="BE105" s="102"/>
      <c r="BF105" s="102"/>
      <c r="BG105" s="102"/>
      <c r="BH105" s="102"/>
      <c r="BI105" s="102"/>
      <c r="BJ105" s="102"/>
      <c r="BK105" s="102"/>
      <c r="BL105" s="102"/>
      <c r="BM105" s="102"/>
      <c r="BN105" s="102"/>
      <c r="BO105" s="102"/>
      <c r="BP105" s="102"/>
      <c r="BQ105" s="102"/>
      <c r="BR105" s="102"/>
      <c r="BS105" s="102"/>
      <c r="BT105" s="102"/>
      <c r="BU105" s="102"/>
      <c r="BV105" s="102"/>
      <c r="BW105" s="102"/>
      <c r="BX105" s="102"/>
      <c r="BY105" s="102"/>
      <c r="BZ105" s="102"/>
      <c r="CA105" s="102"/>
      <c r="CB105" s="102"/>
      <c r="CC105" s="122"/>
      <c r="CD105" s="123">
        <f t="shared" si="80"/>
        <v>19713.22</v>
      </c>
      <c r="CE105" s="102">
        <f t="shared" si="81"/>
        <v>0</v>
      </c>
      <c r="CF105" s="102">
        <f t="shared" si="82"/>
        <v>0</v>
      </c>
      <c r="CG105" s="102">
        <f t="shared" si="83"/>
        <v>0</v>
      </c>
      <c r="CH105" s="124">
        <f t="shared" si="84"/>
        <v>19713.22</v>
      </c>
      <c r="CI105" s="125">
        <f t="shared" si="85"/>
        <v>0</v>
      </c>
      <c r="CJ105" s="126" t="str">
        <f t="shared" si="86"/>
        <v>数据正确</v>
      </c>
    </row>
    <row r="106" s="60" customFormat="1" customHeight="1" spans="2:88">
      <c r="B106" s="70" t="str">
        <f t="shared" si="76"/>
        <v>-</v>
      </c>
      <c r="C106" s="71" t="str">
        <f t="shared" si="77"/>
        <v>-</v>
      </c>
      <c r="D106" s="72">
        <f t="shared" si="78"/>
        <v>0</v>
      </c>
      <c r="E106" s="72">
        <v>0</v>
      </c>
      <c r="F106" s="72">
        <v>0</v>
      </c>
      <c r="G106" s="72">
        <v>0</v>
      </c>
      <c r="H106" s="72">
        <v>0</v>
      </c>
      <c r="I106" s="72">
        <f t="shared" si="79"/>
        <v>0</v>
      </c>
      <c r="J106" s="86" t="s">
        <v>98</v>
      </c>
      <c r="K106" s="87"/>
      <c r="L106" s="138">
        <v>321</v>
      </c>
      <c r="M106" s="89" t="s">
        <v>1550</v>
      </c>
      <c r="N106" s="90" t="s">
        <v>31</v>
      </c>
      <c r="O106" s="139"/>
      <c r="P106" s="140">
        <v>43042</v>
      </c>
      <c r="Q106" s="129">
        <v>0</v>
      </c>
      <c r="R106" s="139" t="s">
        <v>1544</v>
      </c>
      <c r="S106" s="139" t="s">
        <v>1551</v>
      </c>
      <c r="T106" s="139"/>
      <c r="U106" s="153" t="s">
        <v>650</v>
      </c>
      <c r="V106" s="104" t="s">
        <v>1546</v>
      </c>
      <c r="W106" s="102">
        <f>Q106*0.95</f>
        <v>0</v>
      </c>
      <c r="X106" s="102"/>
      <c r="Y106" s="129"/>
      <c r="Z106" s="107" t="s">
        <v>1359</v>
      </c>
      <c r="AA106" s="102">
        <f>Q106*0.05</f>
        <v>0</v>
      </c>
      <c r="AB106" s="102"/>
      <c r="AC106" s="129"/>
      <c r="AD106" s="107"/>
      <c r="AE106" s="102"/>
      <c r="AF106" s="102"/>
      <c r="AG106" s="129"/>
      <c r="AH106" s="107"/>
      <c r="AI106" s="102"/>
      <c r="AJ106" s="102"/>
      <c r="AK106" s="102"/>
      <c r="AL106" s="107"/>
      <c r="AM106" s="102"/>
      <c r="AN106" s="102"/>
      <c r="AO106" s="102"/>
      <c r="AP106" s="107"/>
      <c r="AQ106" s="102"/>
      <c r="AR106" s="102"/>
      <c r="AS106" s="102"/>
      <c r="AT106" s="107"/>
      <c r="AU106" s="102"/>
      <c r="AV106" s="102"/>
      <c r="AW106" s="102"/>
      <c r="AX106" s="107"/>
      <c r="AY106" s="102"/>
      <c r="AZ106" s="102"/>
      <c r="BA106" s="102"/>
      <c r="BB106" s="102"/>
      <c r="BC106" s="102"/>
      <c r="BD106" s="102"/>
      <c r="BE106" s="102"/>
      <c r="BF106" s="102"/>
      <c r="BG106" s="102"/>
      <c r="BH106" s="102"/>
      <c r="BI106" s="102"/>
      <c r="BJ106" s="102"/>
      <c r="BK106" s="102"/>
      <c r="BL106" s="102"/>
      <c r="BM106" s="102"/>
      <c r="BN106" s="102"/>
      <c r="BO106" s="102"/>
      <c r="BP106" s="102"/>
      <c r="BQ106" s="102"/>
      <c r="BR106" s="102"/>
      <c r="BS106" s="102"/>
      <c r="BT106" s="102"/>
      <c r="BU106" s="102"/>
      <c r="BV106" s="102"/>
      <c r="BW106" s="102"/>
      <c r="BX106" s="102"/>
      <c r="BY106" s="102"/>
      <c r="BZ106" s="102"/>
      <c r="CA106" s="102"/>
      <c r="CB106" s="102"/>
      <c r="CC106" s="122"/>
      <c r="CD106" s="123">
        <f t="shared" si="80"/>
        <v>0</v>
      </c>
      <c r="CE106" s="102">
        <f t="shared" si="81"/>
        <v>0</v>
      </c>
      <c r="CF106" s="102">
        <f t="shared" si="82"/>
        <v>0</v>
      </c>
      <c r="CG106" s="102">
        <f t="shared" si="83"/>
        <v>0</v>
      </c>
      <c r="CH106" s="124">
        <f t="shared" si="84"/>
        <v>0</v>
      </c>
      <c r="CI106" s="125" t="str">
        <f t="shared" si="85"/>
        <v>-</v>
      </c>
      <c r="CJ106" s="126" t="str">
        <f t="shared" si="86"/>
        <v>数据正确</v>
      </c>
    </row>
    <row r="107" s="60" customFormat="1" customHeight="1" spans="2:88">
      <c r="B107" s="70" t="str">
        <f t="shared" si="76"/>
        <v>-</v>
      </c>
      <c r="C107" s="71" t="str">
        <f t="shared" si="77"/>
        <v>-</v>
      </c>
      <c r="D107" s="72">
        <f t="shared" si="78"/>
        <v>0</v>
      </c>
      <c r="E107" s="72">
        <v>0</v>
      </c>
      <c r="F107" s="72">
        <v>0</v>
      </c>
      <c r="G107" s="72">
        <v>0</v>
      </c>
      <c r="H107" s="72">
        <v>0</v>
      </c>
      <c r="I107" s="72">
        <f t="shared" si="79"/>
        <v>0</v>
      </c>
      <c r="J107" s="86" t="s">
        <v>98</v>
      </c>
      <c r="K107" s="87"/>
      <c r="L107" s="138">
        <v>322</v>
      </c>
      <c r="M107" s="89" t="s">
        <v>1552</v>
      </c>
      <c r="N107" s="90" t="s">
        <v>31</v>
      </c>
      <c r="O107" s="139"/>
      <c r="P107" s="140">
        <v>43040</v>
      </c>
      <c r="Q107" s="129">
        <v>396582</v>
      </c>
      <c r="R107" s="139" t="s">
        <v>1523</v>
      </c>
      <c r="S107" s="139" t="s">
        <v>1524</v>
      </c>
      <c r="T107" s="139"/>
      <c r="U107" s="153" t="s">
        <v>650</v>
      </c>
      <c r="V107" s="104" t="s">
        <v>1529</v>
      </c>
      <c r="W107" s="102">
        <f>Q107</f>
        <v>396582</v>
      </c>
      <c r="X107" s="102"/>
      <c r="Y107" s="129"/>
      <c r="Z107" s="107"/>
      <c r="AA107" s="102"/>
      <c r="AB107" s="102"/>
      <c r="AC107" s="129"/>
      <c r="AD107" s="107"/>
      <c r="AE107" s="102"/>
      <c r="AF107" s="102"/>
      <c r="AG107" s="129"/>
      <c r="AH107" s="107"/>
      <c r="AI107" s="102"/>
      <c r="AJ107" s="102"/>
      <c r="AK107" s="102"/>
      <c r="AL107" s="107"/>
      <c r="AM107" s="102"/>
      <c r="AN107" s="102"/>
      <c r="AO107" s="102"/>
      <c r="AP107" s="107"/>
      <c r="AQ107" s="102"/>
      <c r="AR107" s="102"/>
      <c r="AS107" s="102"/>
      <c r="AT107" s="107"/>
      <c r="AU107" s="102"/>
      <c r="AV107" s="102"/>
      <c r="AW107" s="102"/>
      <c r="AX107" s="107"/>
      <c r="AY107" s="102"/>
      <c r="AZ107" s="102"/>
      <c r="BA107" s="102"/>
      <c r="BB107" s="102"/>
      <c r="BC107" s="102"/>
      <c r="BD107" s="102"/>
      <c r="BE107" s="102"/>
      <c r="BF107" s="102"/>
      <c r="BG107" s="102"/>
      <c r="BH107" s="102"/>
      <c r="BI107" s="102"/>
      <c r="BJ107" s="102"/>
      <c r="BK107" s="102"/>
      <c r="BL107" s="102"/>
      <c r="BM107" s="102"/>
      <c r="BN107" s="102"/>
      <c r="BO107" s="102"/>
      <c r="BP107" s="102"/>
      <c r="BQ107" s="102"/>
      <c r="BR107" s="102"/>
      <c r="BS107" s="102"/>
      <c r="BT107" s="102"/>
      <c r="BU107" s="102"/>
      <c r="BV107" s="102"/>
      <c r="BW107" s="102"/>
      <c r="BX107" s="102"/>
      <c r="BY107" s="102"/>
      <c r="BZ107" s="102"/>
      <c r="CA107" s="102"/>
      <c r="CB107" s="102"/>
      <c r="CC107" s="122"/>
      <c r="CD107" s="123">
        <f t="shared" si="80"/>
        <v>396582</v>
      </c>
      <c r="CE107" s="102">
        <f t="shared" si="81"/>
        <v>0</v>
      </c>
      <c r="CF107" s="102">
        <f t="shared" si="82"/>
        <v>0</v>
      </c>
      <c r="CG107" s="102">
        <f t="shared" si="83"/>
        <v>0</v>
      </c>
      <c r="CH107" s="124">
        <f t="shared" si="84"/>
        <v>396582</v>
      </c>
      <c r="CI107" s="125">
        <f t="shared" si="85"/>
        <v>0</v>
      </c>
      <c r="CJ107" s="126" t="str">
        <f t="shared" si="86"/>
        <v>数据正确</v>
      </c>
    </row>
    <row r="108" s="60" customFormat="1" customHeight="1" spans="2:88">
      <c r="B108" s="70" t="str">
        <f t="shared" si="76"/>
        <v>-</v>
      </c>
      <c r="C108" s="71" t="str">
        <f t="shared" si="77"/>
        <v>-</v>
      </c>
      <c r="D108" s="72">
        <f t="shared" si="78"/>
        <v>0</v>
      </c>
      <c r="E108" s="72">
        <v>0</v>
      </c>
      <c r="F108" s="72">
        <v>0</v>
      </c>
      <c r="G108" s="72">
        <v>0</v>
      </c>
      <c r="H108" s="72">
        <v>0</v>
      </c>
      <c r="I108" s="72">
        <f t="shared" si="79"/>
        <v>0</v>
      </c>
      <c r="J108" s="86" t="s">
        <v>98</v>
      </c>
      <c r="K108" s="87"/>
      <c r="L108" s="138">
        <v>323</v>
      </c>
      <c r="M108" s="89" t="s">
        <v>1553</v>
      </c>
      <c r="N108" s="90" t="s">
        <v>31</v>
      </c>
      <c r="O108" s="139"/>
      <c r="P108" s="140">
        <v>43037</v>
      </c>
      <c r="Q108" s="129">
        <v>698000</v>
      </c>
      <c r="R108" s="139" t="s">
        <v>1554</v>
      </c>
      <c r="S108" s="139" t="s">
        <v>1555</v>
      </c>
      <c r="T108" s="139"/>
      <c r="U108" s="153" t="s">
        <v>343</v>
      </c>
      <c r="V108" s="104" t="s">
        <v>1491</v>
      </c>
      <c r="W108" s="102">
        <f>Q108*0.2</f>
        <v>139600</v>
      </c>
      <c r="X108" s="102"/>
      <c r="Y108" s="129"/>
      <c r="Z108" s="107" t="s">
        <v>1472</v>
      </c>
      <c r="AA108" s="102">
        <f>Q108*0.4</f>
        <v>279200</v>
      </c>
      <c r="AB108" s="102"/>
      <c r="AC108" s="129"/>
      <c r="AD108" s="107" t="s">
        <v>1556</v>
      </c>
      <c r="AE108" s="102">
        <f>Q108*0.3</f>
        <v>209400</v>
      </c>
      <c r="AF108" s="102"/>
      <c r="AG108" s="129"/>
      <c r="AH108" s="107" t="s">
        <v>1188</v>
      </c>
      <c r="AI108" s="102">
        <f>Q108*0.1</f>
        <v>69800</v>
      </c>
      <c r="AJ108" s="102"/>
      <c r="AK108" s="102"/>
      <c r="AL108" s="107"/>
      <c r="AM108" s="102"/>
      <c r="AN108" s="102"/>
      <c r="AO108" s="102"/>
      <c r="AP108" s="107"/>
      <c r="AQ108" s="102"/>
      <c r="AR108" s="102"/>
      <c r="AS108" s="102"/>
      <c r="AT108" s="107"/>
      <c r="AU108" s="102"/>
      <c r="AV108" s="102"/>
      <c r="AW108" s="102"/>
      <c r="AX108" s="107"/>
      <c r="AY108" s="102"/>
      <c r="AZ108" s="102"/>
      <c r="BA108" s="102"/>
      <c r="BB108" s="102"/>
      <c r="BC108" s="102"/>
      <c r="BD108" s="102"/>
      <c r="BE108" s="102"/>
      <c r="BF108" s="102"/>
      <c r="BG108" s="102"/>
      <c r="BH108" s="102"/>
      <c r="BI108" s="102"/>
      <c r="BJ108" s="102"/>
      <c r="BK108" s="102"/>
      <c r="BL108" s="102"/>
      <c r="BM108" s="102"/>
      <c r="BN108" s="102"/>
      <c r="BO108" s="102"/>
      <c r="BP108" s="102"/>
      <c r="BQ108" s="102"/>
      <c r="BR108" s="102"/>
      <c r="BS108" s="102"/>
      <c r="BT108" s="102"/>
      <c r="BU108" s="102"/>
      <c r="BV108" s="102"/>
      <c r="BW108" s="102"/>
      <c r="BX108" s="102"/>
      <c r="BY108" s="102"/>
      <c r="BZ108" s="102"/>
      <c r="CA108" s="102"/>
      <c r="CB108" s="102"/>
      <c r="CC108" s="122"/>
      <c r="CD108" s="123">
        <f t="shared" si="80"/>
        <v>698000</v>
      </c>
      <c r="CE108" s="102">
        <f t="shared" si="81"/>
        <v>0</v>
      </c>
      <c r="CF108" s="102">
        <f t="shared" si="82"/>
        <v>0</v>
      </c>
      <c r="CG108" s="102">
        <f t="shared" si="83"/>
        <v>0</v>
      </c>
      <c r="CH108" s="124">
        <f t="shared" si="84"/>
        <v>698000</v>
      </c>
      <c r="CI108" s="125">
        <f t="shared" si="85"/>
        <v>0</v>
      </c>
      <c r="CJ108" s="126" t="str">
        <f t="shared" si="86"/>
        <v>数据正确</v>
      </c>
    </row>
    <row r="109" s="60" customFormat="1" customHeight="1" spans="2:88">
      <c r="B109" s="70" t="str">
        <f t="shared" si="76"/>
        <v>-</v>
      </c>
      <c r="C109" s="71" t="str">
        <f t="shared" si="77"/>
        <v>-</v>
      </c>
      <c r="D109" s="72">
        <f t="shared" si="78"/>
        <v>0</v>
      </c>
      <c r="E109" s="72">
        <v>0</v>
      </c>
      <c r="F109" s="72">
        <v>0</v>
      </c>
      <c r="G109" s="72">
        <v>0</v>
      </c>
      <c r="H109" s="72">
        <v>0</v>
      </c>
      <c r="I109" s="72">
        <f t="shared" si="79"/>
        <v>0</v>
      </c>
      <c r="J109" s="86"/>
      <c r="K109" s="87"/>
      <c r="L109" s="138"/>
      <c r="M109" s="139"/>
      <c r="N109" s="90"/>
      <c r="O109" s="139"/>
      <c r="P109" s="140"/>
      <c r="Q109" s="129"/>
      <c r="R109" s="139"/>
      <c r="S109" s="139"/>
      <c r="T109" s="139"/>
      <c r="U109" s="153"/>
      <c r="V109" s="104"/>
      <c r="W109" s="102"/>
      <c r="X109" s="102"/>
      <c r="Y109" s="129"/>
      <c r="Z109" s="107"/>
      <c r="AA109" s="102"/>
      <c r="AB109" s="102"/>
      <c r="AC109" s="129"/>
      <c r="AD109" s="107"/>
      <c r="AE109" s="102"/>
      <c r="AF109" s="102"/>
      <c r="AG109" s="129"/>
      <c r="AH109" s="107"/>
      <c r="AI109" s="102"/>
      <c r="AJ109" s="102"/>
      <c r="AK109" s="102"/>
      <c r="AL109" s="107"/>
      <c r="AM109" s="102"/>
      <c r="AN109" s="102"/>
      <c r="AO109" s="102"/>
      <c r="AP109" s="107"/>
      <c r="AQ109" s="102"/>
      <c r="AR109" s="102"/>
      <c r="AS109" s="102"/>
      <c r="AT109" s="107"/>
      <c r="AU109" s="102"/>
      <c r="AV109" s="102"/>
      <c r="AW109" s="102"/>
      <c r="AX109" s="107"/>
      <c r="AY109" s="102"/>
      <c r="AZ109" s="102"/>
      <c r="BA109" s="102"/>
      <c r="BB109" s="102"/>
      <c r="BC109" s="102"/>
      <c r="BD109" s="102"/>
      <c r="BE109" s="102"/>
      <c r="BF109" s="102"/>
      <c r="BG109" s="102"/>
      <c r="BH109" s="102"/>
      <c r="BI109" s="102"/>
      <c r="BJ109" s="102"/>
      <c r="BK109" s="102"/>
      <c r="BL109" s="102"/>
      <c r="BM109" s="102"/>
      <c r="BN109" s="102"/>
      <c r="BO109" s="102"/>
      <c r="BP109" s="102"/>
      <c r="BQ109" s="102"/>
      <c r="BR109" s="102"/>
      <c r="BS109" s="102"/>
      <c r="BT109" s="102"/>
      <c r="BU109" s="102"/>
      <c r="BV109" s="102"/>
      <c r="BW109" s="102"/>
      <c r="BX109" s="102"/>
      <c r="BY109" s="102"/>
      <c r="BZ109" s="102"/>
      <c r="CA109" s="102"/>
      <c r="CB109" s="102"/>
      <c r="CC109" s="122"/>
      <c r="CD109" s="123">
        <f t="shared" si="80"/>
        <v>0</v>
      </c>
      <c r="CE109" s="102">
        <f t="shared" si="81"/>
        <v>0</v>
      </c>
      <c r="CF109" s="102">
        <f t="shared" si="82"/>
        <v>0</v>
      </c>
      <c r="CG109" s="102">
        <f t="shared" si="83"/>
        <v>0</v>
      </c>
      <c r="CH109" s="124">
        <f t="shared" si="84"/>
        <v>0</v>
      </c>
      <c r="CI109" s="125" t="str">
        <f t="shared" si="85"/>
        <v>-</v>
      </c>
      <c r="CJ109" s="126" t="str">
        <f t="shared" si="86"/>
        <v>数据正确</v>
      </c>
    </row>
    <row r="110" s="60" customFormat="1" customHeight="1" spans="2:88">
      <c r="B110" s="70" t="str">
        <f t="shared" si="76"/>
        <v>-</v>
      </c>
      <c r="C110" s="71" t="str">
        <f t="shared" si="77"/>
        <v>-</v>
      </c>
      <c r="D110" s="72">
        <f t="shared" si="78"/>
        <v>0</v>
      </c>
      <c r="E110" s="72">
        <v>0</v>
      </c>
      <c r="F110" s="72">
        <v>0</v>
      </c>
      <c r="G110" s="72">
        <v>0</v>
      </c>
      <c r="H110" s="72">
        <v>0</v>
      </c>
      <c r="I110" s="72">
        <f t="shared" si="79"/>
        <v>0</v>
      </c>
      <c r="J110" s="86"/>
      <c r="K110" s="87"/>
      <c r="L110" s="138"/>
      <c r="M110" s="139"/>
      <c r="N110" s="90"/>
      <c r="O110" s="139"/>
      <c r="P110" s="140"/>
      <c r="Q110" s="129"/>
      <c r="R110" s="139"/>
      <c r="S110" s="139"/>
      <c r="T110" s="139"/>
      <c r="U110" s="153"/>
      <c r="V110" s="104"/>
      <c r="W110" s="102"/>
      <c r="X110" s="102"/>
      <c r="Y110" s="129"/>
      <c r="Z110" s="107"/>
      <c r="AA110" s="102"/>
      <c r="AB110" s="102"/>
      <c r="AC110" s="129"/>
      <c r="AD110" s="107"/>
      <c r="AE110" s="102"/>
      <c r="AF110" s="102"/>
      <c r="AG110" s="129"/>
      <c r="AH110" s="107"/>
      <c r="AI110" s="102"/>
      <c r="AJ110" s="102"/>
      <c r="AK110" s="102"/>
      <c r="AL110" s="107"/>
      <c r="AM110" s="102"/>
      <c r="AN110" s="102"/>
      <c r="AO110" s="102"/>
      <c r="AP110" s="107"/>
      <c r="AQ110" s="102"/>
      <c r="AR110" s="102"/>
      <c r="AS110" s="102"/>
      <c r="AT110" s="107"/>
      <c r="AU110" s="102"/>
      <c r="AV110" s="102"/>
      <c r="AW110" s="102"/>
      <c r="AX110" s="107"/>
      <c r="AY110" s="102"/>
      <c r="AZ110" s="102"/>
      <c r="BA110" s="102"/>
      <c r="BB110" s="102"/>
      <c r="BC110" s="102"/>
      <c r="BD110" s="102"/>
      <c r="BE110" s="102"/>
      <c r="BF110" s="102"/>
      <c r="BG110" s="102"/>
      <c r="BH110" s="102"/>
      <c r="BI110" s="102"/>
      <c r="BJ110" s="102"/>
      <c r="BK110" s="102"/>
      <c r="BL110" s="102"/>
      <c r="BM110" s="102"/>
      <c r="BN110" s="102"/>
      <c r="BO110" s="102"/>
      <c r="BP110" s="102"/>
      <c r="BQ110" s="102"/>
      <c r="BR110" s="102"/>
      <c r="BS110" s="102"/>
      <c r="BT110" s="102"/>
      <c r="BU110" s="102"/>
      <c r="BV110" s="102"/>
      <c r="BW110" s="102"/>
      <c r="BX110" s="102"/>
      <c r="BY110" s="102"/>
      <c r="BZ110" s="102"/>
      <c r="CA110" s="102"/>
      <c r="CB110" s="102"/>
      <c r="CC110" s="122"/>
      <c r="CD110" s="123">
        <f t="shared" si="80"/>
        <v>0</v>
      </c>
      <c r="CE110" s="102">
        <f t="shared" si="81"/>
        <v>0</v>
      </c>
      <c r="CF110" s="102">
        <f t="shared" si="82"/>
        <v>0</v>
      </c>
      <c r="CG110" s="102">
        <f t="shared" si="83"/>
        <v>0</v>
      </c>
      <c r="CH110" s="124">
        <f t="shared" si="84"/>
        <v>0</v>
      </c>
      <c r="CI110" s="125" t="str">
        <f t="shared" si="85"/>
        <v>-</v>
      </c>
      <c r="CJ110" s="126" t="str">
        <f t="shared" si="86"/>
        <v>数据正确</v>
      </c>
    </row>
    <row r="111" s="60" customFormat="1" customHeight="1" spans="2:88">
      <c r="B111" s="70" t="str">
        <f t="shared" si="76"/>
        <v>-</v>
      </c>
      <c r="C111" s="71" t="str">
        <f t="shared" si="77"/>
        <v>-</v>
      </c>
      <c r="D111" s="72">
        <f t="shared" si="78"/>
        <v>0</v>
      </c>
      <c r="E111" s="72">
        <v>0</v>
      </c>
      <c r="F111" s="72">
        <v>0</v>
      </c>
      <c r="G111" s="72">
        <v>0</v>
      </c>
      <c r="H111" s="72">
        <v>0</v>
      </c>
      <c r="I111" s="72">
        <f t="shared" si="79"/>
        <v>0</v>
      </c>
      <c r="J111" s="86"/>
      <c r="K111" s="87"/>
      <c r="L111" s="138"/>
      <c r="M111" s="139"/>
      <c r="N111" s="90"/>
      <c r="O111" s="139"/>
      <c r="P111" s="140"/>
      <c r="Q111" s="129"/>
      <c r="R111" s="139"/>
      <c r="S111" s="139"/>
      <c r="T111" s="139"/>
      <c r="U111" s="153"/>
      <c r="V111" s="104"/>
      <c r="W111" s="102"/>
      <c r="X111" s="102"/>
      <c r="Y111" s="129"/>
      <c r="Z111" s="107"/>
      <c r="AA111" s="102"/>
      <c r="AB111" s="102"/>
      <c r="AC111" s="129"/>
      <c r="AD111" s="107"/>
      <c r="AE111" s="102"/>
      <c r="AF111" s="102"/>
      <c r="AG111" s="129"/>
      <c r="AH111" s="107"/>
      <c r="AI111" s="102"/>
      <c r="AJ111" s="102"/>
      <c r="AK111" s="102"/>
      <c r="AL111" s="107"/>
      <c r="AM111" s="102"/>
      <c r="AN111" s="102"/>
      <c r="AO111" s="102"/>
      <c r="AP111" s="107"/>
      <c r="AQ111" s="102"/>
      <c r="AR111" s="102"/>
      <c r="AS111" s="102"/>
      <c r="AT111" s="107"/>
      <c r="AU111" s="102"/>
      <c r="AV111" s="102"/>
      <c r="AW111" s="102"/>
      <c r="AX111" s="107"/>
      <c r="AY111" s="102"/>
      <c r="AZ111" s="102"/>
      <c r="BA111" s="102"/>
      <c r="BB111" s="102"/>
      <c r="BC111" s="102"/>
      <c r="BD111" s="102"/>
      <c r="BE111" s="102"/>
      <c r="BF111" s="102"/>
      <c r="BG111" s="102"/>
      <c r="BH111" s="102"/>
      <c r="BI111" s="102"/>
      <c r="BJ111" s="102"/>
      <c r="BK111" s="102"/>
      <c r="BL111" s="102"/>
      <c r="BM111" s="102"/>
      <c r="BN111" s="102"/>
      <c r="BO111" s="102"/>
      <c r="BP111" s="102"/>
      <c r="BQ111" s="102"/>
      <c r="BR111" s="102"/>
      <c r="BS111" s="102"/>
      <c r="BT111" s="102"/>
      <c r="BU111" s="102"/>
      <c r="BV111" s="102"/>
      <c r="BW111" s="102"/>
      <c r="BX111" s="102"/>
      <c r="BY111" s="102"/>
      <c r="BZ111" s="102"/>
      <c r="CA111" s="102"/>
      <c r="CB111" s="102"/>
      <c r="CC111" s="122"/>
      <c r="CD111" s="123">
        <f t="shared" si="80"/>
        <v>0</v>
      </c>
      <c r="CE111" s="102">
        <f t="shared" si="81"/>
        <v>0</v>
      </c>
      <c r="CF111" s="102">
        <f t="shared" si="82"/>
        <v>0</v>
      </c>
      <c r="CG111" s="102">
        <f t="shared" si="83"/>
        <v>0</v>
      </c>
      <c r="CH111" s="124">
        <f t="shared" si="84"/>
        <v>0</v>
      </c>
      <c r="CI111" s="125" t="str">
        <f t="shared" si="85"/>
        <v>-</v>
      </c>
      <c r="CJ111" s="126" t="str">
        <f t="shared" si="86"/>
        <v>数据正确</v>
      </c>
    </row>
    <row r="112" s="60" customFormat="1" customHeight="1" spans="2:88">
      <c r="B112" s="70" t="str">
        <f t="shared" si="76"/>
        <v>-</v>
      </c>
      <c r="C112" s="71" t="str">
        <f t="shared" si="77"/>
        <v>-</v>
      </c>
      <c r="D112" s="72">
        <f t="shared" si="78"/>
        <v>0</v>
      </c>
      <c r="E112" s="72">
        <v>0</v>
      </c>
      <c r="F112" s="72">
        <v>0</v>
      </c>
      <c r="G112" s="72">
        <v>0</v>
      </c>
      <c r="H112" s="72">
        <v>0</v>
      </c>
      <c r="I112" s="72">
        <f t="shared" si="79"/>
        <v>0</v>
      </c>
      <c r="J112" s="86"/>
      <c r="K112" s="87"/>
      <c r="L112" s="138"/>
      <c r="M112" s="139"/>
      <c r="N112" s="90"/>
      <c r="O112" s="139"/>
      <c r="P112" s="140"/>
      <c r="Q112" s="129"/>
      <c r="R112" s="139"/>
      <c r="S112" s="139"/>
      <c r="T112" s="139"/>
      <c r="U112" s="153"/>
      <c r="V112" s="104"/>
      <c r="W112" s="102"/>
      <c r="X112" s="102"/>
      <c r="Y112" s="129"/>
      <c r="Z112" s="107"/>
      <c r="AA112" s="102"/>
      <c r="AB112" s="102"/>
      <c r="AC112" s="129"/>
      <c r="AD112" s="107"/>
      <c r="AE112" s="102"/>
      <c r="AF112" s="102"/>
      <c r="AG112" s="129"/>
      <c r="AH112" s="107"/>
      <c r="AI112" s="102"/>
      <c r="AJ112" s="102"/>
      <c r="AK112" s="102"/>
      <c r="AL112" s="107"/>
      <c r="AM112" s="102"/>
      <c r="AN112" s="102"/>
      <c r="AO112" s="102"/>
      <c r="AP112" s="107"/>
      <c r="AQ112" s="102"/>
      <c r="AR112" s="102"/>
      <c r="AS112" s="102"/>
      <c r="AT112" s="107"/>
      <c r="AU112" s="102"/>
      <c r="AV112" s="102"/>
      <c r="AW112" s="102"/>
      <c r="AX112" s="107"/>
      <c r="AY112" s="102"/>
      <c r="AZ112" s="102"/>
      <c r="BA112" s="102"/>
      <c r="BB112" s="102"/>
      <c r="BC112" s="102"/>
      <c r="BD112" s="102"/>
      <c r="BE112" s="102"/>
      <c r="BF112" s="102"/>
      <c r="BG112" s="102"/>
      <c r="BH112" s="102"/>
      <c r="BI112" s="102"/>
      <c r="BJ112" s="102"/>
      <c r="BK112" s="102"/>
      <c r="BL112" s="102"/>
      <c r="BM112" s="102"/>
      <c r="BN112" s="102"/>
      <c r="BO112" s="102"/>
      <c r="BP112" s="102"/>
      <c r="BQ112" s="102"/>
      <c r="BR112" s="102"/>
      <c r="BS112" s="102"/>
      <c r="BT112" s="102"/>
      <c r="BU112" s="102"/>
      <c r="BV112" s="102"/>
      <c r="BW112" s="102"/>
      <c r="BX112" s="102"/>
      <c r="BY112" s="102"/>
      <c r="BZ112" s="102"/>
      <c r="CA112" s="102"/>
      <c r="CB112" s="102"/>
      <c r="CC112" s="122"/>
      <c r="CD112" s="123">
        <f t="shared" si="80"/>
        <v>0</v>
      </c>
      <c r="CE112" s="102">
        <f t="shared" si="81"/>
        <v>0</v>
      </c>
      <c r="CF112" s="102">
        <f t="shared" si="82"/>
        <v>0</v>
      </c>
      <c r="CG112" s="102">
        <f t="shared" si="83"/>
        <v>0</v>
      </c>
      <c r="CH112" s="124">
        <f t="shared" si="84"/>
        <v>0</v>
      </c>
      <c r="CI112" s="125" t="str">
        <f t="shared" si="85"/>
        <v>-</v>
      </c>
      <c r="CJ112" s="126" t="str">
        <f t="shared" si="86"/>
        <v>数据正确</v>
      </c>
    </row>
    <row r="113" s="60" customFormat="1" customHeight="1" spans="2:88">
      <c r="B113" s="70" t="str">
        <f t="shared" si="76"/>
        <v>-</v>
      </c>
      <c r="C113" s="71" t="str">
        <f t="shared" si="77"/>
        <v>-</v>
      </c>
      <c r="D113" s="72">
        <f t="shared" si="78"/>
        <v>0</v>
      </c>
      <c r="E113" s="72">
        <v>0</v>
      </c>
      <c r="F113" s="72">
        <v>0</v>
      </c>
      <c r="G113" s="72">
        <v>0</v>
      </c>
      <c r="H113" s="72">
        <v>0</v>
      </c>
      <c r="I113" s="72">
        <f t="shared" si="79"/>
        <v>0</v>
      </c>
      <c r="J113" s="86"/>
      <c r="K113" s="87"/>
      <c r="L113" s="138"/>
      <c r="M113" s="139"/>
      <c r="N113" s="90"/>
      <c r="O113" s="139"/>
      <c r="P113" s="140"/>
      <c r="Q113" s="129"/>
      <c r="R113" s="139"/>
      <c r="S113" s="139"/>
      <c r="T113" s="139"/>
      <c r="U113" s="153"/>
      <c r="V113" s="104"/>
      <c r="W113" s="102"/>
      <c r="X113" s="102"/>
      <c r="Y113" s="129"/>
      <c r="Z113" s="107"/>
      <c r="AA113" s="102"/>
      <c r="AB113" s="102"/>
      <c r="AC113" s="129"/>
      <c r="AD113" s="107"/>
      <c r="AE113" s="102"/>
      <c r="AF113" s="102"/>
      <c r="AG113" s="129"/>
      <c r="AH113" s="107"/>
      <c r="AI113" s="102"/>
      <c r="AJ113" s="102"/>
      <c r="AK113" s="102"/>
      <c r="AL113" s="107"/>
      <c r="AM113" s="102"/>
      <c r="AN113" s="102"/>
      <c r="AO113" s="102"/>
      <c r="AP113" s="107"/>
      <c r="AQ113" s="102"/>
      <c r="AR113" s="102"/>
      <c r="AS113" s="102"/>
      <c r="AT113" s="107"/>
      <c r="AU113" s="102"/>
      <c r="AV113" s="102"/>
      <c r="AW113" s="102"/>
      <c r="AX113" s="107"/>
      <c r="AY113" s="102"/>
      <c r="AZ113" s="102"/>
      <c r="BA113" s="102"/>
      <c r="BB113" s="102"/>
      <c r="BC113" s="102"/>
      <c r="BD113" s="102"/>
      <c r="BE113" s="102"/>
      <c r="BF113" s="102"/>
      <c r="BG113" s="102"/>
      <c r="BH113" s="102"/>
      <c r="BI113" s="102"/>
      <c r="BJ113" s="102"/>
      <c r="BK113" s="102"/>
      <c r="BL113" s="102"/>
      <c r="BM113" s="102"/>
      <c r="BN113" s="102"/>
      <c r="BO113" s="102"/>
      <c r="BP113" s="102"/>
      <c r="BQ113" s="102"/>
      <c r="BR113" s="102"/>
      <c r="BS113" s="102"/>
      <c r="BT113" s="102"/>
      <c r="BU113" s="102"/>
      <c r="BV113" s="102"/>
      <c r="BW113" s="102"/>
      <c r="BX113" s="102"/>
      <c r="BY113" s="102"/>
      <c r="BZ113" s="102"/>
      <c r="CA113" s="102"/>
      <c r="CB113" s="102"/>
      <c r="CC113" s="122"/>
      <c r="CD113" s="123">
        <f t="shared" si="80"/>
        <v>0</v>
      </c>
      <c r="CE113" s="102">
        <f t="shared" si="81"/>
        <v>0</v>
      </c>
      <c r="CF113" s="102">
        <f t="shared" si="82"/>
        <v>0</v>
      </c>
      <c r="CG113" s="102">
        <f t="shared" si="83"/>
        <v>0</v>
      </c>
      <c r="CH113" s="124">
        <f t="shared" si="84"/>
        <v>0</v>
      </c>
      <c r="CI113" s="125" t="str">
        <f t="shared" si="85"/>
        <v>-</v>
      </c>
      <c r="CJ113" s="126" t="str">
        <f t="shared" si="86"/>
        <v>数据正确</v>
      </c>
    </row>
    <row r="114" s="60" customFormat="1" customHeight="1" spans="2:88">
      <c r="B114" s="70" t="str">
        <f t="shared" si="76"/>
        <v>-</v>
      </c>
      <c r="C114" s="71" t="str">
        <f t="shared" si="77"/>
        <v>-</v>
      </c>
      <c r="D114" s="72">
        <f t="shared" si="78"/>
        <v>0</v>
      </c>
      <c r="E114" s="72">
        <v>0</v>
      </c>
      <c r="F114" s="72">
        <v>0</v>
      </c>
      <c r="G114" s="72">
        <v>0</v>
      </c>
      <c r="H114" s="72">
        <v>0</v>
      </c>
      <c r="I114" s="72">
        <f t="shared" si="79"/>
        <v>0</v>
      </c>
      <c r="J114" s="86"/>
      <c r="K114" s="87"/>
      <c r="L114" s="138"/>
      <c r="M114" s="139"/>
      <c r="N114" s="90"/>
      <c r="O114" s="139"/>
      <c r="P114" s="140"/>
      <c r="Q114" s="129"/>
      <c r="R114" s="139"/>
      <c r="S114" s="139"/>
      <c r="T114" s="139"/>
      <c r="U114" s="153"/>
      <c r="V114" s="104"/>
      <c r="W114" s="102"/>
      <c r="X114" s="102"/>
      <c r="Y114" s="129"/>
      <c r="Z114" s="107"/>
      <c r="AA114" s="102"/>
      <c r="AB114" s="102"/>
      <c r="AC114" s="129"/>
      <c r="AD114" s="107"/>
      <c r="AE114" s="102"/>
      <c r="AF114" s="102"/>
      <c r="AG114" s="129"/>
      <c r="AH114" s="107"/>
      <c r="AI114" s="102"/>
      <c r="AJ114" s="102"/>
      <c r="AK114" s="102"/>
      <c r="AL114" s="107"/>
      <c r="AM114" s="102"/>
      <c r="AN114" s="102"/>
      <c r="AO114" s="102"/>
      <c r="AP114" s="107"/>
      <c r="AQ114" s="102"/>
      <c r="AR114" s="102"/>
      <c r="AS114" s="102"/>
      <c r="AT114" s="107"/>
      <c r="AU114" s="102"/>
      <c r="AV114" s="102"/>
      <c r="AW114" s="102"/>
      <c r="AX114" s="107"/>
      <c r="AY114" s="102"/>
      <c r="AZ114" s="102"/>
      <c r="BA114" s="102"/>
      <c r="BB114" s="102"/>
      <c r="BC114" s="102"/>
      <c r="BD114" s="102"/>
      <c r="BE114" s="102"/>
      <c r="BF114" s="102"/>
      <c r="BG114" s="102"/>
      <c r="BH114" s="102"/>
      <c r="BI114" s="102"/>
      <c r="BJ114" s="102"/>
      <c r="BK114" s="102"/>
      <c r="BL114" s="102"/>
      <c r="BM114" s="102"/>
      <c r="BN114" s="102"/>
      <c r="BO114" s="102"/>
      <c r="BP114" s="102"/>
      <c r="BQ114" s="102"/>
      <c r="BR114" s="102"/>
      <c r="BS114" s="102"/>
      <c r="BT114" s="102"/>
      <c r="BU114" s="102"/>
      <c r="BV114" s="102"/>
      <c r="BW114" s="102"/>
      <c r="BX114" s="102"/>
      <c r="BY114" s="102"/>
      <c r="BZ114" s="102"/>
      <c r="CA114" s="102"/>
      <c r="CB114" s="102"/>
      <c r="CC114" s="122"/>
      <c r="CD114" s="123">
        <f t="shared" si="80"/>
        <v>0</v>
      </c>
      <c r="CE114" s="102">
        <f t="shared" si="81"/>
        <v>0</v>
      </c>
      <c r="CF114" s="102">
        <f t="shared" si="82"/>
        <v>0</v>
      </c>
      <c r="CG114" s="102">
        <f t="shared" si="83"/>
        <v>0</v>
      </c>
      <c r="CH114" s="124">
        <f t="shared" si="84"/>
        <v>0</v>
      </c>
      <c r="CI114" s="125" t="str">
        <f t="shared" si="85"/>
        <v>-</v>
      </c>
      <c r="CJ114" s="126" t="str">
        <f t="shared" si="86"/>
        <v>数据正确</v>
      </c>
    </row>
    <row r="115" s="60" customFormat="1" customHeight="1" spans="2:88">
      <c r="B115" s="70" t="str">
        <f t="shared" si="76"/>
        <v>-</v>
      </c>
      <c r="C115" s="71" t="str">
        <f t="shared" si="77"/>
        <v>-</v>
      </c>
      <c r="D115" s="72">
        <f t="shared" si="78"/>
        <v>0</v>
      </c>
      <c r="E115" s="72">
        <v>0</v>
      </c>
      <c r="F115" s="72">
        <v>0</v>
      </c>
      <c r="G115" s="72">
        <v>0</v>
      </c>
      <c r="H115" s="72">
        <v>0</v>
      </c>
      <c r="I115" s="72">
        <f t="shared" si="79"/>
        <v>0</v>
      </c>
      <c r="J115" s="86"/>
      <c r="K115" s="87"/>
      <c r="L115" s="138"/>
      <c r="M115" s="139"/>
      <c r="N115" s="90"/>
      <c r="O115" s="139"/>
      <c r="P115" s="140"/>
      <c r="Q115" s="129"/>
      <c r="R115" s="139"/>
      <c r="S115" s="139"/>
      <c r="T115" s="139"/>
      <c r="U115" s="153"/>
      <c r="V115" s="104"/>
      <c r="W115" s="102"/>
      <c r="X115" s="102"/>
      <c r="Y115" s="129"/>
      <c r="Z115" s="107"/>
      <c r="AA115" s="102"/>
      <c r="AB115" s="102"/>
      <c r="AC115" s="129"/>
      <c r="AD115" s="107"/>
      <c r="AE115" s="102"/>
      <c r="AF115" s="102"/>
      <c r="AG115" s="129"/>
      <c r="AH115" s="107"/>
      <c r="AI115" s="102"/>
      <c r="AJ115" s="102"/>
      <c r="AK115" s="102"/>
      <c r="AL115" s="107"/>
      <c r="AM115" s="102"/>
      <c r="AN115" s="102"/>
      <c r="AO115" s="102"/>
      <c r="AP115" s="107"/>
      <c r="AQ115" s="102"/>
      <c r="AR115" s="102"/>
      <c r="AS115" s="102"/>
      <c r="AT115" s="107"/>
      <c r="AU115" s="102"/>
      <c r="AV115" s="102"/>
      <c r="AW115" s="102"/>
      <c r="AX115" s="107"/>
      <c r="AY115" s="102"/>
      <c r="AZ115" s="102"/>
      <c r="BA115" s="102"/>
      <c r="BB115" s="102"/>
      <c r="BC115" s="102"/>
      <c r="BD115" s="102"/>
      <c r="BE115" s="102"/>
      <c r="BF115" s="102"/>
      <c r="BG115" s="102"/>
      <c r="BH115" s="102"/>
      <c r="BI115" s="102"/>
      <c r="BJ115" s="102"/>
      <c r="BK115" s="102"/>
      <c r="BL115" s="102"/>
      <c r="BM115" s="102"/>
      <c r="BN115" s="102"/>
      <c r="BO115" s="102"/>
      <c r="BP115" s="102"/>
      <c r="BQ115" s="102"/>
      <c r="BR115" s="102"/>
      <c r="BS115" s="102"/>
      <c r="BT115" s="102"/>
      <c r="BU115" s="102"/>
      <c r="BV115" s="102"/>
      <c r="BW115" s="102"/>
      <c r="BX115" s="102"/>
      <c r="BY115" s="102"/>
      <c r="BZ115" s="102"/>
      <c r="CA115" s="102"/>
      <c r="CB115" s="102"/>
      <c r="CC115" s="122"/>
      <c r="CD115" s="123">
        <f t="shared" si="80"/>
        <v>0</v>
      </c>
      <c r="CE115" s="102">
        <f t="shared" si="81"/>
        <v>0</v>
      </c>
      <c r="CF115" s="102">
        <f t="shared" si="82"/>
        <v>0</v>
      </c>
      <c r="CG115" s="102">
        <f t="shared" si="83"/>
        <v>0</v>
      </c>
      <c r="CH115" s="124">
        <f t="shared" si="84"/>
        <v>0</v>
      </c>
      <c r="CI115" s="125" t="str">
        <f t="shared" si="85"/>
        <v>-</v>
      </c>
      <c r="CJ115" s="126" t="str">
        <f t="shared" si="86"/>
        <v>数据正确</v>
      </c>
    </row>
    <row r="116" s="60" customFormat="1" customHeight="1" spans="2:88">
      <c r="B116" s="70" t="str">
        <f t="shared" si="76"/>
        <v>-</v>
      </c>
      <c r="C116" s="71" t="str">
        <f t="shared" si="77"/>
        <v>-</v>
      </c>
      <c r="D116" s="72">
        <f t="shared" si="78"/>
        <v>0</v>
      </c>
      <c r="E116" s="72">
        <v>0</v>
      </c>
      <c r="F116" s="72">
        <v>0</v>
      </c>
      <c r="G116" s="72">
        <v>0</v>
      </c>
      <c r="H116" s="72">
        <v>0</v>
      </c>
      <c r="I116" s="72">
        <f t="shared" si="79"/>
        <v>0</v>
      </c>
      <c r="J116" s="86"/>
      <c r="K116" s="87"/>
      <c r="L116" s="138"/>
      <c r="M116" s="139"/>
      <c r="N116" s="90"/>
      <c r="O116" s="139"/>
      <c r="P116" s="140"/>
      <c r="Q116" s="129"/>
      <c r="R116" s="139"/>
      <c r="S116" s="139"/>
      <c r="T116" s="139"/>
      <c r="U116" s="153"/>
      <c r="V116" s="104"/>
      <c r="W116" s="102"/>
      <c r="X116" s="102"/>
      <c r="Y116" s="129"/>
      <c r="Z116" s="107"/>
      <c r="AA116" s="102"/>
      <c r="AB116" s="102"/>
      <c r="AC116" s="129"/>
      <c r="AD116" s="107"/>
      <c r="AE116" s="102"/>
      <c r="AF116" s="102"/>
      <c r="AG116" s="129"/>
      <c r="AH116" s="107"/>
      <c r="AI116" s="102"/>
      <c r="AJ116" s="102"/>
      <c r="AK116" s="102"/>
      <c r="AL116" s="107"/>
      <c r="AM116" s="102"/>
      <c r="AN116" s="102"/>
      <c r="AO116" s="102"/>
      <c r="AP116" s="107"/>
      <c r="AQ116" s="102"/>
      <c r="AR116" s="102"/>
      <c r="AS116" s="102"/>
      <c r="AT116" s="107"/>
      <c r="AU116" s="102"/>
      <c r="AV116" s="102"/>
      <c r="AW116" s="102"/>
      <c r="AX116" s="107"/>
      <c r="AY116" s="102"/>
      <c r="AZ116" s="102"/>
      <c r="BA116" s="102"/>
      <c r="BB116" s="102"/>
      <c r="BC116" s="102"/>
      <c r="BD116" s="102"/>
      <c r="BE116" s="102"/>
      <c r="BF116" s="102"/>
      <c r="BG116" s="102"/>
      <c r="BH116" s="102"/>
      <c r="BI116" s="102"/>
      <c r="BJ116" s="102"/>
      <c r="BK116" s="102"/>
      <c r="BL116" s="102"/>
      <c r="BM116" s="102"/>
      <c r="BN116" s="102"/>
      <c r="BO116" s="102"/>
      <c r="BP116" s="102"/>
      <c r="BQ116" s="102"/>
      <c r="BR116" s="102"/>
      <c r="BS116" s="102"/>
      <c r="BT116" s="102"/>
      <c r="BU116" s="102"/>
      <c r="BV116" s="102"/>
      <c r="BW116" s="102"/>
      <c r="BX116" s="102"/>
      <c r="BY116" s="102"/>
      <c r="BZ116" s="102"/>
      <c r="CA116" s="102"/>
      <c r="CB116" s="102"/>
      <c r="CC116" s="122"/>
      <c r="CD116" s="123">
        <f t="shared" si="80"/>
        <v>0</v>
      </c>
      <c r="CE116" s="102">
        <f t="shared" si="81"/>
        <v>0</v>
      </c>
      <c r="CF116" s="102">
        <f t="shared" si="82"/>
        <v>0</v>
      </c>
      <c r="CG116" s="102">
        <f t="shared" si="83"/>
        <v>0</v>
      </c>
      <c r="CH116" s="124">
        <f t="shared" si="84"/>
        <v>0</v>
      </c>
      <c r="CI116" s="125" t="str">
        <f t="shared" si="85"/>
        <v>-</v>
      </c>
      <c r="CJ116" s="126" t="str">
        <f t="shared" si="86"/>
        <v>数据正确</v>
      </c>
    </row>
    <row r="117" customHeight="1" spans="2:88">
      <c r="B117" s="70" t="str">
        <f t="shared" si="76"/>
        <v>-</v>
      </c>
      <c r="C117" s="71" t="str">
        <f t="shared" si="77"/>
        <v>-</v>
      </c>
      <c r="D117" s="72">
        <f t="shared" si="78"/>
        <v>0</v>
      </c>
      <c r="E117" s="72">
        <v>0</v>
      </c>
      <c r="F117" s="72">
        <v>0</v>
      </c>
      <c r="G117" s="72">
        <v>0</v>
      </c>
      <c r="H117" s="72">
        <v>0</v>
      </c>
      <c r="I117" s="72">
        <f t="shared" si="79"/>
        <v>0</v>
      </c>
      <c r="J117" s="86"/>
      <c r="K117" s="87"/>
      <c r="L117" s="138"/>
      <c r="M117" s="139"/>
      <c r="N117" s="90"/>
      <c r="O117" s="139"/>
      <c r="P117" s="140"/>
      <c r="Q117" s="129"/>
      <c r="R117" s="139"/>
      <c r="S117" s="139"/>
      <c r="T117" s="139"/>
      <c r="U117" s="153"/>
      <c r="V117" s="104"/>
      <c r="W117" s="102"/>
      <c r="X117" s="102"/>
      <c r="Y117" s="129"/>
      <c r="Z117" s="107"/>
      <c r="AA117" s="102"/>
      <c r="AB117" s="102"/>
      <c r="AC117" s="129"/>
      <c r="AD117" s="107"/>
      <c r="AE117" s="102"/>
      <c r="AF117" s="102"/>
      <c r="AG117" s="129"/>
      <c r="AH117" s="107"/>
      <c r="AI117" s="102"/>
      <c r="AJ117" s="102"/>
      <c r="AK117" s="102"/>
      <c r="AL117" s="107"/>
      <c r="AM117" s="102"/>
      <c r="AN117" s="102"/>
      <c r="AO117" s="102"/>
      <c r="AP117" s="107"/>
      <c r="AQ117" s="102"/>
      <c r="AR117" s="102"/>
      <c r="AS117" s="102"/>
      <c r="AT117" s="107"/>
      <c r="AU117" s="102"/>
      <c r="AV117" s="102"/>
      <c r="AW117" s="102"/>
      <c r="AX117" s="107"/>
      <c r="AY117" s="102"/>
      <c r="AZ117" s="102"/>
      <c r="BA117" s="102"/>
      <c r="BB117" s="102"/>
      <c r="BC117" s="102"/>
      <c r="BD117" s="102"/>
      <c r="BE117" s="102"/>
      <c r="BF117" s="102"/>
      <c r="BG117" s="102"/>
      <c r="BH117" s="102"/>
      <c r="BI117" s="102"/>
      <c r="BJ117" s="102"/>
      <c r="BK117" s="102"/>
      <c r="BL117" s="102"/>
      <c r="BM117" s="102"/>
      <c r="BN117" s="102"/>
      <c r="BO117" s="102"/>
      <c r="BP117" s="102"/>
      <c r="BQ117" s="102"/>
      <c r="BR117" s="102"/>
      <c r="BS117" s="102"/>
      <c r="BT117" s="102"/>
      <c r="BU117" s="102"/>
      <c r="BV117" s="102"/>
      <c r="BW117" s="102"/>
      <c r="BX117" s="102"/>
      <c r="BY117" s="102"/>
      <c r="BZ117" s="102"/>
      <c r="CA117" s="102"/>
      <c r="CB117" s="102"/>
      <c r="CC117" s="122"/>
      <c r="CD117" s="123">
        <f t="shared" si="80"/>
        <v>0</v>
      </c>
      <c r="CE117" s="102">
        <f t="shared" si="81"/>
        <v>0</v>
      </c>
      <c r="CF117" s="102">
        <f t="shared" si="82"/>
        <v>0</v>
      </c>
      <c r="CG117" s="102">
        <f t="shared" si="83"/>
        <v>0</v>
      </c>
      <c r="CH117" s="124">
        <f t="shared" si="84"/>
        <v>0</v>
      </c>
      <c r="CI117" s="125" t="str">
        <f t="shared" si="85"/>
        <v>-</v>
      </c>
      <c r="CJ117" s="126" t="str">
        <f t="shared" si="86"/>
        <v>数据正确</v>
      </c>
    </row>
    <row r="118" customHeight="1" spans="2:88">
      <c r="B118" s="70" t="str">
        <f t="shared" si="76"/>
        <v>-</v>
      </c>
      <c r="C118" s="71" t="str">
        <f t="shared" si="77"/>
        <v>-</v>
      </c>
      <c r="D118" s="72">
        <f t="shared" si="78"/>
        <v>0</v>
      </c>
      <c r="E118" s="72">
        <v>0</v>
      </c>
      <c r="F118" s="72">
        <v>0</v>
      </c>
      <c r="G118" s="72">
        <v>0</v>
      </c>
      <c r="H118" s="72">
        <v>0</v>
      </c>
      <c r="I118" s="72">
        <f t="shared" si="79"/>
        <v>0</v>
      </c>
      <c r="J118" s="86"/>
      <c r="K118" s="87"/>
      <c r="L118" s="138"/>
      <c r="M118" s="139"/>
      <c r="N118" s="90"/>
      <c r="O118" s="139"/>
      <c r="P118" s="140"/>
      <c r="Q118" s="129"/>
      <c r="R118" s="139"/>
      <c r="S118" s="139"/>
      <c r="T118" s="139"/>
      <c r="U118" s="153"/>
      <c r="V118" s="104"/>
      <c r="W118" s="102"/>
      <c r="X118" s="102"/>
      <c r="Y118" s="129"/>
      <c r="Z118" s="107"/>
      <c r="AA118" s="102"/>
      <c r="AB118" s="102"/>
      <c r="AC118" s="129"/>
      <c r="AD118" s="107"/>
      <c r="AE118" s="102"/>
      <c r="AF118" s="102"/>
      <c r="AG118" s="129"/>
      <c r="AH118" s="107"/>
      <c r="AI118" s="102"/>
      <c r="AJ118" s="102"/>
      <c r="AK118" s="102"/>
      <c r="AL118" s="107"/>
      <c r="AM118" s="102"/>
      <c r="AN118" s="102"/>
      <c r="AO118" s="102"/>
      <c r="AP118" s="107"/>
      <c r="AQ118" s="102"/>
      <c r="AR118" s="102"/>
      <c r="AS118" s="102"/>
      <c r="AT118" s="107"/>
      <c r="AU118" s="102"/>
      <c r="AV118" s="102"/>
      <c r="AW118" s="102"/>
      <c r="AX118" s="107"/>
      <c r="AY118" s="102"/>
      <c r="AZ118" s="102"/>
      <c r="BA118" s="102"/>
      <c r="BB118" s="102"/>
      <c r="BC118" s="102"/>
      <c r="BD118" s="102"/>
      <c r="BE118" s="102"/>
      <c r="BF118" s="102"/>
      <c r="BG118" s="102"/>
      <c r="BH118" s="102"/>
      <c r="BI118" s="102"/>
      <c r="BJ118" s="102"/>
      <c r="BK118" s="102"/>
      <c r="BL118" s="102"/>
      <c r="BM118" s="102"/>
      <c r="BN118" s="102"/>
      <c r="BO118" s="102"/>
      <c r="BP118" s="102"/>
      <c r="BQ118" s="102"/>
      <c r="BR118" s="102"/>
      <c r="BS118" s="102"/>
      <c r="BT118" s="102"/>
      <c r="BU118" s="102"/>
      <c r="BV118" s="102"/>
      <c r="BW118" s="102"/>
      <c r="BX118" s="102"/>
      <c r="BY118" s="102"/>
      <c r="BZ118" s="102"/>
      <c r="CA118" s="102"/>
      <c r="CB118" s="102"/>
      <c r="CC118" s="122"/>
      <c r="CD118" s="123">
        <f t="shared" si="80"/>
        <v>0</v>
      </c>
      <c r="CE118" s="102">
        <f t="shared" si="81"/>
        <v>0</v>
      </c>
      <c r="CF118" s="102">
        <f t="shared" si="82"/>
        <v>0</v>
      </c>
      <c r="CG118" s="102">
        <f t="shared" si="83"/>
        <v>0</v>
      </c>
      <c r="CH118" s="124">
        <f t="shared" si="84"/>
        <v>0</v>
      </c>
      <c r="CI118" s="125" t="str">
        <f t="shared" si="85"/>
        <v>-</v>
      </c>
      <c r="CJ118" s="126" t="str">
        <f t="shared" si="86"/>
        <v>数据正确</v>
      </c>
    </row>
    <row r="119" customHeight="1" spans="2:88">
      <c r="B119" s="70" t="str">
        <f t="shared" si="76"/>
        <v>-</v>
      </c>
      <c r="C119" s="71" t="str">
        <f t="shared" si="77"/>
        <v>-</v>
      </c>
      <c r="D119" s="72">
        <f t="shared" si="78"/>
        <v>0</v>
      </c>
      <c r="E119" s="72">
        <v>0</v>
      </c>
      <c r="F119" s="72">
        <v>0</v>
      </c>
      <c r="G119" s="72">
        <v>0</v>
      </c>
      <c r="H119" s="72">
        <v>0</v>
      </c>
      <c r="I119" s="72">
        <f t="shared" si="79"/>
        <v>0</v>
      </c>
      <c r="J119" s="86"/>
      <c r="K119" s="87"/>
      <c r="L119" s="138"/>
      <c r="M119" s="139"/>
      <c r="N119" s="90"/>
      <c r="O119" s="139"/>
      <c r="P119" s="140"/>
      <c r="Q119" s="129"/>
      <c r="R119" s="139"/>
      <c r="S119" s="139"/>
      <c r="T119" s="139"/>
      <c r="U119" s="153"/>
      <c r="V119" s="104"/>
      <c r="W119" s="102"/>
      <c r="X119" s="102"/>
      <c r="Y119" s="129"/>
      <c r="Z119" s="107"/>
      <c r="AA119" s="102"/>
      <c r="AB119" s="102"/>
      <c r="AC119" s="129"/>
      <c r="AD119" s="107"/>
      <c r="AE119" s="102"/>
      <c r="AF119" s="102"/>
      <c r="AG119" s="129"/>
      <c r="AH119" s="107"/>
      <c r="AI119" s="102"/>
      <c r="AJ119" s="102"/>
      <c r="AK119" s="102"/>
      <c r="AL119" s="107"/>
      <c r="AM119" s="102"/>
      <c r="AN119" s="102"/>
      <c r="AO119" s="102"/>
      <c r="AP119" s="107"/>
      <c r="AQ119" s="102"/>
      <c r="AR119" s="102"/>
      <c r="AS119" s="102"/>
      <c r="AT119" s="107"/>
      <c r="AU119" s="102"/>
      <c r="AV119" s="102"/>
      <c r="AW119" s="102"/>
      <c r="AX119" s="107"/>
      <c r="AY119" s="102"/>
      <c r="AZ119" s="102"/>
      <c r="BA119" s="102"/>
      <c r="BB119" s="102"/>
      <c r="BC119" s="102"/>
      <c r="BD119" s="102"/>
      <c r="BE119" s="102"/>
      <c r="BF119" s="102"/>
      <c r="BG119" s="102"/>
      <c r="BH119" s="102"/>
      <c r="BI119" s="102"/>
      <c r="BJ119" s="102"/>
      <c r="BK119" s="102"/>
      <c r="BL119" s="102"/>
      <c r="BM119" s="102"/>
      <c r="BN119" s="102"/>
      <c r="BO119" s="102"/>
      <c r="BP119" s="102"/>
      <c r="BQ119" s="102"/>
      <c r="BR119" s="102"/>
      <c r="BS119" s="102"/>
      <c r="BT119" s="102"/>
      <c r="BU119" s="102"/>
      <c r="BV119" s="102"/>
      <c r="BW119" s="102"/>
      <c r="BX119" s="102"/>
      <c r="BY119" s="102"/>
      <c r="BZ119" s="102"/>
      <c r="CA119" s="102"/>
      <c r="CB119" s="102"/>
      <c r="CC119" s="122"/>
      <c r="CD119" s="123">
        <f t="shared" si="80"/>
        <v>0</v>
      </c>
      <c r="CE119" s="102">
        <f t="shared" si="81"/>
        <v>0</v>
      </c>
      <c r="CF119" s="102">
        <f t="shared" si="82"/>
        <v>0</v>
      </c>
      <c r="CG119" s="102">
        <f t="shared" si="83"/>
        <v>0</v>
      </c>
      <c r="CH119" s="124">
        <f t="shared" si="84"/>
        <v>0</v>
      </c>
      <c r="CI119" s="125" t="str">
        <f t="shared" si="85"/>
        <v>-</v>
      </c>
      <c r="CJ119" s="126" t="str">
        <f t="shared" si="86"/>
        <v>数据正确</v>
      </c>
    </row>
    <row r="120" customHeight="1" spans="2:88">
      <c r="B120" s="70" t="str">
        <f t="shared" si="76"/>
        <v>-</v>
      </c>
      <c r="C120" s="71" t="str">
        <f t="shared" si="77"/>
        <v>-</v>
      </c>
      <c r="D120" s="72">
        <f t="shared" si="78"/>
        <v>0</v>
      </c>
      <c r="E120" s="72">
        <v>0</v>
      </c>
      <c r="F120" s="72">
        <v>0</v>
      </c>
      <c r="G120" s="72">
        <v>0</v>
      </c>
      <c r="H120" s="72">
        <v>0</v>
      </c>
      <c r="I120" s="72">
        <f t="shared" si="79"/>
        <v>0</v>
      </c>
      <c r="J120" s="86"/>
      <c r="K120" s="87"/>
      <c r="L120" s="138"/>
      <c r="M120" s="139"/>
      <c r="N120" s="90"/>
      <c r="O120" s="139"/>
      <c r="P120" s="140"/>
      <c r="Q120" s="129"/>
      <c r="R120" s="139"/>
      <c r="S120" s="139"/>
      <c r="T120" s="139"/>
      <c r="U120" s="153"/>
      <c r="V120" s="104"/>
      <c r="W120" s="102"/>
      <c r="X120" s="102"/>
      <c r="Y120" s="129"/>
      <c r="Z120" s="107"/>
      <c r="AA120" s="102"/>
      <c r="AB120" s="102"/>
      <c r="AC120" s="129"/>
      <c r="AD120" s="107"/>
      <c r="AE120" s="102"/>
      <c r="AF120" s="102"/>
      <c r="AG120" s="129"/>
      <c r="AH120" s="107"/>
      <c r="AI120" s="102"/>
      <c r="AJ120" s="102"/>
      <c r="AK120" s="102"/>
      <c r="AL120" s="107"/>
      <c r="AM120" s="102"/>
      <c r="AN120" s="102"/>
      <c r="AO120" s="102"/>
      <c r="AP120" s="107"/>
      <c r="AQ120" s="102"/>
      <c r="AR120" s="102"/>
      <c r="AS120" s="102"/>
      <c r="AT120" s="107"/>
      <c r="AU120" s="102"/>
      <c r="AV120" s="102"/>
      <c r="AW120" s="102"/>
      <c r="AX120" s="107"/>
      <c r="AY120" s="102"/>
      <c r="AZ120" s="102"/>
      <c r="BA120" s="102"/>
      <c r="BB120" s="102"/>
      <c r="BC120" s="102"/>
      <c r="BD120" s="102"/>
      <c r="BE120" s="102"/>
      <c r="BF120" s="102"/>
      <c r="BG120" s="102"/>
      <c r="BH120" s="102"/>
      <c r="BI120" s="102"/>
      <c r="BJ120" s="102"/>
      <c r="BK120" s="102"/>
      <c r="BL120" s="102"/>
      <c r="BM120" s="102"/>
      <c r="BN120" s="102"/>
      <c r="BO120" s="102"/>
      <c r="BP120" s="102"/>
      <c r="BQ120" s="102"/>
      <c r="BR120" s="102"/>
      <c r="BS120" s="102"/>
      <c r="BT120" s="102"/>
      <c r="BU120" s="102"/>
      <c r="BV120" s="102"/>
      <c r="BW120" s="102"/>
      <c r="BX120" s="102"/>
      <c r="BY120" s="102"/>
      <c r="BZ120" s="102"/>
      <c r="CA120" s="102"/>
      <c r="CB120" s="102"/>
      <c r="CC120" s="122"/>
      <c r="CD120" s="123">
        <f t="shared" si="80"/>
        <v>0</v>
      </c>
      <c r="CE120" s="102">
        <f t="shared" si="81"/>
        <v>0</v>
      </c>
      <c r="CF120" s="102">
        <f t="shared" si="82"/>
        <v>0</v>
      </c>
      <c r="CG120" s="102">
        <f t="shared" si="83"/>
        <v>0</v>
      </c>
      <c r="CH120" s="124">
        <f t="shared" si="84"/>
        <v>0</v>
      </c>
      <c r="CI120" s="125" t="str">
        <f t="shared" si="85"/>
        <v>-</v>
      </c>
      <c r="CJ120" s="126" t="str">
        <f t="shared" si="86"/>
        <v>数据正确</v>
      </c>
    </row>
    <row r="121" customHeight="1" spans="2:88">
      <c r="B121" s="70" t="str">
        <f t="shared" si="76"/>
        <v>-</v>
      </c>
      <c r="C121" s="71" t="str">
        <f t="shared" si="77"/>
        <v>-</v>
      </c>
      <c r="D121" s="72">
        <f t="shared" si="78"/>
        <v>0</v>
      </c>
      <c r="E121" s="72">
        <v>0</v>
      </c>
      <c r="F121" s="72">
        <v>0</v>
      </c>
      <c r="G121" s="72">
        <v>0</v>
      </c>
      <c r="H121" s="72">
        <v>0</v>
      </c>
      <c r="I121" s="72">
        <f t="shared" si="79"/>
        <v>0</v>
      </c>
      <c r="J121" s="86"/>
      <c r="K121" s="87"/>
      <c r="L121" s="138"/>
      <c r="M121" s="139"/>
      <c r="N121" s="90"/>
      <c r="O121" s="139"/>
      <c r="P121" s="140"/>
      <c r="Q121" s="129"/>
      <c r="R121" s="139"/>
      <c r="S121" s="139"/>
      <c r="T121" s="139"/>
      <c r="U121" s="153"/>
      <c r="V121" s="104"/>
      <c r="W121" s="102"/>
      <c r="X121" s="102"/>
      <c r="Y121" s="129"/>
      <c r="Z121" s="107"/>
      <c r="AA121" s="102"/>
      <c r="AB121" s="102"/>
      <c r="AC121" s="129"/>
      <c r="AD121" s="107"/>
      <c r="AE121" s="102"/>
      <c r="AF121" s="102"/>
      <c r="AG121" s="129"/>
      <c r="AH121" s="107"/>
      <c r="AI121" s="102"/>
      <c r="AJ121" s="102"/>
      <c r="AK121" s="102"/>
      <c r="AL121" s="107"/>
      <c r="AM121" s="102"/>
      <c r="AN121" s="102"/>
      <c r="AO121" s="102"/>
      <c r="AP121" s="107"/>
      <c r="AQ121" s="102"/>
      <c r="AR121" s="102"/>
      <c r="AS121" s="102"/>
      <c r="AT121" s="107"/>
      <c r="AU121" s="102"/>
      <c r="AV121" s="102"/>
      <c r="AW121" s="102"/>
      <c r="AX121" s="107"/>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22"/>
      <c r="CD121" s="123">
        <f t="shared" si="80"/>
        <v>0</v>
      </c>
      <c r="CE121" s="102">
        <f t="shared" si="81"/>
        <v>0</v>
      </c>
      <c r="CF121" s="102">
        <f t="shared" si="82"/>
        <v>0</v>
      </c>
      <c r="CG121" s="102">
        <f t="shared" si="83"/>
        <v>0</v>
      </c>
      <c r="CH121" s="124">
        <f t="shared" si="84"/>
        <v>0</v>
      </c>
      <c r="CI121" s="125" t="str">
        <f t="shared" si="85"/>
        <v>-</v>
      </c>
      <c r="CJ121" s="126" t="str">
        <f t="shared" si="86"/>
        <v>数据正确</v>
      </c>
    </row>
    <row r="122" customHeight="1" spans="2:88">
      <c r="B122" s="70" t="str">
        <f t="shared" si="76"/>
        <v>-</v>
      </c>
      <c r="C122" s="71" t="str">
        <f t="shared" si="77"/>
        <v>-</v>
      </c>
      <c r="D122" s="72">
        <f t="shared" si="78"/>
        <v>0</v>
      </c>
      <c r="E122" s="72">
        <v>0</v>
      </c>
      <c r="F122" s="72">
        <v>0</v>
      </c>
      <c r="G122" s="72">
        <v>0</v>
      </c>
      <c r="H122" s="72">
        <v>0</v>
      </c>
      <c r="I122" s="72">
        <f t="shared" si="79"/>
        <v>0</v>
      </c>
      <c r="J122" s="86"/>
      <c r="K122" s="87"/>
      <c r="L122" s="138"/>
      <c r="M122" s="139"/>
      <c r="N122" s="90"/>
      <c r="O122" s="139"/>
      <c r="P122" s="140"/>
      <c r="Q122" s="129"/>
      <c r="R122" s="139"/>
      <c r="S122" s="139"/>
      <c r="T122" s="139"/>
      <c r="U122" s="153"/>
      <c r="V122" s="104"/>
      <c r="W122" s="102"/>
      <c r="X122" s="102"/>
      <c r="Y122" s="129"/>
      <c r="Z122" s="107"/>
      <c r="AA122" s="102"/>
      <c r="AB122" s="102"/>
      <c r="AC122" s="129"/>
      <c r="AD122" s="107"/>
      <c r="AE122" s="102"/>
      <c r="AF122" s="102"/>
      <c r="AG122" s="129"/>
      <c r="AH122" s="107"/>
      <c r="AI122" s="102"/>
      <c r="AJ122" s="102"/>
      <c r="AK122" s="102"/>
      <c r="AL122" s="107"/>
      <c r="AM122" s="102"/>
      <c r="AN122" s="102"/>
      <c r="AO122" s="102"/>
      <c r="AP122" s="107"/>
      <c r="AQ122" s="102"/>
      <c r="AR122" s="102"/>
      <c r="AS122" s="102"/>
      <c r="AT122" s="107"/>
      <c r="AU122" s="102"/>
      <c r="AV122" s="102"/>
      <c r="AW122" s="102"/>
      <c r="AX122" s="107"/>
      <c r="AY122" s="102"/>
      <c r="AZ122" s="102"/>
      <c r="BA122" s="102"/>
      <c r="BB122" s="102"/>
      <c r="BC122" s="102"/>
      <c r="BD122" s="102"/>
      <c r="BE122" s="102"/>
      <c r="BF122" s="102"/>
      <c r="BG122" s="102"/>
      <c r="BH122" s="102"/>
      <c r="BI122" s="102"/>
      <c r="BJ122" s="102"/>
      <c r="BK122" s="102"/>
      <c r="BL122" s="102"/>
      <c r="BM122" s="102"/>
      <c r="BN122" s="102"/>
      <c r="BO122" s="102"/>
      <c r="BP122" s="102"/>
      <c r="BQ122" s="102"/>
      <c r="BR122" s="102"/>
      <c r="BS122" s="102"/>
      <c r="BT122" s="102"/>
      <c r="BU122" s="102"/>
      <c r="BV122" s="102"/>
      <c r="BW122" s="102"/>
      <c r="BX122" s="102"/>
      <c r="BY122" s="102"/>
      <c r="BZ122" s="102"/>
      <c r="CA122" s="102"/>
      <c r="CB122" s="102"/>
      <c r="CC122" s="122"/>
      <c r="CD122" s="123">
        <f t="shared" si="80"/>
        <v>0</v>
      </c>
      <c r="CE122" s="102">
        <f t="shared" si="81"/>
        <v>0</v>
      </c>
      <c r="CF122" s="102">
        <f t="shared" si="82"/>
        <v>0</v>
      </c>
      <c r="CG122" s="102">
        <f t="shared" si="83"/>
        <v>0</v>
      </c>
      <c r="CH122" s="124">
        <f t="shared" si="84"/>
        <v>0</v>
      </c>
      <c r="CI122" s="125" t="str">
        <f t="shared" si="85"/>
        <v>-</v>
      </c>
      <c r="CJ122" s="126" t="str">
        <f t="shared" si="86"/>
        <v>数据正确</v>
      </c>
    </row>
    <row r="123" customHeight="1" spans="2:88">
      <c r="B123" s="70" t="str">
        <f t="shared" si="76"/>
        <v>-</v>
      </c>
      <c r="C123" s="71" t="str">
        <f t="shared" si="77"/>
        <v>-</v>
      </c>
      <c r="D123" s="72">
        <f t="shared" si="78"/>
        <v>0</v>
      </c>
      <c r="E123" s="72">
        <v>0</v>
      </c>
      <c r="F123" s="72">
        <v>0</v>
      </c>
      <c r="G123" s="72">
        <v>0</v>
      </c>
      <c r="H123" s="72">
        <v>0</v>
      </c>
      <c r="I123" s="72">
        <f t="shared" si="79"/>
        <v>0</v>
      </c>
      <c r="J123" s="86"/>
      <c r="K123" s="87"/>
      <c r="L123" s="138"/>
      <c r="M123" s="139"/>
      <c r="N123" s="90"/>
      <c r="O123" s="139"/>
      <c r="P123" s="140"/>
      <c r="Q123" s="129"/>
      <c r="R123" s="139"/>
      <c r="S123" s="139"/>
      <c r="T123" s="139"/>
      <c r="U123" s="153"/>
      <c r="V123" s="104"/>
      <c r="W123" s="102"/>
      <c r="X123" s="102"/>
      <c r="Y123" s="129"/>
      <c r="Z123" s="107"/>
      <c r="AA123" s="102"/>
      <c r="AB123" s="102"/>
      <c r="AC123" s="129"/>
      <c r="AD123" s="107"/>
      <c r="AE123" s="102"/>
      <c r="AF123" s="102"/>
      <c r="AG123" s="129"/>
      <c r="AH123" s="107"/>
      <c r="AI123" s="102"/>
      <c r="AJ123" s="102"/>
      <c r="AK123" s="102"/>
      <c r="AL123" s="107"/>
      <c r="AM123" s="102"/>
      <c r="AN123" s="102"/>
      <c r="AO123" s="102"/>
      <c r="AP123" s="107"/>
      <c r="AQ123" s="102"/>
      <c r="AR123" s="102"/>
      <c r="AS123" s="102"/>
      <c r="AT123" s="107"/>
      <c r="AU123" s="102"/>
      <c r="AV123" s="102"/>
      <c r="AW123" s="102"/>
      <c r="AX123" s="107"/>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22"/>
      <c r="CD123" s="123">
        <f t="shared" si="80"/>
        <v>0</v>
      </c>
      <c r="CE123" s="102">
        <f t="shared" si="81"/>
        <v>0</v>
      </c>
      <c r="CF123" s="102">
        <f t="shared" si="82"/>
        <v>0</v>
      </c>
      <c r="CG123" s="102">
        <f t="shared" si="83"/>
        <v>0</v>
      </c>
      <c r="CH123" s="124">
        <f t="shared" si="84"/>
        <v>0</v>
      </c>
      <c r="CI123" s="125" t="str">
        <f t="shared" si="85"/>
        <v>-</v>
      </c>
      <c r="CJ123" s="126" t="str">
        <f t="shared" si="86"/>
        <v>数据正确</v>
      </c>
    </row>
    <row r="124" customHeight="1" spans="2:88">
      <c r="B124" s="70" t="str">
        <f t="shared" si="76"/>
        <v>-</v>
      </c>
      <c r="C124" s="71" t="str">
        <f t="shared" si="77"/>
        <v>-</v>
      </c>
      <c r="D124" s="72">
        <f t="shared" si="78"/>
        <v>0</v>
      </c>
      <c r="E124" s="72">
        <v>0</v>
      </c>
      <c r="F124" s="72">
        <v>0</v>
      </c>
      <c r="G124" s="72">
        <v>0</v>
      </c>
      <c r="H124" s="72">
        <v>0</v>
      </c>
      <c r="I124" s="72">
        <f t="shared" si="79"/>
        <v>0</v>
      </c>
      <c r="J124" s="86"/>
      <c r="K124" s="87"/>
      <c r="L124" s="138"/>
      <c r="M124" s="139"/>
      <c r="N124" s="90"/>
      <c r="O124" s="139"/>
      <c r="P124" s="140"/>
      <c r="Q124" s="129"/>
      <c r="R124" s="139"/>
      <c r="S124" s="139"/>
      <c r="T124" s="139"/>
      <c r="U124" s="153"/>
      <c r="V124" s="104"/>
      <c r="W124" s="102"/>
      <c r="X124" s="102"/>
      <c r="Y124" s="129"/>
      <c r="Z124" s="107"/>
      <c r="AA124" s="102"/>
      <c r="AB124" s="102"/>
      <c r="AC124" s="129"/>
      <c r="AD124" s="107"/>
      <c r="AE124" s="102"/>
      <c r="AF124" s="102"/>
      <c r="AG124" s="129"/>
      <c r="AH124" s="107"/>
      <c r="AI124" s="102"/>
      <c r="AJ124" s="102"/>
      <c r="AK124" s="102"/>
      <c r="AL124" s="107"/>
      <c r="AM124" s="102"/>
      <c r="AN124" s="102"/>
      <c r="AO124" s="102"/>
      <c r="AP124" s="107"/>
      <c r="AQ124" s="102"/>
      <c r="AR124" s="102"/>
      <c r="AS124" s="102"/>
      <c r="AT124" s="107"/>
      <c r="AU124" s="102"/>
      <c r="AV124" s="102"/>
      <c r="AW124" s="102"/>
      <c r="AX124" s="107"/>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22"/>
      <c r="CD124" s="123">
        <f t="shared" si="80"/>
        <v>0</v>
      </c>
      <c r="CE124" s="102">
        <f t="shared" si="81"/>
        <v>0</v>
      </c>
      <c r="CF124" s="102">
        <f t="shared" si="82"/>
        <v>0</v>
      </c>
      <c r="CG124" s="102">
        <f t="shared" si="83"/>
        <v>0</v>
      </c>
      <c r="CH124" s="124">
        <f t="shared" si="84"/>
        <v>0</v>
      </c>
      <c r="CI124" s="125" t="str">
        <f t="shared" si="85"/>
        <v>-</v>
      </c>
      <c r="CJ124" s="126" t="str">
        <f t="shared" si="86"/>
        <v>数据正确</v>
      </c>
    </row>
    <row r="125" customHeight="1" spans="2:88">
      <c r="B125" s="70" t="str">
        <f t="shared" si="76"/>
        <v>-</v>
      </c>
      <c r="C125" s="71" t="str">
        <f t="shared" si="77"/>
        <v>-</v>
      </c>
      <c r="D125" s="72">
        <f t="shared" si="78"/>
        <v>0</v>
      </c>
      <c r="E125" s="72">
        <v>0</v>
      </c>
      <c r="F125" s="72">
        <v>0</v>
      </c>
      <c r="G125" s="72">
        <v>0</v>
      </c>
      <c r="H125" s="72">
        <v>0</v>
      </c>
      <c r="I125" s="72">
        <f t="shared" si="79"/>
        <v>0</v>
      </c>
      <c r="J125" s="86"/>
      <c r="K125" s="87"/>
      <c r="L125" s="138"/>
      <c r="M125" s="139"/>
      <c r="N125" s="90"/>
      <c r="O125" s="139"/>
      <c r="P125" s="140"/>
      <c r="Q125" s="129"/>
      <c r="R125" s="139"/>
      <c r="S125" s="139"/>
      <c r="T125" s="139"/>
      <c r="U125" s="153"/>
      <c r="V125" s="104"/>
      <c r="W125" s="102"/>
      <c r="X125" s="102"/>
      <c r="Y125" s="129"/>
      <c r="Z125" s="107"/>
      <c r="AA125" s="102"/>
      <c r="AB125" s="102"/>
      <c r="AC125" s="129"/>
      <c r="AD125" s="107"/>
      <c r="AE125" s="102"/>
      <c r="AF125" s="102"/>
      <c r="AG125" s="129"/>
      <c r="AH125" s="107"/>
      <c r="AI125" s="102"/>
      <c r="AJ125" s="102"/>
      <c r="AK125" s="102"/>
      <c r="AL125" s="107"/>
      <c r="AM125" s="102"/>
      <c r="AN125" s="102"/>
      <c r="AO125" s="102"/>
      <c r="AP125" s="107"/>
      <c r="AQ125" s="102"/>
      <c r="AR125" s="102"/>
      <c r="AS125" s="102"/>
      <c r="AT125" s="107"/>
      <c r="AU125" s="102"/>
      <c r="AV125" s="102"/>
      <c r="AW125" s="102"/>
      <c r="AX125" s="107"/>
      <c r="AY125" s="102"/>
      <c r="AZ125" s="102"/>
      <c r="BA125" s="102"/>
      <c r="BB125" s="102"/>
      <c r="BC125" s="102"/>
      <c r="BD125" s="102"/>
      <c r="BE125" s="102"/>
      <c r="BF125" s="102"/>
      <c r="BG125" s="102"/>
      <c r="BH125" s="102"/>
      <c r="BI125" s="102"/>
      <c r="BJ125" s="102"/>
      <c r="BK125" s="102"/>
      <c r="BL125" s="102"/>
      <c r="BM125" s="102"/>
      <c r="BN125" s="102"/>
      <c r="BO125" s="102"/>
      <c r="BP125" s="102"/>
      <c r="BQ125" s="102"/>
      <c r="BR125" s="102"/>
      <c r="BS125" s="102"/>
      <c r="BT125" s="102"/>
      <c r="BU125" s="102"/>
      <c r="BV125" s="102"/>
      <c r="BW125" s="102"/>
      <c r="BX125" s="102"/>
      <c r="BY125" s="102"/>
      <c r="BZ125" s="102"/>
      <c r="CA125" s="102"/>
      <c r="CB125" s="102"/>
      <c r="CC125" s="122"/>
      <c r="CD125" s="123">
        <f t="shared" si="80"/>
        <v>0</v>
      </c>
      <c r="CE125" s="102">
        <f t="shared" si="81"/>
        <v>0</v>
      </c>
      <c r="CF125" s="102">
        <f t="shared" si="82"/>
        <v>0</v>
      </c>
      <c r="CG125" s="102">
        <f t="shared" si="83"/>
        <v>0</v>
      </c>
      <c r="CH125" s="124">
        <f t="shared" si="84"/>
        <v>0</v>
      </c>
      <c r="CI125" s="125" t="str">
        <f t="shared" si="85"/>
        <v>-</v>
      </c>
      <c r="CJ125" s="126" t="str">
        <f t="shared" si="86"/>
        <v>数据正确</v>
      </c>
    </row>
    <row r="126" customHeight="1" spans="2:88">
      <c r="B126" s="70" t="str">
        <f t="shared" si="76"/>
        <v>-</v>
      </c>
      <c r="C126" s="71" t="str">
        <f t="shared" si="77"/>
        <v>-</v>
      </c>
      <c r="D126" s="72">
        <f t="shared" si="78"/>
        <v>0</v>
      </c>
      <c r="E126" s="72">
        <v>0</v>
      </c>
      <c r="F126" s="72">
        <v>0</v>
      </c>
      <c r="G126" s="72">
        <v>0</v>
      </c>
      <c r="H126" s="72">
        <v>0</v>
      </c>
      <c r="I126" s="72">
        <f t="shared" si="79"/>
        <v>0</v>
      </c>
      <c r="J126" s="86"/>
      <c r="K126" s="87"/>
      <c r="L126" s="138"/>
      <c r="M126" s="139"/>
      <c r="N126" s="90"/>
      <c r="O126" s="139"/>
      <c r="P126" s="140"/>
      <c r="Q126" s="129"/>
      <c r="R126" s="139"/>
      <c r="S126" s="139"/>
      <c r="T126" s="139"/>
      <c r="U126" s="153"/>
      <c r="V126" s="104"/>
      <c r="W126" s="102"/>
      <c r="X126" s="102"/>
      <c r="Y126" s="129"/>
      <c r="Z126" s="107"/>
      <c r="AA126" s="102"/>
      <c r="AB126" s="102"/>
      <c r="AC126" s="129"/>
      <c r="AD126" s="107"/>
      <c r="AE126" s="102"/>
      <c r="AF126" s="102"/>
      <c r="AG126" s="129"/>
      <c r="AH126" s="107"/>
      <c r="AI126" s="102"/>
      <c r="AJ126" s="102"/>
      <c r="AK126" s="102"/>
      <c r="AL126" s="107"/>
      <c r="AM126" s="102"/>
      <c r="AN126" s="102"/>
      <c r="AO126" s="102"/>
      <c r="AP126" s="107"/>
      <c r="AQ126" s="102"/>
      <c r="AR126" s="102"/>
      <c r="AS126" s="102"/>
      <c r="AT126" s="107"/>
      <c r="AU126" s="102"/>
      <c r="AV126" s="102"/>
      <c r="AW126" s="102"/>
      <c r="AX126" s="107"/>
      <c r="AY126" s="102"/>
      <c r="AZ126" s="102"/>
      <c r="BA126" s="102"/>
      <c r="BB126" s="102"/>
      <c r="BC126" s="102"/>
      <c r="BD126" s="102"/>
      <c r="BE126" s="102"/>
      <c r="BF126" s="102"/>
      <c r="BG126" s="102"/>
      <c r="BH126" s="102"/>
      <c r="BI126" s="102"/>
      <c r="BJ126" s="102"/>
      <c r="BK126" s="102"/>
      <c r="BL126" s="102"/>
      <c r="BM126" s="102"/>
      <c r="BN126" s="102"/>
      <c r="BO126" s="102"/>
      <c r="BP126" s="102"/>
      <c r="BQ126" s="102"/>
      <c r="BR126" s="102"/>
      <c r="BS126" s="102"/>
      <c r="BT126" s="102"/>
      <c r="BU126" s="102"/>
      <c r="BV126" s="102"/>
      <c r="BW126" s="102"/>
      <c r="BX126" s="102"/>
      <c r="BY126" s="102"/>
      <c r="BZ126" s="102"/>
      <c r="CA126" s="102"/>
      <c r="CB126" s="102"/>
      <c r="CC126" s="122"/>
      <c r="CD126" s="123">
        <f t="shared" si="80"/>
        <v>0</v>
      </c>
      <c r="CE126" s="102">
        <f t="shared" si="81"/>
        <v>0</v>
      </c>
      <c r="CF126" s="102">
        <f t="shared" si="82"/>
        <v>0</v>
      </c>
      <c r="CG126" s="102">
        <f t="shared" si="83"/>
        <v>0</v>
      </c>
      <c r="CH126" s="124">
        <f t="shared" si="84"/>
        <v>0</v>
      </c>
      <c r="CI126" s="125" t="str">
        <f t="shared" si="85"/>
        <v>-</v>
      </c>
      <c r="CJ126" s="126" t="str">
        <f t="shared" si="86"/>
        <v>数据正确</v>
      </c>
    </row>
    <row r="127" customHeight="1" spans="2:88">
      <c r="B127" s="70" t="str">
        <f t="shared" si="76"/>
        <v>-</v>
      </c>
      <c r="C127" s="71" t="str">
        <f t="shared" si="77"/>
        <v>-</v>
      </c>
      <c r="D127" s="72">
        <f t="shared" si="78"/>
        <v>0</v>
      </c>
      <c r="E127" s="72">
        <v>0</v>
      </c>
      <c r="F127" s="72">
        <v>0</v>
      </c>
      <c r="G127" s="72">
        <v>0</v>
      </c>
      <c r="H127" s="72">
        <v>0</v>
      </c>
      <c r="I127" s="72">
        <f t="shared" si="79"/>
        <v>0</v>
      </c>
      <c r="J127" s="86"/>
      <c r="K127" s="87"/>
      <c r="L127" s="138"/>
      <c r="M127" s="139"/>
      <c r="N127" s="90"/>
      <c r="O127" s="139"/>
      <c r="P127" s="140"/>
      <c r="Q127" s="129"/>
      <c r="R127" s="139"/>
      <c r="S127" s="139"/>
      <c r="T127" s="139"/>
      <c r="U127" s="153"/>
      <c r="V127" s="104"/>
      <c r="W127" s="102"/>
      <c r="X127" s="102"/>
      <c r="Y127" s="129"/>
      <c r="Z127" s="107"/>
      <c r="AA127" s="102"/>
      <c r="AB127" s="102"/>
      <c r="AC127" s="129"/>
      <c r="AD127" s="107"/>
      <c r="AE127" s="102"/>
      <c r="AF127" s="102"/>
      <c r="AG127" s="129"/>
      <c r="AH127" s="107"/>
      <c r="AI127" s="102"/>
      <c r="AJ127" s="102"/>
      <c r="AK127" s="102"/>
      <c r="AL127" s="107"/>
      <c r="AM127" s="102"/>
      <c r="AN127" s="102"/>
      <c r="AO127" s="102"/>
      <c r="AP127" s="107"/>
      <c r="AQ127" s="102"/>
      <c r="AR127" s="102"/>
      <c r="AS127" s="102"/>
      <c r="AT127" s="107"/>
      <c r="AU127" s="102"/>
      <c r="AV127" s="102"/>
      <c r="AW127" s="102"/>
      <c r="AX127" s="107"/>
      <c r="AY127" s="102"/>
      <c r="AZ127" s="102"/>
      <c r="BA127" s="102"/>
      <c r="BB127" s="102"/>
      <c r="BC127" s="102"/>
      <c r="BD127" s="102"/>
      <c r="BE127" s="102"/>
      <c r="BF127" s="102"/>
      <c r="BG127" s="102"/>
      <c r="BH127" s="102"/>
      <c r="BI127" s="102"/>
      <c r="BJ127" s="102"/>
      <c r="BK127" s="102"/>
      <c r="BL127" s="102"/>
      <c r="BM127" s="102"/>
      <c r="BN127" s="102"/>
      <c r="BO127" s="102"/>
      <c r="BP127" s="102"/>
      <c r="BQ127" s="102"/>
      <c r="BR127" s="102"/>
      <c r="BS127" s="102"/>
      <c r="BT127" s="102"/>
      <c r="BU127" s="102"/>
      <c r="BV127" s="102"/>
      <c r="BW127" s="102"/>
      <c r="BX127" s="102"/>
      <c r="BY127" s="102"/>
      <c r="BZ127" s="102"/>
      <c r="CA127" s="102"/>
      <c r="CB127" s="102"/>
      <c r="CC127" s="122"/>
      <c r="CD127" s="123">
        <f t="shared" si="80"/>
        <v>0</v>
      </c>
      <c r="CE127" s="102">
        <f t="shared" si="81"/>
        <v>0</v>
      </c>
      <c r="CF127" s="102">
        <f t="shared" si="82"/>
        <v>0</v>
      </c>
      <c r="CG127" s="102">
        <f t="shared" si="83"/>
        <v>0</v>
      </c>
      <c r="CH127" s="124">
        <f t="shared" si="84"/>
        <v>0</v>
      </c>
      <c r="CI127" s="125" t="str">
        <f t="shared" si="85"/>
        <v>-</v>
      </c>
      <c r="CJ127" s="126" t="str">
        <f t="shared" si="86"/>
        <v>数据正确</v>
      </c>
    </row>
  </sheetData>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75" right="0.75" top="1" bottom="1" header="0.511805555555556" footer="0.511805555555556"/>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76"/>
  <sheetViews>
    <sheetView workbookViewId="0">
      <pane ySplit="5" topLeftCell="A6" activePane="bottomLeft" state="frozen"/>
      <selection/>
      <selection pane="bottomLeft" activeCell="E67" sqref="E67"/>
    </sheetView>
  </sheetViews>
  <sheetFormatPr defaultColWidth="9" defaultRowHeight="18" customHeight="1"/>
  <cols>
    <col min="1" max="1" width="4.125" customWidth="1"/>
    <col min="2" max="2" width="5.25" style="61" customWidth="1"/>
    <col min="3" max="3" width="5.25" customWidth="1"/>
    <col min="4" max="4" width="13.5" customWidth="1"/>
    <col min="5" max="5" width="10.375" customWidth="1"/>
    <col min="6" max="6" width="8.875" customWidth="1"/>
    <col min="7" max="7" width="9" customWidth="1"/>
    <col min="8" max="8" width="10.125" customWidth="1"/>
    <col min="9" max="9" width="14.5" customWidth="1"/>
    <col min="10" max="10" width="5.875" customWidth="1"/>
    <col min="11" max="11" width="0.75" style="60" customWidth="1"/>
    <col min="12" max="12" width="5.25" customWidth="1"/>
    <col min="13" max="13" width="11.25" customWidth="1"/>
    <col min="14" max="14" width="11.125"/>
    <col min="15" max="15" width="10.5" style="131" customWidth="1"/>
    <col min="16" max="16" width="11.25" customWidth="1"/>
    <col min="17" max="17" width="16" customWidth="1"/>
    <col min="18" max="18" width="22.5" customWidth="1"/>
    <col min="19" max="19" width="27.625" customWidth="1"/>
    <col min="20" max="21" width="11.125"/>
    <col min="22" max="22" width="28.25" customWidth="1"/>
    <col min="23" max="25" width="16" customWidth="1"/>
    <col min="26" max="26" width="12.875" customWidth="1"/>
    <col min="27" max="27" width="14" customWidth="1"/>
    <col min="28" max="29" width="15" customWidth="1"/>
    <col min="30" max="30" width="9.625" customWidth="1"/>
    <col min="31" max="31" width="15" customWidth="1"/>
    <col min="32" max="33" width="14" customWidth="1"/>
    <col min="34" max="34" width="11" customWidth="1"/>
    <col min="35" max="35" width="15" customWidth="1"/>
    <col min="36" max="37" width="9.625" customWidth="1"/>
    <col min="38" max="38" width="7.125" customWidth="1"/>
    <col min="39" max="39" width="15" customWidth="1"/>
    <col min="40" max="41" width="9.625" customWidth="1"/>
    <col min="42" max="42" width="7.125" customWidth="1"/>
    <col min="43" max="43" width="15" customWidth="1"/>
    <col min="44" max="45" width="9.625" customWidth="1"/>
    <col min="46" max="46" width="7.125" customWidth="1"/>
    <col min="47" max="47" width="15" customWidth="1"/>
    <col min="48" max="49" width="9.625" customWidth="1"/>
    <col min="50" max="50" width="13.375" customWidth="1"/>
    <col min="51" max="51" width="15" customWidth="1"/>
    <col min="52" max="53" width="9.625" customWidth="1"/>
    <col min="54" max="54" width="7.125" customWidth="1"/>
    <col min="55" max="55" width="8" customWidth="1"/>
    <col min="56" max="57" width="9.625" customWidth="1"/>
    <col min="58" max="58" width="7.125" customWidth="1"/>
    <col min="59" max="59" width="8" customWidth="1"/>
    <col min="60" max="61" width="9.625" customWidth="1"/>
    <col min="62" max="62" width="7.125" customWidth="1"/>
    <col min="63" max="63" width="8" customWidth="1"/>
    <col min="64" max="65" width="9.625" customWidth="1"/>
    <col min="66" max="66" width="7.125" customWidth="1"/>
    <col min="67" max="67" width="8" customWidth="1"/>
    <col min="68" max="69" width="9.625" customWidth="1"/>
    <col min="70" max="70" width="7.125" customWidth="1"/>
    <col min="71" max="71" width="8" customWidth="1"/>
    <col min="72" max="73" width="9.625" customWidth="1"/>
    <col min="74" max="74" width="7.125" customWidth="1"/>
    <col min="75" max="75" width="8" customWidth="1"/>
    <col min="76" max="77" width="9.625" customWidth="1"/>
    <col min="78" max="78" width="7.125" customWidth="1"/>
    <col min="79" max="79" width="8" customWidth="1"/>
    <col min="80" max="81" width="9.625" customWidth="1"/>
    <col min="82" max="84" width="16" customWidth="1"/>
    <col min="85" max="85" width="11.25" customWidth="1"/>
    <col min="86" max="86" width="16" customWidth="1"/>
    <col min="87" max="87" width="9.25"/>
  </cols>
  <sheetData>
    <row r="1" customFormat="1" ht="8" customHeight="1" spans="2:15">
      <c r="B1" s="61"/>
      <c r="K1" s="60"/>
      <c r="O1" s="131"/>
    </row>
    <row r="2" s="57" customFormat="1" customHeight="1" spans="2:88">
      <c r="B2" s="62" t="s">
        <v>1557</v>
      </c>
      <c r="C2" s="63"/>
      <c r="D2" s="63"/>
      <c r="E2" s="63"/>
      <c r="F2" s="63"/>
      <c r="G2" s="63"/>
      <c r="H2" s="63"/>
      <c r="I2" s="63"/>
      <c r="J2" s="73"/>
      <c r="K2" s="74"/>
      <c r="L2" s="75" t="s">
        <v>1558</v>
      </c>
      <c r="M2" s="76"/>
      <c r="N2" s="76"/>
      <c r="O2" s="135"/>
      <c r="P2" s="76"/>
      <c r="Q2" s="76"/>
      <c r="R2" s="76"/>
      <c r="S2" s="76"/>
      <c r="T2" s="76"/>
      <c r="U2" s="92"/>
      <c r="V2" s="93" t="s">
        <v>1559</v>
      </c>
      <c r="W2" s="94"/>
      <c r="X2" s="94"/>
      <c r="Y2" s="94"/>
      <c r="Z2" s="94" t="s">
        <v>1559</v>
      </c>
      <c r="AA2" s="94"/>
      <c r="AB2" s="94"/>
      <c r="AC2" s="94"/>
      <c r="AD2" s="94" t="s">
        <v>1559</v>
      </c>
      <c r="AE2" s="94"/>
      <c r="AF2" s="94"/>
      <c r="AG2" s="94"/>
      <c r="AH2" s="94" t="s">
        <v>1559</v>
      </c>
      <c r="AI2" s="94"/>
      <c r="AJ2" s="94"/>
      <c r="AK2" s="94"/>
      <c r="AL2" s="94" t="s">
        <v>1559</v>
      </c>
      <c r="AM2" s="94"/>
      <c r="AN2" s="94"/>
      <c r="AO2" s="94"/>
      <c r="AP2" s="94" t="s">
        <v>1559</v>
      </c>
      <c r="AQ2" s="94"/>
      <c r="AR2" s="94"/>
      <c r="AS2" s="94"/>
      <c r="AT2" s="94" t="s">
        <v>1559</v>
      </c>
      <c r="AU2" s="94"/>
      <c r="AV2" s="94"/>
      <c r="AW2" s="94"/>
      <c r="AX2" s="94" t="s">
        <v>1559</v>
      </c>
      <c r="AY2" s="94"/>
      <c r="AZ2" s="94"/>
      <c r="BA2" s="94"/>
      <c r="BB2" s="94" t="s">
        <v>1559</v>
      </c>
      <c r="BC2" s="94"/>
      <c r="BD2" s="94"/>
      <c r="BE2" s="94"/>
      <c r="BF2" s="94" t="s">
        <v>1559</v>
      </c>
      <c r="BG2" s="94"/>
      <c r="BH2" s="94"/>
      <c r="BI2" s="94"/>
      <c r="BJ2" s="94" t="s">
        <v>1559</v>
      </c>
      <c r="BK2" s="94"/>
      <c r="BL2" s="94"/>
      <c r="BM2" s="94"/>
      <c r="BN2" s="94" t="s">
        <v>1559</v>
      </c>
      <c r="BO2" s="94"/>
      <c r="BP2" s="94"/>
      <c r="BQ2" s="94"/>
      <c r="BR2" s="94" t="s">
        <v>1559</v>
      </c>
      <c r="BS2" s="94"/>
      <c r="BT2" s="94"/>
      <c r="BU2" s="94"/>
      <c r="BV2" s="94" t="s">
        <v>1559</v>
      </c>
      <c r="BW2" s="94"/>
      <c r="BX2" s="94"/>
      <c r="BY2" s="94"/>
      <c r="BZ2" s="94" t="s">
        <v>1559</v>
      </c>
      <c r="CA2" s="94"/>
      <c r="CB2" s="94"/>
      <c r="CC2" s="108"/>
      <c r="CD2" s="109" t="s">
        <v>56</v>
      </c>
      <c r="CE2" s="110"/>
      <c r="CF2" s="110"/>
      <c r="CG2" s="110"/>
      <c r="CH2" s="110"/>
      <c r="CI2" s="110"/>
      <c r="CJ2" s="111"/>
    </row>
    <row r="3" s="58" customFormat="1" ht="20" customHeight="1" spans="2:88">
      <c r="B3" s="64" t="s">
        <v>57</v>
      </c>
      <c r="C3" s="65" t="s">
        <v>58</v>
      </c>
      <c r="D3" s="66" t="s">
        <v>17</v>
      </c>
      <c r="E3" s="66" t="s">
        <v>59</v>
      </c>
      <c r="F3" s="66" t="s">
        <v>60</v>
      </c>
      <c r="G3" s="66" t="s">
        <v>61</v>
      </c>
      <c r="H3" s="66" t="s">
        <v>972</v>
      </c>
      <c r="I3" s="66" t="s">
        <v>325</v>
      </c>
      <c r="J3" s="77" t="s">
        <v>64</v>
      </c>
      <c r="K3" s="78"/>
      <c r="L3" s="79" t="s">
        <v>65</v>
      </c>
      <c r="M3" s="80" t="s">
        <v>65</v>
      </c>
      <c r="N3" s="80" t="s">
        <v>14</v>
      </c>
      <c r="O3" s="136" t="s">
        <v>66</v>
      </c>
      <c r="P3" s="81" t="s">
        <v>67</v>
      </c>
      <c r="Q3" s="85" t="s">
        <v>44</v>
      </c>
      <c r="R3" s="80" t="s">
        <v>68</v>
      </c>
      <c r="S3" s="80" t="s">
        <v>69</v>
      </c>
      <c r="T3" s="80" t="s">
        <v>70</v>
      </c>
      <c r="U3" s="95" t="s">
        <v>71</v>
      </c>
      <c r="V3" s="96" t="s">
        <v>72</v>
      </c>
      <c r="W3" s="97"/>
      <c r="X3" s="97"/>
      <c r="Y3" s="97"/>
      <c r="Z3" s="97" t="s">
        <v>73</v>
      </c>
      <c r="AA3" s="97"/>
      <c r="AB3" s="97"/>
      <c r="AC3" s="97"/>
      <c r="AD3" s="97" t="s">
        <v>74</v>
      </c>
      <c r="AE3" s="97"/>
      <c r="AF3" s="97"/>
      <c r="AG3" s="97"/>
      <c r="AH3" s="97" t="s">
        <v>75</v>
      </c>
      <c r="AI3" s="97"/>
      <c r="AJ3" s="97"/>
      <c r="AK3" s="97"/>
      <c r="AL3" s="97" t="s">
        <v>76</v>
      </c>
      <c r="AM3" s="97"/>
      <c r="AN3" s="97"/>
      <c r="AO3" s="97"/>
      <c r="AP3" s="97" t="s">
        <v>77</v>
      </c>
      <c r="AQ3" s="97"/>
      <c r="AR3" s="97"/>
      <c r="AS3" s="97"/>
      <c r="AT3" s="97" t="s">
        <v>78</v>
      </c>
      <c r="AU3" s="97"/>
      <c r="AV3" s="97"/>
      <c r="AW3" s="97"/>
      <c r="AX3" s="97" t="s">
        <v>79</v>
      </c>
      <c r="AY3" s="97"/>
      <c r="AZ3" s="97"/>
      <c r="BA3" s="97"/>
      <c r="BB3" s="97" t="s">
        <v>80</v>
      </c>
      <c r="BC3" s="97"/>
      <c r="BD3" s="97"/>
      <c r="BE3" s="97"/>
      <c r="BF3" s="97" t="s">
        <v>81</v>
      </c>
      <c r="BG3" s="97"/>
      <c r="BH3" s="97"/>
      <c r="BI3" s="97"/>
      <c r="BJ3" s="97" t="s">
        <v>82</v>
      </c>
      <c r="BK3" s="97"/>
      <c r="BL3" s="97"/>
      <c r="BM3" s="97"/>
      <c r="BN3" s="97" t="s">
        <v>83</v>
      </c>
      <c r="BO3" s="97"/>
      <c r="BP3" s="97"/>
      <c r="BQ3" s="97"/>
      <c r="BR3" s="97" t="s">
        <v>84</v>
      </c>
      <c r="BS3" s="97"/>
      <c r="BT3" s="97"/>
      <c r="BU3" s="97"/>
      <c r="BV3" s="97" t="s">
        <v>85</v>
      </c>
      <c r="BW3" s="97"/>
      <c r="BX3" s="97"/>
      <c r="BY3" s="97"/>
      <c r="BZ3" s="97" t="s">
        <v>86</v>
      </c>
      <c r="CA3" s="97"/>
      <c r="CB3" s="97"/>
      <c r="CC3" s="112"/>
      <c r="CD3" s="113" t="s">
        <v>87</v>
      </c>
      <c r="CE3" s="114" t="s">
        <v>88</v>
      </c>
      <c r="CF3" s="85" t="s">
        <v>17</v>
      </c>
      <c r="CG3" s="85" t="s">
        <v>90</v>
      </c>
      <c r="CH3" s="85" t="s">
        <v>91</v>
      </c>
      <c r="CI3" s="114" t="s">
        <v>24</v>
      </c>
      <c r="CJ3" s="115" t="s">
        <v>92</v>
      </c>
    </row>
    <row r="4" s="58" customFormat="1" ht="20" customHeight="1" spans="2:88">
      <c r="B4" s="64"/>
      <c r="C4" s="65"/>
      <c r="D4" s="66"/>
      <c r="E4" s="66"/>
      <c r="F4" s="66"/>
      <c r="G4" s="66"/>
      <c r="H4" s="66"/>
      <c r="I4" s="66"/>
      <c r="J4" s="77"/>
      <c r="K4" s="78"/>
      <c r="L4" s="79"/>
      <c r="M4" s="80"/>
      <c r="N4" s="80"/>
      <c r="O4" s="136"/>
      <c r="P4" s="81"/>
      <c r="Q4" s="85"/>
      <c r="R4" s="80"/>
      <c r="S4" s="80"/>
      <c r="T4" s="80"/>
      <c r="U4" s="95"/>
      <c r="V4" s="98" t="s">
        <v>93</v>
      </c>
      <c r="W4" s="99" t="s">
        <v>94</v>
      </c>
      <c r="X4" s="99" t="s">
        <v>95</v>
      </c>
      <c r="Y4" s="99" t="s">
        <v>96</v>
      </c>
      <c r="Z4" s="106" t="s">
        <v>93</v>
      </c>
      <c r="AA4" s="99" t="s">
        <v>94</v>
      </c>
      <c r="AB4" s="99" t="s">
        <v>95</v>
      </c>
      <c r="AC4" s="99" t="s">
        <v>96</v>
      </c>
      <c r="AD4" s="106" t="s">
        <v>93</v>
      </c>
      <c r="AE4" s="99" t="s">
        <v>94</v>
      </c>
      <c r="AF4" s="99" t="s">
        <v>95</v>
      </c>
      <c r="AG4" s="99" t="s">
        <v>96</v>
      </c>
      <c r="AH4" s="106" t="s">
        <v>93</v>
      </c>
      <c r="AI4" s="99" t="s">
        <v>94</v>
      </c>
      <c r="AJ4" s="99" t="s">
        <v>95</v>
      </c>
      <c r="AK4" s="99" t="s">
        <v>96</v>
      </c>
      <c r="AL4" s="106" t="s">
        <v>93</v>
      </c>
      <c r="AM4" s="99" t="s">
        <v>94</v>
      </c>
      <c r="AN4" s="99" t="s">
        <v>95</v>
      </c>
      <c r="AO4" s="99" t="s">
        <v>96</v>
      </c>
      <c r="AP4" s="106" t="s">
        <v>93</v>
      </c>
      <c r="AQ4" s="99" t="s">
        <v>94</v>
      </c>
      <c r="AR4" s="99" t="s">
        <v>95</v>
      </c>
      <c r="AS4" s="99" t="s">
        <v>96</v>
      </c>
      <c r="AT4" s="106" t="s">
        <v>93</v>
      </c>
      <c r="AU4" s="99" t="s">
        <v>94</v>
      </c>
      <c r="AV4" s="99" t="s">
        <v>95</v>
      </c>
      <c r="AW4" s="99" t="s">
        <v>96</v>
      </c>
      <c r="AX4" s="106" t="s">
        <v>93</v>
      </c>
      <c r="AY4" s="99" t="s">
        <v>94</v>
      </c>
      <c r="AZ4" s="99" t="s">
        <v>95</v>
      </c>
      <c r="BA4" s="99" t="s">
        <v>96</v>
      </c>
      <c r="BB4" s="106" t="s">
        <v>93</v>
      </c>
      <c r="BC4" s="99" t="s">
        <v>94</v>
      </c>
      <c r="BD4" s="99" t="s">
        <v>95</v>
      </c>
      <c r="BE4" s="99" t="s">
        <v>96</v>
      </c>
      <c r="BF4" s="106" t="s">
        <v>93</v>
      </c>
      <c r="BG4" s="99" t="s">
        <v>94</v>
      </c>
      <c r="BH4" s="99" t="s">
        <v>95</v>
      </c>
      <c r="BI4" s="99" t="s">
        <v>96</v>
      </c>
      <c r="BJ4" s="106" t="s">
        <v>93</v>
      </c>
      <c r="BK4" s="99" t="s">
        <v>94</v>
      </c>
      <c r="BL4" s="99" t="s">
        <v>95</v>
      </c>
      <c r="BM4" s="99" t="s">
        <v>96</v>
      </c>
      <c r="BN4" s="106" t="s">
        <v>93</v>
      </c>
      <c r="BO4" s="99" t="s">
        <v>94</v>
      </c>
      <c r="BP4" s="99" t="s">
        <v>95</v>
      </c>
      <c r="BQ4" s="99" t="s">
        <v>96</v>
      </c>
      <c r="BR4" s="106" t="s">
        <v>93</v>
      </c>
      <c r="BS4" s="99" t="s">
        <v>94</v>
      </c>
      <c r="BT4" s="99" t="s">
        <v>95</v>
      </c>
      <c r="BU4" s="99" t="s">
        <v>96</v>
      </c>
      <c r="BV4" s="106" t="s">
        <v>93</v>
      </c>
      <c r="BW4" s="99" t="s">
        <v>94</v>
      </c>
      <c r="BX4" s="99" t="s">
        <v>95</v>
      </c>
      <c r="BY4" s="99" t="s">
        <v>96</v>
      </c>
      <c r="BZ4" s="106" t="s">
        <v>93</v>
      </c>
      <c r="CA4" s="99" t="s">
        <v>94</v>
      </c>
      <c r="CB4" s="99" t="s">
        <v>95</v>
      </c>
      <c r="CC4" s="116" t="s">
        <v>96</v>
      </c>
      <c r="CD4" s="113"/>
      <c r="CE4" s="114"/>
      <c r="CF4" s="85"/>
      <c r="CG4" s="85"/>
      <c r="CH4" s="85"/>
      <c r="CI4" s="114"/>
      <c r="CJ4" s="115"/>
    </row>
    <row r="5" s="59" customFormat="1" customHeight="1" spans="2:88">
      <c r="B5" s="67" t="s">
        <v>97</v>
      </c>
      <c r="C5" s="68" t="s">
        <v>35</v>
      </c>
      <c r="D5" s="69">
        <f t="shared" ref="D5:I5" si="0">IF(ISERROR(SUM(D6:D124)-D20-D36),"-",SUM(D6:D124)-D20-D36)</f>
        <v>89035715.134</v>
      </c>
      <c r="E5" s="69">
        <f t="shared" si="0"/>
        <v>14628</v>
      </c>
      <c r="F5" s="69">
        <f t="shared" si="0"/>
        <v>0</v>
      </c>
      <c r="G5" s="69">
        <f t="shared" si="0"/>
        <v>7415.34</v>
      </c>
      <c r="H5" s="69">
        <f t="shared" si="0"/>
        <v>7000</v>
      </c>
      <c r="I5" s="69">
        <f t="shared" si="0"/>
        <v>520968</v>
      </c>
      <c r="J5" s="82" t="s">
        <v>97</v>
      </c>
      <c r="K5" s="83"/>
      <c r="L5" s="84" t="s">
        <v>35</v>
      </c>
      <c r="M5" s="85"/>
      <c r="N5" s="85">
        <v>0</v>
      </c>
      <c r="O5" s="137">
        <v>0</v>
      </c>
      <c r="P5" s="85">
        <v>0</v>
      </c>
      <c r="Q5" s="85">
        <f>IF(ISERROR(SUM(Q6:Q124)-Q20-Q36),"-",SUM(Q6:Q124)-Q20-Q36)</f>
        <v>194467893.804</v>
      </c>
      <c r="R5" s="85" t="str">
        <f t="shared" ref="R5:AW5" si="1">IF(ISERROR(SUM(R6:R124)-R20-R36),"-",SUM(R6:R124)-R20-R36)</f>
        <v>-</v>
      </c>
      <c r="S5" s="85" t="str">
        <f t="shared" si="1"/>
        <v>-</v>
      </c>
      <c r="T5" s="85">
        <f t="shared" si="1"/>
        <v>0</v>
      </c>
      <c r="U5" s="85" t="str">
        <f t="shared" si="1"/>
        <v>-</v>
      </c>
      <c r="V5" s="85" t="str">
        <f t="shared" si="1"/>
        <v>-</v>
      </c>
      <c r="W5" s="85">
        <f t="shared" si="1"/>
        <v>85406817.3473</v>
      </c>
      <c r="X5" s="85">
        <f t="shared" si="1"/>
        <v>40007726.474</v>
      </c>
      <c r="Y5" s="85">
        <f t="shared" si="1"/>
        <v>39457715.134</v>
      </c>
      <c r="Z5" s="85">
        <f t="shared" si="1"/>
        <v>0</v>
      </c>
      <c r="AA5" s="85">
        <f t="shared" si="1"/>
        <v>45737080.1607</v>
      </c>
      <c r="AB5" s="85">
        <f t="shared" si="1"/>
        <v>37793000</v>
      </c>
      <c r="AC5" s="85">
        <f t="shared" si="1"/>
        <v>37793000</v>
      </c>
      <c r="AD5" s="85">
        <f t="shared" si="1"/>
        <v>0</v>
      </c>
      <c r="AE5" s="85">
        <f t="shared" si="1"/>
        <v>18005107.847</v>
      </c>
      <c r="AF5" s="85">
        <f t="shared" si="1"/>
        <v>11785000</v>
      </c>
      <c r="AG5" s="85">
        <f t="shared" si="1"/>
        <v>11785000</v>
      </c>
      <c r="AH5" s="85">
        <f t="shared" si="1"/>
        <v>0</v>
      </c>
      <c r="AI5" s="85">
        <f t="shared" si="1"/>
        <v>7466488.449</v>
      </c>
      <c r="AJ5" s="85">
        <f t="shared" si="1"/>
        <v>0</v>
      </c>
      <c r="AK5" s="85">
        <f t="shared" si="1"/>
        <v>0</v>
      </c>
      <c r="AL5" s="85">
        <f t="shared" si="1"/>
        <v>0</v>
      </c>
      <c r="AM5" s="85">
        <f t="shared" si="1"/>
        <v>9390200</v>
      </c>
      <c r="AN5" s="85">
        <f t="shared" si="1"/>
        <v>0</v>
      </c>
      <c r="AO5" s="85">
        <f t="shared" si="1"/>
        <v>0</v>
      </c>
      <c r="AP5" s="85">
        <f t="shared" si="1"/>
        <v>0</v>
      </c>
      <c r="AQ5" s="85">
        <f t="shared" si="1"/>
        <v>11035200</v>
      </c>
      <c r="AR5" s="85">
        <f t="shared" si="1"/>
        <v>0</v>
      </c>
      <c r="AS5" s="85">
        <f t="shared" si="1"/>
        <v>0</v>
      </c>
      <c r="AT5" s="85">
        <f t="shared" si="1"/>
        <v>0</v>
      </c>
      <c r="AU5" s="85">
        <f t="shared" si="1"/>
        <v>10127000</v>
      </c>
      <c r="AV5" s="85">
        <f t="shared" si="1"/>
        <v>0</v>
      </c>
      <c r="AW5" s="85">
        <f t="shared" si="1"/>
        <v>0</v>
      </c>
      <c r="AX5" s="85">
        <f t="shared" ref="AX5:CC5" si="2">IF(ISERROR(SUM(AX6:AX124)-AX20-AX36),"-",SUM(AX6:AX124)-AX20-AX36)</f>
        <v>0</v>
      </c>
      <c r="AY5" s="85">
        <f t="shared" si="2"/>
        <v>7300000</v>
      </c>
      <c r="AZ5" s="85">
        <f t="shared" si="2"/>
        <v>0</v>
      </c>
      <c r="BA5" s="85">
        <f t="shared" si="2"/>
        <v>0</v>
      </c>
      <c r="BB5" s="85">
        <f t="shared" si="2"/>
        <v>0</v>
      </c>
      <c r="BC5" s="85">
        <f t="shared" si="2"/>
        <v>0</v>
      </c>
      <c r="BD5" s="85">
        <f t="shared" si="2"/>
        <v>0</v>
      </c>
      <c r="BE5" s="85">
        <f t="shared" si="2"/>
        <v>0</v>
      </c>
      <c r="BF5" s="85">
        <f t="shared" si="2"/>
        <v>0</v>
      </c>
      <c r="BG5" s="85">
        <f t="shared" si="2"/>
        <v>0</v>
      </c>
      <c r="BH5" s="85">
        <f t="shared" si="2"/>
        <v>0</v>
      </c>
      <c r="BI5" s="85">
        <f t="shared" si="2"/>
        <v>0</v>
      </c>
      <c r="BJ5" s="85">
        <f t="shared" si="2"/>
        <v>0</v>
      </c>
      <c r="BK5" s="85">
        <f t="shared" si="2"/>
        <v>0</v>
      </c>
      <c r="BL5" s="85">
        <f t="shared" si="2"/>
        <v>0</v>
      </c>
      <c r="BM5" s="85">
        <f t="shared" si="2"/>
        <v>0</v>
      </c>
      <c r="BN5" s="85">
        <f t="shared" si="2"/>
        <v>0</v>
      </c>
      <c r="BO5" s="85">
        <f t="shared" si="2"/>
        <v>0</v>
      </c>
      <c r="BP5" s="85">
        <f t="shared" si="2"/>
        <v>0</v>
      </c>
      <c r="BQ5" s="85">
        <f t="shared" si="2"/>
        <v>0</v>
      </c>
      <c r="BR5" s="85">
        <f t="shared" si="2"/>
        <v>0</v>
      </c>
      <c r="BS5" s="85">
        <f t="shared" si="2"/>
        <v>0</v>
      </c>
      <c r="BT5" s="85">
        <f t="shared" si="2"/>
        <v>0</v>
      </c>
      <c r="BU5" s="85">
        <f t="shared" si="2"/>
        <v>0</v>
      </c>
      <c r="BV5" s="85">
        <f t="shared" si="2"/>
        <v>0</v>
      </c>
      <c r="BW5" s="85">
        <f t="shared" si="2"/>
        <v>0</v>
      </c>
      <c r="BX5" s="85">
        <f t="shared" si="2"/>
        <v>0</v>
      </c>
      <c r="BY5" s="85">
        <f t="shared" si="2"/>
        <v>0</v>
      </c>
      <c r="BZ5" s="85">
        <f t="shared" si="2"/>
        <v>0</v>
      </c>
      <c r="CA5" s="85">
        <f t="shared" si="2"/>
        <v>0</v>
      </c>
      <c r="CB5" s="85">
        <f t="shared" si="2"/>
        <v>0</v>
      </c>
      <c r="CC5" s="85">
        <f t="shared" si="2"/>
        <v>0</v>
      </c>
      <c r="CD5" s="117">
        <f t="shared" ref="CD5:CF5" si="3">W5+AA5+AE5+AI5+AM5+AQ5+AU5+AY5+BC5+BG5+BK5+BO5+BS5+BW5+CA5</f>
        <v>194467893.804</v>
      </c>
      <c r="CE5" s="118">
        <f t="shared" si="3"/>
        <v>89585726.474</v>
      </c>
      <c r="CF5" s="118">
        <f t="shared" si="3"/>
        <v>89035715.134</v>
      </c>
      <c r="CG5" s="118">
        <f t="shared" ref="CG5:CG56" si="4">E5+F5+G5+H5</f>
        <v>29043.34</v>
      </c>
      <c r="CH5" s="119">
        <f t="shared" ref="CH5:CH56" si="5">Q5-CF5-CG5</f>
        <v>105403135.33</v>
      </c>
      <c r="CI5" s="120">
        <f t="shared" ref="CI5:CI56" si="6">IF(ISERROR((CF5+CG5)/Q5),"-",(CF5+CG5)/Q5)</f>
        <v>0.457992096956459</v>
      </c>
      <c r="CJ5" s="121" t="str">
        <f t="shared" ref="CJ5:CJ56" si="7">IF(Q5-CD5=0,"数据正确","数据错误")</f>
        <v>数据正确</v>
      </c>
    </row>
    <row r="6" s="60" customFormat="1" customHeight="1" spans="2:88">
      <c r="B6" s="70" t="str">
        <f t="shared" ref="B6:B48" si="8">IF(I6=0,"-","申请中")</f>
        <v>-</v>
      </c>
      <c r="C6" s="71" t="str">
        <f t="shared" ref="C6:C48" si="9">IF(CI6=100%,"已付清","-")</f>
        <v>已付清</v>
      </c>
      <c r="D6" s="72">
        <f t="shared" ref="D6:D48" si="10">CF6</f>
        <v>8000000</v>
      </c>
      <c r="E6" s="72">
        <v>0</v>
      </c>
      <c r="F6" s="72">
        <v>0</v>
      </c>
      <c r="G6" s="72">
        <v>0</v>
      </c>
      <c r="H6" s="72">
        <v>0</v>
      </c>
      <c r="I6" s="72">
        <f t="shared" ref="I6:I48" si="11">CE6-CF6-CG6</f>
        <v>0</v>
      </c>
      <c r="J6" s="86" t="s">
        <v>98</v>
      </c>
      <c r="K6" s="87"/>
      <c r="L6" s="88">
        <v>184</v>
      </c>
      <c r="M6" s="89" t="s">
        <v>1560</v>
      </c>
      <c r="N6" s="90" t="s">
        <v>32</v>
      </c>
      <c r="O6" s="89" t="s">
        <v>97</v>
      </c>
      <c r="P6" s="91">
        <v>41233</v>
      </c>
      <c r="Q6" s="102">
        <v>8000000</v>
      </c>
      <c r="R6" s="89" t="s">
        <v>1561</v>
      </c>
      <c r="S6" s="89" t="s">
        <v>1562</v>
      </c>
      <c r="T6" s="89"/>
      <c r="U6" s="103" t="s">
        <v>343</v>
      </c>
      <c r="V6" s="104" t="s">
        <v>1563</v>
      </c>
      <c r="W6" s="102">
        <v>8000000</v>
      </c>
      <c r="X6" s="102">
        <v>8000000</v>
      </c>
      <c r="Y6" s="102">
        <v>8000000</v>
      </c>
      <c r="Z6" s="107"/>
      <c r="AA6" s="102"/>
      <c r="AB6" s="102"/>
      <c r="AC6" s="102"/>
      <c r="AD6" s="107"/>
      <c r="AE6" s="102"/>
      <c r="AF6" s="102"/>
      <c r="AG6" s="102"/>
      <c r="AH6" s="107"/>
      <c r="AI6" s="102"/>
      <c r="AJ6" s="102"/>
      <c r="AK6" s="102"/>
      <c r="AL6" s="107"/>
      <c r="AM6" s="102"/>
      <c r="AN6" s="102"/>
      <c r="AO6" s="102"/>
      <c r="AP6" s="107"/>
      <c r="AQ6" s="102"/>
      <c r="AR6" s="102"/>
      <c r="AS6" s="102"/>
      <c r="AT6" s="107"/>
      <c r="AU6" s="102"/>
      <c r="AV6" s="102"/>
      <c r="AW6" s="102"/>
      <c r="AX6" s="107"/>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22"/>
      <c r="CD6" s="123">
        <f t="shared" ref="CD6:CF6" si="12">W6+AA6+AE6+AI6+AM6+AQ6+AU6+AY6+BC6+BG6+BK6+BO6+BS6+BW6+CA6</f>
        <v>8000000</v>
      </c>
      <c r="CE6" s="102">
        <f t="shared" si="12"/>
        <v>8000000</v>
      </c>
      <c r="CF6" s="102">
        <f t="shared" si="12"/>
        <v>8000000</v>
      </c>
      <c r="CG6" s="102">
        <f t="shared" si="4"/>
        <v>0</v>
      </c>
      <c r="CH6" s="124">
        <f t="shared" si="5"/>
        <v>0</v>
      </c>
      <c r="CI6" s="125">
        <f t="shared" si="6"/>
        <v>1</v>
      </c>
      <c r="CJ6" s="126" t="str">
        <f t="shared" si="7"/>
        <v>数据正确</v>
      </c>
    </row>
    <row r="7" s="60" customFormat="1" customHeight="1" spans="2:88">
      <c r="B7" s="70" t="str">
        <f t="shared" si="8"/>
        <v>-</v>
      </c>
      <c r="C7" s="71" t="str">
        <f t="shared" si="9"/>
        <v>-</v>
      </c>
      <c r="D7" s="72">
        <f t="shared" si="10"/>
        <v>1900000</v>
      </c>
      <c r="E7" s="72">
        <v>0</v>
      </c>
      <c r="F7" s="72">
        <v>0</v>
      </c>
      <c r="G7" s="72">
        <v>0</v>
      </c>
      <c r="H7" s="72">
        <v>0</v>
      </c>
      <c r="I7" s="72">
        <f t="shared" si="11"/>
        <v>0</v>
      </c>
      <c r="J7" s="86" t="s">
        <v>98</v>
      </c>
      <c r="K7" s="87"/>
      <c r="L7" s="138">
        <v>114</v>
      </c>
      <c r="M7" s="139" t="s">
        <v>126</v>
      </c>
      <c r="N7" s="90" t="s">
        <v>32</v>
      </c>
      <c r="O7" s="139" t="s">
        <v>97</v>
      </c>
      <c r="P7" s="140">
        <v>41956</v>
      </c>
      <c r="Q7" s="129">
        <v>2200000</v>
      </c>
      <c r="R7" s="139" t="s">
        <v>1564</v>
      </c>
      <c r="S7" s="139" t="s">
        <v>1565</v>
      </c>
      <c r="T7" s="139"/>
      <c r="U7" s="153" t="s">
        <v>343</v>
      </c>
      <c r="V7" s="104" t="s">
        <v>1566</v>
      </c>
      <c r="W7" s="102">
        <v>1000000</v>
      </c>
      <c r="X7" s="102">
        <v>1000000</v>
      </c>
      <c r="Y7" s="129">
        <v>1000000</v>
      </c>
      <c r="Z7" s="107" t="s">
        <v>1567</v>
      </c>
      <c r="AA7" s="102">
        <v>600000</v>
      </c>
      <c r="AB7" s="102">
        <v>600000</v>
      </c>
      <c r="AC7" s="129">
        <v>600000</v>
      </c>
      <c r="AD7" s="107" t="s">
        <v>1568</v>
      </c>
      <c r="AE7" s="102">
        <v>300000</v>
      </c>
      <c r="AF7" s="102">
        <v>300000</v>
      </c>
      <c r="AG7" s="129">
        <v>300000</v>
      </c>
      <c r="AH7" s="107" t="s">
        <v>1569</v>
      </c>
      <c r="AI7" s="102">
        <v>300000</v>
      </c>
      <c r="AJ7" s="102"/>
      <c r="AK7" s="102"/>
      <c r="AL7" s="107"/>
      <c r="AM7" s="102"/>
      <c r="AN7" s="102"/>
      <c r="AO7" s="102"/>
      <c r="AP7" s="107"/>
      <c r="AQ7" s="102"/>
      <c r="AR7" s="102"/>
      <c r="AS7" s="102"/>
      <c r="AT7" s="107"/>
      <c r="AU7" s="102"/>
      <c r="AV7" s="102"/>
      <c r="AW7" s="102"/>
      <c r="AX7" s="107"/>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22"/>
      <c r="CD7" s="123">
        <f t="shared" ref="CD7:CF7" si="13">W7+AA7+AE7+AI7+AM7+AQ7+AU7+AY7+BC7+BG7+BK7+BO7+BS7+BW7+CA7</f>
        <v>2200000</v>
      </c>
      <c r="CE7" s="102">
        <f t="shared" si="13"/>
        <v>1900000</v>
      </c>
      <c r="CF7" s="102">
        <f t="shared" si="13"/>
        <v>1900000</v>
      </c>
      <c r="CG7" s="102">
        <f t="shared" si="4"/>
        <v>0</v>
      </c>
      <c r="CH7" s="124">
        <f t="shared" si="5"/>
        <v>300000</v>
      </c>
      <c r="CI7" s="125">
        <f t="shared" si="6"/>
        <v>0.863636363636364</v>
      </c>
      <c r="CJ7" s="126" t="str">
        <f t="shared" si="7"/>
        <v>数据正确</v>
      </c>
    </row>
    <row r="8" s="60" customFormat="1" customHeight="1" spans="2:88">
      <c r="B8" s="70" t="str">
        <f t="shared" si="8"/>
        <v>-</v>
      </c>
      <c r="C8" s="71" t="str">
        <f t="shared" si="9"/>
        <v>已付清</v>
      </c>
      <c r="D8" s="72">
        <f t="shared" si="10"/>
        <v>200000</v>
      </c>
      <c r="E8" s="72">
        <v>0</v>
      </c>
      <c r="F8" s="72">
        <v>0</v>
      </c>
      <c r="G8" s="72">
        <v>0</v>
      </c>
      <c r="H8" s="72">
        <v>0</v>
      </c>
      <c r="I8" s="72">
        <f t="shared" si="11"/>
        <v>0</v>
      </c>
      <c r="J8" s="86" t="s">
        <v>98</v>
      </c>
      <c r="K8" s="87"/>
      <c r="L8" s="88">
        <v>117</v>
      </c>
      <c r="M8" s="89" t="s">
        <v>126</v>
      </c>
      <c r="N8" s="90" t="s">
        <v>32</v>
      </c>
      <c r="O8" s="89" t="s">
        <v>97</v>
      </c>
      <c r="P8" s="91">
        <v>42003</v>
      </c>
      <c r="Q8" s="102">
        <v>200000</v>
      </c>
      <c r="R8" s="89" t="s">
        <v>1570</v>
      </c>
      <c r="S8" s="89" t="s">
        <v>1571</v>
      </c>
      <c r="T8" s="89"/>
      <c r="U8" s="103" t="s">
        <v>343</v>
      </c>
      <c r="V8" s="104" t="s">
        <v>1572</v>
      </c>
      <c r="W8" s="102">
        <v>100000</v>
      </c>
      <c r="X8" s="102">
        <v>100000</v>
      </c>
      <c r="Y8" s="102">
        <v>100000</v>
      </c>
      <c r="Z8" s="107" t="s">
        <v>1573</v>
      </c>
      <c r="AA8" s="102">
        <v>50000</v>
      </c>
      <c r="AB8" s="102">
        <v>100000</v>
      </c>
      <c r="AC8" s="102">
        <v>100000</v>
      </c>
      <c r="AD8" s="107" t="s">
        <v>1574</v>
      </c>
      <c r="AE8" s="102">
        <v>50000</v>
      </c>
      <c r="AF8" s="102"/>
      <c r="AG8" s="102"/>
      <c r="AH8" s="107"/>
      <c r="AI8" s="102"/>
      <c r="AJ8" s="102"/>
      <c r="AK8" s="102"/>
      <c r="AL8" s="107"/>
      <c r="AM8" s="102"/>
      <c r="AN8" s="102"/>
      <c r="AO8" s="102"/>
      <c r="AP8" s="107"/>
      <c r="AQ8" s="102"/>
      <c r="AR8" s="102"/>
      <c r="AS8" s="102"/>
      <c r="AT8" s="107"/>
      <c r="AU8" s="102"/>
      <c r="AV8" s="102"/>
      <c r="AW8" s="102"/>
      <c r="AX8" s="107"/>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22"/>
      <c r="CD8" s="123">
        <f t="shared" ref="CD8:CF8" si="14">W8+AA8+AE8+AI8+AM8+AQ8+AU8+AY8+BC8+BG8+BK8+BO8+BS8+BW8+CA8</f>
        <v>200000</v>
      </c>
      <c r="CE8" s="102">
        <f t="shared" si="14"/>
        <v>200000</v>
      </c>
      <c r="CF8" s="102">
        <f t="shared" si="14"/>
        <v>200000</v>
      </c>
      <c r="CG8" s="102">
        <f t="shared" si="4"/>
        <v>0</v>
      </c>
      <c r="CH8" s="124">
        <f t="shared" si="5"/>
        <v>0</v>
      </c>
      <c r="CI8" s="125">
        <f t="shared" si="6"/>
        <v>1</v>
      </c>
      <c r="CJ8" s="126" t="str">
        <f t="shared" si="7"/>
        <v>数据正确</v>
      </c>
    </row>
    <row r="9" s="60" customFormat="1" customHeight="1" spans="2:88">
      <c r="B9" s="70" t="str">
        <f t="shared" si="8"/>
        <v>-</v>
      </c>
      <c r="C9" s="71" t="str">
        <f t="shared" si="9"/>
        <v>-</v>
      </c>
      <c r="D9" s="72">
        <f t="shared" si="10"/>
        <v>475000</v>
      </c>
      <c r="E9" s="72">
        <v>0</v>
      </c>
      <c r="F9" s="72">
        <v>0</v>
      </c>
      <c r="G9" s="72">
        <v>0</v>
      </c>
      <c r="H9" s="72">
        <v>0</v>
      </c>
      <c r="I9" s="72">
        <f t="shared" si="11"/>
        <v>0</v>
      </c>
      <c r="J9" s="86" t="s">
        <v>98</v>
      </c>
      <c r="K9" s="87"/>
      <c r="L9" s="88">
        <v>115</v>
      </c>
      <c r="M9" s="89" t="s">
        <v>1575</v>
      </c>
      <c r="N9" s="90" t="s">
        <v>32</v>
      </c>
      <c r="O9" s="89" t="s">
        <v>97</v>
      </c>
      <c r="P9" s="91">
        <v>42020</v>
      </c>
      <c r="Q9" s="102">
        <v>550000</v>
      </c>
      <c r="R9" s="89" t="s">
        <v>1576</v>
      </c>
      <c r="S9" s="89" t="s">
        <v>1577</v>
      </c>
      <c r="T9" s="89"/>
      <c r="U9" s="103" t="s">
        <v>343</v>
      </c>
      <c r="V9" s="104" t="s">
        <v>1578</v>
      </c>
      <c r="W9" s="102">
        <v>275000</v>
      </c>
      <c r="X9" s="102">
        <v>200000</v>
      </c>
      <c r="Y9" s="102">
        <v>200000</v>
      </c>
      <c r="Z9" s="107" t="s">
        <v>1579</v>
      </c>
      <c r="AA9" s="102">
        <v>275000</v>
      </c>
      <c r="AB9" s="102">
        <v>275000</v>
      </c>
      <c r="AC9" s="102">
        <v>275000</v>
      </c>
      <c r="AD9" s="107"/>
      <c r="AE9" s="102"/>
      <c r="AF9" s="102"/>
      <c r="AG9" s="102"/>
      <c r="AH9" s="107"/>
      <c r="AI9" s="102"/>
      <c r="AJ9" s="102"/>
      <c r="AK9" s="102"/>
      <c r="AL9" s="107"/>
      <c r="AM9" s="102"/>
      <c r="AN9" s="102"/>
      <c r="AO9" s="102"/>
      <c r="AP9" s="107"/>
      <c r="AQ9" s="102"/>
      <c r="AR9" s="102"/>
      <c r="AS9" s="102"/>
      <c r="AT9" s="107"/>
      <c r="AU9" s="102"/>
      <c r="AV9" s="102"/>
      <c r="AW9" s="102"/>
      <c r="AX9" s="107"/>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22"/>
      <c r="CD9" s="123">
        <f t="shared" ref="CD9:CF9" si="15">W9+AA9+AE9+AI9+AM9+AQ9+AU9+AY9+BC9+BG9+BK9+BO9+BS9+BW9+CA9</f>
        <v>550000</v>
      </c>
      <c r="CE9" s="102">
        <f t="shared" si="15"/>
        <v>475000</v>
      </c>
      <c r="CF9" s="102">
        <f t="shared" si="15"/>
        <v>475000</v>
      </c>
      <c r="CG9" s="102">
        <f t="shared" si="4"/>
        <v>0</v>
      </c>
      <c r="CH9" s="124">
        <f t="shared" si="5"/>
        <v>75000</v>
      </c>
      <c r="CI9" s="125">
        <f t="shared" si="6"/>
        <v>0.863636363636364</v>
      </c>
      <c r="CJ9" s="126" t="str">
        <f t="shared" si="7"/>
        <v>数据正确</v>
      </c>
    </row>
    <row r="10" s="60" customFormat="1" customHeight="1" spans="2:88">
      <c r="B10" s="70" t="str">
        <f t="shared" si="8"/>
        <v>-</v>
      </c>
      <c r="C10" s="71" t="str">
        <f t="shared" si="9"/>
        <v>-</v>
      </c>
      <c r="D10" s="72">
        <f t="shared" si="10"/>
        <v>0</v>
      </c>
      <c r="E10" s="72">
        <v>0</v>
      </c>
      <c r="F10" s="72">
        <v>0</v>
      </c>
      <c r="G10" s="72">
        <v>0</v>
      </c>
      <c r="H10" s="72">
        <v>0</v>
      </c>
      <c r="I10" s="72">
        <f t="shared" si="11"/>
        <v>0</v>
      </c>
      <c r="J10" s="86" t="s">
        <v>98</v>
      </c>
      <c r="K10" s="87"/>
      <c r="L10" s="88">
        <v>122</v>
      </c>
      <c r="M10" s="89" t="s">
        <v>126</v>
      </c>
      <c r="N10" s="90" t="s">
        <v>32</v>
      </c>
      <c r="O10" s="89" t="s">
        <v>97</v>
      </c>
      <c r="P10" s="91">
        <v>42023</v>
      </c>
      <c r="Q10" s="102">
        <v>78313</v>
      </c>
      <c r="R10" s="89" t="s">
        <v>1580</v>
      </c>
      <c r="S10" s="89" t="s">
        <v>1581</v>
      </c>
      <c r="T10" s="89"/>
      <c r="U10" s="103" t="s">
        <v>343</v>
      </c>
      <c r="V10" s="104" t="s">
        <v>1582</v>
      </c>
      <c r="W10" s="102">
        <v>78313</v>
      </c>
      <c r="X10" s="102"/>
      <c r="Y10" s="102"/>
      <c r="Z10" s="107"/>
      <c r="AA10" s="102"/>
      <c r="AB10" s="102"/>
      <c r="AC10" s="102"/>
      <c r="AD10" s="107"/>
      <c r="AE10" s="102"/>
      <c r="AF10" s="102"/>
      <c r="AG10" s="102"/>
      <c r="AH10" s="107"/>
      <c r="AI10" s="102"/>
      <c r="AJ10" s="102"/>
      <c r="AK10" s="102"/>
      <c r="AL10" s="107"/>
      <c r="AM10" s="102"/>
      <c r="AN10" s="102"/>
      <c r="AO10" s="102"/>
      <c r="AP10" s="107"/>
      <c r="AQ10" s="102"/>
      <c r="AR10" s="102"/>
      <c r="AS10" s="102"/>
      <c r="AT10" s="107"/>
      <c r="AU10" s="102"/>
      <c r="AV10" s="102"/>
      <c r="AW10" s="102"/>
      <c r="AX10" s="107"/>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22"/>
      <c r="CD10" s="123">
        <f t="shared" ref="CD10:CF10" si="16">W10+AA10+AE10+AI10+AM10+AQ10+AU10+AY10+BC10+BG10+BK10+BO10+BS10+BW10+CA10</f>
        <v>78313</v>
      </c>
      <c r="CE10" s="102">
        <f t="shared" si="16"/>
        <v>0</v>
      </c>
      <c r="CF10" s="102">
        <f t="shared" si="16"/>
        <v>0</v>
      </c>
      <c r="CG10" s="102">
        <f t="shared" si="4"/>
        <v>0</v>
      </c>
      <c r="CH10" s="124">
        <f t="shared" si="5"/>
        <v>78313</v>
      </c>
      <c r="CI10" s="125">
        <f t="shared" si="6"/>
        <v>0</v>
      </c>
      <c r="CJ10" s="126" t="str">
        <f t="shared" si="7"/>
        <v>数据正确</v>
      </c>
    </row>
    <row r="11" s="60" customFormat="1" customHeight="1" spans="2:88">
      <c r="B11" s="70" t="str">
        <f t="shared" si="8"/>
        <v>-</v>
      </c>
      <c r="C11" s="71" t="str">
        <f t="shared" si="9"/>
        <v>已付清</v>
      </c>
      <c r="D11" s="72">
        <f t="shared" si="10"/>
        <v>130000</v>
      </c>
      <c r="E11" s="72">
        <v>0</v>
      </c>
      <c r="F11" s="72">
        <v>0</v>
      </c>
      <c r="G11" s="72">
        <v>0</v>
      </c>
      <c r="H11" s="72">
        <v>0</v>
      </c>
      <c r="I11" s="72">
        <f t="shared" si="11"/>
        <v>0</v>
      </c>
      <c r="J11" s="86" t="s">
        <v>98</v>
      </c>
      <c r="K11" s="87"/>
      <c r="L11" s="88">
        <v>116</v>
      </c>
      <c r="M11" s="89" t="s">
        <v>1583</v>
      </c>
      <c r="N11" s="90" t="s">
        <v>32</v>
      </c>
      <c r="O11" s="89" t="s">
        <v>97</v>
      </c>
      <c r="P11" s="91">
        <v>42039</v>
      </c>
      <c r="Q11" s="102">
        <v>130000</v>
      </c>
      <c r="R11" s="89" t="s">
        <v>1584</v>
      </c>
      <c r="S11" s="89" t="s">
        <v>1585</v>
      </c>
      <c r="T11" s="89"/>
      <c r="U11" s="103" t="s">
        <v>343</v>
      </c>
      <c r="V11" s="104" t="s">
        <v>1572</v>
      </c>
      <c r="W11" s="102">
        <v>39000</v>
      </c>
      <c r="X11" s="102">
        <v>39000</v>
      </c>
      <c r="Y11" s="102">
        <v>39000</v>
      </c>
      <c r="Z11" s="107" t="s">
        <v>1586</v>
      </c>
      <c r="AA11" s="102">
        <v>39000</v>
      </c>
      <c r="AB11" s="102">
        <v>39000</v>
      </c>
      <c r="AC11" s="102">
        <v>39000</v>
      </c>
      <c r="AD11" s="107" t="s">
        <v>1587</v>
      </c>
      <c r="AE11" s="102">
        <v>52000</v>
      </c>
      <c r="AF11" s="102">
        <v>52000</v>
      </c>
      <c r="AG11" s="102">
        <v>52000</v>
      </c>
      <c r="AH11" s="107"/>
      <c r="AI11" s="102"/>
      <c r="AJ11" s="102"/>
      <c r="AK11" s="102"/>
      <c r="AL11" s="107"/>
      <c r="AM11" s="102"/>
      <c r="AN11" s="102"/>
      <c r="AO11" s="102"/>
      <c r="AP11" s="107"/>
      <c r="AQ11" s="102"/>
      <c r="AR11" s="102"/>
      <c r="AS11" s="102"/>
      <c r="AT11" s="107"/>
      <c r="AU11" s="102"/>
      <c r="AV11" s="102"/>
      <c r="AW11" s="102"/>
      <c r="AX11" s="107"/>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22"/>
      <c r="CD11" s="123">
        <f t="shared" ref="CD11:CF11" si="17">W11+AA11+AE11+AI11+AM11+AQ11+AU11+AY11+BC11+BG11+BK11+BO11+BS11+BW11+CA11</f>
        <v>130000</v>
      </c>
      <c r="CE11" s="102">
        <f t="shared" si="17"/>
        <v>130000</v>
      </c>
      <c r="CF11" s="102">
        <f t="shared" si="17"/>
        <v>130000</v>
      </c>
      <c r="CG11" s="102">
        <f t="shared" si="4"/>
        <v>0</v>
      </c>
      <c r="CH11" s="124">
        <f t="shared" si="5"/>
        <v>0</v>
      </c>
      <c r="CI11" s="125">
        <f t="shared" si="6"/>
        <v>1</v>
      </c>
      <c r="CJ11" s="126" t="str">
        <f t="shared" si="7"/>
        <v>数据正确</v>
      </c>
    </row>
    <row r="12" s="60" customFormat="1" customHeight="1" spans="2:88">
      <c r="B12" s="70" t="str">
        <f t="shared" si="8"/>
        <v>-</v>
      </c>
      <c r="C12" s="71" t="str">
        <f t="shared" si="9"/>
        <v>已付清</v>
      </c>
      <c r="D12" s="72">
        <f t="shared" si="10"/>
        <v>0.001</v>
      </c>
      <c r="E12" s="72">
        <v>0</v>
      </c>
      <c r="F12" s="72">
        <v>0</v>
      </c>
      <c r="G12" s="72">
        <v>0</v>
      </c>
      <c r="H12" s="72">
        <v>0</v>
      </c>
      <c r="I12" s="72">
        <f t="shared" si="11"/>
        <v>0</v>
      </c>
      <c r="J12" s="86" t="s">
        <v>98</v>
      </c>
      <c r="K12" s="87"/>
      <c r="L12" s="88">
        <v>125</v>
      </c>
      <c r="M12" s="89">
        <v>7583054592</v>
      </c>
      <c r="N12" s="90" t="s">
        <v>32</v>
      </c>
      <c r="O12" s="89" t="s">
        <v>97</v>
      </c>
      <c r="P12" s="91">
        <v>42047</v>
      </c>
      <c r="Q12" s="102">
        <v>0.001</v>
      </c>
      <c r="R12" s="89" t="s">
        <v>1588</v>
      </c>
      <c r="S12" s="89" t="s">
        <v>1589</v>
      </c>
      <c r="T12" s="89"/>
      <c r="U12" s="103" t="s">
        <v>343</v>
      </c>
      <c r="V12" s="104" t="s">
        <v>1590</v>
      </c>
      <c r="W12" s="102">
        <v>0.001</v>
      </c>
      <c r="X12" s="102">
        <v>0.001</v>
      </c>
      <c r="Y12" s="102">
        <v>0.001</v>
      </c>
      <c r="Z12" s="107"/>
      <c r="AA12" s="102"/>
      <c r="AB12" s="102"/>
      <c r="AC12" s="102"/>
      <c r="AD12" s="107"/>
      <c r="AE12" s="102"/>
      <c r="AF12" s="102"/>
      <c r="AG12" s="102"/>
      <c r="AH12" s="107"/>
      <c r="AI12" s="102"/>
      <c r="AJ12" s="102"/>
      <c r="AK12" s="102"/>
      <c r="AL12" s="107"/>
      <c r="AM12" s="102"/>
      <c r="AN12" s="102"/>
      <c r="AO12" s="102"/>
      <c r="AP12" s="107"/>
      <c r="AQ12" s="102"/>
      <c r="AR12" s="102"/>
      <c r="AS12" s="102"/>
      <c r="AT12" s="107"/>
      <c r="AU12" s="102"/>
      <c r="AV12" s="102"/>
      <c r="AW12" s="102"/>
      <c r="AX12" s="107"/>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22"/>
      <c r="CD12" s="123">
        <f t="shared" ref="CD12:CF12" si="18">W12+AA12+AE12+AI12+AM12+AQ12+AU12+AY12+BC12+BG12+BK12+BO12+BS12+BW12+CA12</f>
        <v>0.001</v>
      </c>
      <c r="CE12" s="102">
        <f t="shared" si="18"/>
        <v>0.001</v>
      </c>
      <c r="CF12" s="102">
        <f t="shared" si="18"/>
        <v>0.001</v>
      </c>
      <c r="CG12" s="102">
        <f t="shared" si="4"/>
        <v>0</v>
      </c>
      <c r="CH12" s="124">
        <f t="shared" si="5"/>
        <v>0</v>
      </c>
      <c r="CI12" s="125">
        <f t="shared" si="6"/>
        <v>1</v>
      </c>
      <c r="CJ12" s="126" t="str">
        <f t="shared" si="7"/>
        <v>数据正确</v>
      </c>
    </row>
    <row r="13" s="60" customFormat="1" customHeight="1" spans="2:88">
      <c r="B13" s="70" t="str">
        <f t="shared" si="8"/>
        <v>-</v>
      </c>
      <c r="C13" s="71" t="str">
        <f t="shared" si="9"/>
        <v>-</v>
      </c>
      <c r="D13" s="72">
        <f t="shared" si="10"/>
        <v>81000</v>
      </c>
      <c r="E13" s="72">
        <v>0</v>
      </c>
      <c r="F13" s="72">
        <v>0</v>
      </c>
      <c r="G13" s="72">
        <v>0</v>
      </c>
      <c r="H13" s="72">
        <v>0</v>
      </c>
      <c r="I13" s="72">
        <f t="shared" si="11"/>
        <v>0</v>
      </c>
      <c r="J13" s="86" t="s">
        <v>98</v>
      </c>
      <c r="K13" s="87"/>
      <c r="L13" s="88">
        <v>91</v>
      </c>
      <c r="M13" s="89" t="s">
        <v>1205</v>
      </c>
      <c r="N13" s="90" t="s">
        <v>32</v>
      </c>
      <c r="O13" s="89" t="s">
        <v>97</v>
      </c>
      <c r="P13" s="91">
        <v>42073</v>
      </c>
      <c r="Q13" s="154">
        <v>54425</v>
      </c>
      <c r="R13" s="89" t="s">
        <v>1591</v>
      </c>
      <c r="S13" s="89" t="s">
        <v>1592</v>
      </c>
      <c r="T13" s="89"/>
      <c r="U13" s="103" t="s">
        <v>1593</v>
      </c>
      <c r="V13" s="104" t="s">
        <v>1594</v>
      </c>
      <c r="W13" s="102">
        <v>43540</v>
      </c>
      <c r="X13" s="102">
        <v>32000</v>
      </c>
      <c r="Y13" s="102">
        <v>32000</v>
      </c>
      <c r="Z13" s="107" t="s">
        <v>1595</v>
      </c>
      <c r="AA13" s="102">
        <v>5442.5</v>
      </c>
      <c r="AB13" s="102">
        <v>49000</v>
      </c>
      <c r="AC13" s="102">
        <v>49000</v>
      </c>
      <c r="AD13" s="107" t="s">
        <v>1596</v>
      </c>
      <c r="AE13" s="102">
        <v>5442.5</v>
      </c>
      <c r="AF13" s="102"/>
      <c r="AG13" s="102"/>
      <c r="AH13" s="107"/>
      <c r="AI13" s="102"/>
      <c r="AJ13" s="102"/>
      <c r="AK13" s="102"/>
      <c r="AL13" s="107"/>
      <c r="AM13" s="102"/>
      <c r="AN13" s="102"/>
      <c r="AO13" s="102"/>
      <c r="AP13" s="107"/>
      <c r="AQ13" s="102"/>
      <c r="AR13" s="102"/>
      <c r="AS13" s="102"/>
      <c r="AT13" s="107"/>
      <c r="AU13" s="102"/>
      <c r="AV13" s="102"/>
      <c r="AW13" s="102"/>
      <c r="AX13" s="107"/>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22"/>
      <c r="CD13" s="123">
        <f t="shared" ref="CD13:CF13" si="19">W13+AA13+AE13+AI13+AM13+AQ13+AU13+AY13+BC13+BG13+BK13+BO13+BS13+BW13+CA13</f>
        <v>54425</v>
      </c>
      <c r="CE13" s="102">
        <f t="shared" si="19"/>
        <v>81000</v>
      </c>
      <c r="CF13" s="102">
        <f t="shared" si="19"/>
        <v>81000</v>
      </c>
      <c r="CG13" s="102">
        <f t="shared" si="4"/>
        <v>0</v>
      </c>
      <c r="CH13" s="124">
        <f t="shared" si="5"/>
        <v>-26575</v>
      </c>
      <c r="CI13" s="125">
        <f t="shared" si="6"/>
        <v>1.48828663298117</v>
      </c>
      <c r="CJ13" s="126" t="str">
        <f t="shared" si="7"/>
        <v>数据正确</v>
      </c>
    </row>
    <row r="14" s="60" customFormat="1" customHeight="1" spans="1:88">
      <c r="A14" s="60" t="s">
        <v>36</v>
      </c>
      <c r="B14" s="70" t="str">
        <f t="shared" si="8"/>
        <v>-</v>
      </c>
      <c r="C14" s="71" t="str">
        <f t="shared" si="9"/>
        <v>已付清</v>
      </c>
      <c r="D14" s="72">
        <f t="shared" si="10"/>
        <v>154000</v>
      </c>
      <c r="E14" s="72">
        <v>0</v>
      </c>
      <c r="F14" s="72">
        <v>0</v>
      </c>
      <c r="G14" s="72">
        <v>0</v>
      </c>
      <c r="H14" s="72">
        <v>0</v>
      </c>
      <c r="I14" s="72">
        <f t="shared" si="11"/>
        <v>0</v>
      </c>
      <c r="J14" s="86" t="s">
        <v>98</v>
      </c>
      <c r="K14" s="87"/>
      <c r="L14" s="88">
        <v>92</v>
      </c>
      <c r="M14" s="89" t="s">
        <v>1597</v>
      </c>
      <c r="N14" s="90" t="s">
        <v>32</v>
      </c>
      <c r="O14" s="89" t="s">
        <v>97</v>
      </c>
      <c r="P14" s="91">
        <v>42076</v>
      </c>
      <c r="Q14" s="102">
        <v>154000</v>
      </c>
      <c r="R14" s="89" t="s">
        <v>1598</v>
      </c>
      <c r="S14" s="89" t="s">
        <v>1599</v>
      </c>
      <c r="T14" s="89"/>
      <c r="U14" s="103" t="s">
        <v>343</v>
      </c>
      <c r="V14" s="105" t="s">
        <v>1600</v>
      </c>
      <c r="W14" s="102">
        <v>154000</v>
      </c>
      <c r="X14" s="102">
        <v>154000</v>
      </c>
      <c r="Y14" s="102">
        <v>154000</v>
      </c>
      <c r="Z14" s="107"/>
      <c r="AA14" s="102"/>
      <c r="AB14" s="102"/>
      <c r="AC14" s="102"/>
      <c r="AD14" s="107"/>
      <c r="AE14" s="102"/>
      <c r="AF14" s="102"/>
      <c r="AG14" s="102"/>
      <c r="AH14" s="107"/>
      <c r="AI14" s="102"/>
      <c r="AJ14" s="102"/>
      <c r="AK14" s="102"/>
      <c r="AL14" s="107"/>
      <c r="AM14" s="102"/>
      <c r="AN14" s="102"/>
      <c r="AO14" s="102"/>
      <c r="AP14" s="107"/>
      <c r="AQ14" s="102"/>
      <c r="AR14" s="102"/>
      <c r="AS14" s="102"/>
      <c r="AT14" s="107"/>
      <c r="AU14" s="102"/>
      <c r="AV14" s="102"/>
      <c r="AW14" s="102"/>
      <c r="AX14" s="107"/>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22"/>
      <c r="CD14" s="123">
        <f t="shared" ref="CD14:CF14" si="20">W14+AA14+AE14+AI14+AM14+AQ14+AU14+AY14+BC14+BG14+BK14+BO14+BS14+BW14+CA14</f>
        <v>154000</v>
      </c>
      <c r="CE14" s="102">
        <f t="shared" si="20"/>
        <v>154000</v>
      </c>
      <c r="CF14" s="102">
        <f t="shared" si="20"/>
        <v>154000</v>
      </c>
      <c r="CG14" s="102">
        <f t="shared" si="4"/>
        <v>0</v>
      </c>
      <c r="CH14" s="124">
        <f t="shared" si="5"/>
        <v>0</v>
      </c>
      <c r="CI14" s="125">
        <f t="shared" si="6"/>
        <v>1</v>
      </c>
      <c r="CJ14" s="126" t="str">
        <f t="shared" si="7"/>
        <v>数据正确</v>
      </c>
    </row>
    <row r="15" s="60" customFormat="1" customHeight="1" spans="2:88">
      <c r="B15" s="70" t="str">
        <f t="shared" si="8"/>
        <v>-</v>
      </c>
      <c r="C15" s="71" t="str">
        <f t="shared" si="9"/>
        <v>-</v>
      </c>
      <c r="D15" s="72">
        <f t="shared" si="10"/>
        <v>14883000</v>
      </c>
      <c r="E15" s="72">
        <v>0</v>
      </c>
      <c r="F15" s="72">
        <v>0</v>
      </c>
      <c r="G15" s="72">
        <v>0</v>
      </c>
      <c r="H15" s="72">
        <v>0</v>
      </c>
      <c r="I15" s="72">
        <f t="shared" si="11"/>
        <v>0</v>
      </c>
      <c r="J15" s="86" t="s">
        <v>98</v>
      </c>
      <c r="L15" s="88">
        <v>65</v>
      </c>
      <c r="M15" s="89" t="s">
        <v>1601</v>
      </c>
      <c r="N15" s="90" t="s">
        <v>32</v>
      </c>
      <c r="O15" s="89" t="s">
        <v>97</v>
      </c>
      <c r="P15" s="91">
        <v>42160</v>
      </c>
      <c r="Q15" s="102">
        <v>21940000</v>
      </c>
      <c r="R15" s="89" t="s">
        <v>1602</v>
      </c>
      <c r="S15" s="89" t="s">
        <v>1603</v>
      </c>
      <c r="T15" s="89" t="s">
        <v>1604</v>
      </c>
      <c r="U15" s="103" t="s">
        <v>1208</v>
      </c>
      <c r="V15" s="105" t="s">
        <v>1605</v>
      </c>
      <c r="W15" s="102">
        <v>3291000</v>
      </c>
      <c r="X15" s="102">
        <v>3750000</v>
      </c>
      <c r="Y15" s="102">
        <v>3750000</v>
      </c>
      <c r="Z15" s="107" t="s">
        <v>1606</v>
      </c>
      <c r="AA15" s="102">
        <v>1097000</v>
      </c>
      <c r="AB15" s="102">
        <v>10000000</v>
      </c>
      <c r="AC15" s="102">
        <v>10000000</v>
      </c>
      <c r="AD15" s="107" t="s">
        <v>1607</v>
      </c>
      <c r="AE15" s="102">
        <v>6582000</v>
      </c>
      <c r="AF15" s="102">
        <v>1133000</v>
      </c>
      <c r="AG15" s="102">
        <v>1133000</v>
      </c>
      <c r="AH15" s="107" t="s">
        <v>1608</v>
      </c>
      <c r="AI15" s="102">
        <v>1097000</v>
      </c>
      <c r="AJ15" s="102"/>
      <c r="AK15" s="102"/>
      <c r="AL15" s="107" t="s">
        <v>1609</v>
      </c>
      <c r="AM15" s="102">
        <v>1097000</v>
      </c>
      <c r="AN15" s="102"/>
      <c r="AO15" s="102"/>
      <c r="AP15" s="107" t="s">
        <v>1610</v>
      </c>
      <c r="AQ15" s="102">
        <v>6582000</v>
      </c>
      <c r="AR15" s="102"/>
      <c r="AS15" s="102"/>
      <c r="AT15" s="107" t="s">
        <v>1611</v>
      </c>
      <c r="AU15" s="102">
        <v>2194000</v>
      </c>
      <c r="AV15" s="102"/>
      <c r="AW15" s="102"/>
      <c r="AX15" s="107"/>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22"/>
      <c r="CD15" s="123">
        <f t="shared" ref="CD15:CF15" si="21">W15+AA15+AE15+AI15+AM15+AQ15+AU15+AY15+BC15+BG15+BK15+BO15+BS15+BW15+CA15</f>
        <v>21940000</v>
      </c>
      <c r="CE15" s="102">
        <f t="shared" si="21"/>
        <v>14883000</v>
      </c>
      <c r="CF15" s="102">
        <f t="shared" si="21"/>
        <v>14883000</v>
      </c>
      <c r="CG15" s="102">
        <f t="shared" si="4"/>
        <v>0</v>
      </c>
      <c r="CH15" s="124">
        <f t="shared" si="5"/>
        <v>7057000</v>
      </c>
      <c r="CI15" s="125">
        <f t="shared" si="6"/>
        <v>0.678350045578851</v>
      </c>
      <c r="CJ15" s="126" t="str">
        <f t="shared" si="7"/>
        <v>数据正确</v>
      </c>
    </row>
    <row r="16" s="60" customFormat="1" customHeight="1" spans="2:88">
      <c r="B16" s="70" t="str">
        <f t="shared" si="8"/>
        <v>-</v>
      </c>
      <c r="C16" s="71" t="str">
        <f t="shared" si="9"/>
        <v>已付清</v>
      </c>
      <c r="D16" s="72">
        <f t="shared" si="10"/>
        <v>100000</v>
      </c>
      <c r="E16" s="72">
        <v>0</v>
      </c>
      <c r="F16" s="72">
        <v>0</v>
      </c>
      <c r="G16" s="72">
        <v>0</v>
      </c>
      <c r="H16" s="72">
        <v>0</v>
      </c>
      <c r="I16" s="72">
        <f t="shared" si="11"/>
        <v>0</v>
      </c>
      <c r="J16" s="86" t="s">
        <v>98</v>
      </c>
      <c r="L16" s="88">
        <v>129</v>
      </c>
      <c r="M16" s="89" t="s">
        <v>126</v>
      </c>
      <c r="N16" s="90" t="s">
        <v>32</v>
      </c>
      <c r="O16" s="89" t="s">
        <v>97</v>
      </c>
      <c r="P16" s="91">
        <v>42220</v>
      </c>
      <c r="Q16" s="102">
        <v>100000</v>
      </c>
      <c r="R16" s="89" t="s">
        <v>1612</v>
      </c>
      <c r="S16" s="89" t="s">
        <v>1613</v>
      </c>
      <c r="T16" s="89"/>
      <c r="U16" s="103" t="s">
        <v>343</v>
      </c>
      <c r="V16" s="105" t="s">
        <v>1614</v>
      </c>
      <c r="W16" s="102">
        <v>100000</v>
      </c>
      <c r="X16" s="102">
        <v>100000</v>
      </c>
      <c r="Y16" s="102">
        <v>100000</v>
      </c>
      <c r="Z16" s="107"/>
      <c r="AA16" s="102"/>
      <c r="AB16" s="102"/>
      <c r="AC16" s="102"/>
      <c r="AD16" s="107"/>
      <c r="AE16" s="102"/>
      <c r="AF16" s="102"/>
      <c r="AG16" s="102"/>
      <c r="AH16" s="107"/>
      <c r="AI16" s="102"/>
      <c r="AJ16" s="102"/>
      <c r="AK16" s="102"/>
      <c r="AL16" s="107"/>
      <c r="AM16" s="102"/>
      <c r="AN16" s="102"/>
      <c r="AO16" s="102"/>
      <c r="AP16" s="107"/>
      <c r="AQ16" s="102"/>
      <c r="AR16" s="102"/>
      <c r="AS16" s="102"/>
      <c r="AT16" s="107"/>
      <c r="AU16" s="102"/>
      <c r="AV16" s="102"/>
      <c r="AW16" s="102"/>
      <c r="AX16" s="107"/>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22"/>
      <c r="CD16" s="123">
        <f t="shared" ref="CD16:CF16" si="22">W16+AA16+AE16+AI16+AM16+AQ16+AU16+AY16+BC16+BG16+BK16+BO16+BS16+BW16+CA16</f>
        <v>100000</v>
      </c>
      <c r="CE16" s="102">
        <f t="shared" si="22"/>
        <v>100000</v>
      </c>
      <c r="CF16" s="102">
        <f t="shared" si="22"/>
        <v>100000</v>
      </c>
      <c r="CG16" s="102">
        <f t="shared" si="4"/>
        <v>0</v>
      </c>
      <c r="CH16" s="124">
        <f t="shared" si="5"/>
        <v>0</v>
      </c>
      <c r="CI16" s="125">
        <f t="shared" si="6"/>
        <v>1</v>
      </c>
      <c r="CJ16" s="126" t="str">
        <f t="shared" si="7"/>
        <v>数据正确</v>
      </c>
    </row>
    <row r="17" s="60" customFormat="1" customHeight="1" outlineLevel="1" spans="2:88">
      <c r="B17" s="70" t="str">
        <f t="shared" ref="B17:B58" si="23">IF(I17=0,"-","申请中")</f>
        <v>-</v>
      </c>
      <c r="C17" s="71" t="str">
        <f t="shared" ref="C17:C58" si="24">IF(CI17=100%,"已付清","-")</f>
        <v>-</v>
      </c>
      <c r="D17" s="72">
        <f t="shared" ref="D17:D58" si="25">CF17</f>
        <v>670000</v>
      </c>
      <c r="E17" s="72">
        <v>0</v>
      </c>
      <c r="F17" s="72">
        <v>0</v>
      </c>
      <c r="G17" s="72">
        <v>0</v>
      </c>
      <c r="H17" s="72">
        <v>0</v>
      </c>
      <c r="I17" s="72">
        <f t="shared" ref="I17:I58" si="26">CE17-CF17-CG17</f>
        <v>0</v>
      </c>
      <c r="J17" s="86" t="s">
        <v>98</v>
      </c>
      <c r="L17" s="141" t="s">
        <v>1615</v>
      </c>
      <c r="M17" s="89" t="s">
        <v>1616</v>
      </c>
      <c r="N17" s="90" t="s">
        <v>32</v>
      </c>
      <c r="O17" s="89" t="s">
        <v>97</v>
      </c>
      <c r="P17" s="91">
        <v>42247</v>
      </c>
      <c r="Q17" s="154">
        <v>2068800</v>
      </c>
      <c r="R17" s="89" t="s">
        <v>1617</v>
      </c>
      <c r="S17" s="89" t="s">
        <v>1618</v>
      </c>
      <c r="T17" s="89"/>
      <c r="U17" s="103" t="s">
        <v>329</v>
      </c>
      <c r="V17" s="105" t="s">
        <v>41</v>
      </c>
      <c r="W17" s="102">
        <v>2068800</v>
      </c>
      <c r="X17" s="102">
        <v>670000</v>
      </c>
      <c r="Y17" s="102">
        <v>670000</v>
      </c>
      <c r="Z17" s="107"/>
      <c r="AA17" s="102"/>
      <c r="AB17" s="102"/>
      <c r="AC17" s="102"/>
      <c r="AD17" s="107"/>
      <c r="AE17" s="102"/>
      <c r="AF17" s="102"/>
      <c r="AG17" s="102"/>
      <c r="AH17" s="107"/>
      <c r="AI17" s="102"/>
      <c r="AJ17" s="102"/>
      <c r="AK17" s="102"/>
      <c r="AL17" s="107"/>
      <c r="AM17" s="102"/>
      <c r="AN17" s="102"/>
      <c r="AO17" s="102"/>
      <c r="AP17" s="107"/>
      <c r="AQ17" s="102"/>
      <c r="AR17" s="102"/>
      <c r="AS17" s="102"/>
      <c r="AT17" s="107"/>
      <c r="AU17" s="102"/>
      <c r="AV17" s="102"/>
      <c r="AW17" s="102"/>
      <c r="AX17" s="107"/>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22"/>
      <c r="CD17" s="123">
        <f t="shared" ref="CD17:CD62" si="27">W17+AA17+AE17+AI17+AM17+AQ17+AU17+AY17+BC17+BG17+BK17+BO17+BS17+BW17+CA17</f>
        <v>2068800</v>
      </c>
      <c r="CE17" s="102">
        <f t="shared" ref="CE17:CE62" si="28">X17+AB17+AF17+AJ17+AN17+AR17+AV17+AZ17+BD17+BH17+BL17+BP17+BT17+BX17+CB17</f>
        <v>670000</v>
      </c>
      <c r="CF17" s="102">
        <f t="shared" ref="CF17:CF62" si="29">Y17+AC17+AG17+AK17+AO17+AS17+AW17+BA17+BE17+BI17+BM17+BQ17+BU17+BY17+CC17</f>
        <v>670000</v>
      </c>
      <c r="CG17" s="102">
        <f t="shared" ref="CG17:CG62" si="30">E17+F17+G17+H17</f>
        <v>0</v>
      </c>
      <c r="CH17" s="124">
        <f t="shared" ref="CH17:CH62" si="31">Q17-CF17-CG17</f>
        <v>1398800</v>
      </c>
      <c r="CI17" s="125">
        <f t="shared" ref="CI17:CI62" si="32">IF(ISERROR((CF17+CG17)/Q17),"-",(CF17+CG17)/Q17)</f>
        <v>0.323859242072699</v>
      </c>
      <c r="CJ17" s="126" t="str">
        <f t="shared" ref="CJ17:CJ62" si="33">IF(Q17-CD17=0,"数据正确","数据错误")</f>
        <v>数据正确</v>
      </c>
    </row>
    <row r="18" s="60" customFormat="1" customHeight="1" outlineLevel="1" spans="1:88">
      <c r="A18" s="60" t="s">
        <v>36</v>
      </c>
      <c r="B18" s="70" t="str">
        <f t="shared" si="23"/>
        <v>-</v>
      </c>
      <c r="C18" s="71" t="str">
        <f t="shared" si="24"/>
        <v>-</v>
      </c>
      <c r="D18" s="72">
        <f t="shared" si="25"/>
        <v>1530000</v>
      </c>
      <c r="E18" s="72">
        <v>0</v>
      </c>
      <c r="F18" s="72">
        <v>0</v>
      </c>
      <c r="G18" s="72">
        <v>0</v>
      </c>
      <c r="H18" s="72">
        <v>0</v>
      </c>
      <c r="I18" s="72">
        <f t="shared" si="26"/>
        <v>0</v>
      </c>
      <c r="J18" s="86" t="s">
        <v>98</v>
      </c>
      <c r="L18" s="141" t="s">
        <v>1619</v>
      </c>
      <c r="M18" s="89" t="s">
        <v>1616</v>
      </c>
      <c r="N18" s="90" t="s">
        <v>32</v>
      </c>
      <c r="O18" s="89" t="s">
        <v>97</v>
      </c>
      <c r="P18" s="91">
        <v>42826</v>
      </c>
      <c r="Q18" s="154">
        <v>1836558.98</v>
      </c>
      <c r="R18" s="89" t="s">
        <v>1620</v>
      </c>
      <c r="S18" s="89" t="s">
        <v>1621</v>
      </c>
      <c r="T18" s="89"/>
      <c r="U18" s="103" t="s">
        <v>329</v>
      </c>
      <c r="V18" s="105" t="s">
        <v>1622</v>
      </c>
      <c r="W18" s="102">
        <v>1101935.388</v>
      </c>
      <c r="X18" s="102">
        <v>1170000</v>
      </c>
      <c r="Y18" s="102">
        <v>1170000</v>
      </c>
      <c r="Z18" s="107" t="s">
        <v>1623</v>
      </c>
      <c r="AA18" s="102">
        <v>367311.796</v>
      </c>
      <c r="AB18" s="102">
        <v>360000</v>
      </c>
      <c r="AC18" s="102">
        <f>356247+3753</f>
        <v>360000</v>
      </c>
      <c r="AD18" s="107" t="s">
        <v>1624</v>
      </c>
      <c r="AE18" s="102">
        <v>275483.847</v>
      </c>
      <c r="AF18" s="102"/>
      <c r="AG18" s="102"/>
      <c r="AH18" s="107" t="s">
        <v>1625</v>
      </c>
      <c r="AI18" s="102">
        <v>91827.949</v>
      </c>
      <c r="AJ18" s="102"/>
      <c r="AK18" s="102"/>
      <c r="AL18" s="107"/>
      <c r="AM18" s="102"/>
      <c r="AN18" s="102"/>
      <c r="AO18" s="102"/>
      <c r="AP18" s="107"/>
      <c r="AQ18" s="102"/>
      <c r="AR18" s="102"/>
      <c r="AS18" s="102"/>
      <c r="AT18" s="107"/>
      <c r="AU18" s="102"/>
      <c r="AV18" s="102"/>
      <c r="AW18" s="102"/>
      <c r="AX18" s="107"/>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22"/>
      <c r="CD18" s="123">
        <f t="shared" si="27"/>
        <v>1836558.98</v>
      </c>
      <c r="CE18" s="102">
        <f t="shared" si="28"/>
        <v>1530000</v>
      </c>
      <c r="CF18" s="102">
        <f t="shared" si="29"/>
        <v>1530000</v>
      </c>
      <c r="CG18" s="102">
        <f t="shared" si="30"/>
        <v>0</v>
      </c>
      <c r="CH18" s="124">
        <f t="shared" si="31"/>
        <v>306558.98</v>
      </c>
      <c r="CI18" s="125">
        <f t="shared" si="32"/>
        <v>0.833079697772625</v>
      </c>
      <c r="CJ18" s="126" t="str">
        <f t="shared" si="33"/>
        <v>数据正确</v>
      </c>
    </row>
    <row r="19" s="60" customFormat="1" customHeight="1" outlineLevel="1" spans="2:88">
      <c r="B19" s="70" t="str">
        <f t="shared" si="23"/>
        <v>-</v>
      </c>
      <c r="C19" s="71" t="str">
        <f t="shared" si="24"/>
        <v>已付清</v>
      </c>
      <c r="D19" s="72">
        <f t="shared" si="25"/>
        <v>55464</v>
      </c>
      <c r="E19" s="72">
        <v>0</v>
      </c>
      <c r="F19" s="72">
        <v>0</v>
      </c>
      <c r="G19" s="72">
        <v>0</v>
      </c>
      <c r="H19" s="72">
        <v>0</v>
      </c>
      <c r="I19" s="72">
        <f t="shared" si="26"/>
        <v>0</v>
      </c>
      <c r="J19" s="86" t="s">
        <v>98</v>
      </c>
      <c r="L19" s="141" t="s">
        <v>1626</v>
      </c>
      <c r="M19" s="89" t="s">
        <v>1616</v>
      </c>
      <c r="N19" s="90" t="s">
        <v>32</v>
      </c>
      <c r="O19" s="89" t="s">
        <v>97</v>
      </c>
      <c r="P19" s="91">
        <v>42339</v>
      </c>
      <c r="Q19" s="154">
        <v>55464</v>
      </c>
      <c r="R19" s="89" t="s">
        <v>1627</v>
      </c>
      <c r="S19" s="89" t="s">
        <v>1628</v>
      </c>
      <c r="T19" s="89"/>
      <c r="U19" s="103" t="s">
        <v>97</v>
      </c>
      <c r="V19" s="105" t="s">
        <v>97</v>
      </c>
      <c r="W19" s="102">
        <v>55464</v>
      </c>
      <c r="X19" s="102">
        <v>55464</v>
      </c>
      <c r="Y19" s="102">
        <v>55464</v>
      </c>
      <c r="Z19" s="107"/>
      <c r="AA19" s="102"/>
      <c r="AB19" s="102"/>
      <c r="AC19" s="102"/>
      <c r="AD19" s="107"/>
      <c r="AE19" s="102"/>
      <c r="AF19" s="102"/>
      <c r="AG19" s="102"/>
      <c r="AH19" s="107"/>
      <c r="AI19" s="102"/>
      <c r="AJ19" s="102"/>
      <c r="AK19" s="102"/>
      <c r="AL19" s="107"/>
      <c r="AM19" s="102"/>
      <c r="AN19" s="102"/>
      <c r="AO19" s="102"/>
      <c r="AP19" s="107"/>
      <c r="AQ19" s="102"/>
      <c r="AR19" s="102"/>
      <c r="AS19" s="102"/>
      <c r="AT19" s="107"/>
      <c r="AU19" s="102"/>
      <c r="AV19" s="102"/>
      <c r="AW19" s="102"/>
      <c r="AX19" s="107"/>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22"/>
      <c r="CD19" s="123">
        <f t="shared" si="27"/>
        <v>55464</v>
      </c>
      <c r="CE19" s="102">
        <f t="shared" si="28"/>
        <v>55464</v>
      </c>
      <c r="CF19" s="102">
        <f t="shared" si="29"/>
        <v>55464</v>
      </c>
      <c r="CG19" s="102">
        <f t="shared" si="30"/>
        <v>0</v>
      </c>
      <c r="CH19" s="124">
        <f t="shared" si="31"/>
        <v>0</v>
      </c>
      <c r="CI19" s="125">
        <f t="shared" si="32"/>
        <v>1</v>
      </c>
      <c r="CJ19" s="126" t="str">
        <f t="shared" si="33"/>
        <v>数据正确</v>
      </c>
    </row>
    <row r="20" s="130" customFormat="1" customHeight="1" spans="2:88">
      <c r="B20" s="132" t="str">
        <f t="shared" si="23"/>
        <v>-</v>
      </c>
      <c r="C20" s="133" t="str">
        <f t="shared" si="24"/>
        <v>-</v>
      </c>
      <c r="D20" s="134">
        <f t="shared" si="25"/>
        <v>2255464</v>
      </c>
      <c r="E20" s="134">
        <f>SUM(E17:E19)</f>
        <v>0</v>
      </c>
      <c r="F20" s="134">
        <f>SUM(F17:F19)</f>
        <v>0</v>
      </c>
      <c r="G20" s="134">
        <f>SUM(G17:G19)</f>
        <v>0</v>
      </c>
      <c r="H20" s="134">
        <f>SUM(H17:H19)</f>
        <v>0</v>
      </c>
      <c r="I20" s="134">
        <f t="shared" si="26"/>
        <v>0</v>
      </c>
      <c r="J20" s="142" t="s">
        <v>98</v>
      </c>
      <c r="K20" s="60"/>
      <c r="L20" s="143">
        <v>94</v>
      </c>
      <c r="M20" s="144" t="s">
        <v>1616</v>
      </c>
      <c r="N20" s="145" t="s">
        <v>32</v>
      </c>
      <c r="O20" s="144" t="s">
        <v>97</v>
      </c>
      <c r="P20" s="146">
        <v>42247</v>
      </c>
      <c r="Q20" s="155">
        <f>SUM(Q17:Q19)</f>
        <v>3960822.98</v>
      </c>
      <c r="R20" s="144" t="s">
        <v>1629</v>
      </c>
      <c r="S20" s="144" t="s">
        <v>1630</v>
      </c>
      <c r="T20" s="144"/>
      <c r="U20" s="156" t="s">
        <v>329</v>
      </c>
      <c r="V20" s="157" t="s">
        <v>97</v>
      </c>
      <c r="W20" s="158">
        <f>SUM(W17:W19)</f>
        <v>3226199.388</v>
      </c>
      <c r="X20" s="158">
        <f t="shared" ref="X20:BC20" si="34">SUM(X17:X19)</f>
        <v>1895464</v>
      </c>
      <c r="Y20" s="158">
        <f t="shared" si="34"/>
        <v>1895464</v>
      </c>
      <c r="Z20" s="158">
        <f t="shared" si="34"/>
        <v>0</v>
      </c>
      <c r="AA20" s="158">
        <f t="shared" si="34"/>
        <v>367311.796</v>
      </c>
      <c r="AB20" s="158">
        <f t="shared" si="34"/>
        <v>360000</v>
      </c>
      <c r="AC20" s="158">
        <f t="shared" si="34"/>
        <v>360000</v>
      </c>
      <c r="AD20" s="158">
        <f t="shared" si="34"/>
        <v>0</v>
      </c>
      <c r="AE20" s="158">
        <f t="shared" si="34"/>
        <v>275483.847</v>
      </c>
      <c r="AF20" s="158">
        <f t="shared" si="34"/>
        <v>0</v>
      </c>
      <c r="AG20" s="158">
        <f t="shared" si="34"/>
        <v>0</v>
      </c>
      <c r="AH20" s="158">
        <f t="shared" si="34"/>
        <v>0</v>
      </c>
      <c r="AI20" s="158">
        <f t="shared" si="34"/>
        <v>91827.949</v>
      </c>
      <c r="AJ20" s="158">
        <f t="shared" si="34"/>
        <v>0</v>
      </c>
      <c r="AK20" s="158">
        <f t="shared" si="34"/>
        <v>0</v>
      </c>
      <c r="AL20" s="158">
        <f t="shared" si="34"/>
        <v>0</v>
      </c>
      <c r="AM20" s="158">
        <f t="shared" si="34"/>
        <v>0</v>
      </c>
      <c r="AN20" s="158">
        <f t="shared" si="34"/>
        <v>0</v>
      </c>
      <c r="AO20" s="158">
        <f t="shared" si="34"/>
        <v>0</v>
      </c>
      <c r="AP20" s="158">
        <f t="shared" si="34"/>
        <v>0</v>
      </c>
      <c r="AQ20" s="158">
        <f t="shared" si="34"/>
        <v>0</v>
      </c>
      <c r="AR20" s="158">
        <f t="shared" si="34"/>
        <v>0</v>
      </c>
      <c r="AS20" s="158">
        <f t="shared" si="34"/>
        <v>0</v>
      </c>
      <c r="AT20" s="158">
        <f t="shared" si="34"/>
        <v>0</v>
      </c>
      <c r="AU20" s="158">
        <f t="shared" si="34"/>
        <v>0</v>
      </c>
      <c r="AV20" s="158">
        <f t="shared" si="34"/>
        <v>0</v>
      </c>
      <c r="AW20" s="158">
        <f t="shared" si="34"/>
        <v>0</v>
      </c>
      <c r="AX20" s="158">
        <f t="shared" si="34"/>
        <v>0</v>
      </c>
      <c r="AY20" s="158">
        <f t="shared" si="34"/>
        <v>0</v>
      </c>
      <c r="AZ20" s="158">
        <f t="shared" si="34"/>
        <v>0</v>
      </c>
      <c r="BA20" s="158">
        <f t="shared" si="34"/>
        <v>0</v>
      </c>
      <c r="BB20" s="158">
        <f t="shared" si="34"/>
        <v>0</v>
      </c>
      <c r="BC20" s="158">
        <f t="shared" si="34"/>
        <v>0</v>
      </c>
      <c r="BD20" s="158">
        <f t="shared" ref="BD20:CC20" si="35">SUM(BD17:BD19)</f>
        <v>0</v>
      </c>
      <c r="BE20" s="158">
        <f t="shared" si="35"/>
        <v>0</v>
      </c>
      <c r="BF20" s="158">
        <f t="shared" si="35"/>
        <v>0</v>
      </c>
      <c r="BG20" s="158">
        <f t="shared" si="35"/>
        <v>0</v>
      </c>
      <c r="BH20" s="158">
        <f t="shared" si="35"/>
        <v>0</v>
      </c>
      <c r="BI20" s="158">
        <f t="shared" si="35"/>
        <v>0</v>
      </c>
      <c r="BJ20" s="158">
        <f t="shared" si="35"/>
        <v>0</v>
      </c>
      <c r="BK20" s="158">
        <f t="shared" si="35"/>
        <v>0</v>
      </c>
      <c r="BL20" s="158">
        <f t="shared" si="35"/>
        <v>0</v>
      </c>
      <c r="BM20" s="158">
        <f t="shared" si="35"/>
        <v>0</v>
      </c>
      <c r="BN20" s="158">
        <f t="shared" si="35"/>
        <v>0</v>
      </c>
      <c r="BO20" s="158">
        <f t="shared" si="35"/>
        <v>0</v>
      </c>
      <c r="BP20" s="158">
        <f t="shared" si="35"/>
        <v>0</v>
      </c>
      <c r="BQ20" s="158">
        <f t="shared" si="35"/>
        <v>0</v>
      </c>
      <c r="BR20" s="158">
        <f t="shared" si="35"/>
        <v>0</v>
      </c>
      <c r="BS20" s="158">
        <f t="shared" si="35"/>
        <v>0</v>
      </c>
      <c r="BT20" s="158">
        <f t="shared" si="35"/>
        <v>0</v>
      </c>
      <c r="BU20" s="158">
        <f t="shared" si="35"/>
        <v>0</v>
      </c>
      <c r="BV20" s="158">
        <f t="shared" si="35"/>
        <v>0</v>
      </c>
      <c r="BW20" s="158">
        <f t="shared" si="35"/>
        <v>0</v>
      </c>
      <c r="BX20" s="158">
        <f t="shared" si="35"/>
        <v>0</v>
      </c>
      <c r="BY20" s="158">
        <f t="shared" si="35"/>
        <v>0</v>
      </c>
      <c r="BZ20" s="158">
        <f t="shared" si="35"/>
        <v>0</v>
      </c>
      <c r="CA20" s="158">
        <f t="shared" si="35"/>
        <v>0</v>
      </c>
      <c r="CB20" s="158">
        <f t="shared" si="35"/>
        <v>0</v>
      </c>
      <c r="CC20" s="158">
        <f t="shared" si="35"/>
        <v>0</v>
      </c>
      <c r="CD20" s="165">
        <f t="shared" si="27"/>
        <v>3960822.98</v>
      </c>
      <c r="CE20" s="158">
        <f t="shared" si="28"/>
        <v>2255464</v>
      </c>
      <c r="CF20" s="158">
        <f t="shared" si="29"/>
        <v>2255464</v>
      </c>
      <c r="CG20" s="158">
        <f t="shared" si="30"/>
        <v>0</v>
      </c>
      <c r="CH20" s="163">
        <f t="shared" si="31"/>
        <v>1705358.98</v>
      </c>
      <c r="CI20" s="166">
        <f t="shared" si="32"/>
        <v>0.569443272620076</v>
      </c>
      <c r="CJ20" s="167" t="str">
        <f t="shared" si="33"/>
        <v>数据正确</v>
      </c>
    </row>
    <row r="21" s="60" customFormat="1" customHeight="1" spans="2:88">
      <c r="B21" s="70" t="str">
        <f t="shared" si="23"/>
        <v>-</v>
      </c>
      <c r="C21" s="71" t="str">
        <f t="shared" si="24"/>
        <v>-</v>
      </c>
      <c r="D21" s="72">
        <f t="shared" si="25"/>
        <v>400000</v>
      </c>
      <c r="E21" s="72">
        <v>0</v>
      </c>
      <c r="F21" s="72">
        <v>0</v>
      </c>
      <c r="G21" s="72">
        <v>0</v>
      </c>
      <c r="H21" s="72">
        <v>0</v>
      </c>
      <c r="I21" s="72">
        <f t="shared" si="26"/>
        <v>0</v>
      </c>
      <c r="J21" s="86" t="s">
        <v>98</v>
      </c>
      <c r="L21" s="88">
        <v>86</v>
      </c>
      <c r="M21" s="89" t="s">
        <v>973</v>
      </c>
      <c r="N21" s="90" t="s">
        <v>32</v>
      </c>
      <c r="O21" s="89" t="s">
        <v>97</v>
      </c>
      <c r="P21" s="91">
        <v>42318</v>
      </c>
      <c r="Q21" s="154">
        <v>2400000</v>
      </c>
      <c r="R21" s="89" t="s">
        <v>1631</v>
      </c>
      <c r="S21" s="89" t="s">
        <v>1632</v>
      </c>
      <c r="T21" s="89"/>
      <c r="U21" s="103" t="s">
        <v>329</v>
      </c>
      <c r="V21" s="105" t="s">
        <v>1633</v>
      </c>
      <c r="W21" s="102">
        <v>480000</v>
      </c>
      <c r="X21" s="102">
        <v>400000</v>
      </c>
      <c r="Y21" s="102">
        <v>400000</v>
      </c>
      <c r="Z21" s="107" t="s">
        <v>1634</v>
      </c>
      <c r="AA21" s="102">
        <v>720000</v>
      </c>
      <c r="AB21" s="102"/>
      <c r="AC21" s="102"/>
      <c r="AD21" s="107" t="s">
        <v>1635</v>
      </c>
      <c r="AE21" s="102">
        <v>720000</v>
      </c>
      <c r="AF21" s="102"/>
      <c r="AG21" s="102"/>
      <c r="AH21" s="107" t="s">
        <v>1636</v>
      </c>
      <c r="AI21" s="102">
        <v>480000</v>
      </c>
      <c r="AJ21" s="102"/>
      <c r="AK21" s="102"/>
      <c r="AL21" s="107"/>
      <c r="AM21" s="102"/>
      <c r="AN21" s="102"/>
      <c r="AO21" s="102"/>
      <c r="AP21" s="107"/>
      <c r="AQ21" s="102"/>
      <c r="AR21" s="102"/>
      <c r="AS21" s="102"/>
      <c r="AT21" s="107"/>
      <c r="AU21" s="102"/>
      <c r="AV21" s="102"/>
      <c r="AW21" s="102"/>
      <c r="AX21" s="107"/>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22"/>
      <c r="CD21" s="123">
        <f t="shared" si="27"/>
        <v>2400000</v>
      </c>
      <c r="CE21" s="102">
        <f t="shared" si="28"/>
        <v>400000</v>
      </c>
      <c r="CF21" s="102">
        <f t="shared" si="29"/>
        <v>400000</v>
      </c>
      <c r="CG21" s="102">
        <f t="shared" si="30"/>
        <v>0</v>
      </c>
      <c r="CH21" s="124">
        <f t="shared" si="31"/>
        <v>2000000</v>
      </c>
      <c r="CI21" s="125">
        <f t="shared" si="32"/>
        <v>0.166666666666667</v>
      </c>
      <c r="CJ21" s="126" t="str">
        <f t="shared" si="33"/>
        <v>数据正确</v>
      </c>
    </row>
    <row r="22" s="60" customFormat="1" customHeight="1" spans="2:88">
      <c r="B22" s="70" t="str">
        <f t="shared" si="23"/>
        <v>-</v>
      </c>
      <c r="C22" s="71" t="str">
        <f t="shared" si="24"/>
        <v>已付清</v>
      </c>
      <c r="D22" s="72">
        <f t="shared" si="25"/>
        <v>5592841.17</v>
      </c>
      <c r="E22" s="72">
        <v>0</v>
      </c>
      <c r="F22" s="72">
        <v>0</v>
      </c>
      <c r="G22" s="72">
        <v>0</v>
      </c>
      <c r="H22" s="72">
        <v>0</v>
      </c>
      <c r="I22" s="72">
        <f t="shared" si="26"/>
        <v>0</v>
      </c>
      <c r="J22" s="86" t="s">
        <v>98</v>
      </c>
      <c r="L22" s="88">
        <v>149</v>
      </c>
      <c r="M22" s="89" t="s">
        <v>126</v>
      </c>
      <c r="N22" s="90" t="s">
        <v>32</v>
      </c>
      <c r="O22" s="89" t="s">
        <v>97</v>
      </c>
      <c r="P22" s="91">
        <v>42370</v>
      </c>
      <c r="Q22" s="102">
        <v>5592841.17</v>
      </c>
      <c r="R22" s="89" t="s">
        <v>1637</v>
      </c>
      <c r="S22" s="89" t="s">
        <v>1638</v>
      </c>
      <c r="T22" s="89"/>
      <c r="U22" s="103" t="s">
        <v>343</v>
      </c>
      <c r="V22" s="105" t="s">
        <v>1639</v>
      </c>
      <c r="W22" s="102">
        <v>5592841.17</v>
      </c>
      <c r="X22" s="102">
        <v>5592841.17</v>
      </c>
      <c r="Y22" s="102">
        <v>5592841.17</v>
      </c>
      <c r="Z22" s="107"/>
      <c r="AA22" s="102"/>
      <c r="AB22" s="102"/>
      <c r="AC22" s="102"/>
      <c r="AD22" s="107"/>
      <c r="AE22" s="102"/>
      <c r="AF22" s="102"/>
      <c r="AG22" s="102"/>
      <c r="AH22" s="107"/>
      <c r="AI22" s="102"/>
      <c r="AJ22" s="102"/>
      <c r="AK22" s="102"/>
      <c r="AL22" s="107"/>
      <c r="AM22" s="102"/>
      <c r="AN22" s="102"/>
      <c r="AO22" s="102"/>
      <c r="AP22" s="107"/>
      <c r="AQ22" s="102"/>
      <c r="AR22" s="102"/>
      <c r="AS22" s="102"/>
      <c r="AT22" s="107"/>
      <c r="AU22" s="102"/>
      <c r="AV22" s="102"/>
      <c r="AW22" s="102"/>
      <c r="AX22" s="107"/>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22"/>
      <c r="CD22" s="123">
        <f t="shared" si="27"/>
        <v>5592841.17</v>
      </c>
      <c r="CE22" s="102">
        <f t="shared" si="28"/>
        <v>5592841.17</v>
      </c>
      <c r="CF22" s="102">
        <f t="shared" si="29"/>
        <v>5592841.17</v>
      </c>
      <c r="CG22" s="102">
        <f t="shared" si="30"/>
        <v>0</v>
      </c>
      <c r="CH22" s="124">
        <f t="shared" si="31"/>
        <v>0</v>
      </c>
      <c r="CI22" s="125">
        <f t="shared" si="32"/>
        <v>1</v>
      </c>
      <c r="CJ22" s="126" t="str">
        <f t="shared" si="33"/>
        <v>数据正确</v>
      </c>
    </row>
    <row r="23" s="60" customFormat="1" customHeight="1" spans="2:88">
      <c r="B23" s="70" t="str">
        <f t="shared" si="23"/>
        <v>-</v>
      </c>
      <c r="C23" s="71" t="str">
        <f t="shared" si="24"/>
        <v>-</v>
      </c>
      <c r="D23" s="72">
        <f t="shared" si="25"/>
        <v>0</v>
      </c>
      <c r="E23" s="72">
        <v>0</v>
      </c>
      <c r="F23" s="72">
        <v>0</v>
      </c>
      <c r="G23" s="72">
        <v>0</v>
      </c>
      <c r="H23" s="72">
        <v>0</v>
      </c>
      <c r="I23" s="72">
        <f t="shared" si="26"/>
        <v>0</v>
      </c>
      <c r="J23" s="86" t="s">
        <v>98</v>
      </c>
      <c r="L23" s="88">
        <v>123</v>
      </c>
      <c r="M23" s="89" t="s">
        <v>1640</v>
      </c>
      <c r="N23" s="90" t="s">
        <v>32</v>
      </c>
      <c r="O23" s="89" t="s">
        <v>97</v>
      </c>
      <c r="P23" s="91">
        <v>42460</v>
      </c>
      <c r="Q23" s="102">
        <v>180000</v>
      </c>
      <c r="R23" s="89" t="s">
        <v>1641</v>
      </c>
      <c r="S23" s="89" t="s">
        <v>1642</v>
      </c>
      <c r="T23" s="89"/>
      <c r="U23" s="103" t="s">
        <v>343</v>
      </c>
      <c r="V23" s="105" t="s">
        <v>1643</v>
      </c>
      <c r="W23" s="102">
        <v>36000</v>
      </c>
      <c r="X23" s="102"/>
      <c r="Y23" s="102"/>
      <c r="Z23" s="107" t="s">
        <v>1644</v>
      </c>
      <c r="AA23" s="102">
        <v>54000</v>
      </c>
      <c r="AB23" s="102"/>
      <c r="AC23" s="102"/>
      <c r="AD23" s="107" t="s">
        <v>1645</v>
      </c>
      <c r="AE23" s="102">
        <v>90000</v>
      </c>
      <c r="AF23" s="102"/>
      <c r="AG23" s="102"/>
      <c r="AH23" s="107"/>
      <c r="AI23" s="102"/>
      <c r="AJ23" s="102"/>
      <c r="AK23" s="102"/>
      <c r="AL23" s="107"/>
      <c r="AM23" s="102"/>
      <c r="AN23" s="102"/>
      <c r="AO23" s="102"/>
      <c r="AP23" s="107"/>
      <c r="AQ23" s="102"/>
      <c r="AR23" s="102"/>
      <c r="AS23" s="102"/>
      <c r="AT23" s="107"/>
      <c r="AU23" s="102"/>
      <c r="AV23" s="102"/>
      <c r="AW23" s="102"/>
      <c r="AX23" s="107"/>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22"/>
      <c r="CD23" s="123">
        <f t="shared" si="27"/>
        <v>180000</v>
      </c>
      <c r="CE23" s="102">
        <f t="shared" si="28"/>
        <v>0</v>
      </c>
      <c r="CF23" s="102">
        <f t="shared" si="29"/>
        <v>0</v>
      </c>
      <c r="CG23" s="102">
        <f t="shared" si="30"/>
        <v>0</v>
      </c>
      <c r="CH23" s="124">
        <f t="shared" si="31"/>
        <v>180000</v>
      </c>
      <c r="CI23" s="125">
        <f t="shared" si="32"/>
        <v>0</v>
      </c>
      <c r="CJ23" s="126" t="str">
        <f t="shared" si="33"/>
        <v>数据正确</v>
      </c>
    </row>
    <row r="24" s="60" customFormat="1" customHeight="1" spans="2:88">
      <c r="B24" s="70" t="str">
        <f t="shared" si="23"/>
        <v>-</v>
      </c>
      <c r="C24" s="71" t="str">
        <f t="shared" si="24"/>
        <v>已付清</v>
      </c>
      <c r="D24" s="72">
        <f t="shared" si="25"/>
        <v>10000</v>
      </c>
      <c r="E24" s="72">
        <v>0</v>
      </c>
      <c r="F24" s="72">
        <v>0</v>
      </c>
      <c r="G24" s="72">
        <v>0</v>
      </c>
      <c r="H24" s="72">
        <v>0</v>
      </c>
      <c r="I24" s="72">
        <f t="shared" si="26"/>
        <v>0</v>
      </c>
      <c r="J24" s="86" t="s">
        <v>98</v>
      </c>
      <c r="L24" s="88">
        <v>97</v>
      </c>
      <c r="M24" s="89" t="s">
        <v>1646</v>
      </c>
      <c r="N24" s="90" t="s">
        <v>32</v>
      </c>
      <c r="O24" s="89" t="s">
        <v>97</v>
      </c>
      <c r="P24" s="91">
        <v>42479</v>
      </c>
      <c r="Q24" s="154">
        <v>10000</v>
      </c>
      <c r="R24" s="89" t="s">
        <v>1647</v>
      </c>
      <c r="S24" s="89" t="s">
        <v>1648</v>
      </c>
      <c r="T24" s="89"/>
      <c r="U24" s="103"/>
      <c r="V24" s="105" t="s">
        <v>1649</v>
      </c>
      <c r="W24" s="102">
        <v>10000</v>
      </c>
      <c r="X24" s="102">
        <v>10000</v>
      </c>
      <c r="Y24" s="102">
        <v>10000</v>
      </c>
      <c r="Z24" s="107"/>
      <c r="AA24" s="102"/>
      <c r="AB24" s="102"/>
      <c r="AC24" s="102"/>
      <c r="AD24" s="107"/>
      <c r="AE24" s="102"/>
      <c r="AF24" s="102"/>
      <c r="AG24" s="102"/>
      <c r="AH24" s="107"/>
      <c r="AI24" s="102"/>
      <c r="AJ24" s="102"/>
      <c r="AK24" s="102"/>
      <c r="AL24" s="107"/>
      <c r="AM24" s="102"/>
      <c r="AN24" s="102"/>
      <c r="AO24" s="102"/>
      <c r="AP24" s="107"/>
      <c r="AQ24" s="102"/>
      <c r="AR24" s="102"/>
      <c r="AS24" s="102"/>
      <c r="AT24" s="107"/>
      <c r="AU24" s="102"/>
      <c r="AV24" s="102"/>
      <c r="AW24" s="102"/>
      <c r="AX24" s="107"/>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22"/>
      <c r="CD24" s="123">
        <f t="shared" si="27"/>
        <v>10000</v>
      </c>
      <c r="CE24" s="102">
        <f t="shared" si="28"/>
        <v>10000</v>
      </c>
      <c r="CF24" s="102">
        <f t="shared" si="29"/>
        <v>10000</v>
      </c>
      <c r="CG24" s="102">
        <f t="shared" si="30"/>
        <v>0</v>
      </c>
      <c r="CH24" s="124">
        <f t="shared" si="31"/>
        <v>0</v>
      </c>
      <c r="CI24" s="125">
        <f t="shared" si="32"/>
        <v>1</v>
      </c>
      <c r="CJ24" s="126" t="str">
        <f t="shared" si="33"/>
        <v>数据正确</v>
      </c>
    </row>
    <row r="25" s="60" customFormat="1" customHeight="1" spans="2:88">
      <c r="B25" s="70" t="str">
        <f t="shared" si="23"/>
        <v>-</v>
      </c>
      <c r="C25" s="71" t="str">
        <f t="shared" si="24"/>
        <v>-</v>
      </c>
      <c r="D25" s="72">
        <f t="shared" si="25"/>
        <v>0</v>
      </c>
      <c r="E25" s="72">
        <v>0</v>
      </c>
      <c r="F25" s="72">
        <v>0</v>
      </c>
      <c r="G25" s="72">
        <v>0</v>
      </c>
      <c r="H25" s="72">
        <v>0</v>
      </c>
      <c r="I25" s="72">
        <f t="shared" si="26"/>
        <v>0</v>
      </c>
      <c r="J25" s="86" t="s">
        <v>98</v>
      </c>
      <c r="L25" s="88">
        <v>106</v>
      </c>
      <c r="M25" s="89" t="s">
        <v>1650</v>
      </c>
      <c r="N25" s="90" t="s">
        <v>32</v>
      </c>
      <c r="O25" s="89" t="s">
        <v>97</v>
      </c>
      <c r="P25" s="91">
        <v>42490</v>
      </c>
      <c r="Q25" s="154">
        <v>22127</v>
      </c>
      <c r="R25" s="89" t="s">
        <v>1651</v>
      </c>
      <c r="S25" s="89" t="s">
        <v>1652</v>
      </c>
      <c r="T25" s="89"/>
      <c r="U25" s="103" t="s">
        <v>343</v>
      </c>
      <c r="V25" s="105" t="s">
        <v>1653</v>
      </c>
      <c r="W25" s="102">
        <v>22127</v>
      </c>
      <c r="X25" s="102"/>
      <c r="Y25" s="102"/>
      <c r="Z25" s="107"/>
      <c r="AA25" s="102"/>
      <c r="AB25" s="102"/>
      <c r="AC25" s="102"/>
      <c r="AD25" s="107"/>
      <c r="AE25" s="102"/>
      <c r="AF25" s="102"/>
      <c r="AG25" s="102"/>
      <c r="AH25" s="107"/>
      <c r="AI25" s="102"/>
      <c r="AJ25" s="102"/>
      <c r="AK25" s="102"/>
      <c r="AL25" s="107"/>
      <c r="AM25" s="102"/>
      <c r="AN25" s="102"/>
      <c r="AO25" s="102"/>
      <c r="AP25" s="107"/>
      <c r="AQ25" s="102"/>
      <c r="AR25" s="102"/>
      <c r="AS25" s="102"/>
      <c r="AT25" s="107"/>
      <c r="AU25" s="102"/>
      <c r="AV25" s="102"/>
      <c r="AW25" s="102"/>
      <c r="AX25" s="107"/>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22"/>
      <c r="CD25" s="123">
        <f t="shared" si="27"/>
        <v>22127</v>
      </c>
      <c r="CE25" s="102">
        <f t="shared" si="28"/>
        <v>0</v>
      </c>
      <c r="CF25" s="102">
        <f t="shared" si="29"/>
        <v>0</v>
      </c>
      <c r="CG25" s="102">
        <f t="shared" si="30"/>
        <v>0</v>
      </c>
      <c r="CH25" s="124">
        <f t="shared" si="31"/>
        <v>22127</v>
      </c>
      <c r="CI25" s="125">
        <f t="shared" si="32"/>
        <v>0</v>
      </c>
      <c r="CJ25" s="126" t="str">
        <f t="shared" si="33"/>
        <v>数据正确</v>
      </c>
    </row>
    <row r="26" s="60" customFormat="1" customHeight="1" spans="1:88">
      <c r="A26" s="60" t="s">
        <v>36</v>
      </c>
      <c r="B26" s="70" t="str">
        <f t="shared" si="23"/>
        <v>-</v>
      </c>
      <c r="C26" s="71" t="str">
        <f t="shared" si="24"/>
        <v>-</v>
      </c>
      <c r="D26" s="72">
        <f t="shared" si="25"/>
        <v>462551</v>
      </c>
      <c r="E26" s="72">
        <v>0</v>
      </c>
      <c r="F26" s="72">
        <v>0</v>
      </c>
      <c r="G26" s="72">
        <v>0</v>
      </c>
      <c r="H26" s="72">
        <v>5000</v>
      </c>
      <c r="I26" s="72">
        <f t="shared" si="26"/>
        <v>0</v>
      </c>
      <c r="J26" s="86" t="s">
        <v>98</v>
      </c>
      <c r="L26" s="88">
        <v>128</v>
      </c>
      <c r="M26" s="89" t="s">
        <v>1654</v>
      </c>
      <c r="N26" s="90" t="s">
        <v>32</v>
      </c>
      <c r="O26" s="89" t="s">
        <v>97</v>
      </c>
      <c r="P26" s="91">
        <v>42500</v>
      </c>
      <c r="Q26" s="102">
        <v>950000</v>
      </c>
      <c r="R26" s="89" t="s">
        <v>1655</v>
      </c>
      <c r="S26" s="89" t="s">
        <v>1599</v>
      </c>
      <c r="T26" s="89"/>
      <c r="U26" s="103" t="s">
        <v>343</v>
      </c>
      <c r="V26" s="105" t="s">
        <v>1656</v>
      </c>
      <c r="W26" s="102">
        <v>950000</v>
      </c>
      <c r="X26" s="102">
        <f>36000+36000+36000+38129+42000+42000+42000+42000+46000+45615+21461+19346+21000</f>
        <v>467551</v>
      </c>
      <c r="Y26" s="102">
        <f>36000+36000+36000+38129+42000+42000+42000+42000+46000+45615+16461+19346+21000</f>
        <v>462551</v>
      </c>
      <c r="Z26" s="107"/>
      <c r="AA26" s="102"/>
      <c r="AB26" s="102"/>
      <c r="AC26" s="102"/>
      <c r="AD26" s="107"/>
      <c r="AE26" s="102"/>
      <c r="AF26" s="102"/>
      <c r="AG26" s="102"/>
      <c r="AH26" s="107"/>
      <c r="AI26" s="102"/>
      <c r="AJ26" s="102"/>
      <c r="AK26" s="102"/>
      <c r="AL26" s="107"/>
      <c r="AM26" s="102"/>
      <c r="AN26" s="102"/>
      <c r="AO26" s="102"/>
      <c r="AP26" s="107"/>
      <c r="AQ26" s="102"/>
      <c r="AR26" s="102"/>
      <c r="AS26" s="102"/>
      <c r="AT26" s="107"/>
      <c r="AU26" s="102"/>
      <c r="AV26" s="102"/>
      <c r="AW26" s="102"/>
      <c r="AX26" s="107"/>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22"/>
      <c r="CD26" s="123">
        <f t="shared" si="27"/>
        <v>950000</v>
      </c>
      <c r="CE26" s="102">
        <f t="shared" si="28"/>
        <v>467551</v>
      </c>
      <c r="CF26" s="102">
        <f t="shared" si="29"/>
        <v>462551</v>
      </c>
      <c r="CG26" s="102">
        <f t="shared" si="30"/>
        <v>5000</v>
      </c>
      <c r="CH26" s="124">
        <f t="shared" si="31"/>
        <v>482449</v>
      </c>
      <c r="CI26" s="125">
        <f t="shared" si="32"/>
        <v>0.492158947368421</v>
      </c>
      <c r="CJ26" s="126" t="str">
        <f t="shared" si="33"/>
        <v>数据正确</v>
      </c>
    </row>
    <row r="27" s="60" customFormat="1" customHeight="1" spans="2:88">
      <c r="B27" s="70" t="str">
        <f t="shared" si="23"/>
        <v>-</v>
      </c>
      <c r="C27" s="71" t="str">
        <f t="shared" si="24"/>
        <v>-</v>
      </c>
      <c r="D27" s="72">
        <f t="shared" si="25"/>
        <v>0</v>
      </c>
      <c r="E27" s="72">
        <v>0</v>
      </c>
      <c r="F27" s="72">
        <v>0</v>
      </c>
      <c r="G27" s="72">
        <v>0</v>
      </c>
      <c r="H27" s="72">
        <v>0</v>
      </c>
      <c r="I27" s="72">
        <f t="shared" si="26"/>
        <v>0</v>
      </c>
      <c r="J27" s="86" t="s">
        <v>98</v>
      </c>
      <c r="L27" s="88">
        <v>107</v>
      </c>
      <c r="M27" s="89" t="s">
        <v>1657</v>
      </c>
      <c r="N27" s="90" t="s">
        <v>32</v>
      </c>
      <c r="O27" s="89" t="s">
        <v>97</v>
      </c>
      <c r="P27" s="91">
        <v>42551</v>
      </c>
      <c r="Q27" s="154">
        <v>8115</v>
      </c>
      <c r="R27" s="89" t="s">
        <v>1651</v>
      </c>
      <c r="S27" s="89" t="s">
        <v>1652</v>
      </c>
      <c r="T27" s="89"/>
      <c r="U27" s="103" t="s">
        <v>343</v>
      </c>
      <c r="V27" s="105" t="s">
        <v>1653</v>
      </c>
      <c r="W27" s="102">
        <v>8115</v>
      </c>
      <c r="X27" s="102"/>
      <c r="Y27" s="102"/>
      <c r="Z27" s="107"/>
      <c r="AA27" s="102"/>
      <c r="AB27" s="102"/>
      <c r="AC27" s="102"/>
      <c r="AD27" s="107"/>
      <c r="AE27" s="102"/>
      <c r="AF27" s="102"/>
      <c r="AG27" s="102"/>
      <c r="AH27" s="107"/>
      <c r="AI27" s="102"/>
      <c r="AJ27" s="102"/>
      <c r="AK27" s="102"/>
      <c r="AL27" s="107"/>
      <c r="AM27" s="102"/>
      <c r="AN27" s="102"/>
      <c r="AO27" s="102"/>
      <c r="AP27" s="107"/>
      <c r="AQ27" s="102"/>
      <c r="AR27" s="102"/>
      <c r="AS27" s="102"/>
      <c r="AT27" s="107"/>
      <c r="AU27" s="102"/>
      <c r="AV27" s="102"/>
      <c r="AW27" s="102"/>
      <c r="AX27" s="107"/>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22"/>
      <c r="CD27" s="123">
        <f t="shared" si="27"/>
        <v>8115</v>
      </c>
      <c r="CE27" s="102">
        <f t="shared" si="28"/>
        <v>0</v>
      </c>
      <c r="CF27" s="102">
        <f t="shared" si="29"/>
        <v>0</v>
      </c>
      <c r="CG27" s="102">
        <f t="shared" si="30"/>
        <v>0</v>
      </c>
      <c r="CH27" s="124">
        <f t="shared" si="31"/>
        <v>8115</v>
      </c>
      <c r="CI27" s="125">
        <f t="shared" si="32"/>
        <v>0</v>
      </c>
      <c r="CJ27" s="126" t="str">
        <f t="shared" si="33"/>
        <v>数据正确</v>
      </c>
    </row>
    <row r="28" s="60" customFormat="1" customHeight="1" spans="2:88">
      <c r="B28" s="70" t="str">
        <f t="shared" si="23"/>
        <v>-</v>
      </c>
      <c r="C28" s="71" t="str">
        <f t="shared" si="24"/>
        <v>-</v>
      </c>
      <c r="D28" s="72">
        <f t="shared" si="25"/>
        <v>24694</v>
      </c>
      <c r="E28" s="72">
        <v>0</v>
      </c>
      <c r="F28" s="72">
        <v>0</v>
      </c>
      <c r="G28" s="72">
        <v>0</v>
      </c>
      <c r="H28" s="72">
        <v>0</v>
      </c>
      <c r="I28" s="72">
        <f t="shared" si="26"/>
        <v>0</v>
      </c>
      <c r="J28" s="86" t="s">
        <v>98</v>
      </c>
      <c r="L28" s="88">
        <v>108</v>
      </c>
      <c r="M28" s="89" t="s">
        <v>1658</v>
      </c>
      <c r="N28" s="90" t="s">
        <v>32</v>
      </c>
      <c r="O28" s="89" t="s">
        <v>97</v>
      </c>
      <c r="P28" s="91">
        <v>42704</v>
      </c>
      <c r="Q28" s="154">
        <v>28461</v>
      </c>
      <c r="R28" s="89" t="s">
        <v>1651</v>
      </c>
      <c r="S28" s="89" t="s">
        <v>1652</v>
      </c>
      <c r="T28" s="89"/>
      <c r="U28" s="103" t="s">
        <v>343</v>
      </c>
      <c r="V28" s="105" t="s">
        <v>1653</v>
      </c>
      <c r="W28" s="102">
        <v>28461</v>
      </c>
      <c r="X28" s="102">
        <v>24694</v>
      </c>
      <c r="Y28" s="102">
        <f>3589+21105</f>
        <v>24694</v>
      </c>
      <c r="Z28" s="107"/>
      <c r="AA28" s="102"/>
      <c r="AB28" s="102"/>
      <c r="AC28" s="102"/>
      <c r="AD28" s="107"/>
      <c r="AE28" s="102"/>
      <c r="AF28" s="102"/>
      <c r="AG28" s="102"/>
      <c r="AH28" s="107"/>
      <c r="AI28" s="102"/>
      <c r="AJ28" s="102"/>
      <c r="AK28" s="102"/>
      <c r="AL28" s="107"/>
      <c r="AM28" s="102"/>
      <c r="AN28" s="102"/>
      <c r="AO28" s="102"/>
      <c r="AP28" s="107"/>
      <c r="AQ28" s="102"/>
      <c r="AR28" s="102"/>
      <c r="AS28" s="102"/>
      <c r="AT28" s="107"/>
      <c r="AU28" s="102"/>
      <c r="AV28" s="102"/>
      <c r="AW28" s="102"/>
      <c r="AX28" s="107"/>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22"/>
      <c r="CD28" s="123">
        <f t="shared" si="27"/>
        <v>28461</v>
      </c>
      <c r="CE28" s="102">
        <f t="shared" si="28"/>
        <v>24694</v>
      </c>
      <c r="CF28" s="102">
        <f t="shared" si="29"/>
        <v>24694</v>
      </c>
      <c r="CG28" s="102">
        <f t="shared" si="30"/>
        <v>0</v>
      </c>
      <c r="CH28" s="124">
        <f t="shared" si="31"/>
        <v>3767</v>
      </c>
      <c r="CI28" s="125">
        <f t="shared" si="32"/>
        <v>0.867643441902955</v>
      </c>
      <c r="CJ28" s="126" t="str">
        <f t="shared" si="33"/>
        <v>数据正确</v>
      </c>
    </row>
    <row r="29" s="60" customFormat="1" customHeight="1" spans="2:88">
      <c r="B29" s="70" t="str">
        <f t="shared" si="23"/>
        <v>-</v>
      </c>
      <c r="C29" s="71" t="str">
        <f t="shared" si="24"/>
        <v>-</v>
      </c>
      <c r="D29" s="72">
        <f t="shared" si="25"/>
        <v>0</v>
      </c>
      <c r="E29" s="72">
        <v>0</v>
      </c>
      <c r="F29" s="72">
        <v>0</v>
      </c>
      <c r="G29" s="72">
        <v>0</v>
      </c>
      <c r="H29" s="72">
        <v>0</v>
      </c>
      <c r="I29" s="72">
        <f t="shared" si="26"/>
        <v>0</v>
      </c>
      <c r="J29" s="86" t="s">
        <v>98</v>
      </c>
      <c r="L29" s="88">
        <v>28</v>
      </c>
      <c r="M29" s="89" t="s">
        <v>1659</v>
      </c>
      <c r="N29" s="90" t="s">
        <v>32</v>
      </c>
      <c r="O29" s="147">
        <v>2016120024</v>
      </c>
      <c r="P29" s="91">
        <v>42733</v>
      </c>
      <c r="Q29" s="154">
        <v>70000</v>
      </c>
      <c r="R29" s="159" t="s">
        <v>1660</v>
      </c>
      <c r="S29" s="159" t="s">
        <v>1661</v>
      </c>
      <c r="T29" s="160" t="s">
        <v>1662</v>
      </c>
      <c r="U29" s="161" t="s">
        <v>343</v>
      </c>
      <c r="V29" s="105" t="s">
        <v>1663</v>
      </c>
      <c r="W29" s="102">
        <v>70000</v>
      </c>
      <c r="X29" s="102"/>
      <c r="Y29" s="102"/>
      <c r="Z29" s="107"/>
      <c r="AA29" s="102"/>
      <c r="AB29" s="102"/>
      <c r="AC29" s="102"/>
      <c r="AD29" s="107"/>
      <c r="AE29" s="102"/>
      <c r="AF29" s="102"/>
      <c r="AG29" s="102"/>
      <c r="AH29" s="107"/>
      <c r="AI29" s="102"/>
      <c r="AJ29" s="102"/>
      <c r="AK29" s="102"/>
      <c r="AL29" s="107"/>
      <c r="AM29" s="102"/>
      <c r="AN29" s="102"/>
      <c r="AO29" s="102"/>
      <c r="AP29" s="107"/>
      <c r="AQ29" s="102"/>
      <c r="AR29" s="102"/>
      <c r="AS29" s="102"/>
      <c r="AT29" s="107"/>
      <c r="AU29" s="102"/>
      <c r="AV29" s="102"/>
      <c r="AW29" s="102"/>
      <c r="AX29" s="107"/>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22"/>
      <c r="CD29" s="123">
        <f t="shared" si="27"/>
        <v>70000</v>
      </c>
      <c r="CE29" s="102">
        <f t="shared" si="28"/>
        <v>0</v>
      </c>
      <c r="CF29" s="102">
        <f t="shared" si="29"/>
        <v>0</v>
      </c>
      <c r="CG29" s="102">
        <f t="shared" si="30"/>
        <v>0</v>
      </c>
      <c r="CH29" s="124">
        <f t="shared" si="31"/>
        <v>70000</v>
      </c>
      <c r="CI29" s="125">
        <f t="shared" si="32"/>
        <v>0</v>
      </c>
      <c r="CJ29" s="126" t="str">
        <f t="shared" si="33"/>
        <v>数据正确</v>
      </c>
    </row>
    <row r="30" s="60" customFormat="1" customHeight="1" spans="2:88">
      <c r="B30" s="70" t="str">
        <f t="shared" si="23"/>
        <v>-</v>
      </c>
      <c r="C30" s="71" t="str">
        <f t="shared" si="24"/>
        <v>-</v>
      </c>
      <c r="D30" s="72">
        <f t="shared" si="25"/>
        <v>0</v>
      </c>
      <c r="E30" s="72">
        <v>0</v>
      </c>
      <c r="F30" s="72">
        <v>0</v>
      </c>
      <c r="G30" s="72">
        <v>0</v>
      </c>
      <c r="H30" s="72">
        <v>0</v>
      </c>
      <c r="I30" s="72">
        <f t="shared" si="26"/>
        <v>0</v>
      </c>
      <c r="J30" s="86" t="s">
        <v>98</v>
      </c>
      <c r="L30" s="88">
        <v>48</v>
      </c>
      <c r="M30" s="90" t="s">
        <v>1664</v>
      </c>
      <c r="N30" s="90" t="s">
        <v>32</v>
      </c>
      <c r="O30" s="89" t="s">
        <v>97</v>
      </c>
      <c r="P30" s="91">
        <v>42769</v>
      </c>
      <c r="Q30" s="102">
        <v>63600</v>
      </c>
      <c r="R30" s="89" t="s">
        <v>1665</v>
      </c>
      <c r="S30" s="89" t="s">
        <v>1666</v>
      </c>
      <c r="T30" s="89"/>
      <c r="U30" s="103" t="s">
        <v>343</v>
      </c>
      <c r="V30" s="105" t="s">
        <v>1667</v>
      </c>
      <c r="W30" s="102">
        <v>31800</v>
      </c>
      <c r="X30" s="102"/>
      <c r="Y30" s="102"/>
      <c r="Z30" s="107" t="s">
        <v>1668</v>
      </c>
      <c r="AA30" s="102">
        <v>31800</v>
      </c>
      <c r="AB30" s="102"/>
      <c r="AC30" s="102"/>
      <c r="AD30" s="107"/>
      <c r="AE30" s="102"/>
      <c r="AF30" s="102"/>
      <c r="AG30" s="102"/>
      <c r="AH30" s="107"/>
      <c r="AI30" s="102"/>
      <c r="AJ30" s="102"/>
      <c r="AK30" s="102"/>
      <c r="AL30" s="107"/>
      <c r="AM30" s="102"/>
      <c r="AN30" s="102"/>
      <c r="AO30" s="102"/>
      <c r="AP30" s="107"/>
      <c r="AQ30" s="102"/>
      <c r="AR30" s="102"/>
      <c r="AS30" s="102"/>
      <c r="AT30" s="107"/>
      <c r="AU30" s="102"/>
      <c r="AV30" s="102"/>
      <c r="AW30" s="102"/>
      <c r="AX30" s="107"/>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22"/>
      <c r="CD30" s="123">
        <f t="shared" si="27"/>
        <v>63600</v>
      </c>
      <c r="CE30" s="102">
        <f t="shared" si="28"/>
        <v>0</v>
      </c>
      <c r="CF30" s="102">
        <f t="shared" si="29"/>
        <v>0</v>
      </c>
      <c r="CG30" s="102">
        <f t="shared" si="30"/>
        <v>0</v>
      </c>
      <c r="CH30" s="124">
        <f t="shared" si="31"/>
        <v>63600</v>
      </c>
      <c r="CI30" s="125">
        <f t="shared" si="32"/>
        <v>0</v>
      </c>
      <c r="CJ30" s="126" t="str">
        <f t="shared" si="33"/>
        <v>数据正确</v>
      </c>
    </row>
    <row r="31" s="60" customFormat="1" customHeight="1" spans="2:88">
      <c r="B31" s="70" t="str">
        <f t="shared" si="23"/>
        <v>申请中</v>
      </c>
      <c r="C31" s="71" t="str">
        <f t="shared" si="24"/>
        <v>-</v>
      </c>
      <c r="D31" s="72">
        <f t="shared" si="25"/>
        <v>0</v>
      </c>
      <c r="E31" s="72">
        <v>0</v>
      </c>
      <c r="F31" s="72">
        <v>0</v>
      </c>
      <c r="G31" s="72">
        <v>0</v>
      </c>
      <c r="H31" s="72">
        <v>0</v>
      </c>
      <c r="I31" s="72">
        <f t="shared" si="26"/>
        <v>106400</v>
      </c>
      <c r="J31" s="86" t="s">
        <v>98</v>
      </c>
      <c r="L31" s="88">
        <v>162</v>
      </c>
      <c r="M31" s="89" t="s">
        <v>1669</v>
      </c>
      <c r="N31" s="90" t="s">
        <v>32</v>
      </c>
      <c r="O31" s="89"/>
      <c r="P31" s="91">
        <v>42795</v>
      </c>
      <c r="Q31" s="102">
        <v>665000</v>
      </c>
      <c r="R31" s="89" t="s">
        <v>1670</v>
      </c>
      <c r="S31" s="89" t="s">
        <v>1671</v>
      </c>
      <c r="T31" s="89"/>
      <c r="U31" s="103" t="s">
        <v>616</v>
      </c>
      <c r="V31" s="105" t="s">
        <v>1672</v>
      </c>
      <c r="W31" s="102">
        <v>106400</v>
      </c>
      <c r="X31" s="102">
        <v>106400</v>
      </c>
      <c r="Y31" s="102"/>
      <c r="Z31" s="107" t="s">
        <v>1673</v>
      </c>
      <c r="AA31" s="102">
        <v>106400</v>
      </c>
      <c r="AB31" s="102"/>
      <c r="AC31" s="102"/>
      <c r="AD31" s="107" t="s">
        <v>1674</v>
      </c>
      <c r="AE31" s="102">
        <v>106400</v>
      </c>
      <c r="AF31" s="102"/>
      <c r="AG31" s="102"/>
      <c r="AH31" s="107" t="s">
        <v>1675</v>
      </c>
      <c r="AI31" s="102">
        <v>106400</v>
      </c>
      <c r="AJ31" s="102"/>
      <c r="AK31" s="102"/>
      <c r="AL31" s="107" t="s">
        <v>1676</v>
      </c>
      <c r="AM31" s="102">
        <v>53200</v>
      </c>
      <c r="AN31" s="102"/>
      <c r="AO31" s="102"/>
      <c r="AP31" s="107" t="s">
        <v>1677</v>
      </c>
      <c r="AQ31" s="102">
        <v>53200</v>
      </c>
      <c r="AR31" s="102"/>
      <c r="AS31" s="102"/>
      <c r="AT31" s="107" t="s">
        <v>1678</v>
      </c>
      <c r="AU31" s="102">
        <v>133000</v>
      </c>
      <c r="AV31" s="102"/>
      <c r="AW31" s="102"/>
      <c r="AX31" s="107"/>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22"/>
      <c r="CD31" s="123">
        <f t="shared" si="27"/>
        <v>665000</v>
      </c>
      <c r="CE31" s="102">
        <f t="shared" si="28"/>
        <v>106400</v>
      </c>
      <c r="CF31" s="102">
        <f t="shared" si="29"/>
        <v>0</v>
      </c>
      <c r="CG31" s="102">
        <f t="shared" si="30"/>
        <v>0</v>
      </c>
      <c r="CH31" s="124">
        <f t="shared" si="31"/>
        <v>665000</v>
      </c>
      <c r="CI31" s="125">
        <f t="shared" si="32"/>
        <v>0</v>
      </c>
      <c r="CJ31" s="126" t="str">
        <f t="shared" si="33"/>
        <v>数据正确</v>
      </c>
    </row>
    <row r="32" s="60" customFormat="1" customHeight="1" outlineLevel="1" spans="1:88">
      <c r="A32" s="60" t="s">
        <v>36</v>
      </c>
      <c r="B32" s="70" t="str">
        <f t="shared" si="23"/>
        <v>-</v>
      </c>
      <c r="C32" s="71" t="str">
        <f t="shared" si="24"/>
        <v>-</v>
      </c>
      <c r="D32" s="72">
        <f t="shared" si="25"/>
        <v>46800000</v>
      </c>
      <c r="E32" s="72">
        <v>0</v>
      </c>
      <c r="F32" s="72">
        <v>0</v>
      </c>
      <c r="G32" s="72">
        <v>0</v>
      </c>
      <c r="H32" s="72">
        <v>0</v>
      </c>
      <c r="I32" s="72">
        <f t="shared" si="26"/>
        <v>0</v>
      </c>
      <c r="J32" s="86" t="s">
        <v>98</v>
      </c>
      <c r="L32" s="141" t="s">
        <v>1679</v>
      </c>
      <c r="M32" s="148" t="s">
        <v>1680</v>
      </c>
      <c r="N32" s="90" t="s">
        <v>32</v>
      </c>
      <c r="O32" s="89">
        <v>2017020021</v>
      </c>
      <c r="P32" s="149">
        <v>42796</v>
      </c>
      <c r="Q32" s="124">
        <v>73000000</v>
      </c>
      <c r="R32" s="89" t="s">
        <v>1681</v>
      </c>
      <c r="S32" s="162" t="s">
        <v>1682</v>
      </c>
      <c r="T32" s="89"/>
      <c r="U32" s="103" t="s">
        <v>329</v>
      </c>
      <c r="V32" s="105" t="s">
        <v>1683</v>
      </c>
      <c r="W32" s="102">
        <v>10950000</v>
      </c>
      <c r="X32" s="102">
        <v>10950000</v>
      </c>
      <c r="Y32" s="102">
        <v>10950000</v>
      </c>
      <c r="Z32" s="107" t="s">
        <v>1684</v>
      </c>
      <c r="AA32" s="102">
        <v>25550000</v>
      </c>
      <c r="AB32" s="102">
        <v>25550000</v>
      </c>
      <c r="AC32" s="102">
        <v>25550000</v>
      </c>
      <c r="AD32" s="107" t="s">
        <v>1685</v>
      </c>
      <c r="AE32" s="102">
        <v>7300000</v>
      </c>
      <c r="AF32" s="102">
        <v>10300000</v>
      </c>
      <c r="AG32" s="102">
        <v>10300000</v>
      </c>
      <c r="AH32" s="107" t="s">
        <v>1686</v>
      </c>
      <c r="AI32" s="102">
        <v>3650000</v>
      </c>
      <c r="AJ32" s="102"/>
      <c r="AK32" s="102"/>
      <c r="AL32" s="107" t="s">
        <v>1687</v>
      </c>
      <c r="AM32" s="102">
        <v>7300000</v>
      </c>
      <c r="AN32" s="102"/>
      <c r="AO32" s="102"/>
      <c r="AP32" s="107" t="s">
        <v>1688</v>
      </c>
      <c r="AQ32" s="102">
        <v>3650000</v>
      </c>
      <c r="AR32" s="102"/>
      <c r="AS32" s="102"/>
      <c r="AT32" s="107" t="s">
        <v>1689</v>
      </c>
      <c r="AU32" s="102">
        <v>7300000</v>
      </c>
      <c r="AV32" s="102"/>
      <c r="AW32" s="102"/>
      <c r="AX32" s="107" t="s">
        <v>1690</v>
      </c>
      <c r="AY32" s="102">
        <v>7300000</v>
      </c>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22"/>
      <c r="CD32" s="123">
        <f t="shared" si="27"/>
        <v>73000000</v>
      </c>
      <c r="CE32" s="102">
        <f t="shared" si="28"/>
        <v>46800000</v>
      </c>
      <c r="CF32" s="102">
        <f t="shared" si="29"/>
        <v>46800000</v>
      </c>
      <c r="CG32" s="102">
        <f t="shared" si="30"/>
        <v>0</v>
      </c>
      <c r="CH32" s="124">
        <f t="shared" si="31"/>
        <v>26200000</v>
      </c>
      <c r="CI32" s="125">
        <f t="shared" si="32"/>
        <v>0.641095890410959</v>
      </c>
      <c r="CJ32" s="126" t="str">
        <f t="shared" si="33"/>
        <v>数据正确</v>
      </c>
    </row>
    <row r="33" s="60" customFormat="1" customHeight="1" outlineLevel="1" spans="1:88">
      <c r="A33" s="60" t="s">
        <v>36</v>
      </c>
      <c r="B33" s="70" t="str">
        <f t="shared" si="23"/>
        <v>-</v>
      </c>
      <c r="C33" s="71" t="str">
        <f t="shared" si="24"/>
        <v>-</v>
      </c>
      <c r="D33" s="72">
        <f t="shared" si="25"/>
        <v>750000</v>
      </c>
      <c r="E33" s="72">
        <v>0</v>
      </c>
      <c r="F33" s="72">
        <v>0</v>
      </c>
      <c r="G33" s="72">
        <v>0</v>
      </c>
      <c r="H33" s="72">
        <v>0</v>
      </c>
      <c r="I33" s="72">
        <f t="shared" si="26"/>
        <v>0</v>
      </c>
      <c r="J33" s="86" t="s">
        <v>98</v>
      </c>
      <c r="L33" s="141" t="s">
        <v>1691</v>
      </c>
      <c r="M33" s="148" t="s">
        <v>1680</v>
      </c>
      <c r="N33" s="90" t="s">
        <v>32</v>
      </c>
      <c r="O33" s="89">
        <v>2017020021</v>
      </c>
      <c r="P33" s="149">
        <v>42796</v>
      </c>
      <c r="Q33" s="124">
        <v>5000000</v>
      </c>
      <c r="R33" s="89" t="s">
        <v>1692</v>
      </c>
      <c r="S33" s="162" t="s">
        <v>1682</v>
      </c>
      <c r="T33" s="89"/>
      <c r="U33" s="103" t="s">
        <v>329</v>
      </c>
      <c r="V33" s="105" t="s">
        <v>1693</v>
      </c>
      <c r="W33" s="102">
        <v>750000</v>
      </c>
      <c r="X33" s="102"/>
      <c r="Y33" s="102"/>
      <c r="Z33" s="107" t="s">
        <v>1693</v>
      </c>
      <c r="AA33" s="102">
        <v>750000</v>
      </c>
      <c r="AB33" s="102">
        <v>750000</v>
      </c>
      <c r="AC33" s="102">
        <v>750000</v>
      </c>
      <c r="AD33" s="107" t="s">
        <v>1693</v>
      </c>
      <c r="AE33" s="102">
        <v>750000</v>
      </c>
      <c r="AF33" s="102"/>
      <c r="AG33" s="102"/>
      <c r="AH33" s="107" t="s">
        <v>1693</v>
      </c>
      <c r="AI33" s="102">
        <v>750000</v>
      </c>
      <c r="AJ33" s="102"/>
      <c r="AK33" s="102"/>
      <c r="AL33" s="107" t="s">
        <v>1693</v>
      </c>
      <c r="AM33" s="102">
        <v>750000</v>
      </c>
      <c r="AN33" s="102"/>
      <c r="AO33" s="102"/>
      <c r="AP33" s="107" t="s">
        <v>1693</v>
      </c>
      <c r="AQ33" s="102">
        <v>750000</v>
      </c>
      <c r="AR33" s="102"/>
      <c r="AS33" s="102"/>
      <c r="AT33" s="107" t="s">
        <v>1694</v>
      </c>
      <c r="AU33" s="102">
        <v>500000</v>
      </c>
      <c r="AV33" s="102"/>
      <c r="AW33" s="102"/>
      <c r="AX33" s="107"/>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22"/>
      <c r="CD33" s="123">
        <f t="shared" si="27"/>
        <v>5000000</v>
      </c>
      <c r="CE33" s="102">
        <f t="shared" si="28"/>
        <v>750000</v>
      </c>
      <c r="CF33" s="102">
        <f t="shared" si="29"/>
        <v>750000</v>
      </c>
      <c r="CG33" s="102">
        <f t="shared" si="30"/>
        <v>0</v>
      </c>
      <c r="CH33" s="124">
        <f t="shared" si="31"/>
        <v>4250000</v>
      </c>
      <c r="CI33" s="125">
        <f t="shared" si="32"/>
        <v>0.15</v>
      </c>
      <c r="CJ33" s="126" t="str">
        <f t="shared" si="33"/>
        <v>数据正确</v>
      </c>
    </row>
    <row r="34" s="60" customFormat="1" customHeight="1" outlineLevel="1" spans="1:88">
      <c r="A34" s="60" t="s">
        <v>36</v>
      </c>
      <c r="B34" s="70" t="str">
        <f t="shared" si="23"/>
        <v>-</v>
      </c>
      <c r="C34" s="71" t="str">
        <f t="shared" si="24"/>
        <v>-</v>
      </c>
      <c r="D34" s="72">
        <f t="shared" si="25"/>
        <v>0</v>
      </c>
      <c r="E34" s="72">
        <v>0</v>
      </c>
      <c r="F34" s="72">
        <v>0</v>
      </c>
      <c r="G34" s="72">
        <v>0</v>
      </c>
      <c r="H34" s="72">
        <v>0</v>
      </c>
      <c r="I34" s="72">
        <f t="shared" si="26"/>
        <v>0</v>
      </c>
      <c r="J34" s="86" t="s">
        <v>98</v>
      </c>
      <c r="L34" s="141" t="s">
        <v>1695</v>
      </c>
      <c r="M34" s="148" t="s">
        <v>1680</v>
      </c>
      <c r="N34" s="90" t="s">
        <v>32</v>
      </c>
      <c r="O34" s="89">
        <v>2017020021</v>
      </c>
      <c r="P34" s="149">
        <v>42796</v>
      </c>
      <c r="Q34" s="124">
        <v>17000000</v>
      </c>
      <c r="R34" s="89" t="s">
        <v>1696</v>
      </c>
      <c r="S34" s="162" t="s">
        <v>1682</v>
      </c>
      <c r="T34" s="89"/>
      <c r="U34" s="103" t="s">
        <v>329</v>
      </c>
      <c r="V34" s="105" t="s">
        <v>1697</v>
      </c>
      <c r="W34" s="102">
        <v>1700000</v>
      </c>
      <c r="X34" s="102"/>
      <c r="Y34" s="102"/>
      <c r="Z34" s="107" t="s">
        <v>1698</v>
      </c>
      <c r="AA34" s="102">
        <v>14450000</v>
      </c>
      <c r="AB34" s="102"/>
      <c r="AC34" s="102"/>
      <c r="AD34" s="107" t="s">
        <v>1699</v>
      </c>
      <c r="AE34" s="102">
        <v>850000</v>
      </c>
      <c r="AF34" s="102"/>
      <c r="AG34" s="102"/>
      <c r="AH34" s="107"/>
      <c r="AI34" s="102"/>
      <c r="AJ34" s="102"/>
      <c r="AK34" s="102"/>
      <c r="AL34" s="107"/>
      <c r="AM34" s="102"/>
      <c r="AN34" s="102"/>
      <c r="AO34" s="102"/>
      <c r="AP34" s="107"/>
      <c r="AQ34" s="102"/>
      <c r="AR34" s="102"/>
      <c r="AS34" s="102"/>
      <c r="AT34" s="107"/>
      <c r="AU34" s="102"/>
      <c r="AV34" s="102"/>
      <c r="AW34" s="102"/>
      <c r="AX34" s="107"/>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22"/>
      <c r="CD34" s="123">
        <f t="shared" si="27"/>
        <v>17000000</v>
      </c>
      <c r="CE34" s="102">
        <f t="shared" si="28"/>
        <v>0</v>
      </c>
      <c r="CF34" s="102">
        <f t="shared" si="29"/>
        <v>0</v>
      </c>
      <c r="CG34" s="102">
        <f t="shared" si="30"/>
        <v>0</v>
      </c>
      <c r="CH34" s="124">
        <f t="shared" si="31"/>
        <v>17000000</v>
      </c>
      <c r="CI34" s="125">
        <f t="shared" si="32"/>
        <v>0</v>
      </c>
      <c r="CJ34" s="126" t="str">
        <f t="shared" si="33"/>
        <v>数据正确</v>
      </c>
    </row>
    <row r="35" s="60" customFormat="1" customHeight="1" outlineLevel="1" spans="1:88">
      <c r="A35" s="60" t="s">
        <v>36</v>
      </c>
      <c r="B35" s="70" t="str">
        <f t="shared" si="23"/>
        <v>-</v>
      </c>
      <c r="C35" s="71" t="str">
        <f t="shared" si="24"/>
        <v>-</v>
      </c>
      <c r="D35" s="72">
        <f t="shared" si="25"/>
        <v>0</v>
      </c>
      <c r="E35" s="72">
        <v>0</v>
      </c>
      <c r="F35" s="72">
        <v>0</v>
      </c>
      <c r="G35" s="72">
        <v>0</v>
      </c>
      <c r="H35" s="72">
        <v>0</v>
      </c>
      <c r="I35" s="72">
        <f t="shared" si="26"/>
        <v>0</v>
      </c>
      <c r="J35" s="86" t="s">
        <v>98</v>
      </c>
      <c r="L35" s="141" t="s">
        <v>1700</v>
      </c>
      <c r="M35" s="148" t="s">
        <v>1680</v>
      </c>
      <c r="N35" s="90" t="s">
        <v>32</v>
      </c>
      <c r="O35" s="89">
        <v>2017020021</v>
      </c>
      <c r="P35" s="149">
        <v>42796</v>
      </c>
      <c r="Q35" s="124">
        <v>30000000</v>
      </c>
      <c r="R35" s="89" t="s">
        <v>1701</v>
      </c>
      <c r="S35" s="162" t="s">
        <v>1682</v>
      </c>
      <c r="T35" s="89"/>
      <c r="U35" s="103" t="s">
        <v>329</v>
      </c>
      <c r="V35" s="105" t="s">
        <v>1702</v>
      </c>
      <c r="W35" s="102">
        <v>30000000</v>
      </c>
      <c r="X35" s="102"/>
      <c r="Y35" s="102"/>
      <c r="Z35" s="107"/>
      <c r="AA35" s="102"/>
      <c r="AB35" s="102"/>
      <c r="AC35" s="102"/>
      <c r="AD35" s="107"/>
      <c r="AE35" s="102"/>
      <c r="AF35" s="102"/>
      <c r="AG35" s="102"/>
      <c r="AH35" s="107"/>
      <c r="AI35" s="102"/>
      <c r="AJ35" s="102"/>
      <c r="AK35" s="102"/>
      <c r="AL35" s="107"/>
      <c r="AM35" s="102"/>
      <c r="AN35" s="102"/>
      <c r="AO35" s="102"/>
      <c r="AP35" s="107"/>
      <c r="AQ35" s="102"/>
      <c r="AR35" s="102"/>
      <c r="AS35" s="102"/>
      <c r="AT35" s="107"/>
      <c r="AU35" s="102"/>
      <c r="AV35" s="102"/>
      <c r="AW35" s="102"/>
      <c r="AX35" s="107"/>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22"/>
      <c r="CD35" s="123">
        <f t="shared" si="27"/>
        <v>30000000</v>
      </c>
      <c r="CE35" s="102">
        <f t="shared" si="28"/>
        <v>0</v>
      </c>
      <c r="CF35" s="102">
        <f t="shared" si="29"/>
        <v>0</v>
      </c>
      <c r="CG35" s="102">
        <f t="shared" si="30"/>
        <v>0</v>
      </c>
      <c r="CH35" s="124">
        <f t="shared" si="31"/>
        <v>30000000</v>
      </c>
      <c r="CI35" s="125">
        <f t="shared" si="32"/>
        <v>0</v>
      </c>
      <c r="CJ35" s="126" t="str">
        <f t="shared" si="33"/>
        <v>数据正确</v>
      </c>
    </row>
    <row r="36" s="130" customFormat="1" customHeight="1" spans="1:88">
      <c r="A36" s="130" t="s">
        <v>36</v>
      </c>
      <c r="B36" s="132" t="str">
        <f t="shared" si="23"/>
        <v>-</v>
      </c>
      <c r="C36" s="133" t="str">
        <f t="shared" si="24"/>
        <v>-</v>
      </c>
      <c r="D36" s="134">
        <f t="shared" si="25"/>
        <v>47550000</v>
      </c>
      <c r="E36" s="134">
        <f>SUM(E32:E35)</f>
        <v>0</v>
      </c>
      <c r="F36" s="134">
        <f>SUM(F32:F35)</f>
        <v>0</v>
      </c>
      <c r="G36" s="134">
        <f>SUM(G32:G35)</f>
        <v>0</v>
      </c>
      <c r="H36" s="134">
        <f>SUM(H32:H35)</f>
        <v>0</v>
      </c>
      <c r="I36" s="134">
        <f t="shared" si="26"/>
        <v>0</v>
      </c>
      <c r="J36" s="142" t="s">
        <v>98</v>
      </c>
      <c r="K36" s="60"/>
      <c r="L36" s="143">
        <v>61</v>
      </c>
      <c r="M36" s="150" t="s">
        <v>1680</v>
      </c>
      <c r="N36" s="145" t="s">
        <v>32</v>
      </c>
      <c r="O36" s="144">
        <v>2017020021</v>
      </c>
      <c r="P36" s="151">
        <v>42796</v>
      </c>
      <c r="Q36" s="163">
        <f>SUM(Q32:Q35)</f>
        <v>125000000</v>
      </c>
      <c r="R36" s="144" t="s">
        <v>1703</v>
      </c>
      <c r="S36" s="150" t="s">
        <v>1682</v>
      </c>
      <c r="T36" s="144"/>
      <c r="U36" s="156" t="s">
        <v>329</v>
      </c>
      <c r="V36" s="157" t="s">
        <v>97</v>
      </c>
      <c r="W36" s="158">
        <f>SUM(W32:W35)</f>
        <v>43400000</v>
      </c>
      <c r="X36" s="158">
        <f t="shared" ref="X36:BC36" si="36">SUM(X32:X35)</f>
        <v>10950000</v>
      </c>
      <c r="Y36" s="158">
        <f t="shared" si="36"/>
        <v>10950000</v>
      </c>
      <c r="Z36" s="158">
        <f t="shared" si="36"/>
        <v>0</v>
      </c>
      <c r="AA36" s="158">
        <f t="shared" si="36"/>
        <v>40750000</v>
      </c>
      <c r="AB36" s="158">
        <f t="shared" si="36"/>
        <v>26300000</v>
      </c>
      <c r="AC36" s="158">
        <f t="shared" si="36"/>
        <v>26300000</v>
      </c>
      <c r="AD36" s="158">
        <f t="shared" si="36"/>
        <v>0</v>
      </c>
      <c r="AE36" s="158">
        <f t="shared" si="36"/>
        <v>8900000</v>
      </c>
      <c r="AF36" s="158">
        <f t="shared" si="36"/>
        <v>10300000</v>
      </c>
      <c r="AG36" s="158">
        <f t="shared" si="36"/>
        <v>10300000</v>
      </c>
      <c r="AH36" s="158">
        <f t="shared" si="36"/>
        <v>0</v>
      </c>
      <c r="AI36" s="158">
        <f t="shared" si="36"/>
        <v>4400000</v>
      </c>
      <c r="AJ36" s="158">
        <f t="shared" si="36"/>
        <v>0</v>
      </c>
      <c r="AK36" s="158">
        <f t="shared" si="36"/>
        <v>0</v>
      </c>
      <c r="AL36" s="158">
        <f t="shared" si="36"/>
        <v>0</v>
      </c>
      <c r="AM36" s="158">
        <f t="shared" si="36"/>
        <v>8050000</v>
      </c>
      <c r="AN36" s="158">
        <f t="shared" si="36"/>
        <v>0</v>
      </c>
      <c r="AO36" s="158">
        <f t="shared" si="36"/>
        <v>0</v>
      </c>
      <c r="AP36" s="158">
        <f t="shared" si="36"/>
        <v>0</v>
      </c>
      <c r="AQ36" s="158">
        <f t="shared" si="36"/>
        <v>4400000</v>
      </c>
      <c r="AR36" s="158">
        <f t="shared" si="36"/>
        <v>0</v>
      </c>
      <c r="AS36" s="158">
        <f t="shared" si="36"/>
        <v>0</v>
      </c>
      <c r="AT36" s="158">
        <f t="shared" si="36"/>
        <v>0</v>
      </c>
      <c r="AU36" s="158">
        <f t="shared" si="36"/>
        <v>7800000</v>
      </c>
      <c r="AV36" s="158">
        <f t="shared" si="36"/>
        <v>0</v>
      </c>
      <c r="AW36" s="158">
        <f t="shared" si="36"/>
        <v>0</v>
      </c>
      <c r="AX36" s="158">
        <f t="shared" si="36"/>
        <v>0</v>
      </c>
      <c r="AY36" s="158">
        <f t="shared" si="36"/>
        <v>7300000</v>
      </c>
      <c r="AZ36" s="158">
        <f t="shared" si="36"/>
        <v>0</v>
      </c>
      <c r="BA36" s="158">
        <f t="shared" si="36"/>
        <v>0</v>
      </c>
      <c r="BB36" s="158">
        <f t="shared" si="36"/>
        <v>0</v>
      </c>
      <c r="BC36" s="158">
        <f t="shared" si="36"/>
        <v>0</v>
      </c>
      <c r="BD36" s="158">
        <f t="shared" ref="BD36:CC36" si="37">SUM(BD32:BD35)</f>
        <v>0</v>
      </c>
      <c r="BE36" s="158">
        <f t="shared" si="37"/>
        <v>0</v>
      </c>
      <c r="BF36" s="158">
        <f t="shared" si="37"/>
        <v>0</v>
      </c>
      <c r="BG36" s="158">
        <f t="shared" si="37"/>
        <v>0</v>
      </c>
      <c r="BH36" s="158">
        <f t="shared" si="37"/>
        <v>0</v>
      </c>
      <c r="BI36" s="158">
        <f t="shared" si="37"/>
        <v>0</v>
      </c>
      <c r="BJ36" s="158">
        <f t="shared" si="37"/>
        <v>0</v>
      </c>
      <c r="BK36" s="158">
        <f t="shared" si="37"/>
        <v>0</v>
      </c>
      <c r="BL36" s="158">
        <f t="shared" si="37"/>
        <v>0</v>
      </c>
      <c r="BM36" s="158">
        <f t="shared" si="37"/>
        <v>0</v>
      </c>
      <c r="BN36" s="158">
        <f t="shared" si="37"/>
        <v>0</v>
      </c>
      <c r="BO36" s="158">
        <f t="shared" si="37"/>
        <v>0</v>
      </c>
      <c r="BP36" s="158">
        <f t="shared" si="37"/>
        <v>0</v>
      </c>
      <c r="BQ36" s="158">
        <f t="shared" si="37"/>
        <v>0</v>
      </c>
      <c r="BR36" s="158">
        <f t="shared" si="37"/>
        <v>0</v>
      </c>
      <c r="BS36" s="158">
        <f t="shared" si="37"/>
        <v>0</v>
      </c>
      <c r="BT36" s="158">
        <f t="shared" si="37"/>
        <v>0</v>
      </c>
      <c r="BU36" s="158">
        <f t="shared" si="37"/>
        <v>0</v>
      </c>
      <c r="BV36" s="158">
        <f t="shared" si="37"/>
        <v>0</v>
      </c>
      <c r="BW36" s="158">
        <f t="shared" si="37"/>
        <v>0</v>
      </c>
      <c r="BX36" s="158">
        <f t="shared" si="37"/>
        <v>0</v>
      </c>
      <c r="BY36" s="158">
        <f t="shared" si="37"/>
        <v>0</v>
      </c>
      <c r="BZ36" s="158">
        <f t="shared" si="37"/>
        <v>0</v>
      </c>
      <c r="CA36" s="158">
        <f t="shared" si="37"/>
        <v>0</v>
      </c>
      <c r="CB36" s="158">
        <f t="shared" si="37"/>
        <v>0</v>
      </c>
      <c r="CC36" s="158">
        <f t="shared" si="37"/>
        <v>0</v>
      </c>
      <c r="CD36" s="165">
        <f t="shared" si="27"/>
        <v>125000000</v>
      </c>
      <c r="CE36" s="158">
        <f t="shared" si="28"/>
        <v>47550000</v>
      </c>
      <c r="CF36" s="158">
        <f t="shared" si="29"/>
        <v>47550000</v>
      </c>
      <c r="CG36" s="158">
        <f t="shared" si="30"/>
        <v>0</v>
      </c>
      <c r="CH36" s="163">
        <f t="shared" si="31"/>
        <v>77450000</v>
      </c>
      <c r="CI36" s="166">
        <f t="shared" si="32"/>
        <v>0.3804</v>
      </c>
      <c r="CJ36" s="167" t="str">
        <f t="shared" si="33"/>
        <v>数据正确</v>
      </c>
    </row>
    <row r="37" s="60" customFormat="1" customHeight="1" spans="2:88">
      <c r="B37" s="70" t="str">
        <f t="shared" si="23"/>
        <v>-</v>
      </c>
      <c r="C37" s="71" t="str">
        <f t="shared" si="24"/>
        <v>-</v>
      </c>
      <c r="D37" s="72">
        <f t="shared" si="25"/>
        <v>0</v>
      </c>
      <c r="E37" s="72">
        <v>0</v>
      </c>
      <c r="F37" s="72">
        <v>0</v>
      </c>
      <c r="G37" s="72">
        <v>0</v>
      </c>
      <c r="H37" s="72">
        <v>0</v>
      </c>
      <c r="I37" s="72">
        <f t="shared" si="26"/>
        <v>0</v>
      </c>
      <c r="J37" s="86" t="s">
        <v>98</v>
      </c>
      <c r="L37" s="88">
        <v>146</v>
      </c>
      <c r="M37" s="90" t="s">
        <v>1704</v>
      </c>
      <c r="N37" s="90" t="s">
        <v>32</v>
      </c>
      <c r="O37" s="89" t="s">
        <v>97</v>
      </c>
      <c r="P37" s="91">
        <v>42838</v>
      </c>
      <c r="Q37" s="102">
        <v>487605</v>
      </c>
      <c r="R37" s="89" t="s">
        <v>1705</v>
      </c>
      <c r="S37" s="89" t="s">
        <v>1706</v>
      </c>
      <c r="T37" s="89"/>
      <c r="U37" s="103" t="s">
        <v>354</v>
      </c>
      <c r="V37" s="105" t="s">
        <v>1707</v>
      </c>
      <c r="W37" s="102">
        <v>292563</v>
      </c>
      <c r="X37" s="102"/>
      <c r="Y37" s="102"/>
      <c r="Z37" s="107" t="s">
        <v>1708</v>
      </c>
      <c r="AA37" s="102">
        <v>97521</v>
      </c>
      <c r="AB37" s="102"/>
      <c r="AC37" s="102"/>
      <c r="AD37" s="107" t="s">
        <v>1709</v>
      </c>
      <c r="AE37" s="102">
        <v>73140.75</v>
      </c>
      <c r="AF37" s="102"/>
      <c r="AG37" s="102"/>
      <c r="AH37" s="107" t="s">
        <v>1710</v>
      </c>
      <c r="AI37" s="102">
        <v>24380.25</v>
      </c>
      <c r="AJ37" s="102"/>
      <c r="AK37" s="102"/>
      <c r="AL37" s="107"/>
      <c r="AM37" s="102"/>
      <c r="AN37" s="102"/>
      <c r="AO37" s="102"/>
      <c r="AP37" s="107"/>
      <c r="AQ37" s="102"/>
      <c r="AR37" s="102"/>
      <c r="AS37" s="102"/>
      <c r="AT37" s="107"/>
      <c r="AU37" s="102"/>
      <c r="AV37" s="102"/>
      <c r="AW37" s="102"/>
      <c r="AX37" s="107"/>
      <c r="AY37" s="102"/>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22"/>
      <c r="CD37" s="123">
        <f t="shared" si="27"/>
        <v>487605</v>
      </c>
      <c r="CE37" s="102">
        <f t="shared" si="28"/>
        <v>0</v>
      </c>
      <c r="CF37" s="102">
        <f t="shared" si="29"/>
        <v>0</v>
      </c>
      <c r="CG37" s="102">
        <f t="shared" si="30"/>
        <v>0</v>
      </c>
      <c r="CH37" s="124">
        <f t="shared" si="31"/>
        <v>487605</v>
      </c>
      <c r="CI37" s="125">
        <f t="shared" si="32"/>
        <v>0</v>
      </c>
      <c r="CJ37" s="126" t="str">
        <f t="shared" si="33"/>
        <v>数据正确</v>
      </c>
    </row>
    <row r="38" s="60" customFormat="1" customHeight="1" spans="1:88">
      <c r="A38" s="60" t="s">
        <v>36</v>
      </c>
      <c r="B38" s="70" t="str">
        <f t="shared" si="23"/>
        <v>-</v>
      </c>
      <c r="C38" s="71" t="str">
        <f t="shared" si="24"/>
        <v>-</v>
      </c>
      <c r="D38" s="72">
        <f t="shared" si="25"/>
        <v>239762.66</v>
      </c>
      <c r="E38" s="72">
        <v>14628</v>
      </c>
      <c r="F38" s="72">
        <v>0</v>
      </c>
      <c r="G38" s="72">
        <f>7415.34</f>
        <v>7415.34</v>
      </c>
      <c r="H38" s="72">
        <v>2000</v>
      </c>
      <c r="I38" s="72">
        <f t="shared" si="26"/>
        <v>0</v>
      </c>
      <c r="J38" s="86" t="s">
        <v>98</v>
      </c>
      <c r="L38" s="88">
        <v>153</v>
      </c>
      <c r="M38" s="90" t="s">
        <v>1711</v>
      </c>
      <c r="N38" s="90" t="s">
        <v>32</v>
      </c>
      <c r="O38" s="89" t="s">
        <v>97</v>
      </c>
      <c r="P38" s="91">
        <v>42838</v>
      </c>
      <c r="Q38" s="102">
        <v>487605</v>
      </c>
      <c r="R38" s="89" t="s">
        <v>1712</v>
      </c>
      <c r="S38" s="89" t="s">
        <v>1713</v>
      </c>
      <c r="T38" s="89"/>
      <c r="U38" s="103" t="s">
        <v>354</v>
      </c>
      <c r="V38" s="105" t="s">
        <v>1074</v>
      </c>
      <c r="W38" s="102">
        <v>292563</v>
      </c>
      <c r="X38" s="102">
        <v>263806</v>
      </c>
      <c r="Y38" s="102">
        <v>239762.66</v>
      </c>
      <c r="Z38" s="107" t="s">
        <v>1714</v>
      </c>
      <c r="AA38" s="102">
        <v>97521</v>
      </c>
      <c r="AB38" s="102"/>
      <c r="AC38" s="102"/>
      <c r="AD38" s="107" t="s">
        <v>1715</v>
      </c>
      <c r="AE38" s="102">
        <v>73140.75</v>
      </c>
      <c r="AF38" s="102"/>
      <c r="AG38" s="102"/>
      <c r="AH38" s="107" t="s">
        <v>1710</v>
      </c>
      <c r="AI38" s="102">
        <v>24380.25</v>
      </c>
      <c r="AJ38" s="102"/>
      <c r="AK38" s="102"/>
      <c r="AL38" s="107"/>
      <c r="AM38" s="102"/>
      <c r="AN38" s="102"/>
      <c r="AO38" s="102"/>
      <c r="AP38" s="107"/>
      <c r="AQ38" s="102"/>
      <c r="AR38" s="102"/>
      <c r="AS38" s="102"/>
      <c r="AT38" s="107"/>
      <c r="AU38" s="102"/>
      <c r="AV38" s="102"/>
      <c r="AW38" s="102"/>
      <c r="AX38" s="107"/>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22"/>
      <c r="CD38" s="123">
        <f t="shared" si="27"/>
        <v>487605</v>
      </c>
      <c r="CE38" s="102">
        <f t="shared" si="28"/>
        <v>263806</v>
      </c>
      <c r="CF38" s="102">
        <f t="shared" si="29"/>
        <v>239762.66</v>
      </c>
      <c r="CG38" s="102">
        <f t="shared" si="30"/>
        <v>24043.34</v>
      </c>
      <c r="CH38" s="124">
        <f t="shared" si="31"/>
        <v>223799</v>
      </c>
      <c r="CI38" s="125">
        <f t="shared" si="32"/>
        <v>0.541023984577681</v>
      </c>
      <c r="CJ38" s="126" t="str">
        <f t="shared" si="33"/>
        <v>数据正确</v>
      </c>
    </row>
    <row r="39" s="60" customFormat="1" customHeight="1" spans="2:88">
      <c r="B39" s="70" t="str">
        <f t="shared" si="23"/>
        <v>-</v>
      </c>
      <c r="C39" s="71" t="str">
        <f t="shared" si="24"/>
        <v>-</v>
      </c>
      <c r="D39" s="72">
        <f t="shared" si="25"/>
        <v>80240</v>
      </c>
      <c r="E39" s="72">
        <v>0</v>
      </c>
      <c r="F39" s="72">
        <v>0</v>
      </c>
      <c r="G39" s="72">
        <v>0</v>
      </c>
      <c r="H39" s="72">
        <v>0</v>
      </c>
      <c r="I39" s="72">
        <f t="shared" si="26"/>
        <v>0</v>
      </c>
      <c r="J39" s="86" t="s">
        <v>98</v>
      </c>
      <c r="L39" s="88">
        <v>40</v>
      </c>
      <c r="M39" s="89" t="s">
        <v>1716</v>
      </c>
      <c r="N39" s="90" t="s">
        <v>32</v>
      </c>
      <c r="O39" s="89"/>
      <c r="P39" s="91">
        <v>42839</v>
      </c>
      <c r="Q39" s="102">
        <v>918180</v>
      </c>
      <c r="R39" s="89" t="s">
        <v>1717</v>
      </c>
      <c r="S39" s="89" t="s">
        <v>1718</v>
      </c>
      <c r="T39" s="89"/>
      <c r="U39" s="103" t="s">
        <v>343</v>
      </c>
      <c r="V39" s="105" t="s">
        <v>1719</v>
      </c>
      <c r="W39" s="102">
        <v>918180</v>
      </c>
      <c r="X39" s="102">
        <v>80240</v>
      </c>
      <c r="Y39" s="102">
        <v>80240</v>
      </c>
      <c r="Z39" s="107"/>
      <c r="AA39" s="102"/>
      <c r="AB39" s="102"/>
      <c r="AC39" s="102"/>
      <c r="AD39" s="107"/>
      <c r="AE39" s="102"/>
      <c r="AF39" s="102"/>
      <c r="AG39" s="102"/>
      <c r="AH39" s="107"/>
      <c r="AI39" s="102"/>
      <c r="AJ39" s="102"/>
      <c r="AK39" s="102"/>
      <c r="AL39" s="107"/>
      <c r="AM39" s="102"/>
      <c r="AN39" s="102"/>
      <c r="AO39" s="102"/>
      <c r="AP39" s="107"/>
      <c r="AQ39" s="102"/>
      <c r="AR39" s="102"/>
      <c r="AS39" s="102"/>
      <c r="AT39" s="107"/>
      <c r="AU39" s="102"/>
      <c r="AV39" s="102"/>
      <c r="AW39" s="102"/>
      <c r="AX39" s="107"/>
      <c r="AY39" s="102"/>
      <c r="AZ39" s="102"/>
      <c r="BA39" s="102"/>
      <c r="BB39" s="102"/>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22"/>
      <c r="CD39" s="123">
        <f t="shared" si="27"/>
        <v>918180</v>
      </c>
      <c r="CE39" s="102">
        <f t="shared" si="28"/>
        <v>80240</v>
      </c>
      <c r="CF39" s="102">
        <f t="shared" si="29"/>
        <v>80240</v>
      </c>
      <c r="CG39" s="102">
        <f t="shared" si="30"/>
        <v>0</v>
      </c>
      <c r="CH39" s="124">
        <f t="shared" si="31"/>
        <v>837940</v>
      </c>
      <c r="CI39" s="125">
        <f t="shared" si="32"/>
        <v>0.0873902720599447</v>
      </c>
      <c r="CJ39" s="126" t="str">
        <f t="shared" si="33"/>
        <v>数据正确</v>
      </c>
    </row>
    <row r="40" s="60" customFormat="1" customHeight="1" spans="2:88">
      <c r="B40" s="70" t="str">
        <f t="shared" si="23"/>
        <v>-</v>
      </c>
      <c r="C40" s="71" t="str">
        <f t="shared" si="24"/>
        <v>已付清</v>
      </c>
      <c r="D40" s="72">
        <f t="shared" si="25"/>
        <v>0.001</v>
      </c>
      <c r="E40" s="72">
        <v>0</v>
      </c>
      <c r="F40" s="72">
        <v>0</v>
      </c>
      <c r="G40" s="72">
        <v>0</v>
      </c>
      <c r="H40" s="72">
        <v>0</v>
      </c>
      <c r="I40" s="72">
        <f t="shared" si="26"/>
        <v>0</v>
      </c>
      <c r="J40" s="86" t="s">
        <v>98</v>
      </c>
      <c r="L40" s="88">
        <v>161</v>
      </c>
      <c r="M40" s="89" t="s">
        <v>1720</v>
      </c>
      <c r="N40" s="90" t="s">
        <v>32</v>
      </c>
      <c r="O40" s="89"/>
      <c r="P40" s="91">
        <v>42854</v>
      </c>
      <c r="Q40" s="154">
        <v>0.001</v>
      </c>
      <c r="R40" s="89" t="s">
        <v>1721</v>
      </c>
      <c r="S40" s="89" t="s">
        <v>1722</v>
      </c>
      <c r="T40" s="89"/>
      <c r="U40" s="103" t="s">
        <v>343</v>
      </c>
      <c r="V40" s="105" t="s">
        <v>97</v>
      </c>
      <c r="W40" s="102">
        <v>0.001</v>
      </c>
      <c r="X40" s="102">
        <v>0.001</v>
      </c>
      <c r="Y40" s="102">
        <v>0.001</v>
      </c>
      <c r="Z40" s="107"/>
      <c r="AA40" s="102"/>
      <c r="AB40" s="102"/>
      <c r="AC40" s="102"/>
      <c r="AD40" s="107"/>
      <c r="AE40" s="102"/>
      <c r="AF40" s="102"/>
      <c r="AG40" s="102"/>
      <c r="AH40" s="107"/>
      <c r="AI40" s="102"/>
      <c r="AJ40" s="102"/>
      <c r="AK40" s="102"/>
      <c r="AL40" s="107"/>
      <c r="AM40" s="102"/>
      <c r="AN40" s="102"/>
      <c r="AO40" s="102"/>
      <c r="AP40" s="107"/>
      <c r="AQ40" s="102"/>
      <c r="AR40" s="102"/>
      <c r="AS40" s="102"/>
      <c r="AT40" s="107"/>
      <c r="AU40" s="102"/>
      <c r="AV40" s="102"/>
      <c r="AW40" s="102"/>
      <c r="AX40" s="107"/>
      <c r="AY40" s="102"/>
      <c r="AZ40" s="102"/>
      <c r="BA40" s="102"/>
      <c r="BB40" s="102"/>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22"/>
      <c r="CD40" s="123">
        <f t="shared" si="27"/>
        <v>0.001</v>
      </c>
      <c r="CE40" s="102">
        <f t="shared" si="28"/>
        <v>0.001</v>
      </c>
      <c r="CF40" s="102">
        <f t="shared" si="29"/>
        <v>0.001</v>
      </c>
      <c r="CG40" s="102">
        <f t="shared" si="30"/>
        <v>0</v>
      </c>
      <c r="CH40" s="124">
        <f t="shared" si="31"/>
        <v>0</v>
      </c>
      <c r="CI40" s="125">
        <f t="shared" si="32"/>
        <v>1</v>
      </c>
      <c r="CJ40" s="126" t="str">
        <f t="shared" si="33"/>
        <v>数据正确</v>
      </c>
    </row>
    <row r="41" s="60" customFormat="1" customHeight="1" spans="2:88">
      <c r="B41" s="70" t="str">
        <f t="shared" si="23"/>
        <v>-</v>
      </c>
      <c r="C41" s="71" t="str">
        <f t="shared" si="24"/>
        <v>已付清</v>
      </c>
      <c r="D41" s="72">
        <f t="shared" si="25"/>
        <v>98000</v>
      </c>
      <c r="E41" s="72">
        <v>0</v>
      </c>
      <c r="F41" s="72">
        <v>0</v>
      </c>
      <c r="G41" s="72">
        <v>0</v>
      </c>
      <c r="H41" s="72">
        <v>0</v>
      </c>
      <c r="I41" s="72">
        <f t="shared" si="26"/>
        <v>0</v>
      </c>
      <c r="J41" s="86" t="s">
        <v>98</v>
      </c>
      <c r="L41" s="88">
        <v>41</v>
      </c>
      <c r="M41" s="89" t="s">
        <v>1723</v>
      </c>
      <c r="N41" s="90" t="s">
        <v>32</v>
      </c>
      <c r="O41" s="89"/>
      <c r="P41" s="91">
        <v>42865</v>
      </c>
      <c r="Q41" s="102">
        <v>98000</v>
      </c>
      <c r="R41" s="89" t="s">
        <v>1724</v>
      </c>
      <c r="S41" s="89" t="s">
        <v>1725</v>
      </c>
      <c r="T41" s="89" t="s">
        <v>1604</v>
      </c>
      <c r="U41" s="103" t="s">
        <v>343</v>
      </c>
      <c r="V41" s="105" t="s">
        <v>1726</v>
      </c>
      <c r="W41" s="102">
        <v>28000</v>
      </c>
      <c r="X41" s="102">
        <v>28000</v>
      </c>
      <c r="Y41" s="102">
        <v>28000</v>
      </c>
      <c r="Z41" s="107" t="s">
        <v>1727</v>
      </c>
      <c r="AA41" s="102">
        <v>70000</v>
      </c>
      <c r="AB41" s="102">
        <v>70000</v>
      </c>
      <c r="AC41" s="102">
        <v>70000</v>
      </c>
      <c r="AD41" s="107"/>
      <c r="AE41" s="102"/>
      <c r="AF41" s="102"/>
      <c r="AG41" s="102"/>
      <c r="AH41" s="107"/>
      <c r="AI41" s="102"/>
      <c r="AJ41" s="102"/>
      <c r="AK41" s="102"/>
      <c r="AL41" s="107"/>
      <c r="AM41" s="102"/>
      <c r="AN41" s="102"/>
      <c r="AO41" s="102"/>
      <c r="AP41" s="107"/>
      <c r="AQ41" s="102"/>
      <c r="AR41" s="102"/>
      <c r="AS41" s="102"/>
      <c r="AT41" s="107"/>
      <c r="AU41" s="102"/>
      <c r="AV41" s="102"/>
      <c r="AW41" s="102"/>
      <c r="AX41" s="107"/>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22"/>
      <c r="CD41" s="123">
        <f t="shared" si="27"/>
        <v>98000</v>
      </c>
      <c r="CE41" s="102">
        <f t="shared" si="28"/>
        <v>98000</v>
      </c>
      <c r="CF41" s="102">
        <f t="shared" si="29"/>
        <v>98000</v>
      </c>
      <c r="CG41" s="102">
        <f t="shared" si="30"/>
        <v>0</v>
      </c>
      <c r="CH41" s="124">
        <f t="shared" si="31"/>
        <v>0</v>
      </c>
      <c r="CI41" s="125">
        <f t="shared" si="32"/>
        <v>1</v>
      </c>
      <c r="CJ41" s="126" t="str">
        <f t="shared" si="33"/>
        <v>数据正确</v>
      </c>
    </row>
    <row r="42" s="60" customFormat="1" customHeight="1" spans="2:88">
      <c r="B42" s="70" t="str">
        <f t="shared" si="23"/>
        <v>-</v>
      </c>
      <c r="C42" s="71" t="str">
        <f t="shared" si="24"/>
        <v>-</v>
      </c>
      <c r="D42" s="72">
        <f t="shared" si="25"/>
        <v>153284</v>
      </c>
      <c r="E42" s="72">
        <v>0</v>
      </c>
      <c r="F42" s="72">
        <v>0</v>
      </c>
      <c r="G42" s="72">
        <v>0</v>
      </c>
      <c r="H42" s="72">
        <v>0</v>
      </c>
      <c r="I42" s="72">
        <f t="shared" si="26"/>
        <v>0</v>
      </c>
      <c r="J42" s="86" t="s">
        <v>98</v>
      </c>
      <c r="L42" s="88">
        <v>44</v>
      </c>
      <c r="M42" s="89" t="s">
        <v>1728</v>
      </c>
      <c r="N42" s="90" t="s">
        <v>32</v>
      </c>
      <c r="O42" s="147" t="s">
        <v>1729</v>
      </c>
      <c r="P42" s="91">
        <v>42871</v>
      </c>
      <c r="Q42" s="102">
        <v>2223004</v>
      </c>
      <c r="R42" s="159" t="s">
        <v>1730</v>
      </c>
      <c r="S42" s="159" t="s">
        <v>1731</v>
      </c>
      <c r="T42" s="160" t="s">
        <v>1732</v>
      </c>
      <c r="U42" s="161" t="s">
        <v>616</v>
      </c>
      <c r="V42" s="105" t="s">
        <v>1733</v>
      </c>
      <c r="W42" s="102">
        <v>1778403.2</v>
      </c>
      <c r="X42" s="102">
        <v>153284</v>
      </c>
      <c r="Y42" s="102">
        <v>153284</v>
      </c>
      <c r="Z42" s="107" t="s">
        <v>1733</v>
      </c>
      <c r="AA42" s="102">
        <v>444600.8</v>
      </c>
      <c r="AB42" s="102"/>
      <c r="AC42" s="102"/>
      <c r="AD42" s="107"/>
      <c r="AE42" s="102"/>
      <c r="AF42" s="102"/>
      <c r="AG42" s="102"/>
      <c r="AH42" s="107"/>
      <c r="AI42" s="102"/>
      <c r="AJ42" s="102"/>
      <c r="AK42" s="102"/>
      <c r="AL42" s="107"/>
      <c r="AM42" s="102"/>
      <c r="AN42" s="102"/>
      <c r="AO42" s="102"/>
      <c r="AP42" s="107"/>
      <c r="AQ42" s="102"/>
      <c r="AR42" s="102"/>
      <c r="AS42" s="102"/>
      <c r="AT42" s="107"/>
      <c r="AU42" s="102"/>
      <c r="AV42" s="102"/>
      <c r="AW42" s="102"/>
      <c r="AX42" s="107"/>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22"/>
      <c r="CD42" s="123">
        <f t="shared" si="27"/>
        <v>2223004</v>
      </c>
      <c r="CE42" s="102">
        <f t="shared" si="28"/>
        <v>153284</v>
      </c>
      <c r="CF42" s="102">
        <f t="shared" si="29"/>
        <v>153284</v>
      </c>
      <c r="CG42" s="102">
        <f t="shared" si="30"/>
        <v>0</v>
      </c>
      <c r="CH42" s="124">
        <f t="shared" si="31"/>
        <v>2069720</v>
      </c>
      <c r="CI42" s="125">
        <f t="shared" si="32"/>
        <v>0.0689535421438738</v>
      </c>
      <c r="CJ42" s="126" t="str">
        <f t="shared" si="33"/>
        <v>数据正确</v>
      </c>
    </row>
    <row r="43" s="60" customFormat="1" customHeight="1" spans="2:88">
      <c r="B43" s="70" t="str">
        <f t="shared" si="23"/>
        <v>-</v>
      </c>
      <c r="C43" s="71" t="str">
        <f t="shared" si="24"/>
        <v>已付清</v>
      </c>
      <c r="D43" s="72">
        <f t="shared" si="25"/>
        <v>259486.9</v>
      </c>
      <c r="E43" s="72">
        <v>0</v>
      </c>
      <c r="F43" s="72">
        <v>0</v>
      </c>
      <c r="G43" s="72">
        <v>0</v>
      </c>
      <c r="H43" s="72">
        <v>0</v>
      </c>
      <c r="I43" s="72">
        <f t="shared" si="26"/>
        <v>0</v>
      </c>
      <c r="J43" s="86" t="s">
        <v>98</v>
      </c>
      <c r="L43" s="88">
        <v>64</v>
      </c>
      <c r="M43" s="89" t="s">
        <v>1734</v>
      </c>
      <c r="N43" s="90" t="s">
        <v>32</v>
      </c>
      <c r="O43" s="89" t="s">
        <v>97</v>
      </c>
      <c r="P43" s="91">
        <v>42875</v>
      </c>
      <c r="Q43" s="154">
        <v>259486.9</v>
      </c>
      <c r="R43" s="89" t="s">
        <v>1735</v>
      </c>
      <c r="S43" s="89" t="s">
        <v>1736</v>
      </c>
      <c r="T43" s="89"/>
      <c r="U43" s="103" t="s">
        <v>343</v>
      </c>
      <c r="V43" s="105" t="s">
        <v>1737</v>
      </c>
      <c r="W43" s="102">
        <v>259486.9</v>
      </c>
      <c r="X43" s="102">
        <v>259486.9</v>
      </c>
      <c r="Y43" s="102">
        <v>259486.9</v>
      </c>
      <c r="Z43" s="107"/>
      <c r="AA43" s="102"/>
      <c r="AB43" s="102"/>
      <c r="AC43" s="102"/>
      <c r="AD43" s="107"/>
      <c r="AE43" s="102"/>
      <c r="AF43" s="102"/>
      <c r="AG43" s="102"/>
      <c r="AH43" s="107"/>
      <c r="AI43" s="102"/>
      <c r="AJ43" s="102"/>
      <c r="AK43" s="102"/>
      <c r="AL43" s="107"/>
      <c r="AM43" s="102"/>
      <c r="AN43" s="102"/>
      <c r="AO43" s="102"/>
      <c r="AP43" s="107"/>
      <c r="AQ43" s="102"/>
      <c r="AR43" s="102"/>
      <c r="AS43" s="102"/>
      <c r="AT43" s="107"/>
      <c r="AU43" s="102"/>
      <c r="AV43" s="102"/>
      <c r="AW43" s="102"/>
      <c r="AX43" s="107"/>
      <c r="AY43" s="102"/>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22"/>
      <c r="CD43" s="123">
        <f t="shared" si="27"/>
        <v>259486.9</v>
      </c>
      <c r="CE43" s="102">
        <f t="shared" si="28"/>
        <v>259486.9</v>
      </c>
      <c r="CF43" s="102">
        <f t="shared" si="29"/>
        <v>259486.9</v>
      </c>
      <c r="CG43" s="102">
        <f t="shared" si="30"/>
        <v>0</v>
      </c>
      <c r="CH43" s="124">
        <f t="shared" si="31"/>
        <v>0</v>
      </c>
      <c r="CI43" s="125">
        <f t="shared" si="32"/>
        <v>1</v>
      </c>
      <c r="CJ43" s="126" t="str">
        <f t="shared" si="33"/>
        <v>数据正确</v>
      </c>
    </row>
    <row r="44" s="60" customFormat="1" customHeight="1" spans="1:88">
      <c r="A44" s="60" t="s">
        <v>36</v>
      </c>
      <c r="B44" s="70" t="str">
        <f t="shared" si="23"/>
        <v>-</v>
      </c>
      <c r="C44" s="71" t="str">
        <f t="shared" si="24"/>
        <v>-</v>
      </c>
      <c r="D44" s="72">
        <f t="shared" si="25"/>
        <v>501135</v>
      </c>
      <c r="E44" s="72">
        <v>0</v>
      </c>
      <c r="F44" s="72">
        <v>0</v>
      </c>
      <c r="G44" s="72">
        <v>0</v>
      </c>
      <c r="H44" s="72">
        <v>0</v>
      </c>
      <c r="I44" s="72">
        <f t="shared" si="26"/>
        <v>0</v>
      </c>
      <c r="J44" s="86" t="s">
        <v>98</v>
      </c>
      <c r="L44" s="88">
        <v>43</v>
      </c>
      <c r="M44" s="89" t="s">
        <v>1738</v>
      </c>
      <c r="N44" s="90" t="s">
        <v>32</v>
      </c>
      <c r="O44" s="147">
        <v>2017030072</v>
      </c>
      <c r="P44" s="91">
        <v>42878</v>
      </c>
      <c r="Q44" s="102">
        <v>4095000</v>
      </c>
      <c r="R44" s="159" t="s">
        <v>1739</v>
      </c>
      <c r="S44" s="164" t="s">
        <v>1671</v>
      </c>
      <c r="T44" s="160" t="s">
        <v>1740</v>
      </c>
      <c r="U44" s="161" t="s">
        <v>343</v>
      </c>
      <c r="V44" s="105" t="s">
        <v>1741</v>
      </c>
      <c r="W44" s="102">
        <v>4095000</v>
      </c>
      <c r="X44" s="102">
        <f>190420+310715</f>
        <v>501135</v>
      </c>
      <c r="Y44" s="102">
        <f>190420+310715</f>
        <v>501135</v>
      </c>
      <c r="Z44" s="107"/>
      <c r="AA44" s="102"/>
      <c r="AB44" s="102"/>
      <c r="AC44" s="102"/>
      <c r="AD44" s="107"/>
      <c r="AE44" s="102"/>
      <c r="AF44" s="102"/>
      <c r="AG44" s="102"/>
      <c r="AH44" s="107"/>
      <c r="AI44" s="102"/>
      <c r="AJ44" s="102"/>
      <c r="AK44" s="102"/>
      <c r="AL44" s="107"/>
      <c r="AM44" s="102"/>
      <c r="AN44" s="102"/>
      <c r="AO44" s="102"/>
      <c r="AP44" s="107"/>
      <c r="AQ44" s="102"/>
      <c r="AR44" s="102"/>
      <c r="AS44" s="102"/>
      <c r="AT44" s="107"/>
      <c r="AU44" s="102"/>
      <c r="AV44" s="102"/>
      <c r="AW44" s="102"/>
      <c r="AX44" s="107"/>
      <c r="AY44" s="102"/>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22"/>
      <c r="CD44" s="123">
        <f t="shared" si="27"/>
        <v>4095000</v>
      </c>
      <c r="CE44" s="102">
        <f t="shared" si="28"/>
        <v>501135</v>
      </c>
      <c r="CF44" s="102">
        <f t="shared" si="29"/>
        <v>501135</v>
      </c>
      <c r="CG44" s="102">
        <f t="shared" si="30"/>
        <v>0</v>
      </c>
      <c r="CH44" s="124">
        <f t="shared" si="31"/>
        <v>3593865</v>
      </c>
      <c r="CI44" s="125">
        <f t="shared" si="32"/>
        <v>0.122377289377289</v>
      </c>
      <c r="CJ44" s="126" t="str">
        <f t="shared" si="33"/>
        <v>数据正确</v>
      </c>
    </row>
    <row r="45" s="60" customFormat="1" customHeight="1" spans="2:88">
      <c r="B45" s="70" t="str">
        <f t="shared" si="23"/>
        <v>申请中</v>
      </c>
      <c r="C45" s="71" t="str">
        <f t="shared" si="24"/>
        <v>-</v>
      </c>
      <c r="D45" s="72">
        <f t="shared" si="25"/>
        <v>3049078.4</v>
      </c>
      <c r="E45" s="72">
        <v>0</v>
      </c>
      <c r="F45" s="72">
        <v>0</v>
      </c>
      <c r="G45" s="72">
        <v>0</v>
      </c>
      <c r="H45" s="72">
        <v>0</v>
      </c>
      <c r="I45" s="72">
        <f t="shared" si="26"/>
        <v>414568</v>
      </c>
      <c r="J45" s="86" t="s">
        <v>98</v>
      </c>
      <c r="L45" s="88">
        <v>63</v>
      </c>
      <c r="M45" s="89" t="s">
        <v>1742</v>
      </c>
      <c r="N45" s="90" t="s">
        <v>32</v>
      </c>
      <c r="O45" s="89" t="s">
        <v>97</v>
      </c>
      <c r="P45" s="91">
        <v>42881</v>
      </c>
      <c r="Q45" s="102">
        <v>3463646.46</v>
      </c>
      <c r="R45" s="89" t="s">
        <v>1743</v>
      </c>
      <c r="S45" s="89" t="s">
        <v>1744</v>
      </c>
      <c r="T45" s="89"/>
      <c r="U45" s="103" t="s">
        <v>343</v>
      </c>
      <c r="V45" s="105" t="s">
        <v>1745</v>
      </c>
      <c r="W45" s="102">
        <v>3463646.46</v>
      </c>
      <c r="X45" s="102">
        <f>963591.64+670791.64+695408.5+644167.5+75119.12+414568</f>
        <v>3463646.4</v>
      </c>
      <c r="Y45" s="102">
        <f>963591.64+670791.64+695408.5+644167.5+75119.12</f>
        <v>3049078.4</v>
      </c>
      <c r="Z45" s="102"/>
      <c r="AA45" s="102"/>
      <c r="AB45" s="102"/>
      <c r="AC45" s="102"/>
      <c r="AD45" s="107"/>
      <c r="AE45" s="102"/>
      <c r="AF45" s="102"/>
      <c r="AG45" s="102"/>
      <c r="AH45" s="107"/>
      <c r="AI45" s="102"/>
      <c r="AJ45" s="102"/>
      <c r="AK45" s="102"/>
      <c r="AL45" s="107"/>
      <c r="AM45" s="102"/>
      <c r="AN45" s="102"/>
      <c r="AO45" s="102"/>
      <c r="AP45" s="107"/>
      <c r="AQ45" s="102"/>
      <c r="AR45" s="102"/>
      <c r="AS45" s="102"/>
      <c r="AT45" s="107"/>
      <c r="AU45" s="102"/>
      <c r="AV45" s="102"/>
      <c r="AW45" s="102"/>
      <c r="AX45" s="107"/>
      <c r="AY45" s="102"/>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22"/>
      <c r="CD45" s="123">
        <f t="shared" si="27"/>
        <v>3463646.46</v>
      </c>
      <c r="CE45" s="102">
        <f t="shared" si="28"/>
        <v>3463646.4</v>
      </c>
      <c r="CF45" s="102">
        <f t="shared" si="29"/>
        <v>3049078.4</v>
      </c>
      <c r="CG45" s="102">
        <f t="shared" si="30"/>
        <v>0</v>
      </c>
      <c r="CH45" s="124">
        <f t="shared" si="31"/>
        <v>414568.06</v>
      </c>
      <c r="CI45" s="125">
        <f t="shared" si="32"/>
        <v>0.88030878301592</v>
      </c>
      <c r="CJ45" s="126" t="str">
        <f t="shared" si="33"/>
        <v>数据正确</v>
      </c>
    </row>
    <row r="46" s="60" customFormat="1" customHeight="1" spans="2:88">
      <c r="B46" s="70" t="str">
        <f t="shared" si="23"/>
        <v>-</v>
      </c>
      <c r="C46" s="71" t="str">
        <f t="shared" si="24"/>
        <v>已付清</v>
      </c>
      <c r="D46" s="72">
        <f t="shared" si="25"/>
        <v>60000</v>
      </c>
      <c r="E46" s="72">
        <v>0</v>
      </c>
      <c r="F46" s="72">
        <v>0</v>
      </c>
      <c r="G46" s="72">
        <v>0</v>
      </c>
      <c r="H46" s="72">
        <v>0</v>
      </c>
      <c r="I46" s="72">
        <f t="shared" si="26"/>
        <v>0</v>
      </c>
      <c r="J46" s="86" t="s">
        <v>98</v>
      </c>
      <c r="L46" s="88">
        <v>158</v>
      </c>
      <c r="M46" s="90" t="s">
        <v>1746</v>
      </c>
      <c r="N46" s="90" t="s">
        <v>32</v>
      </c>
      <c r="O46" s="89" t="s">
        <v>97</v>
      </c>
      <c r="P46" s="91">
        <v>42896</v>
      </c>
      <c r="Q46" s="154">
        <v>60000</v>
      </c>
      <c r="R46" s="89" t="s">
        <v>1747</v>
      </c>
      <c r="S46" s="89" t="s">
        <v>1748</v>
      </c>
      <c r="T46" s="89"/>
      <c r="U46" s="103" t="s">
        <v>343</v>
      </c>
      <c r="V46" s="105" t="s">
        <v>1749</v>
      </c>
      <c r="W46" s="102">
        <v>60000</v>
      </c>
      <c r="X46" s="102">
        <v>60000</v>
      </c>
      <c r="Y46" s="102">
        <v>60000</v>
      </c>
      <c r="Z46" s="107"/>
      <c r="AA46" s="102"/>
      <c r="AB46" s="102"/>
      <c r="AC46" s="102"/>
      <c r="AD46" s="107"/>
      <c r="AE46" s="102"/>
      <c r="AF46" s="102"/>
      <c r="AG46" s="102"/>
      <c r="AH46" s="107"/>
      <c r="AI46" s="102"/>
      <c r="AJ46" s="102"/>
      <c r="AK46" s="102"/>
      <c r="AL46" s="107"/>
      <c r="AM46" s="102"/>
      <c r="AN46" s="102"/>
      <c r="AO46" s="102"/>
      <c r="AP46" s="107"/>
      <c r="AQ46" s="102"/>
      <c r="AR46" s="102"/>
      <c r="AS46" s="102"/>
      <c r="AT46" s="107"/>
      <c r="AU46" s="102"/>
      <c r="AV46" s="102"/>
      <c r="AW46" s="102"/>
      <c r="AX46" s="107"/>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22"/>
      <c r="CD46" s="123">
        <f t="shared" si="27"/>
        <v>60000</v>
      </c>
      <c r="CE46" s="102">
        <f t="shared" si="28"/>
        <v>60000</v>
      </c>
      <c r="CF46" s="102">
        <f t="shared" si="29"/>
        <v>60000</v>
      </c>
      <c r="CG46" s="102">
        <f t="shared" si="30"/>
        <v>0</v>
      </c>
      <c r="CH46" s="124">
        <f t="shared" si="31"/>
        <v>0</v>
      </c>
      <c r="CI46" s="125">
        <f t="shared" si="32"/>
        <v>1</v>
      </c>
      <c r="CJ46" s="126" t="str">
        <f t="shared" si="33"/>
        <v>数据正确</v>
      </c>
    </row>
    <row r="47" s="60" customFormat="1" customHeight="1" spans="2:88">
      <c r="B47" s="70" t="str">
        <f t="shared" si="23"/>
        <v>-</v>
      </c>
      <c r="C47" s="71" t="str">
        <f t="shared" si="24"/>
        <v>已付清</v>
      </c>
      <c r="D47" s="72">
        <f t="shared" si="25"/>
        <v>0.001</v>
      </c>
      <c r="E47" s="72">
        <v>0</v>
      </c>
      <c r="F47" s="72">
        <v>0</v>
      </c>
      <c r="G47" s="72">
        <v>0</v>
      </c>
      <c r="H47" s="72">
        <v>0</v>
      </c>
      <c r="I47" s="72">
        <f t="shared" si="26"/>
        <v>0</v>
      </c>
      <c r="J47" s="86" t="s">
        <v>98</v>
      </c>
      <c r="L47" s="88">
        <v>177</v>
      </c>
      <c r="M47" s="89" t="s">
        <v>1750</v>
      </c>
      <c r="N47" s="90" t="s">
        <v>32</v>
      </c>
      <c r="O47" s="89"/>
      <c r="P47" s="91">
        <v>42924</v>
      </c>
      <c r="Q47" s="154">
        <v>0.001</v>
      </c>
      <c r="R47" s="89" t="s">
        <v>1751</v>
      </c>
      <c r="S47" s="89" t="s">
        <v>1752</v>
      </c>
      <c r="T47" s="89"/>
      <c r="U47" s="103" t="s">
        <v>343</v>
      </c>
      <c r="V47" s="105" t="s">
        <v>1753</v>
      </c>
      <c r="W47" s="102">
        <v>0.0009</v>
      </c>
      <c r="X47" s="102">
        <v>0.001</v>
      </c>
      <c r="Y47" s="102">
        <v>0.001</v>
      </c>
      <c r="Z47" s="107" t="s">
        <v>1753</v>
      </c>
      <c r="AA47" s="102">
        <v>0.0001</v>
      </c>
      <c r="AB47" s="102"/>
      <c r="AC47" s="102"/>
      <c r="AD47" s="107"/>
      <c r="AE47" s="102"/>
      <c r="AF47" s="102"/>
      <c r="AG47" s="102"/>
      <c r="AH47" s="107"/>
      <c r="AI47" s="102"/>
      <c r="AJ47" s="102"/>
      <c r="AK47" s="102"/>
      <c r="AL47" s="107"/>
      <c r="AM47" s="102"/>
      <c r="AN47" s="102"/>
      <c r="AO47" s="102"/>
      <c r="AP47" s="107"/>
      <c r="AQ47" s="102"/>
      <c r="AR47" s="102"/>
      <c r="AS47" s="102"/>
      <c r="AT47" s="107"/>
      <c r="AU47" s="102"/>
      <c r="AV47" s="102"/>
      <c r="AW47" s="102"/>
      <c r="AX47" s="107"/>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22"/>
      <c r="CD47" s="123">
        <f t="shared" si="27"/>
        <v>0.001</v>
      </c>
      <c r="CE47" s="102">
        <f t="shared" si="28"/>
        <v>0.001</v>
      </c>
      <c r="CF47" s="102">
        <f t="shared" si="29"/>
        <v>0.001</v>
      </c>
      <c r="CG47" s="102">
        <f t="shared" si="30"/>
        <v>0</v>
      </c>
      <c r="CH47" s="124">
        <f t="shared" si="31"/>
        <v>0</v>
      </c>
      <c r="CI47" s="125">
        <f t="shared" si="32"/>
        <v>1</v>
      </c>
      <c r="CJ47" s="126" t="str">
        <f t="shared" si="33"/>
        <v>数据正确</v>
      </c>
    </row>
    <row r="48" s="60" customFormat="1" customHeight="1" spans="2:88">
      <c r="B48" s="70" t="str">
        <f t="shared" si="23"/>
        <v>-</v>
      </c>
      <c r="C48" s="71" t="str">
        <f t="shared" si="24"/>
        <v>已付清</v>
      </c>
      <c r="D48" s="72">
        <f t="shared" si="25"/>
        <v>0.001</v>
      </c>
      <c r="E48" s="72">
        <v>0</v>
      </c>
      <c r="F48" s="72">
        <v>0</v>
      </c>
      <c r="G48" s="72">
        <v>0</v>
      </c>
      <c r="H48" s="72">
        <v>0</v>
      </c>
      <c r="I48" s="72">
        <f t="shared" si="26"/>
        <v>0</v>
      </c>
      <c r="J48" s="86" t="s">
        <v>98</v>
      </c>
      <c r="L48" s="88">
        <v>178</v>
      </c>
      <c r="M48" s="89" t="s">
        <v>1754</v>
      </c>
      <c r="N48" s="90" t="s">
        <v>32</v>
      </c>
      <c r="O48" s="89"/>
      <c r="P48" s="91">
        <v>42928</v>
      </c>
      <c r="Q48" s="154">
        <v>0.001</v>
      </c>
      <c r="R48" s="89" t="s">
        <v>1751</v>
      </c>
      <c r="S48" s="89" t="s">
        <v>1755</v>
      </c>
      <c r="T48" s="89"/>
      <c r="U48" s="103" t="s">
        <v>343</v>
      </c>
      <c r="V48" s="105" t="s">
        <v>1753</v>
      </c>
      <c r="W48" s="102">
        <v>0.0009</v>
      </c>
      <c r="X48" s="102">
        <v>0.001</v>
      </c>
      <c r="Y48" s="102">
        <v>0.001</v>
      </c>
      <c r="Z48" s="107" t="s">
        <v>1753</v>
      </c>
      <c r="AA48" s="102">
        <v>0.0001</v>
      </c>
      <c r="AB48" s="102"/>
      <c r="AC48" s="102"/>
      <c r="AD48" s="107"/>
      <c r="AE48" s="102"/>
      <c r="AF48" s="102"/>
      <c r="AG48" s="102"/>
      <c r="AH48" s="107"/>
      <c r="AI48" s="102"/>
      <c r="AJ48" s="102"/>
      <c r="AK48" s="102"/>
      <c r="AL48" s="107"/>
      <c r="AM48" s="102"/>
      <c r="AN48" s="102"/>
      <c r="AO48" s="102"/>
      <c r="AP48" s="107"/>
      <c r="AQ48" s="102"/>
      <c r="AR48" s="102"/>
      <c r="AS48" s="102"/>
      <c r="AT48" s="107"/>
      <c r="AU48" s="102"/>
      <c r="AV48" s="102"/>
      <c r="AW48" s="102"/>
      <c r="AX48" s="107"/>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22"/>
      <c r="CD48" s="123">
        <f t="shared" si="27"/>
        <v>0.001</v>
      </c>
      <c r="CE48" s="102">
        <f t="shared" si="28"/>
        <v>0.001</v>
      </c>
      <c r="CF48" s="102">
        <f t="shared" si="29"/>
        <v>0.001</v>
      </c>
      <c r="CG48" s="102">
        <f t="shared" si="30"/>
        <v>0</v>
      </c>
      <c r="CH48" s="124">
        <f t="shared" si="31"/>
        <v>0</v>
      </c>
      <c r="CI48" s="125">
        <f t="shared" si="32"/>
        <v>1</v>
      </c>
      <c r="CJ48" s="126" t="str">
        <f t="shared" si="33"/>
        <v>数据正确</v>
      </c>
    </row>
    <row r="49" s="60" customFormat="1" customHeight="1" spans="2:88">
      <c r="B49" s="70" t="str">
        <f t="shared" si="23"/>
        <v>-</v>
      </c>
      <c r="C49" s="71" t="str">
        <f t="shared" si="24"/>
        <v>-</v>
      </c>
      <c r="D49" s="72">
        <f t="shared" si="25"/>
        <v>0</v>
      </c>
      <c r="E49" s="72">
        <v>0</v>
      </c>
      <c r="F49" s="72">
        <v>0</v>
      </c>
      <c r="G49" s="72">
        <v>0</v>
      </c>
      <c r="H49" s="72">
        <v>0</v>
      </c>
      <c r="I49" s="72">
        <f t="shared" si="26"/>
        <v>0</v>
      </c>
      <c r="J49" s="86" t="s">
        <v>98</v>
      </c>
      <c r="L49" s="88">
        <v>202</v>
      </c>
      <c r="M49" s="90" t="s">
        <v>97</v>
      </c>
      <c r="N49" s="90" t="s">
        <v>32</v>
      </c>
      <c r="O49" s="89" t="s">
        <v>97</v>
      </c>
      <c r="P49" s="91">
        <v>42977</v>
      </c>
      <c r="Q49" s="154">
        <v>3000000</v>
      </c>
      <c r="R49" s="89" t="s">
        <v>1756</v>
      </c>
      <c r="S49" s="89" t="s">
        <v>1757</v>
      </c>
      <c r="T49" s="89"/>
      <c r="U49" s="103"/>
      <c r="V49" s="105"/>
      <c r="W49" s="102">
        <v>3000000</v>
      </c>
      <c r="X49" s="102"/>
      <c r="Y49" s="102"/>
      <c r="Z49" s="107"/>
      <c r="AA49" s="102"/>
      <c r="AB49" s="102"/>
      <c r="AC49" s="102"/>
      <c r="AD49" s="107"/>
      <c r="AE49" s="102"/>
      <c r="AF49" s="102"/>
      <c r="AG49" s="102"/>
      <c r="AH49" s="107"/>
      <c r="AI49" s="102"/>
      <c r="AJ49" s="102"/>
      <c r="AK49" s="102"/>
      <c r="AL49" s="107"/>
      <c r="AM49" s="102"/>
      <c r="AN49" s="102"/>
      <c r="AO49" s="102"/>
      <c r="AP49" s="107"/>
      <c r="AQ49" s="102"/>
      <c r="AR49" s="102"/>
      <c r="AS49" s="102"/>
      <c r="AT49" s="107"/>
      <c r="AU49" s="102"/>
      <c r="AV49" s="102"/>
      <c r="AW49" s="102"/>
      <c r="AX49" s="107"/>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22"/>
      <c r="CD49" s="123">
        <f t="shared" si="27"/>
        <v>3000000</v>
      </c>
      <c r="CE49" s="102">
        <f t="shared" si="28"/>
        <v>0</v>
      </c>
      <c r="CF49" s="102">
        <f t="shared" si="29"/>
        <v>0</v>
      </c>
      <c r="CG49" s="102">
        <f t="shared" si="30"/>
        <v>0</v>
      </c>
      <c r="CH49" s="124">
        <f t="shared" si="31"/>
        <v>3000000</v>
      </c>
      <c r="CI49" s="125">
        <f t="shared" si="32"/>
        <v>0</v>
      </c>
      <c r="CJ49" s="126" t="str">
        <f t="shared" si="33"/>
        <v>数据正确</v>
      </c>
    </row>
    <row r="50" s="60" customFormat="1" customHeight="1" spans="2:88">
      <c r="B50" s="70" t="str">
        <f t="shared" si="23"/>
        <v>-</v>
      </c>
      <c r="C50" s="71" t="str">
        <f t="shared" si="24"/>
        <v>-</v>
      </c>
      <c r="D50" s="72">
        <f t="shared" si="25"/>
        <v>0</v>
      </c>
      <c r="E50" s="72">
        <v>0</v>
      </c>
      <c r="F50" s="72">
        <v>0</v>
      </c>
      <c r="G50" s="72">
        <v>0</v>
      </c>
      <c r="H50" s="72">
        <v>0</v>
      </c>
      <c r="I50" s="72">
        <f t="shared" si="26"/>
        <v>0</v>
      </c>
      <c r="J50" s="86" t="s">
        <v>98</v>
      </c>
      <c r="L50" s="88">
        <v>206</v>
      </c>
      <c r="M50" s="90" t="s">
        <v>1758</v>
      </c>
      <c r="N50" s="90" t="s">
        <v>32</v>
      </c>
      <c r="O50" s="89" t="s">
        <v>97</v>
      </c>
      <c r="P50" s="91">
        <v>42977</v>
      </c>
      <c r="Q50" s="154">
        <v>1800000</v>
      </c>
      <c r="R50" s="89" t="s">
        <v>1759</v>
      </c>
      <c r="S50" s="89" t="s">
        <v>1760</v>
      </c>
      <c r="T50" s="89"/>
      <c r="U50" s="103"/>
      <c r="V50" s="105" t="s">
        <v>97</v>
      </c>
      <c r="W50" s="102">
        <v>1800000</v>
      </c>
      <c r="X50" s="102"/>
      <c r="Y50" s="102"/>
      <c r="Z50" s="107"/>
      <c r="AA50" s="102"/>
      <c r="AB50" s="102"/>
      <c r="AC50" s="102"/>
      <c r="AD50" s="107"/>
      <c r="AE50" s="102"/>
      <c r="AF50" s="102"/>
      <c r="AG50" s="102"/>
      <c r="AH50" s="107"/>
      <c r="AI50" s="102"/>
      <c r="AJ50" s="102"/>
      <c r="AK50" s="102"/>
      <c r="AL50" s="107"/>
      <c r="AM50" s="102"/>
      <c r="AN50" s="102"/>
      <c r="AO50" s="102"/>
      <c r="AP50" s="107"/>
      <c r="AQ50" s="102"/>
      <c r="AR50" s="102"/>
      <c r="AS50" s="102"/>
      <c r="AT50" s="107"/>
      <c r="AU50" s="102"/>
      <c r="AV50" s="102"/>
      <c r="AW50" s="102"/>
      <c r="AX50" s="107"/>
      <c r="AY50" s="102"/>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22"/>
      <c r="CD50" s="123">
        <f t="shared" si="27"/>
        <v>1800000</v>
      </c>
      <c r="CE50" s="102">
        <f t="shared" si="28"/>
        <v>0</v>
      </c>
      <c r="CF50" s="102">
        <f t="shared" si="29"/>
        <v>0</v>
      </c>
      <c r="CG50" s="102">
        <f t="shared" si="30"/>
        <v>0</v>
      </c>
      <c r="CH50" s="124">
        <f t="shared" si="31"/>
        <v>1800000</v>
      </c>
      <c r="CI50" s="125">
        <f t="shared" si="32"/>
        <v>0</v>
      </c>
      <c r="CJ50" s="126" t="str">
        <f t="shared" si="33"/>
        <v>数据正确</v>
      </c>
    </row>
    <row r="51" s="60" customFormat="1" customHeight="1" spans="2:88">
      <c r="B51" s="70" t="str">
        <f t="shared" si="23"/>
        <v>-</v>
      </c>
      <c r="C51" s="71" t="str">
        <f t="shared" si="24"/>
        <v>-</v>
      </c>
      <c r="D51" s="72">
        <f t="shared" si="25"/>
        <v>750000</v>
      </c>
      <c r="E51" s="72">
        <v>0</v>
      </c>
      <c r="F51" s="72">
        <v>0</v>
      </c>
      <c r="G51" s="72">
        <v>0</v>
      </c>
      <c r="H51" s="72">
        <v>0</v>
      </c>
      <c r="I51" s="72">
        <f t="shared" si="26"/>
        <v>0</v>
      </c>
      <c r="J51" s="86" t="s">
        <v>98</v>
      </c>
      <c r="L51" s="88">
        <v>258</v>
      </c>
      <c r="M51" s="89" t="s">
        <v>1761</v>
      </c>
      <c r="N51" s="90" t="s">
        <v>32</v>
      </c>
      <c r="O51" s="89"/>
      <c r="P51" s="91">
        <v>42986</v>
      </c>
      <c r="Q51" s="154">
        <v>3000000</v>
      </c>
      <c r="R51" s="89" t="s">
        <v>1762</v>
      </c>
      <c r="S51" s="89" t="s">
        <v>1763</v>
      </c>
      <c r="T51" s="89"/>
      <c r="U51" s="103" t="s">
        <v>343</v>
      </c>
      <c r="V51" s="105" t="s">
        <v>1764</v>
      </c>
      <c r="W51" s="102">
        <v>750000</v>
      </c>
      <c r="X51" s="102">
        <v>750000</v>
      </c>
      <c r="Y51" s="102">
        <v>750000</v>
      </c>
      <c r="Z51" s="107" t="s">
        <v>1765</v>
      </c>
      <c r="AA51" s="102">
        <v>750000</v>
      </c>
      <c r="AB51" s="102"/>
      <c r="AC51" s="102"/>
      <c r="AD51" s="107" t="s">
        <v>1766</v>
      </c>
      <c r="AE51" s="102">
        <v>600000</v>
      </c>
      <c r="AF51" s="102"/>
      <c r="AG51" s="102"/>
      <c r="AH51" s="107" t="s">
        <v>1767</v>
      </c>
      <c r="AI51" s="102">
        <v>750000</v>
      </c>
      <c r="AJ51" s="102"/>
      <c r="AK51" s="102"/>
      <c r="AL51" s="107" t="s">
        <v>1768</v>
      </c>
      <c r="AM51" s="102">
        <v>150000</v>
      </c>
      <c r="AN51" s="102"/>
      <c r="AO51" s="102"/>
      <c r="AP51" s="107"/>
      <c r="AQ51" s="102"/>
      <c r="AR51" s="102"/>
      <c r="AS51" s="102"/>
      <c r="AT51" s="107"/>
      <c r="AU51" s="102"/>
      <c r="AV51" s="102"/>
      <c r="AW51" s="102"/>
      <c r="AX51" s="107"/>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22"/>
      <c r="CD51" s="123">
        <f t="shared" si="27"/>
        <v>3000000</v>
      </c>
      <c r="CE51" s="102">
        <f t="shared" si="28"/>
        <v>750000</v>
      </c>
      <c r="CF51" s="102">
        <f t="shared" si="29"/>
        <v>750000</v>
      </c>
      <c r="CG51" s="102">
        <f t="shared" si="30"/>
        <v>0</v>
      </c>
      <c r="CH51" s="124">
        <f t="shared" si="31"/>
        <v>2250000</v>
      </c>
      <c r="CI51" s="125">
        <f t="shared" si="32"/>
        <v>0.25</v>
      </c>
      <c r="CJ51" s="126" t="str">
        <f t="shared" si="33"/>
        <v>数据正确</v>
      </c>
    </row>
    <row r="52" s="60" customFormat="1" customHeight="1" spans="2:88">
      <c r="B52" s="70" t="str">
        <f t="shared" si="23"/>
        <v>-</v>
      </c>
      <c r="C52" s="71" t="str">
        <f t="shared" si="24"/>
        <v>-</v>
      </c>
      <c r="D52" s="72">
        <f t="shared" si="25"/>
        <v>292500</v>
      </c>
      <c r="E52" s="72">
        <v>0</v>
      </c>
      <c r="F52" s="72">
        <v>0</v>
      </c>
      <c r="G52" s="72">
        <v>0</v>
      </c>
      <c r="H52" s="72">
        <v>0</v>
      </c>
      <c r="I52" s="72">
        <f t="shared" si="26"/>
        <v>0</v>
      </c>
      <c r="J52" s="86" t="s">
        <v>98</v>
      </c>
      <c r="L52" s="88">
        <v>256</v>
      </c>
      <c r="M52" s="90" t="s">
        <v>1769</v>
      </c>
      <c r="N52" s="90" t="s">
        <v>32</v>
      </c>
      <c r="O52" s="89" t="s">
        <v>97</v>
      </c>
      <c r="P52" s="91">
        <v>43003</v>
      </c>
      <c r="Q52" s="102">
        <v>800000</v>
      </c>
      <c r="R52" s="89" t="s">
        <v>1770</v>
      </c>
      <c r="S52" s="89" t="s">
        <v>1771</v>
      </c>
      <c r="T52" s="89"/>
      <c r="U52" s="103" t="s">
        <v>343</v>
      </c>
      <c r="V52" s="105" t="s">
        <v>1772</v>
      </c>
      <c r="W52" s="102">
        <v>292500</v>
      </c>
      <c r="X52" s="102">
        <v>292500</v>
      </c>
      <c r="Y52" s="102">
        <v>292500</v>
      </c>
      <c r="Z52" s="107" t="s">
        <v>1773</v>
      </c>
      <c r="AA52" s="102">
        <v>110000</v>
      </c>
      <c r="AB52" s="102"/>
      <c r="AC52" s="102"/>
      <c r="AD52" s="107" t="s">
        <v>1774</v>
      </c>
      <c r="AE52" s="102">
        <v>165000</v>
      </c>
      <c r="AF52" s="102"/>
      <c r="AG52" s="102"/>
      <c r="AH52" s="107" t="s">
        <v>1775</v>
      </c>
      <c r="AI52" s="102">
        <v>192500</v>
      </c>
      <c r="AJ52" s="102"/>
      <c r="AK52" s="102"/>
      <c r="AL52" s="107" t="s">
        <v>1776</v>
      </c>
      <c r="AM52" s="102">
        <v>40000</v>
      </c>
      <c r="AN52" s="102"/>
      <c r="AO52" s="102"/>
      <c r="AP52" s="107"/>
      <c r="AQ52" s="102"/>
      <c r="AR52" s="102"/>
      <c r="AS52" s="102"/>
      <c r="AT52" s="107"/>
      <c r="AU52" s="102"/>
      <c r="AV52" s="102"/>
      <c r="AW52" s="102"/>
      <c r="AX52" s="107"/>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22"/>
      <c r="CD52" s="123">
        <f t="shared" si="27"/>
        <v>800000</v>
      </c>
      <c r="CE52" s="102">
        <f t="shared" si="28"/>
        <v>292500</v>
      </c>
      <c r="CF52" s="102">
        <f t="shared" si="29"/>
        <v>292500</v>
      </c>
      <c r="CG52" s="102">
        <f t="shared" si="30"/>
        <v>0</v>
      </c>
      <c r="CH52" s="124">
        <f t="shared" si="31"/>
        <v>507500</v>
      </c>
      <c r="CI52" s="125">
        <f t="shared" si="32"/>
        <v>0.365625</v>
      </c>
      <c r="CJ52" s="126" t="str">
        <f t="shared" si="33"/>
        <v>数据正确</v>
      </c>
    </row>
    <row r="53" s="60" customFormat="1" customHeight="1" spans="2:88">
      <c r="B53" s="70" t="str">
        <f t="shared" si="23"/>
        <v>-</v>
      </c>
      <c r="C53" s="71" t="str">
        <f t="shared" si="24"/>
        <v>已付清</v>
      </c>
      <c r="D53" s="72">
        <f t="shared" si="25"/>
        <v>16000</v>
      </c>
      <c r="E53" s="72">
        <v>0</v>
      </c>
      <c r="F53" s="72">
        <v>0</v>
      </c>
      <c r="G53" s="72">
        <v>0</v>
      </c>
      <c r="H53" s="72">
        <v>0</v>
      </c>
      <c r="I53" s="72">
        <f t="shared" si="26"/>
        <v>0</v>
      </c>
      <c r="J53" s="86" t="s">
        <v>98</v>
      </c>
      <c r="L53" s="88">
        <v>261</v>
      </c>
      <c r="M53" s="89" t="s">
        <v>1777</v>
      </c>
      <c r="N53" s="90" t="s">
        <v>32</v>
      </c>
      <c r="O53" s="89">
        <v>2017100002</v>
      </c>
      <c r="P53" s="91">
        <v>43006</v>
      </c>
      <c r="Q53" s="154">
        <v>16000</v>
      </c>
      <c r="R53" s="89" t="s">
        <v>1778</v>
      </c>
      <c r="S53" s="89" t="s">
        <v>1779</v>
      </c>
      <c r="T53" s="89"/>
      <c r="U53" s="103" t="s">
        <v>343</v>
      </c>
      <c r="V53" s="105" t="s">
        <v>1780</v>
      </c>
      <c r="W53" s="102">
        <v>16000</v>
      </c>
      <c r="X53" s="102">
        <v>16000</v>
      </c>
      <c r="Y53" s="102">
        <v>16000</v>
      </c>
      <c r="Z53" s="107"/>
      <c r="AA53" s="102"/>
      <c r="AB53" s="102"/>
      <c r="AC53" s="102"/>
      <c r="AD53" s="107"/>
      <c r="AE53" s="102"/>
      <c r="AF53" s="102"/>
      <c r="AG53" s="102"/>
      <c r="AH53" s="107"/>
      <c r="AI53" s="102"/>
      <c r="AJ53" s="102"/>
      <c r="AK53" s="102"/>
      <c r="AL53" s="107"/>
      <c r="AM53" s="102"/>
      <c r="AN53" s="102"/>
      <c r="AO53" s="102"/>
      <c r="AP53" s="107"/>
      <c r="AQ53" s="102"/>
      <c r="AR53" s="102"/>
      <c r="AS53" s="102"/>
      <c r="AT53" s="107"/>
      <c r="AU53" s="102"/>
      <c r="AV53" s="102"/>
      <c r="AW53" s="102"/>
      <c r="AX53" s="107"/>
      <c r="AY53" s="102"/>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22"/>
      <c r="CD53" s="123">
        <f t="shared" si="27"/>
        <v>16000</v>
      </c>
      <c r="CE53" s="102">
        <f t="shared" si="28"/>
        <v>16000</v>
      </c>
      <c r="CF53" s="102">
        <f t="shared" si="29"/>
        <v>16000</v>
      </c>
      <c r="CG53" s="102">
        <f t="shared" si="30"/>
        <v>0</v>
      </c>
      <c r="CH53" s="124">
        <f t="shared" si="31"/>
        <v>0</v>
      </c>
      <c r="CI53" s="125">
        <f t="shared" si="32"/>
        <v>1</v>
      </c>
      <c r="CJ53" s="126" t="str">
        <f t="shared" si="33"/>
        <v>数据正确</v>
      </c>
    </row>
    <row r="54" s="60" customFormat="1" customHeight="1" spans="1:88">
      <c r="A54" s="60" t="s">
        <v>36</v>
      </c>
      <c r="B54" s="70" t="str">
        <f t="shared" si="23"/>
        <v>-</v>
      </c>
      <c r="C54" s="71" t="str">
        <f t="shared" si="24"/>
        <v>-</v>
      </c>
      <c r="D54" s="72">
        <f t="shared" si="25"/>
        <v>1120678</v>
      </c>
      <c r="E54" s="72">
        <v>0</v>
      </c>
      <c r="F54" s="72">
        <v>0</v>
      </c>
      <c r="G54" s="72">
        <v>0</v>
      </c>
      <c r="H54" s="72">
        <v>0</v>
      </c>
      <c r="I54" s="72">
        <f t="shared" si="26"/>
        <v>0</v>
      </c>
      <c r="J54" s="86" t="s">
        <v>98</v>
      </c>
      <c r="L54" s="88">
        <v>282</v>
      </c>
      <c r="M54" s="89" t="s">
        <v>1781</v>
      </c>
      <c r="N54" s="90" t="s">
        <v>32</v>
      </c>
      <c r="O54" s="89" t="s">
        <v>97</v>
      </c>
      <c r="P54" s="91">
        <v>42040</v>
      </c>
      <c r="Q54" s="154">
        <v>1179661.29</v>
      </c>
      <c r="R54" s="89" t="s">
        <v>1782</v>
      </c>
      <c r="S54" s="89" t="s">
        <v>1783</v>
      </c>
      <c r="T54" s="89"/>
      <c r="U54" s="103" t="s">
        <v>354</v>
      </c>
      <c r="V54" s="105" t="s">
        <v>1784</v>
      </c>
      <c r="W54" s="102">
        <v>1120678.2255</v>
      </c>
      <c r="X54" s="102">
        <f>1100000+20678</f>
        <v>1120678</v>
      </c>
      <c r="Y54" s="102">
        <f>1100000+20678</f>
        <v>1120678</v>
      </c>
      <c r="Z54" s="107" t="s">
        <v>331</v>
      </c>
      <c r="AA54" s="102">
        <v>58983.0645</v>
      </c>
      <c r="AB54" s="102"/>
      <c r="AC54" s="102"/>
      <c r="AD54" s="107"/>
      <c r="AE54" s="102"/>
      <c r="AF54" s="102"/>
      <c r="AG54" s="102"/>
      <c r="AH54" s="107"/>
      <c r="AI54" s="102"/>
      <c r="AJ54" s="102"/>
      <c r="AK54" s="102"/>
      <c r="AL54" s="107"/>
      <c r="AM54" s="102"/>
      <c r="AN54" s="102"/>
      <c r="AO54" s="102"/>
      <c r="AP54" s="107"/>
      <c r="AQ54" s="102"/>
      <c r="AR54" s="102"/>
      <c r="AS54" s="102"/>
      <c r="AT54" s="107"/>
      <c r="AU54" s="102"/>
      <c r="AV54" s="102"/>
      <c r="AW54" s="102"/>
      <c r="AX54" s="107"/>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22"/>
      <c r="CD54" s="123">
        <f t="shared" si="27"/>
        <v>1179661.29</v>
      </c>
      <c r="CE54" s="102">
        <f t="shared" si="28"/>
        <v>1120678</v>
      </c>
      <c r="CF54" s="102">
        <f t="shared" si="29"/>
        <v>1120678</v>
      </c>
      <c r="CG54" s="102">
        <f t="shared" si="30"/>
        <v>0</v>
      </c>
      <c r="CH54" s="124">
        <f t="shared" si="31"/>
        <v>58983.29</v>
      </c>
      <c r="CI54" s="125">
        <f t="shared" si="32"/>
        <v>0.949999808843435</v>
      </c>
      <c r="CJ54" s="126" t="str">
        <f t="shared" si="33"/>
        <v>数据正确</v>
      </c>
    </row>
    <row r="55" s="60" customFormat="1" customHeight="1" spans="2:88">
      <c r="B55" s="70" t="str">
        <f t="shared" si="23"/>
        <v>-</v>
      </c>
      <c r="C55" s="71" t="str">
        <f t="shared" si="24"/>
        <v>已付清</v>
      </c>
      <c r="D55" s="72">
        <f t="shared" si="25"/>
        <v>2000</v>
      </c>
      <c r="E55" s="72">
        <v>0</v>
      </c>
      <c r="F55" s="72">
        <v>0</v>
      </c>
      <c r="G55" s="72">
        <v>0</v>
      </c>
      <c r="H55" s="72">
        <v>0</v>
      </c>
      <c r="I55" s="72">
        <f t="shared" si="26"/>
        <v>0</v>
      </c>
      <c r="J55" s="86" t="s">
        <v>98</v>
      </c>
      <c r="L55" s="88">
        <v>283</v>
      </c>
      <c r="M55" s="89" t="s">
        <v>97</v>
      </c>
      <c r="N55" s="90" t="s">
        <v>32</v>
      </c>
      <c r="O55" s="89" t="s">
        <v>97</v>
      </c>
      <c r="P55" s="91">
        <v>42917</v>
      </c>
      <c r="Q55" s="154">
        <v>2000</v>
      </c>
      <c r="R55" s="89" t="s">
        <v>1785</v>
      </c>
      <c r="S55" s="89" t="s">
        <v>1786</v>
      </c>
      <c r="T55" s="89"/>
      <c r="U55" s="103" t="s">
        <v>343</v>
      </c>
      <c r="V55" s="105" t="s">
        <v>1787</v>
      </c>
      <c r="W55" s="102">
        <v>2000</v>
      </c>
      <c r="X55" s="102">
        <v>2000</v>
      </c>
      <c r="Y55" s="102">
        <v>2000</v>
      </c>
      <c r="Z55" s="107"/>
      <c r="AA55" s="102"/>
      <c r="AB55" s="102"/>
      <c r="AC55" s="102"/>
      <c r="AD55" s="107"/>
      <c r="AE55" s="102"/>
      <c r="AF55" s="102"/>
      <c r="AG55" s="102"/>
      <c r="AH55" s="107"/>
      <c r="AI55" s="102"/>
      <c r="AJ55" s="102"/>
      <c r="AK55" s="102"/>
      <c r="AL55" s="107"/>
      <c r="AM55" s="102"/>
      <c r="AN55" s="102"/>
      <c r="AO55" s="102"/>
      <c r="AP55" s="107"/>
      <c r="AQ55" s="102"/>
      <c r="AR55" s="102"/>
      <c r="AS55" s="102"/>
      <c r="AT55" s="107"/>
      <c r="AU55" s="102"/>
      <c r="AV55" s="102"/>
      <c r="AW55" s="102"/>
      <c r="AX55" s="107"/>
      <c r="AY55" s="102"/>
      <c r="AZ55" s="102"/>
      <c r="BA55" s="102"/>
      <c r="BB55" s="102"/>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22"/>
      <c r="CD55" s="123">
        <f t="shared" si="27"/>
        <v>2000</v>
      </c>
      <c r="CE55" s="102">
        <f t="shared" si="28"/>
        <v>2000</v>
      </c>
      <c r="CF55" s="102">
        <f t="shared" si="29"/>
        <v>2000</v>
      </c>
      <c r="CG55" s="102">
        <f t="shared" si="30"/>
        <v>0</v>
      </c>
      <c r="CH55" s="124">
        <f t="shared" si="31"/>
        <v>0</v>
      </c>
      <c r="CI55" s="125">
        <f t="shared" si="32"/>
        <v>1</v>
      </c>
      <c r="CJ55" s="126" t="str">
        <f t="shared" si="33"/>
        <v>数据正确</v>
      </c>
    </row>
    <row r="56" s="60" customFormat="1" customHeight="1" spans="2:88">
      <c r="B56" s="70" t="str">
        <f t="shared" si="23"/>
        <v>-</v>
      </c>
      <c r="C56" s="71" t="str">
        <f t="shared" si="24"/>
        <v>已付清</v>
      </c>
      <c r="D56" s="72">
        <f t="shared" si="25"/>
        <v>98000</v>
      </c>
      <c r="E56" s="72">
        <v>0</v>
      </c>
      <c r="F56" s="72">
        <v>0</v>
      </c>
      <c r="G56" s="72">
        <v>0</v>
      </c>
      <c r="H56" s="72">
        <v>0</v>
      </c>
      <c r="I56" s="72">
        <f t="shared" si="26"/>
        <v>0</v>
      </c>
      <c r="J56" s="86" t="s">
        <v>98</v>
      </c>
      <c r="L56" s="88">
        <v>285</v>
      </c>
      <c r="M56" s="89" t="s">
        <v>97</v>
      </c>
      <c r="N56" s="90" t="s">
        <v>32</v>
      </c>
      <c r="O56" s="89" t="s">
        <v>97</v>
      </c>
      <c r="P56" s="91">
        <v>42826</v>
      </c>
      <c r="Q56" s="154">
        <v>98000</v>
      </c>
      <c r="R56" s="89" t="s">
        <v>1788</v>
      </c>
      <c r="S56" s="89" t="s">
        <v>1789</v>
      </c>
      <c r="T56" s="89"/>
      <c r="U56" s="103" t="s">
        <v>343</v>
      </c>
      <c r="V56" s="105" t="s">
        <v>97</v>
      </c>
      <c r="W56" s="102">
        <v>98000</v>
      </c>
      <c r="X56" s="102">
        <v>98000</v>
      </c>
      <c r="Y56" s="102">
        <v>98000</v>
      </c>
      <c r="Z56" s="107"/>
      <c r="AA56" s="102"/>
      <c r="AB56" s="102"/>
      <c r="AC56" s="102"/>
      <c r="AD56" s="107"/>
      <c r="AE56" s="102"/>
      <c r="AF56" s="102"/>
      <c r="AG56" s="102"/>
      <c r="AH56" s="107"/>
      <c r="AI56" s="102"/>
      <c r="AJ56" s="102"/>
      <c r="AK56" s="102"/>
      <c r="AL56" s="107"/>
      <c r="AM56" s="102"/>
      <c r="AN56" s="102"/>
      <c r="AO56" s="102"/>
      <c r="AP56" s="107"/>
      <c r="AQ56" s="102"/>
      <c r="AR56" s="102"/>
      <c r="AS56" s="102"/>
      <c r="AT56" s="107"/>
      <c r="AU56" s="102"/>
      <c r="AV56" s="102"/>
      <c r="AW56" s="102"/>
      <c r="AX56" s="107"/>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22"/>
      <c r="CD56" s="123">
        <f t="shared" si="27"/>
        <v>98000</v>
      </c>
      <c r="CE56" s="102">
        <f t="shared" si="28"/>
        <v>98000</v>
      </c>
      <c r="CF56" s="102">
        <f t="shared" si="29"/>
        <v>98000</v>
      </c>
      <c r="CG56" s="102">
        <f t="shared" si="30"/>
        <v>0</v>
      </c>
      <c r="CH56" s="124">
        <f t="shared" si="31"/>
        <v>0</v>
      </c>
      <c r="CI56" s="125">
        <f t="shared" si="32"/>
        <v>1</v>
      </c>
      <c r="CJ56" s="126" t="str">
        <f t="shared" si="33"/>
        <v>数据正确</v>
      </c>
    </row>
    <row r="57" s="60" customFormat="1" customHeight="1" spans="2:88">
      <c r="B57" s="70" t="str">
        <f t="shared" si="23"/>
        <v>-</v>
      </c>
      <c r="C57" s="71" t="str">
        <f t="shared" si="24"/>
        <v>-</v>
      </c>
      <c r="D57" s="72">
        <f t="shared" si="25"/>
        <v>97000</v>
      </c>
      <c r="E57" s="72">
        <v>0</v>
      </c>
      <c r="F57" s="72">
        <v>0</v>
      </c>
      <c r="G57" s="72">
        <v>0</v>
      </c>
      <c r="H57" s="72">
        <v>0</v>
      </c>
      <c r="I57" s="72">
        <f t="shared" si="26"/>
        <v>0</v>
      </c>
      <c r="J57" s="86" t="s">
        <v>98</v>
      </c>
      <c r="L57" s="88">
        <v>286</v>
      </c>
      <c r="M57" s="89" t="s">
        <v>97</v>
      </c>
      <c r="N57" s="90" t="s">
        <v>32</v>
      </c>
      <c r="O57" s="89" t="s">
        <v>97</v>
      </c>
      <c r="P57" s="91">
        <v>42790</v>
      </c>
      <c r="Q57" s="154">
        <v>122000</v>
      </c>
      <c r="R57" s="89" t="s">
        <v>1790</v>
      </c>
      <c r="S57" s="89" t="s">
        <v>1791</v>
      </c>
      <c r="T57" s="89"/>
      <c r="U57" s="103" t="s">
        <v>343</v>
      </c>
      <c r="V57" s="105" t="s">
        <v>1792</v>
      </c>
      <c r="W57" s="102">
        <v>97000</v>
      </c>
      <c r="X57" s="102">
        <v>97000</v>
      </c>
      <c r="Y57" s="102">
        <v>97000</v>
      </c>
      <c r="Z57" s="107" t="s">
        <v>1793</v>
      </c>
      <c r="AA57" s="102">
        <v>12500</v>
      </c>
      <c r="AB57" s="102"/>
      <c r="AC57" s="102"/>
      <c r="AD57" s="107" t="s">
        <v>1794</v>
      </c>
      <c r="AE57" s="102">
        <v>12500</v>
      </c>
      <c r="AF57" s="102"/>
      <c r="AG57" s="102"/>
      <c r="AH57" s="107"/>
      <c r="AI57" s="102"/>
      <c r="AJ57" s="102"/>
      <c r="AK57" s="102"/>
      <c r="AL57" s="107"/>
      <c r="AM57" s="102"/>
      <c r="AN57" s="102"/>
      <c r="AO57" s="102"/>
      <c r="AP57" s="107"/>
      <c r="AQ57" s="102"/>
      <c r="AR57" s="102"/>
      <c r="AS57" s="102"/>
      <c r="AT57" s="107"/>
      <c r="AU57" s="102"/>
      <c r="AV57" s="102"/>
      <c r="AW57" s="102"/>
      <c r="AX57" s="107"/>
      <c r="AY57" s="102"/>
      <c r="AZ57" s="102"/>
      <c r="BA57" s="102"/>
      <c r="BB57" s="102"/>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22"/>
      <c r="CD57" s="123">
        <f t="shared" si="27"/>
        <v>122000</v>
      </c>
      <c r="CE57" s="102">
        <f t="shared" si="28"/>
        <v>97000</v>
      </c>
      <c r="CF57" s="102">
        <f t="shared" si="29"/>
        <v>97000</v>
      </c>
      <c r="CG57" s="102">
        <f t="shared" si="30"/>
        <v>0</v>
      </c>
      <c r="CH57" s="124">
        <f t="shared" si="31"/>
        <v>25000</v>
      </c>
      <c r="CI57" s="125">
        <f t="shared" si="32"/>
        <v>0.795081967213115</v>
      </c>
      <c r="CJ57" s="126" t="str">
        <f t="shared" si="33"/>
        <v>数据正确</v>
      </c>
    </row>
    <row r="58" s="60" customFormat="1" customHeight="1" spans="2:88">
      <c r="B58" s="70" t="str">
        <f t="shared" si="23"/>
        <v>-</v>
      </c>
      <c r="C58" s="71" t="str">
        <f t="shared" si="24"/>
        <v>-</v>
      </c>
      <c r="D58" s="72">
        <f t="shared" si="25"/>
        <v>0</v>
      </c>
      <c r="E58" s="72">
        <v>0</v>
      </c>
      <c r="F58" s="72">
        <v>0</v>
      </c>
      <c r="G58" s="72">
        <v>0</v>
      </c>
      <c r="H58" s="72">
        <v>0</v>
      </c>
      <c r="I58" s="72">
        <f t="shared" si="26"/>
        <v>0</v>
      </c>
      <c r="J58" s="86" t="s">
        <v>98</v>
      </c>
      <c r="L58" s="88">
        <v>299</v>
      </c>
      <c r="M58" s="89" t="s">
        <v>1795</v>
      </c>
      <c r="N58" s="90" t="s">
        <v>32</v>
      </c>
      <c r="O58" s="89" t="s">
        <v>97</v>
      </c>
      <c r="P58" s="91">
        <v>43024</v>
      </c>
      <c r="Q58" s="154">
        <v>0</v>
      </c>
      <c r="R58" s="89" t="s">
        <v>1796</v>
      </c>
      <c r="S58" s="89" t="s">
        <v>1185</v>
      </c>
      <c r="T58" s="89"/>
      <c r="U58" s="103" t="s">
        <v>616</v>
      </c>
      <c r="V58" s="105" t="s">
        <v>1797</v>
      </c>
      <c r="W58" s="102">
        <v>0</v>
      </c>
      <c r="X58" s="102"/>
      <c r="Y58" s="102"/>
      <c r="Z58" s="107"/>
      <c r="AA58" s="102"/>
      <c r="AB58" s="102"/>
      <c r="AC58" s="102"/>
      <c r="AD58" s="107"/>
      <c r="AE58" s="102"/>
      <c r="AF58" s="102"/>
      <c r="AG58" s="102"/>
      <c r="AH58" s="107"/>
      <c r="AI58" s="102"/>
      <c r="AJ58" s="102"/>
      <c r="AK58" s="102"/>
      <c r="AL58" s="107"/>
      <c r="AM58" s="102"/>
      <c r="AN58" s="102"/>
      <c r="AO58" s="102"/>
      <c r="AP58" s="107"/>
      <c r="AQ58" s="102"/>
      <c r="AR58" s="102"/>
      <c r="AS58" s="102"/>
      <c r="AT58" s="107"/>
      <c r="AU58" s="102"/>
      <c r="AV58" s="102"/>
      <c r="AW58" s="102"/>
      <c r="AX58" s="107"/>
      <c r="AY58" s="102"/>
      <c r="AZ58" s="102"/>
      <c r="BA58" s="102"/>
      <c r="BB58" s="102"/>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22"/>
      <c r="CD58" s="123">
        <f t="shared" si="27"/>
        <v>0</v>
      </c>
      <c r="CE58" s="102">
        <f t="shared" si="28"/>
        <v>0</v>
      </c>
      <c r="CF58" s="102">
        <f t="shared" si="29"/>
        <v>0</v>
      </c>
      <c r="CG58" s="102">
        <f t="shared" si="30"/>
        <v>0</v>
      </c>
      <c r="CH58" s="124">
        <f t="shared" si="31"/>
        <v>0</v>
      </c>
      <c r="CI58" s="125" t="str">
        <f t="shared" si="32"/>
        <v>-</v>
      </c>
      <c r="CJ58" s="126" t="str">
        <f t="shared" si="33"/>
        <v>数据正确</v>
      </c>
    </row>
    <row r="59" s="60" customFormat="1" customHeight="1" spans="2:88">
      <c r="B59" s="70"/>
      <c r="C59" s="71"/>
      <c r="D59" s="72"/>
      <c r="E59" s="72"/>
      <c r="F59" s="72"/>
      <c r="G59" s="72"/>
      <c r="H59" s="72"/>
      <c r="I59" s="72"/>
      <c r="J59" s="86"/>
      <c r="L59" s="88"/>
      <c r="M59" s="89"/>
      <c r="N59" s="90"/>
      <c r="O59" s="89"/>
      <c r="P59" s="91"/>
      <c r="Q59" s="102"/>
      <c r="R59" s="89"/>
      <c r="S59" s="89"/>
      <c r="T59" s="89"/>
      <c r="U59" s="103"/>
      <c r="V59" s="105"/>
      <c r="W59" s="102"/>
      <c r="X59" s="102"/>
      <c r="Y59" s="102"/>
      <c r="Z59" s="107"/>
      <c r="AA59" s="102"/>
      <c r="AB59" s="102"/>
      <c r="AC59" s="102"/>
      <c r="AD59" s="107"/>
      <c r="AE59" s="102"/>
      <c r="AF59" s="102"/>
      <c r="AG59" s="102"/>
      <c r="AH59" s="107"/>
      <c r="AI59" s="102"/>
      <c r="AJ59" s="102"/>
      <c r="AK59" s="102"/>
      <c r="AL59" s="107"/>
      <c r="AM59" s="102"/>
      <c r="AN59" s="102"/>
      <c r="AO59" s="102"/>
      <c r="AP59" s="107"/>
      <c r="AQ59" s="102"/>
      <c r="AR59" s="102"/>
      <c r="AS59" s="102"/>
      <c r="AT59" s="107"/>
      <c r="AU59" s="102"/>
      <c r="AV59" s="102"/>
      <c r="AW59" s="102"/>
      <c r="AX59" s="107"/>
      <c r="AY59" s="102"/>
      <c r="AZ59" s="102"/>
      <c r="BA59" s="102"/>
      <c r="BB59" s="102"/>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22"/>
      <c r="CD59" s="123">
        <f t="shared" si="27"/>
        <v>0</v>
      </c>
      <c r="CE59" s="102">
        <f t="shared" si="28"/>
        <v>0</v>
      </c>
      <c r="CF59" s="102">
        <f t="shared" si="29"/>
        <v>0</v>
      </c>
      <c r="CG59" s="102">
        <f t="shared" si="30"/>
        <v>0</v>
      </c>
      <c r="CH59" s="124">
        <f t="shared" si="31"/>
        <v>0</v>
      </c>
      <c r="CI59" s="125" t="str">
        <f t="shared" si="32"/>
        <v>-</v>
      </c>
      <c r="CJ59" s="126" t="str">
        <f t="shared" si="33"/>
        <v>数据正确</v>
      </c>
    </row>
    <row r="60" s="60" customFormat="1" customHeight="1" spans="2:88">
      <c r="B60" s="70"/>
      <c r="C60" s="71"/>
      <c r="D60" s="72"/>
      <c r="E60" s="72"/>
      <c r="F60" s="72"/>
      <c r="G60" s="72"/>
      <c r="H60" s="72"/>
      <c r="I60" s="72"/>
      <c r="J60" s="86"/>
      <c r="L60" s="88"/>
      <c r="M60" s="89"/>
      <c r="N60" s="90"/>
      <c r="O60" s="89"/>
      <c r="P60" s="91"/>
      <c r="Q60" s="102"/>
      <c r="R60" s="89"/>
      <c r="S60" s="89"/>
      <c r="T60" s="89"/>
      <c r="U60" s="103"/>
      <c r="V60" s="105"/>
      <c r="W60" s="102"/>
      <c r="X60" s="102"/>
      <c r="Y60" s="102"/>
      <c r="Z60" s="107"/>
      <c r="AA60" s="102"/>
      <c r="AB60" s="102"/>
      <c r="AC60" s="102"/>
      <c r="AD60" s="107"/>
      <c r="AE60" s="102"/>
      <c r="AF60" s="102"/>
      <c r="AG60" s="102"/>
      <c r="AH60" s="107"/>
      <c r="AI60" s="102"/>
      <c r="AJ60" s="102"/>
      <c r="AK60" s="102"/>
      <c r="AL60" s="107"/>
      <c r="AM60" s="102"/>
      <c r="AN60" s="102"/>
      <c r="AO60" s="102"/>
      <c r="AP60" s="107"/>
      <c r="AQ60" s="102"/>
      <c r="AR60" s="102"/>
      <c r="AS60" s="102"/>
      <c r="AT60" s="107"/>
      <c r="AU60" s="102"/>
      <c r="AV60" s="102"/>
      <c r="AW60" s="102"/>
      <c r="AX60" s="107"/>
      <c r="AY60" s="102"/>
      <c r="AZ60" s="102"/>
      <c r="BA60" s="102"/>
      <c r="BB60" s="102"/>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22"/>
      <c r="CD60" s="123">
        <f t="shared" si="27"/>
        <v>0</v>
      </c>
      <c r="CE60" s="102">
        <f t="shared" si="28"/>
        <v>0</v>
      </c>
      <c r="CF60" s="102">
        <f t="shared" si="29"/>
        <v>0</v>
      </c>
      <c r="CG60" s="102">
        <f t="shared" si="30"/>
        <v>0</v>
      </c>
      <c r="CH60" s="124">
        <f t="shared" si="31"/>
        <v>0</v>
      </c>
      <c r="CI60" s="125" t="str">
        <f t="shared" si="32"/>
        <v>-</v>
      </c>
      <c r="CJ60" s="126" t="str">
        <f t="shared" si="33"/>
        <v>数据正确</v>
      </c>
    </row>
    <row r="61" s="60" customFormat="1" customHeight="1" spans="2:88">
      <c r="B61" s="70"/>
      <c r="C61" s="71"/>
      <c r="D61" s="72"/>
      <c r="E61" s="72"/>
      <c r="F61" s="72"/>
      <c r="G61" s="72"/>
      <c r="H61" s="72"/>
      <c r="I61" s="72"/>
      <c r="J61" s="86"/>
      <c r="L61" s="88"/>
      <c r="M61" s="89"/>
      <c r="N61" s="90"/>
      <c r="O61" s="89"/>
      <c r="P61" s="91"/>
      <c r="Q61" s="102"/>
      <c r="R61" s="89"/>
      <c r="S61" s="89"/>
      <c r="T61" s="89"/>
      <c r="U61" s="103"/>
      <c r="V61" s="105"/>
      <c r="W61" s="102"/>
      <c r="X61" s="102"/>
      <c r="Y61" s="102"/>
      <c r="Z61" s="107"/>
      <c r="AA61" s="102"/>
      <c r="AB61" s="102"/>
      <c r="AC61" s="102"/>
      <c r="AD61" s="107"/>
      <c r="AE61" s="102"/>
      <c r="AF61" s="102"/>
      <c r="AG61" s="102"/>
      <c r="AH61" s="107"/>
      <c r="AI61" s="102"/>
      <c r="AJ61" s="102"/>
      <c r="AK61" s="102"/>
      <c r="AL61" s="107"/>
      <c r="AM61" s="102"/>
      <c r="AN61" s="102"/>
      <c r="AO61" s="102"/>
      <c r="AP61" s="107"/>
      <c r="AQ61" s="102"/>
      <c r="AR61" s="102"/>
      <c r="AS61" s="102"/>
      <c r="AT61" s="107"/>
      <c r="AU61" s="102"/>
      <c r="AV61" s="102"/>
      <c r="AW61" s="102"/>
      <c r="AX61" s="107"/>
      <c r="AY61" s="102"/>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22"/>
      <c r="CD61" s="123">
        <f t="shared" si="27"/>
        <v>0</v>
      </c>
      <c r="CE61" s="102">
        <f t="shared" si="28"/>
        <v>0</v>
      </c>
      <c r="CF61" s="102">
        <f t="shared" si="29"/>
        <v>0</v>
      </c>
      <c r="CG61" s="102">
        <f t="shared" si="30"/>
        <v>0</v>
      </c>
      <c r="CH61" s="124">
        <f t="shared" si="31"/>
        <v>0</v>
      </c>
      <c r="CI61" s="125" t="str">
        <f t="shared" si="32"/>
        <v>-</v>
      </c>
      <c r="CJ61" s="126" t="str">
        <f t="shared" si="33"/>
        <v>数据正确</v>
      </c>
    </row>
    <row r="62" s="60" customFormat="1" customHeight="1" spans="2:88">
      <c r="B62" s="70"/>
      <c r="C62" s="71"/>
      <c r="D62" s="72"/>
      <c r="E62" s="72"/>
      <c r="F62" s="72"/>
      <c r="G62" s="72"/>
      <c r="H62" s="72"/>
      <c r="I62" s="72"/>
      <c r="J62" s="86"/>
      <c r="L62" s="88"/>
      <c r="M62" s="89"/>
      <c r="N62" s="90"/>
      <c r="O62" s="89"/>
      <c r="P62" s="91"/>
      <c r="Q62" s="102"/>
      <c r="R62" s="89"/>
      <c r="S62" s="89"/>
      <c r="T62" s="89"/>
      <c r="U62" s="103"/>
      <c r="V62" s="105"/>
      <c r="W62" s="102"/>
      <c r="X62" s="102"/>
      <c r="Y62" s="102"/>
      <c r="Z62" s="107"/>
      <c r="AA62" s="102"/>
      <c r="AB62" s="102"/>
      <c r="AC62" s="102"/>
      <c r="AD62" s="107"/>
      <c r="AE62" s="102"/>
      <c r="AF62" s="102"/>
      <c r="AG62" s="102"/>
      <c r="AH62" s="107"/>
      <c r="AI62" s="102"/>
      <c r="AJ62" s="102"/>
      <c r="AK62" s="102"/>
      <c r="AL62" s="107"/>
      <c r="AM62" s="102"/>
      <c r="AN62" s="102"/>
      <c r="AO62" s="102"/>
      <c r="AP62" s="107"/>
      <c r="AQ62" s="102"/>
      <c r="AR62" s="102"/>
      <c r="AS62" s="102"/>
      <c r="AT62" s="107"/>
      <c r="AU62" s="102"/>
      <c r="AV62" s="102"/>
      <c r="AW62" s="102"/>
      <c r="AX62" s="107"/>
      <c r="AY62" s="102"/>
      <c r="AZ62" s="102"/>
      <c r="BA62" s="102"/>
      <c r="BB62" s="102"/>
      <c r="BC62" s="102"/>
      <c r="BD62" s="102"/>
      <c r="BE62" s="102"/>
      <c r="BF62" s="102"/>
      <c r="BG62" s="102"/>
      <c r="BH62" s="102"/>
      <c r="BI62" s="102"/>
      <c r="BJ62" s="102"/>
      <c r="BK62" s="102"/>
      <c r="BL62" s="102"/>
      <c r="BM62" s="102"/>
      <c r="BN62" s="102"/>
      <c r="BO62" s="102"/>
      <c r="BP62" s="102"/>
      <c r="BQ62" s="102"/>
      <c r="BR62" s="102"/>
      <c r="BS62" s="102"/>
      <c r="BT62" s="102"/>
      <c r="BU62" s="102"/>
      <c r="BV62" s="102"/>
      <c r="BW62" s="102"/>
      <c r="BX62" s="102"/>
      <c r="BY62" s="102"/>
      <c r="BZ62" s="102"/>
      <c r="CA62" s="102"/>
      <c r="CB62" s="102"/>
      <c r="CC62" s="122"/>
      <c r="CD62" s="123">
        <f t="shared" si="27"/>
        <v>0</v>
      </c>
      <c r="CE62" s="102">
        <f t="shared" si="28"/>
        <v>0</v>
      </c>
      <c r="CF62" s="102">
        <f t="shared" si="29"/>
        <v>0</v>
      </c>
      <c r="CG62" s="102">
        <f t="shared" si="30"/>
        <v>0</v>
      </c>
      <c r="CH62" s="124">
        <f t="shared" si="31"/>
        <v>0</v>
      </c>
      <c r="CI62" s="125" t="str">
        <f t="shared" si="32"/>
        <v>-</v>
      </c>
      <c r="CJ62" s="126" t="str">
        <f t="shared" si="33"/>
        <v>数据正确</v>
      </c>
    </row>
    <row r="63" s="60" customFormat="1" customHeight="1" spans="2:15">
      <c r="B63" s="127"/>
      <c r="O63" s="152"/>
    </row>
    <row r="64" s="60" customFormat="1" customHeight="1" spans="2:15">
      <c r="B64" s="127"/>
      <c r="O64" s="152"/>
    </row>
    <row r="65" s="60" customFormat="1" customHeight="1" spans="2:15">
      <c r="B65" s="127"/>
      <c r="O65" s="152"/>
    </row>
    <row r="66" s="60" customFormat="1" customHeight="1" spans="2:15">
      <c r="B66" s="127"/>
      <c r="O66" s="152"/>
    </row>
    <row r="67" s="60" customFormat="1" customHeight="1" spans="2:15">
      <c r="B67" s="127"/>
      <c r="O67" s="152"/>
    </row>
    <row r="68" s="60" customFormat="1" customHeight="1" spans="2:15">
      <c r="B68" s="127"/>
      <c r="O68" s="152"/>
    </row>
    <row r="69" s="60" customFormat="1" customHeight="1" spans="2:15">
      <c r="B69" s="127"/>
      <c r="O69" s="152"/>
    </row>
    <row r="70" s="60" customFormat="1" customHeight="1" spans="2:15">
      <c r="B70" s="127"/>
      <c r="O70" s="152"/>
    </row>
    <row r="71" s="60" customFormat="1" customHeight="1" spans="2:15">
      <c r="B71" s="127"/>
      <c r="O71" s="152"/>
    </row>
    <row r="72" s="60" customFormat="1" customHeight="1" spans="2:15">
      <c r="B72" s="127"/>
      <c r="O72" s="152"/>
    </row>
    <row r="73" s="60" customFormat="1" customHeight="1" spans="2:15">
      <c r="B73" s="127"/>
      <c r="O73" s="152"/>
    </row>
    <row r="74" s="60" customFormat="1" customHeight="1" spans="2:15">
      <c r="B74" s="127"/>
      <c r="O74" s="152"/>
    </row>
    <row r="75" s="60" customFormat="1" customHeight="1" spans="2:15">
      <c r="B75" s="127"/>
      <c r="O75" s="152"/>
    </row>
    <row r="76" s="60" customFormat="1" customHeight="1" spans="2:15">
      <c r="B76" s="127"/>
      <c r="O76" s="152"/>
    </row>
  </sheetData>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75" right="0.75" top="1" bottom="1" header="0.511805555555556" footer="0.511805555555556"/>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59"/>
  <sheetViews>
    <sheetView topLeftCell="K1" workbookViewId="0">
      <pane ySplit="5" topLeftCell="A6" activePane="bottomLeft" state="frozen"/>
      <selection/>
      <selection pane="bottomLeft" activeCell="G58" sqref="G58"/>
    </sheetView>
  </sheetViews>
  <sheetFormatPr defaultColWidth="9" defaultRowHeight="18" customHeight="1"/>
  <cols>
    <col min="1" max="1" width="3.75" customWidth="1"/>
    <col min="2" max="2" width="5" style="61" customWidth="1"/>
    <col min="3" max="3" width="5.25" customWidth="1"/>
    <col min="4" max="4" width="13.125" customWidth="1"/>
    <col min="5" max="5" width="10.375" customWidth="1"/>
    <col min="6" max="6" width="8.875" customWidth="1"/>
    <col min="7" max="7" width="9" customWidth="1"/>
    <col min="8" max="8" width="7.875" customWidth="1"/>
    <col min="9" max="9" width="10.125" customWidth="1"/>
    <col min="10" max="10" width="5.875" customWidth="1"/>
    <col min="11" max="11" width="0.75" style="60" customWidth="1"/>
    <col min="12" max="12" width="5.25" customWidth="1"/>
    <col min="13" max="13" width="11.25" customWidth="1"/>
    <col min="14" max="14" width="11.125"/>
    <col min="16" max="16" width="11.25" customWidth="1"/>
    <col min="17" max="17" width="16" customWidth="1"/>
    <col min="18" max="18" width="22.5" customWidth="1"/>
    <col min="19" max="19" width="23.875" customWidth="1"/>
    <col min="20" max="21" width="11.125"/>
    <col min="22" max="22" width="22.125" customWidth="1"/>
    <col min="23" max="81" width="15.75" customWidth="1"/>
    <col min="82" max="84" width="16" customWidth="1"/>
    <col min="85" max="85" width="11.25" customWidth="1"/>
    <col min="86" max="86" width="14" customWidth="1"/>
    <col min="87" max="87" width="9.25"/>
  </cols>
  <sheetData>
    <row r="1" customFormat="1" ht="8" customHeight="1" spans="2:11">
      <c r="B1" s="61"/>
      <c r="K1" s="60"/>
    </row>
    <row r="2" s="57" customFormat="1" customHeight="1" spans="2:88">
      <c r="B2" s="62" t="s">
        <v>1798</v>
      </c>
      <c r="C2" s="63"/>
      <c r="D2" s="63"/>
      <c r="E2" s="63"/>
      <c r="F2" s="63"/>
      <c r="G2" s="63"/>
      <c r="H2" s="63"/>
      <c r="I2" s="63"/>
      <c r="J2" s="73"/>
      <c r="K2" s="74"/>
      <c r="L2" s="75" t="s">
        <v>1799</v>
      </c>
      <c r="M2" s="76"/>
      <c r="N2" s="76"/>
      <c r="O2" s="76"/>
      <c r="P2" s="76"/>
      <c r="Q2" s="76"/>
      <c r="R2" s="76"/>
      <c r="S2" s="76"/>
      <c r="T2" s="76"/>
      <c r="U2" s="92"/>
      <c r="V2" s="93" t="s">
        <v>1800</v>
      </c>
      <c r="W2" s="94"/>
      <c r="X2" s="94"/>
      <c r="Y2" s="94"/>
      <c r="Z2" s="94" t="s">
        <v>1800</v>
      </c>
      <c r="AA2" s="94"/>
      <c r="AB2" s="94"/>
      <c r="AC2" s="94"/>
      <c r="AD2" s="94" t="s">
        <v>1800</v>
      </c>
      <c r="AE2" s="94"/>
      <c r="AF2" s="94"/>
      <c r="AG2" s="94"/>
      <c r="AH2" s="94" t="s">
        <v>1800</v>
      </c>
      <c r="AI2" s="94"/>
      <c r="AJ2" s="94"/>
      <c r="AK2" s="94"/>
      <c r="AL2" s="94" t="s">
        <v>1800</v>
      </c>
      <c r="AM2" s="94"/>
      <c r="AN2" s="94"/>
      <c r="AO2" s="94"/>
      <c r="AP2" s="94" t="s">
        <v>1800</v>
      </c>
      <c r="AQ2" s="94"/>
      <c r="AR2" s="94"/>
      <c r="AS2" s="94"/>
      <c r="AT2" s="94" t="s">
        <v>1800</v>
      </c>
      <c r="AU2" s="94"/>
      <c r="AV2" s="94"/>
      <c r="AW2" s="94"/>
      <c r="AX2" s="94" t="s">
        <v>1800</v>
      </c>
      <c r="AY2" s="94"/>
      <c r="AZ2" s="94"/>
      <c r="BA2" s="94"/>
      <c r="BB2" s="94" t="s">
        <v>1800</v>
      </c>
      <c r="BC2" s="94"/>
      <c r="BD2" s="94"/>
      <c r="BE2" s="94"/>
      <c r="BF2" s="94" t="s">
        <v>1800</v>
      </c>
      <c r="BG2" s="94"/>
      <c r="BH2" s="94"/>
      <c r="BI2" s="94"/>
      <c r="BJ2" s="94" t="s">
        <v>1800</v>
      </c>
      <c r="BK2" s="94"/>
      <c r="BL2" s="94"/>
      <c r="BM2" s="94"/>
      <c r="BN2" s="94" t="s">
        <v>1800</v>
      </c>
      <c r="BO2" s="94"/>
      <c r="BP2" s="94"/>
      <c r="BQ2" s="94"/>
      <c r="BR2" s="94" t="s">
        <v>1800</v>
      </c>
      <c r="BS2" s="94"/>
      <c r="BT2" s="94"/>
      <c r="BU2" s="94"/>
      <c r="BV2" s="94" t="s">
        <v>1800</v>
      </c>
      <c r="BW2" s="94"/>
      <c r="BX2" s="94"/>
      <c r="BY2" s="94"/>
      <c r="BZ2" s="94" t="s">
        <v>1800</v>
      </c>
      <c r="CA2" s="94"/>
      <c r="CB2" s="94"/>
      <c r="CC2" s="108"/>
      <c r="CD2" s="109" t="s">
        <v>56</v>
      </c>
      <c r="CE2" s="110"/>
      <c r="CF2" s="110"/>
      <c r="CG2" s="110"/>
      <c r="CH2" s="110"/>
      <c r="CI2" s="110"/>
      <c r="CJ2" s="111"/>
    </row>
    <row r="3" s="58" customFormat="1" ht="20" customHeight="1" spans="2:88">
      <c r="B3" s="64" t="s">
        <v>57</v>
      </c>
      <c r="C3" s="65" t="s">
        <v>58</v>
      </c>
      <c r="D3" s="66" t="s">
        <v>17</v>
      </c>
      <c r="E3" s="66" t="s">
        <v>59</v>
      </c>
      <c r="F3" s="66" t="s">
        <v>60</v>
      </c>
      <c r="G3" s="66" t="s">
        <v>61</v>
      </c>
      <c r="H3" s="66" t="s">
        <v>62</v>
      </c>
      <c r="I3" s="66" t="s">
        <v>63</v>
      </c>
      <c r="J3" s="77" t="s">
        <v>64</v>
      </c>
      <c r="K3" s="78"/>
      <c r="L3" s="79" t="s">
        <v>65</v>
      </c>
      <c r="M3" s="80" t="s">
        <v>65</v>
      </c>
      <c r="N3" s="80" t="s">
        <v>14</v>
      </c>
      <c r="O3" s="80" t="s">
        <v>66</v>
      </c>
      <c r="P3" s="81" t="s">
        <v>67</v>
      </c>
      <c r="Q3" s="85" t="s">
        <v>44</v>
      </c>
      <c r="R3" s="80" t="s">
        <v>68</v>
      </c>
      <c r="S3" s="80" t="s">
        <v>69</v>
      </c>
      <c r="T3" s="80" t="s">
        <v>70</v>
      </c>
      <c r="U3" s="95" t="s">
        <v>71</v>
      </c>
      <c r="V3" s="96" t="s">
        <v>72</v>
      </c>
      <c r="W3" s="97"/>
      <c r="X3" s="97"/>
      <c r="Y3" s="97"/>
      <c r="Z3" s="97" t="s">
        <v>73</v>
      </c>
      <c r="AA3" s="97"/>
      <c r="AB3" s="97"/>
      <c r="AC3" s="97"/>
      <c r="AD3" s="97" t="s">
        <v>74</v>
      </c>
      <c r="AE3" s="97"/>
      <c r="AF3" s="97"/>
      <c r="AG3" s="97"/>
      <c r="AH3" s="97" t="s">
        <v>75</v>
      </c>
      <c r="AI3" s="97"/>
      <c r="AJ3" s="97"/>
      <c r="AK3" s="97"/>
      <c r="AL3" s="97" t="s">
        <v>76</v>
      </c>
      <c r="AM3" s="97"/>
      <c r="AN3" s="97"/>
      <c r="AO3" s="97"/>
      <c r="AP3" s="97" t="s">
        <v>77</v>
      </c>
      <c r="AQ3" s="97"/>
      <c r="AR3" s="97"/>
      <c r="AS3" s="97"/>
      <c r="AT3" s="97" t="s">
        <v>78</v>
      </c>
      <c r="AU3" s="97"/>
      <c r="AV3" s="97"/>
      <c r="AW3" s="97"/>
      <c r="AX3" s="97" t="s">
        <v>79</v>
      </c>
      <c r="AY3" s="97"/>
      <c r="AZ3" s="97"/>
      <c r="BA3" s="97"/>
      <c r="BB3" s="97" t="s">
        <v>80</v>
      </c>
      <c r="BC3" s="97"/>
      <c r="BD3" s="97"/>
      <c r="BE3" s="97"/>
      <c r="BF3" s="97" t="s">
        <v>81</v>
      </c>
      <c r="BG3" s="97"/>
      <c r="BH3" s="97"/>
      <c r="BI3" s="97"/>
      <c r="BJ3" s="97" t="s">
        <v>82</v>
      </c>
      <c r="BK3" s="97"/>
      <c r="BL3" s="97"/>
      <c r="BM3" s="97"/>
      <c r="BN3" s="97" t="s">
        <v>83</v>
      </c>
      <c r="BO3" s="97"/>
      <c r="BP3" s="97"/>
      <c r="BQ3" s="97"/>
      <c r="BR3" s="97" t="s">
        <v>84</v>
      </c>
      <c r="BS3" s="97"/>
      <c r="BT3" s="97"/>
      <c r="BU3" s="97"/>
      <c r="BV3" s="97" t="s">
        <v>85</v>
      </c>
      <c r="BW3" s="97"/>
      <c r="BX3" s="97"/>
      <c r="BY3" s="97"/>
      <c r="BZ3" s="97" t="s">
        <v>86</v>
      </c>
      <c r="CA3" s="97"/>
      <c r="CB3" s="97"/>
      <c r="CC3" s="112"/>
      <c r="CD3" s="113" t="s">
        <v>87</v>
      </c>
      <c r="CE3" s="114" t="s">
        <v>88</v>
      </c>
      <c r="CF3" s="85" t="s">
        <v>17</v>
      </c>
      <c r="CG3" s="85" t="s">
        <v>90</v>
      </c>
      <c r="CH3" s="85" t="s">
        <v>91</v>
      </c>
      <c r="CI3" s="114" t="s">
        <v>24</v>
      </c>
      <c r="CJ3" s="115" t="s">
        <v>92</v>
      </c>
    </row>
    <row r="4" s="58" customFormat="1" ht="20" customHeight="1" spans="2:88">
      <c r="B4" s="64"/>
      <c r="C4" s="65"/>
      <c r="D4" s="66"/>
      <c r="E4" s="66"/>
      <c r="F4" s="66"/>
      <c r="G4" s="66"/>
      <c r="H4" s="66"/>
      <c r="I4" s="66"/>
      <c r="J4" s="77"/>
      <c r="K4" s="78"/>
      <c r="L4" s="79"/>
      <c r="M4" s="80"/>
      <c r="N4" s="80"/>
      <c r="O4" s="80"/>
      <c r="P4" s="81"/>
      <c r="Q4" s="85"/>
      <c r="R4" s="80"/>
      <c r="S4" s="80"/>
      <c r="T4" s="80"/>
      <c r="U4" s="95"/>
      <c r="V4" s="98" t="s">
        <v>93</v>
      </c>
      <c r="W4" s="99" t="s">
        <v>94</v>
      </c>
      <c r="X4" s="99" t="s">
        <v>95</v>
      </c>
      <c r="Y4" s="99" t="s">
        <v>96</v>
      </c>
      <c r="Z4" s="106" t="s">
        <v>93</v>
      </c>
      <c r="AA4" s="99" t="s">
        <v>94</v>
      </c>
      <c r="AB4" s="99" t="s">
        <v>95</v>
      </c>
      <c r="AC4" s="99" t="s">
        <v>96</v>
      </c>
      <c r="AD4" s="106" t="s">
        <v>93</v>
      </c>
      <c r="AE4" s="99" t="s">
        <v>94</v>
      </c>
      <c r="AF4" s="99" t="s">
        <v>95</v>
      </c>
      <c r="AG4" s="99" t="s">
        <v>96</v>
      </c>
      <c r="AH4" s="106" t="s">
        <v>93</v>
      </c>
      <c r="AI4" s="99" t="s">
        <v>94</v>
      </c>
      <c r="AJ4" s="99" t="s">
        <v>95</v>
      </c>
      <c r="AK4" s="99" t="s">
        <v>96</v>
      </c>
      <c r="AL4" s="106" t="s">
        <v>93</v>
      </c>
      <c r="AM4" s="99" t="s">
        <v>94</v>
      </c>
      <c r="AN4" s="99" t="s">
        <v>95</v>
      </c>
      <c r="AO4" s="99" t="s">
        <v>96</v>
      </c>
      <c r="AP4" s="106" t="s">
        <v>93</v>
      </c>
      <c r="AQ4" s="99" t="s">
        <v>94</v>
      </c>
      <c r="AR4" s="99" t="s">
        <v>95</v>
      </c>
      <c r="AS4" s="99" t="s">
        <v>96</v>
      </c>
      <c r="AT4" s="106" t="s">
        <v>93</v>
      </c>
      <c r="AU4" s="99" t="s">
        <v>94</v>
      </c>
      <c r="AV4" s="99" t="s">
        <v>95</v>
      </c>
      <c r="AW4" s="99" t="s">
        <v>96</v>
      </c>
      <c r="AX4" s="106" t="s">
        <v>93</v>
      </c>
      <c r="AY4" s="99" t="s">
        <v>94</v>
      </c>
      <c r="AZ4" s="99" t="s">
        <v>95</v>
      </c>
      <c r="BA4" s="99" t="s">
        <v>96</v>
      </c>
      <c r="BB4" s="106" t="s">
        <v>93</v>
      </c>
      <c r="BC4" s="99" t="s">
        <v>94</v>
      </c>
      <c r="BD4" s="99" t="s">
        <v>95</v>
      </c>
      <c r="BE4" s="99" t="s">
        <v>96</v>
      </c>
      <c r="BF4" s="106" t="s">
        <v>93</v>
      </c>
      <c r="BG4" s="99" t="s">
        <v>94</v>
      </c>
      <c r="BH4" s="99" t="s">
        <v>95</v>
      </c>
      <c r="BI4" s="99" t="s">
        <v>96</v>
      </c>
      <c r="BJ4" s="106" t="s">
        <v>93</v>
      </c>
      <c r="BK4" s="99" t="s">
        <v>94</v>
      </c>
      <c r="BL4" s="99" t="s">
        <v>95</v>
      </c>
      <c r="BM4" s="99" t="s">
        <v>96</v>
      </c>
      <c r="BN4" s="106" t="s">
        <v>93</v>
      </c>
      <c r="BO4" s="99" t="s">
        <v>94</v>
      </c>
      <c r="BP4" s="99" t="s">
        <v>95</v>
      </c>
      <c r="BQ4" s="99" t="s">
        <v>96</v>
      </c>
      <c r="BR4" s="106" t="s">
        <v>93</v>
      </c>
      <c r="BS4" s="99" t="s">
        <v>94</v>
      </c>
      <c r="BT4" s="99" t="s">
        <v>95</v>
      </c>
      <c r="BU4" s="99" t="s">
        <v>96</v>
      </c>
      <c r="BV4" s="106" t="s">
        <v>93</v>
      </c>
      <c r="BW4" s="99" t="s">
        <v>94</v>
      </c>
      <c r="BX4" s="99" t="s">
        <v>95</v>
      </c>
      <c r="BY4" s="99" t="s">
        <v>96</v>
      </c>
      <c r="BZ4" s="106" t="s">
        <v>93</v>
      </c>
      <c r="CA4" s="99" t="s">
        <v>94</v>
      </c>
      <c r="CB4" s="99" t="s">
        <v>95</v>
      </c>
      <c r="CC4" s="116" t="s">
        <v>96</v>
      </c>
      <c r="CD4" s="113"/>
      <c r="CE4" s="114"/>
      <c r="CF4" s="85"/>
      <c r="CG4" s="85"/>
      <c r="CH4" s="85"/>
      <c r="CI4" s="114"/>
      <c r="CJ4" s="115"/>
    </row>
    <row r="5" s="59" customFormat="1" customHeight="1" spans="2:88">
      <c r="B5" s="67" t="s">
        <v>97</v>
      </c>
      <c r="C5" s="68" t="s">
        <v>35</v>
      </c>
      <c r="D5" s="69">
        <f t="shared" ref="D5:I5" si="0">IF(ISERROR(SUM(D6:D300)),"-",SUM(D6:D300))</f>
        <v>2763298.804</v>
      </c>
      <c r="E5" s="69">
        <f t="shared" si="0"/>
        <v>0</v>
      </c>
      <c r="F5" s="69">
        <f t="shared" si="0"/>
        <v>0</v>
      </c>
      <c r="G5" s="69">
        <f t="shared" si="0"/>
        <v>8674.2</v>
      </c>
      <c r="H5" s="69">
        <f t="shared" si="0"/>
        <v>0</v>
      </c>
      <c r="I5" s="69">
        <f t="shared" si="0"/>
        <v>0</v>
      </c>
      <c r="J5" s="82" t="s">
        <v>97</v>
      </c>
      <c r="K5" s="83"/>
      <c r="L5" s="84" t="s">
        <v>35</v>
      </c>
      <c r="M5" s="85"/>
      <c r="N5" s="85">
        <v>0</v>
      </c>
      <c r="O5" s="85">
        <v>0</v>
      </c>
      <c r="P5" s="85">
        <v>0</v>
      </c>
      <c r="Q5" s="85">
        <f>IF(ISERROR(SUM(Q6:Q300)),"-",SUM(Q6:Q300))</f>
        <v>5442835.214</v>
      </c>
      <c r="R5" s="85">
        <f t="shared" ref="R5:AW5" si="1">IF(ISERROR(SUM(R6:R300)),"-",SUM(R6:R300))</f>
        <v>0</v>
      </c>
      <c r="S5" s="85">
        <f t="shared" si="1"/>
        <v>0</v>
      </c>
      <c r="T5" s="85">
        <f t="shared" si="1"/>
        <v>0</v>
      </c>
      <c r="U5" s="100">
        <f t="shared" si="1"/>
        <v>0</v>
      </c>
      <c r="V5" s="128">
        <f t="shared" si="1"/>
        <v>0</v>
      </c>
      <c r="W5" s="85">
        <f t="shared" si="1"/>
        <v>4668888.304</v>
      </c>
      <c r="X5" s="85">
        <f t="shared" si="1"/>
        <v>2771973.004</v>
      </c>
      <c r="Y5" s="85">
        <f t="shared" si="1"/>
        <v>2763298.804</v>
      </c>
      <c r="Z5" s="85">
        <f t="shared" si="1"/>
        <v>0</v>
      </c>
      <c r="AA5" s="85">
        <f t="shared" si="1"/>
        <v>770745.66</v>
      </c>
      <c r="AB5" s="85">
        <f t="shared" si="1"/>
        <v>0</v>
      </c>
      <c r="AC5" s="85">
        <f t="shared" si="1"/>
        <v>0</v>
      </c>
      <c r="AD5" s="85">
        <f t="shared" si="1"/>
        <v>0</v>
      </c>
      <c r="AE5" s="85">
        <f t="shared" si="1"/>
        <v>3201.25</v>
      </c>
      <c r="AF5" s="85">
        <f t="shared" si="1"/>
        <v>0</v>
      </c>
      <c r="AG5" s="85">
        <f t="shared" si="1"/>
        <v>0</v>
      </c>
      <c r="AH5" s="85">
        <f t="shared" si="1"/>
        <v>0</v>
      </c>
      <c r="AI5" s="85">
        <f t="shared" si="1"/>
        <v>0</v>
      </c>
      <c r="AJ5" s="85">
        <f t="shared" si="1"/>
        <v>0</v>
      </c>
      <c r="AK5" s="85">
        <f t="shared" si="1"/>
        <v>0</v>
      </c>
      <c r="AL5" s="85">
        <f t="shared" si="1"/>
        <v>0</v>
      </c>
      <c r="AM5" s="85">
        <f t="shared" si="1"/>
        <v>0</v>
      </c>
      <c r="AN5" s="85">
        <f t="shared" si="1"/>
        <v>0</v>
      </c>
      <c r="AO5" s="85">
        <f t="shared" si="1"/>
        <v>0</v>
      </c>
      <c r="AP5" s="85">
        <f t="shared" si="1"/>
        <v>0</v>
      </c>
      <c r="AQ5" s="85">
        <f t="shared" si="1"/>
        <v>0</v>
      </c>
      <c r="AR5" s="85">
        <f t="shared" si="1"/>
        <v>0</v>
      </c>
      <c r="AS5" s="85">
        <f t="shared" si="1"/>
        <v>0</v>
      </c>
      <c r="AT5" s="85">
        <f t="shared" si="1"/>
        <v>0</v>
      </c>
      <c r="AU5" s="85">
        <f t="shared" si="1"/>
        <v>0</v>
      </c>
      <c r="AV5" s="85">
        <f t="shared" si="1"/>
        <v>0</v>
      </c>
      <c r="AW5" s="85">
        <f t="shared" si="1"/>
        <v>0</v>
      </c>
      <c r="AX5" s="85">
        <f t="shared" ref="AX5:CC5" si="2">IF(ISERROR(SUM(AX6:AX300)),"-",SUM(AX6:AX300))</f>
        <v>0</v>
      </c>
      <c r="AY5" s="85">
        <f t="shared" si="2"/>
        <v>0</v>
      </c>
      <c r="AZ5" s="85">
        <f t="shared" si="2"/>
        <v>0</v>
      </c>
      <c r="BA5" s="85">
        <f t="shared" si="2"/>
        <v>0</v>
      </c>
      <c r="BB5" s="85">
        <f t="shared" si="2"/>
        <v>0</v>
      </c>
      <c r="BC5" s="85">
        <f t="shared" si="2"/>
        <v>0</v>
      </c>
      <c r="BD5" s="85">
        <f t="shared" si="2"/>
        <v>0</v>
      </c>
      <c r="BE5" s="85">
        <f t="shared" si="2"/>
        <v>0</v>
      </c>
      <c r="BF5" s="85">
        <f t="shared" si="2"/>
        <v>0</v>
      </c>
      <c r="BG5" s="85">
        <f t="shared" si="2"/>
        <v>0</v>
      </c>
      <c r="BH5" s="85">
        <f t="shared" si="2"/>
        <v>0</v>
      </c>
      <c r="BI5" s="85">
        <f t="shared" si="2"/>
        <v>0</v>
      </c>
      <c r="BJ5" s="85">
        <f t="shared" si="2"/>
        <v>0</v>
      </c>
      <c r="BK5" s="85">
        <f t="shared" si="2"/>
        <v>0</v>
      </c>
      <c r="BL5" s="85">
        <f t="shared" si="2"/>
        <v>0</v>
      </c>
      <c r="BM5" s="85">
        <f t="shared" si="2"/>
        <v>0</v>
      </c>
      <c r="BN5" s="85">
        <f t="shared" si="2"/>
        <v>0</v>
      </c>
      <c r="BO5" s="85">
        <f t="shared" si="2"/>
        <v>0</v>
      </c>
      <c r="BP5" s="85">
        <f t="shared" si="2"/>
        <v>0</v>
      </c>
      <c r="BQ5" s="85">
        <f t="shared" si="2"/>
        <v>0</v>
      </c>
      <c r="BR5" s="85">
        <f t="shared" si="2"/>
        <v>0</v>
      </c>
      <c r="BS5" s="85">
        <f t="shared" si="2"/>
        <v>0</v>
      </c>
      <c r="BT5" s="85">
        <f t="shared" si="2"/>
        <v>0</v>
      </c>
      <c r="BU5" s="85">
        <f t="shared" si="2"/>
        <v>0</v>
      </c>
      <c r="BV5" s="85">
        <f t="shared" si="2"/>
        <v>0</v>
      </c>
      <c r="BW5" s="85">
        <f t="shared" si="2"/>
        <v>0</v>
      </c>
      <c r="BX5" s="85">
        <f t="shared" si="2"/>
        <v>0</v>
      </c>
      <c r="BY5" s="85">
        <f t="shared" si="2"/>
        <v>0</v>
      </c>
      <c r="BZ5" s="85">
        <f t="shared" si="2"/>
        <v>0</v>
      </c>
      <c r="CA5" s="85">
        <f t="shared" si="2"/>
        <v>0</v>
      </c>
      <c r="CB5" s="85">
        <f t="shared" si="2"/>
        <v>0</v>
      </c>
      <c r="CC5" s="85">
        <f t="shared" si="2"/>
        <v>0</v>
      </c>
      <c r="CD5" s="117">
        <f t="shared" ref="CD5:CF5" si="3">W5+AA5+AE5+AI5+AM5+AQ5+AU5+AY5+BC5+BG5+BK5+BO5+BS5+BW5+CA5</f>
        <v>5442835.214</v>
      </c>
      <c r="CE5" s="118">
        <f t="shared" si="3"/>
        <v>2771973.004</v>
      </c>
      <c r="CF5" s="118">
        <f t="shared" si="3"/>
        <v>2763298.804</v>
      </c>
      <c r="CG5" s="118">
        <f t="shared" ref="CG5:CG20" si="4">E5+F5+G5+H5</f>
        <v>8674.2</v>
      </c>
      <c r="CH5" s="119">
        <f t="shared" ref="CH5:CH20" si="5">Q5-CF5-CG5</f>
        <v>2670862.21</v>
      </c>
      <c r="CI5" s="120">
        <f t="shared" ref="CI5:CI20" si="6">IF(ISERROR((CF5+CG5)/Q5),"-",(CF5+CG5)/Q5)</f>
        <v>0.509288430571986</v>
      </c>
      <c r="CJ5" s="121" t="str">
        <f t="shared" ref="CJ5:CJ20" si="7">IF(Q5-CD5=0,"数据正确","数据错误")</f>
        <v>数据正确</v>
      </c>
    </row>
    <row r="6" s="60" customFormat="1" customHeight="1" spans="2:88">
      <c r="B6" s="70" t="str">
        <f t="shared" ref="B6:B15" si="8">IF(I6=0,"-","申请中")</f>
        <v>-</v>
      </c>
      <c r="C6" s="71" t="str">
        <f t="shared" ref="C6:C15" si="9">IF(CI6=100%,"已付清","-")</f>
        <v>-</v>
      </c>
      <c r="D6" s="72">
        <f t="shared" ref="D6:D15" si="10">CF6</f>
        <v>0</v>
      </c>
      <c r="E6" s="72">
        <v>0</v>
      </c>
      <c r="F6" s="72">
        <v>0</v>
      </c>
      <c r="G6" s="72">
        <v>0</v>
      </c>
      <c r="H6" s="72">
        <v>0</v>
      </c>
      <c r="I6" s="72">
        <f t="shared" ref="I6:I15" si="11">CE6-CF6-CG6</f>
        <v>0</v>
      </c>
      <c r="J6" s="86" t="s">
        <v>98</v>
      </c>
      <c r="K6" s="87"/>
      <c r="L6" s="88">
        <v>95</v>
      </c>
      <c r="M6" s="89" t="s">
        <v>1616</v>
      </c>
      <c r="N6" s="90" t="s">
        <v>33</v>
      </c>
      <c r="O6" s="90" t="s">
        <v>97</v>
      </c>
      <c r="P6" s="91">
        <v>42191</v>
      </c>
      <c r="Q6" s="102">
        <v>64025</v>
      </c>
      <c r="R6" s="89" t="s">
        <v>1801</v>
      </c>
      <c r="S6" s="89" t="s">
        <v>1802</v>
      </c>
      <c r="T6" s="89"/>
      <c r="U6" s="103" t="s">
        <v>329</v>
      </c>
      <c r="V6" s="104" t="s">
        <v>1803</v>
      </c>
      <c r="W6" s="102">
        <v>6402.5</v>
      </c>
      <c r="X6" s="102"/>
      <c r="Y6" s="102"/>
      <c r="Z6" s="107" t="s">
        <v>1804</v>
      </c>
      <c r="AA6" s="102">
        <v>54421.25</v>
      </c>
      <c r="AB6" s="102"/>
      <c r="AC6" s="102"/>
      <c r="AD6" s="107" t="s">
        <v>331</v>
      </c>
      <c r="AE6" s="102">
        <v>3201.25</v>
      </c>
      <c r="AF6" s="102"/>
      <c r="AG6" s="102"/>
      <c r="AH6" s="107"/>
      <c r="AI6" s="102"/>
      <c r="AJ6" s="102"/>
      <c r="AK6" s="102"/>
      <c r="AL6" s="107"/>
      <c r="AM6" s="102"/>
      <c r="AN6" s="102"/>
      <c r="AO6" s="102"/>
      <c r="AP6" s="107"/>
      <c r="AQ6" s="102"/>
      <c r="AR6" s="102"/>
      <c r="AS6" s="102"/>
      <c r="AT6" s="107"/>
      <c r="AU6" s="102"/>
      <c r="AV6" s="102"/>
      <c r="AW6" s="102"/>
      <c r="AX6" s="107"/>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22"/>
      <c r="CD6" s="123">
        <f t="shared" ref="CD6:CF6" si="12">W6+AA6+AE6+AI6+AM6+AQ6+AU6+AY6+BC6+BG6+BK6+BO6+BS6+BW6+CA6</f>
        <v>64025</v>
      </c>
      <c r="CE6" s="102">
        <f t="shared" si="12"/>
        <v>0</v>
      </c>
      <c r="CF6" s="102">
        <f t="shared" si="12"/>
        <v>0</v>
      </c>
      <c r="CG6" s="102">
        <f t="shared" si="4"/>
        <v>0</v>
      </c>
      <c r="CH6" s="124">
        <f t="shared" si="5"/>
        <v>64025</v>
      </c>
      <c r="CI6" s="125">
        <f t="shared" si="6"/>
        <v>0</v>
      </c>
      <c r="CJ6" s="126" t="str">
        <f t="shared" si="7"/>
        <v>数据正确</v>
      </c>
    </row>
    <row r="7" s="60" customFormat="1" customHeight="1" spans="2:88">
      <c r="B7" s="70" t="str">
        <f t="shared" si="8"/>
        <v>-</v>
      </c>
      <c r="C7" s="71" t="str">
        <f t="shared" si="9"/>
        <v>-</v>
      </c>
      <c r="D7" s="72">
        <f t="shared" si="10"/>
        <v>76000</v>
      </c>
      <c r="E7" s="72">
        <v>0</v>
      </c>
      <c r="F7" s="72">
        <v>0</v>
      </c>
      <c r="G7" s="72">
        <v>0</v>
      </c>
      <c r="H7" s="72">
        <v>0</v>
      </c>
      <c r="I7" s="72">
        <f t="shared" si="11"/>
        <v>0</v>
      </c>
      <c r="J7" s="86" t="s">
        <v>98</v>
      </c>
      <c r="K7" s="87"/>
      <c r="L7" s="88">
        <v>78</v>
      </c>
      <c r="M7" s="89" t="s">
        <v>1805</v>
      </c>
      <c r="N7" s="90" t="s">
        <v>33</v>
      </c>
      <c r="O7" s="90" t="s">
        <v>97</v>
      </c>
      <c r="P7" s="91">
        <v>42479</v>
      </c>
      <c r="Q7" s="102">
        <v>80000</v>
      </c>
      <c r="R7" s="89" t="s">
        <v>1806</v>
      </c>
      <c r="S7" s="89" t="s">
        <v>1807</v>
      </c>
      <c r="T7" s="89"/>
      <c r="U7" s="103" t="s">
        <v>329</v>
      </c>
      <c r="V7" s="104" t="s">
        <v>1808</v>
      </c>
      <c r="W7" s="102">
        <v>76000</v>
      </c>
      <c r="X7" s="102">
        <v>76000</v>
      </c>
      <c r="Y7" s="129">
        <v>76000</v>
      </c>
      <c r="Z7" s="107" t="s">
        <v>331</v>
      </c>
      <c r="AA7" s="102">
        <v>4000</v>
      </c>
      <c r="AB7" s="102"/>
      <c r="AC7" s="102"/>
      <c r="AD7" s="107"/>
      <c r="AE7" s="102"/>
      <c r="AF7" s="102"/>
      <c r="AG7" s="102"/>
      <c r="AH7" s="107"/>
      <c r="AI7" s="102"/>
      <c r="AJ7" s="102"/>
      <c r="AK7" s="102"/>
      <c r="AL7" s="107"/>
      <c r="AM7" s="102"/>
      <c r="AN7" s="102"/>
      <c r="AO7" s="102"/>
      <c r="AP7" s="107"/>
      <c r="AQ7" s="102"/>
      <c r="AR7" s="102"/>
      <c r="AS7" s="102"/>
      <c r="AT7" s="107"/>
      <c r="AU7" s="102"/>
      <c r="AV7" s="102"/>
      <c r="AW7" s="102"/>
      <c r="AX7" s="107"/>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22"/>
      <c r="CD7" s="123">
        <f t="shared" ref="CD7:CF7" si="13">W7+AA7+AE7+AI7+AM7+AQ7+AU7+AY7+BC7+BG7+BK7+BO7+BS7+BW7+CA7</f>
        <v>80000</v>
      </c>
      <c r="CE7" s="102">
        <f t="shared" si="13"/>
        <v>76000</v>
      </c>
      <c r="CF7" s="102">
        <f t="shared" si="13"/>
        <v>76000</v>
      </c>
      <c r="CG7" s="102">
        <f t="shared" si="4"/>
        <v>0</v>
      </c>
      <c r="CH7" s="124">
        <f t="shared" si="5"/>
        <v>4000</v>
      </c>
      <c r="CI7" s="125">
        <f t="shared" si="6"/>
        <v>0.95</v>
      </c>
      <c r="CJ7" s="126" t="str">
        <f t="shared" si="7"/>
        <v>数据正确</v>
      </c>
    </row>
    <row r="8" s="60" customFormat="1" customHeight="1" spans="2:88">
      <c r="B8" s="70" t="str">
        <f t="shared" si="8"/>
        <v>-</v>
      </c>
      <c r="C8" s="71" t="str">
        <f t="shared" si="9"/>
        <v>已付清</v>
      </c>
      <c r="D8" s="72">
        <f t="shared" si="10"/>
        <v>57988</v>
      </c>
      <c r="E8" s="72">
        <v>0</v>
      </c>
      <c r="F8" s="72">
        <v>0</v>
      </c>
      <c r="G8" s="72">
        <v>0</v>
      </c>
      <c r="H8" s="72">
        <v>0</v>
      </c>
      <c r="I8" s="72">
        <f t="shared" si="11"/>
        <v>0</v>
      </c>
      <c r="J8" s="86" t="s">
        <v>98</v>
      </c>
      <c r="K8" s="87"/>
      <c r="L8" s="88">
        <v>79</v>
      </c>
      <c r="M8" s="89" t="s">
        <v>1809</v>
      </c>
      <c r="N8" s="90" t="s">
        <v>33</v>
      </c>
      <c r="O8" s="90" t="s">
        <v>97</v>
      </c>
      <c r="P8" s="91">
        <v>42508</v>
      </c>
      <c r="Q8" s="102">
        <f>23000+34988</f>
        <v>57988</v>
      </c>
      <c r="R8" s="89" t="s">
        <v>1810</v>
      </c>
      <c r="S8" s="89" t="s">
        <v>1240</v>
      </c>
      <c r="T8" s="89"/>
      <c r="U8" s="103" t="s">
        <v>343</v>
      </c>
      <c r="V8" s="104" t="s">
        <v>1290</v>
      </c>
      <c r="W8" s="102">
        <v>57988</v>
      </c>
      <c r="X8" s="102">
        <v>57988</v>
      </c>
      <c r="Y8" s="102">
        <v>57988</v>
      </c>
      <c r="Z8" s="107"/>
      <c r="AA8" s="102"/>
      <c r="AB8" s="102"/>
      <c r="AC8" s="102"/>
      <c r="AD8" s="107"/>
      <c r="AE8" s="102"/>
      <c r="AF8" s="102"/>
      <c r="AG8" s="102"/>
      <c r="AH8" s="107"/>
      <c r="AI8" s="102"/>
      <c r="AJ8" s="102"/>
      <c r="AK8" s="102"/>
      <c r="AL8" s="107"/>
      <c r="AM8" s="102"/>
      <c r="AN8" s="102"/>
      <c r="AO8" s="102"/>
      <c r="AP8" s="107"/>
      <c r="AQ8" s="102"/>
      <c r="AR8" s="102"/>
      <c r="AS8" s="102"/>
      <c r="AT8" s="107"/>
      <c r="AU8" s="102"/>
      <c r="AV8" s="102"/>
      <c r="AW8" s="102"/>
      <c r="AX8" s="107"/>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22"/>
      <c r="CD8" s="123">
        <f t="shared" ref="CD8:CF8" si="14">W8+AA8+AE8+AI8+AM8+AQ8+AU8+AY8+BC8+BG8+BK8+BO8+BS8+BW8+CA8</f>
        <v>57988</v>
      </c>
      <c r="CE8" s="102">
        <f t="shared" si="14"/>
        <v>57988</v>
      </c>
      <c r="CF8" s="102">
        <f t="shared" si="14"/>
        <v>57988</v>
      </c>
      <c r="CG8" s="102">
        <f t="shared" si="4"/>
        <v>0</v>
      </c>
      <c r="CH8" s="124">
        <f t="shared" si="5"/>
        <v>0</v>
      </c>
      <c r="CI8" s="125">
        <f t="shared" si="6"/>
        <v>1</v>
      </c>
      <c r="CJ8" s="126" t="str">
        <f t="shared" si="7"/>
        <v>数据正确</v>
      </c>
    </row>
    <row r="9" s="60" customFormat="1" customHeight="1" spans="2:88">
      <c r="B9" s="70" t="str">
        <f t="shared" si="8"/>
        <v>-</v>
      </c>
      <c r="C9" s="71" t="str">
        <f t="shared" si="9"/>
        <v>已付清</v>
      </c>
      <c r="D9" s="72">
        <f t="shared" si="10"/>
        <v>22050</v>
      </c>
      <c r="E9" s="72">
        <v>0</v>
      </c>
      <c r="F9" s="72">
        <v>0</v>
      </c>
      <c r="G9" s="72">
        <v>0</v>
      </c>
      <c r="H9" s="72">
        <v>0</v>
      </c>
      <c r="I9" s="72">
        <f t="shared" si="11"/>
        <v>0</v>
      </c>
      <c r="J9" s="86" t="s">
        <v>98</v>
      </c>
      <c r="K9" s="87"/>
      <c r="L9" s="88">
        <v>81</v>
      </c>
      <c r="M9" s="89" t="s">
        <v>1811</v>
      </c>
      <c r="N9" s="90" t="s">
        <v>33</v>
      </c>
      <c r="O9" s="90" t="s">
        <v>97</v>
      </c>
      <c r="P9" s="91">
        <v>42520</v>
      </c>
      <c r="Q9" s="102">
        <v>22050</v>
      </c>
      <c r="R9" s="89" t="s">
        <v>1812</v>
      </c>
      <c r="S9" s="89" t="s">
        <v>1813</v>
      </c>
      <c r="T9" s="89"/>
      <c r="U9" s="103" t="s">
        <v>343</v>
      </c>
      <c r="V9" s="104" t="s">
        <v>1814</v>
      </c>
      <c r="W9" s="102">
        <v>22050</v>
      </c>
      <c r="X9" s="102">
        <v>22050</v>
      </c>
      <c r="Y9" s="102">
        <v>22050</v>
      </c>
      <c r="Z9" s="107"/>
      <c r="AA9" s="102"/>
      <c r="AB9" s="102"/>
      <c r="AC9" s="102"/>
      <c r="AD9" s="107"/>
      <c r="AE9" s="102"/>
      <c r="AF9" s="102"/>
      <c r="AG9" s="102"/>
      <c r="AH9" s="107"/>
      <c r="AI9" s="102"/>
      <c r="AJ9" s="102"/>
      <c r="AK9" s="102"/>
      <c r="AL9" s="107"/>
      <c r="AM9" s="102"/>
      <c r="AN9" s="102"/>
      <c r="AO9" s="102"/>
      <c r="AP9" s="107"/>
      <c r="AQ9" s="102"/>
      <c r="AR9" s="102"/>
      <c r="AS9" s="102"/>
      <c r="AT9" s="107"/>
      <c r="AU9" s="102"/>
      <c r="AV9" s="102"/>
      <c r="AW9" s="102"/>
      <c r="AX9" s="107"/>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22"/>
      <c r="CD9" s="123">
        <f t="shared" ref="CD9:CF9" si="15">W9+AA9+AE9+AI9+AM9+AQ9+AU9+AY9+BC9+BG9+BK9+BO9+BS9+BW9+CA9</f>
        <v>22050</v>
      </c>
      <c r="CE9" s="102">
        <f t="shared" si="15"/>
        <v>22050</v>
      </c>
      <c r="CF9" s="102">
        <f t="shared" si="15"/>
        <v>22050</v>
      </c>
      <c r="CG9" s="102">
        <f t="shared" si="4"/>
        <v>0</v>
      </c>
      <c r="CH9" s="124">
        <f t="shared" si="5"/>
        <v>0</v>
      </c>
      <c r="CI9" s="125">
        <f t="shared" si="6"/>
        <v>1</v>
      </c>
      <c r="CJ9" s="126" t="str">
        <f t="shared" si="7"/>
        <v>数据正确</v>
      </c>
    </row>
    <row r="10" s="60" customFormat="1" customHeight="1" spans="2:88">
      <c r="B10" s="70" t="str">
        <f t="shared" si="8"/>
        <v>-</v>
      </c>
      <c r="C10" s="71" t="str">
        <f t="shared" si="9"/>
        <v>已付清</v>
      </c>
      <c r="D10" s="72">
        <f t="shared" si="10"/>
        <v>21850</v>
      </c>
      <c r="E10" s="72">
        <v>0</v>
      </c>
      <c r="F10" s="72">
        <v>0</v>
      </c>
      <c r="G10" s="72">
        <v>0</v>
      </c>
      <c r="H10" s="72">
        <v>0</v>
      </c>
      <c r="I10" s="72">
        <f t="shared" si="11"/>
        <v>0</v>
      </c>
      <c r="J10" s="86" t="s">
        <v>98</v>
      </c>
      <c r="K10" s="87"/>
      <c r="L10" s="88">
        <v>80</v>
      </c>
      <c r="M10" s="89" t="s">
        <v>1811</v>
      </c>
      <c r="N10" s="90" t="s">
        <v>33</v>
      </c>
      <c r="O10" s="90" t="s">
        <v>97</v>
      </c>
      <c r="P10" s="91">
        <v>42545</v>
      </c>
      <c r="Q10" s="102">
        <v>21850</v>
      </c>
      <c r="R10" s="89" t="s">
        <v>1815</v>
      </c>
      <c r="S10" s="89" t="s">
        <v>1816</v>
      </c>
      <c r="T10" s="89"/>
      <c r="U10" s="103" t="s">
        <v>343</v>
      </c>
      <c r="V10" s="104" t="s">
        <v>1290</v>
      </c>
      <c r="W10" s="102">
        <v>21850</v>
      </c>
      <c r="X10" s="102">
        <v>21850</v>
      </c>
      <c r="Y10" s="102">
        <v>21850</v>
      </c>
      <c r="Z10" s="107"/>
      <c r="AA10" s="102"/>
      <c r="AB10" s="102"/>
      <c r="AC10" s="102"/>
      <c r="AD10" s="107"/>
      <c r="AE10" s="102"/>
      <c r="AF10" s="102"/>
      <c r="AG10" s="102"/>
      <c r="AH10" s="107"/>
      <c r="AI10" s="102"/>
      <c r="AJ10" s="102"/>
      <c r="AK10" s="102"/>
      <c r="AL10" s="107"/>
      <c r="AM10" s="102"/>
      <c r="AN10" s="102"/>
      <c r="AO10" s="102"/>
      <c r="AP10" s="107"/>
      <c r="AQ10" s="102"/>
      <c r="AR10" s="102"/>
      <c r="AS10" s="102"/>
      <c r="AT10" s="107"/>
      <c r="AU10" s="102"/>
      <c r="AV10" s="102"/>
      <c r="AW10" s="102"/>
      <c r="AX10" s="107"/>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22"/>
      <c r="CD10" s="123">
        <f t="shared" ref="CD10:CF10" si="16">W10+AA10+AE10+AI10+AM10+AQ10+AU10+AY10+BC10+BG10+BK10+BO10+BS10+BW10+CA10</f>
        <v>21850</v>
      </c>
      <c r="CE10" s="102">
        <f t="shared" si="16"/>
        <v>21850</v>
      </c>
      <c r="CF10" s="102">
        <f t="shared" si="16"/>
        <v>21850</v>
      </c>
      <c r="CG10" s="102">
        <f t="shared" si="4"/>
        <v>0</v>
      </c>
      <c r="CH10" s="124">
        <f t="shared" si="5"/>
        <v>0</v>
      </c>
      <c r="CI10" s="125">
        <f t="shared" si="6"/>
        <v>1</v>
      </c>
      <c r="CJ10" s="126" t="str">
        <f t="shared" si="7"/>
        <v>数据正确</v>
      </c>
    </row>
    <row r="11" s="60" customFormat="1" customHeight="1" spans="2:88">
      <c r="B11" s="70" t="str">
        <f t="shared" si="8"/>
        <v>-</v>
      </c>
      <c r="C11" s="71" t="str">
        <f t="shared" si="9"/>
        <v>已付清</v>
      </c>
      <c r="D11" s="72">
        <f t="shared" si="10"/>
        <v>5000</v>
      </c>
      <c r="E11" s="72">
        <v>0</v>
      </c>
      <c r="F11" s="72">
        <v>0</v>
      </c>
      <c r="G11" s="72">
        <v>0</v>
      </c>
      <c r="H11" s="72">
        <v>0</v>
      </c>
      <c r="I11" s="72">
        <f t="shared" si="11"/>
        <v>0</v>
      </c>
      <c r="J11" s="86" t="s">
        <v>98</v>
      </c>
      <c r="K11" s="87"/>
      <c r="L11" s="88">
        <v>83</v>
      </c>
      <c r="M11" s="89" t="s">
        <v>1817</v>
      </c>
      <c r="N11" s="90" t="s">
        <v>33</v>
      </c>
      <c r="O11" s="90" t="s">
        <v>97</v>
      </c>
      <c r="P11" s="91">
        <v>42590</v>
      </c>
      <c r="Q11" s="102">
        <v>5000</v>
      </c>
      <c r="R11" s="89" t="s">
        <v>1818</v>
      </c>
      <c r="S11" s="89" t="s">
        <v>1819</v>
      </c>
      <c r="T11" s="89"/>
      <c r="U11" s="103" t="s">
        <v>343</v>
      </c>
      <c r="V11" s="104" t="s">
        <v>1814</v>
      </c>
      <c r="W11" s="102">
        <v>5000</v>
      </c>
      <c r="X11" s="102">
        <v>5000</v>
      </c>
      <c r="Y11" s="102">
        <v>5000</v>
      </c>
      <c r="Z11" s="107"/>
      <c r="AA11" s="102"/>
      <c r="AB11" s="102"/>
      <c r="AC11" s="102"/>
      <c r="AD11" s="107"/>
      <c r="AE11" s="102"/>
      <c r="AF11" s="102"/>
      <c r="AG11" s="102"/>
      <c r="AH11" s="107"/>
      <c r="AI11" s="102"/>
      <c r="AJ11" s="102"/>
      <c r="AK11" s="102"/>
      <c r="AL11" s="107"/>
      <c r="AM11" s="102"/>
      <c r="AN11" s="102"/>
      <c r="AO11" s="102"/>
      <c r="AP11" s="107"/>
      <c r="AQ11" s="102"/>
      <c r="AR11" s="102"/>
      <c r="AS11" s="102"/>
      <c r="AT11" s="107"/>
      <c r="AU11" s="102"/>
      <c r="AV11" s="102"/>
      <c r="AW11" s="102"/>
      <c r="AX11" s="107"/>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22"/>
      <c r="CD11" s="123">
        <f t="shared" ref="CD11:CF11" si="17">W11+AA11+AE11+AI11+AM11+AQ11+AU11+AY11+BC11+BG11+BK11+BO11+BS11+BW11+CA11</f>
        <v>5000</v>
      </c>
      <c r="CE11" s="102">
        <f t="shared" si="17"/>
        <v>5000</v>
      </c>
      <c r="CF11" s="102">
        <f t="shared" si="17"/>
        <v>5000</v>
      </c>
      <c r="CG11" s="102">
        <f t="shared" si="4"/>
        <v>0</v>
      </c>
      <c r="CH11" s="124">
        <f t="shared" si="5"/>
        <v>0</v>
      </c>
      <c r="CI11" s="125">
        <f t="shared" si="6"/>
        <v>1</v>
      </c>
      <c r="CJ11" s="126" t="str">
        <f t="shared" si="7"/>
        <v>数据正确</v>
      </c>
    </row>
    <row r="12" s="60" customFormat="1" customHeight="1" spans="2:88">
      <c r="B12" s="70" t="str">
        <f t="shared" si="8"/>
        <v>-</v>
      </c>
      <c r="C12" s="71" t="str">
        <f t="shared" si="9"/>
        <v>已付清</v>
      </c>
      <c r="D12" s="72">
        <f t="shared" si="10"/>
        <v>999</v>
      </c>
      <c r="E12" s="72">
        <v>0</v>
      </c>
      <c r="F12" s="72">
        <v>0</v>
      </c>
      <c r="G12" s="72">
        <v>0</v>
      </c>
      <c r="H12" s="72">
        <v>0</v>
      </c>
      <c r="I12" s="72">
        <f t="shared" si="11"/>
        <v>0</v>
      </c>
      <c r="J12" s="86" t="s">
        <v>98</v>
      </c>
      <c r="K12" s="87"/>
      <c r="L12" s="88">
        <v>126</v>
      </c>
      <c r="M12" s="89" t="s">
        <v>1820</v>
      </c>
      <c r="N12" s="90" t="s">
        <v>33</v>
      </c>
      <c r="O12" s="90" t="s">
        <v>97</v>
      </c>
      <c r="P12" s="91">
        <v>42594</v>
      </c>
      <c r="Q12" s="102">
        <v>999</v>
      </c>
      <c r="R12" s="89" t="s">
        <v>1821</v>
      </c>
      <c r="S12" s="89" t="s">
        <v>1822</v>
      </c>
      <c r="T12" s="89"/>
      <c r="U12" s="103" t="s">
        <v>343</v>
      </c>
      <c r="V12" s="104" t="s">
        <v>1823</v>
      </c>
      <c r="W12" s="102">
        <v>999</v>
      </c>
      <c r="X12" s="102">
        <v>999</v>
      </c>
      <c r="Y12" s="102">
        <v>999</v>
      </c>
      <c r="Z12" s="107"/>
      <c r="AA12" s="102"/>
      <c r="AB12" s="102"/>
      <c r="AC12" s="102"/>
      <c r="AD12" s="107"/>
      <c r="AE12" s="102"/>
      <c r="AF12" s="102"/>
      <c r="AG12" s="102"/>
      <c r="AH12" s="107"/>
      <c r="AI12" s="102"/>
      <c r="AJ12" s="102"/>
      <c r="AK12" s="102"/>
      <c r="AL12" s="107"/>
      <c r="AM12" s="102"/>
      <c r="AN12" s="102"/>
      <c r="AO12" s="102"/>
      <c r="AP12" s="107"/>
      <c r="AQ12" s="102"/>
      <c r="AR12" s="102"/>
      <c r="AS12" s="102"/>
      <c r="AT12" s="107"/>
      <c r="AU12" s="102"/>
      <c r="AV12" s="102"/>
      <c r="AW12" s="102"/>
      <c r="AX12" s="107"/>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22"/>
      <c r="CD12" s="123">
        <f t="shared" ref="CD12:CF12" si="18">W12+AA12+AE12+AI12+AM12+AQ12+AU12+AY12+BC12+BG12+BK12+BO12+BS12+BW12+CA12</f>
        <v>999</v>
      </c>
      <c r="CE12" s="102">
        <f t="shared" si="18"/>
        <v>999</v>
      </c>
      <c r="CF12" s="102">
        <f t="shared" si="18"/>
        <v>999</v>
      </c>
      <c r="CG12" s="102">
        <f t="shared" si="4"/>
        <v>0</v>
      </c>
      <c r="CH12" s="124">
        <f t="shared" si="5"/>
        <v>0</v>
      </c>
      <c r="CI12" s="125">
        <f t="shared" si="6"/>
        <v>1</v>
      </c>
      <c r="CJ12" s="126" t="str">
        <f t="shared" si="7"/>
        <v>数据正确</v>
      </c>
    </row>
    <row r="13" s="60" customFormat="1" customHeight="1" spans="2:88">
      <c r="B13" s="70" t="str">
        <f t="shared" si="8"/>
        <v>-</v>
      </c>
      <c r="C13" s="71" t="str">
        <f t="shared" si="9"/>
        <v>-</v>
      </c>
      <c r="D13" s="72">
        <f t="shared" si="10"/>
        <v>32585</v>
      </c>
      <c r="E13" s="72">
        <v>0</v>
      </c>
      <c r="F13" s="72">
        <v>0</v>
      </c>
      <c r="G13" s="72">
        <v>0</v>
      </c>
      <c r="H13" s="72">
        <v>0</v>
      </c>
      <c r="I13" s="72">
        <f t="shared" si="11"/>
        <v>0</v>
      </c>
      <c r="J13" s="86" t="s">
        <v>98</v>
      </c>
      <c r="K13" s="87"/>
      <c r="L13" s="88">
        <v>82</v>
      </c>
      <c r="M13" s="89" t="s">
        <v>1824</v>
      </c>
      <c r="N13" s="90" t="s">
        <v>33</v>
      </c>
      <c r="O13" s="90" t="s">
        <v>97</v>
      </c>
      <c r="P13" s="91">
        <v>42595</v>
      </c>
      <c r="Q13" s="102">
        <v>34300</v>
      </c>
      <c r="R13" s="89" t="s">
        <v>1825</v>
      </c>
      <c r="S13" s="89" t="s">
        <v>1807</v>
      </c>
      <c r="T13" s="89"/>
      <c r="U13" s="103" t="s">
        <v>354</v>
      </c>
      <c r="V13" s="104" t="s">
        <v>1826</v>
      </c>
      <c r="W13" s="102">
        <v>32585</v>
      </c>
      <c r="X13" s="102">
        <v>32585</v>
      </c>
      <c r="Y13" s="102">
        <v>32585</v>
      </c>
      <c r="Z13" s="107" t="s">
        <v>1242</v>
      </c>
      <c r="AA13" s="102">
        <v>1715</v>
      </c>
      <c r="AB13" s="102"/>
      <c r="AC13" s="102"/>
      <c r="AD13" s="107"/>
      <c r="AE13" s="102"/>
      <c r="AF13" s="102"/>
      <c r="AG13" s="102"/>
      <c r="AH13" s="107"/>
      <c r="AI13" s="102"/>
      <c r="AJ13" s="102"/>
      <c r="AK13" s="102"/>
      <c r="AL13" s="107"/>
      <c r="AM13" s="102"/>
      <c r="AN13" s="102"/>
      <c r="AO13" s="102"/>
      <c r="AP13" s="107"/>
      <c r="AQ13" s="102"/>
      <c r="AR13" s="102"/>
      <c r="AS13" s="102"/>
      <c r="AT13" s="107"/>
      <c r="AU13" s="102"/>
      <c r="AV13" s="102"/>
      <c r="AW13" s="102"/>
      <c r="AX13" s="107"/>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22"/>
      <c r="CD13" s="123">
        <f t="shared" ref="CD13:CF13" si="19">W13+AA13+AE13+AI13+AM13+AQ13+AU13+AY13+BC13+BG13+BK13+BO13+BS13+BW13+CA13</f>
        <v>34300</v>
      </c>
      <c r="CE13" s="102">
        <f t="shared" si="19"/>
        <v>32585</v>
      </c>
      <c r="CF13" s="102">
        <f t="shared" si="19"/>
        <v>32585</v>
      </c>
      <c r="CG13" s="102">
        <f t="shared" si="4"/>
        <v>0</v>
      </c>
      <c r="CH13" s="124">
        <f t="shared" si="5"/>
        <v>1715</v>
      </c>
      <c r="CI13" s="125">
        <f t="shared" si="6"/>
        <v>0.95</v>
      </c>
      <c r="CJ13" s="126" t="str">
        <f t="shared" si="7"/>
        <v>数据正确</v>
      </c>
    </row>
    <row r="14" s="60" customFormat="1" customHeight="1" spans="2:88">
      <c r="B14" s="70" t="str">
        <f t="shared" si="8"/>
        <v>-</v>
      </c>
      <c r="C14" s="71" t="str">
        <f t="shared" si="9"/>
        <v>-</v>
      </c>
      <c r="D14" s="72">
        <f t="shared" si="10"/>
        <v>155135</v>
      </c>
      <c r="E14" s="72">
        <v>0</v>
      </c>
      <c r="F14" s="72">
        <v>0</v>
      </c>
      <c r="G14" s="72">
        <v>0</v>
      </c>
      <c r="H14" s="72">
        <v>0</v>
      </c>
      <c r="I14" s="72">
        <f t="shared" si="11"/>
        <v>0</v>
      </c>
      <c r="J14" s="86" t="s">
        <v>98</v>
      </c>
      <c r="K14" s="87"/>
      <c r="L14" s="88">
        <v>47</v>
      </c>
      <c r="M14" s="89" t="s">
        <v>1827</v>
      </c>
      <c r="N14" s="90" t="s">
        <v>33</v>
      </c>
      <c r="O14" s="90" t="s">
        <v>97</v>
      </c>
      <c r="P14" s="91">
        <v>42758</v>
      </c>
      <c r="Q14" s="102">
        <v>163300</v>
      </c>
      <c r="R14" s="89" t="s">
        <v>1828</v>
      </c>
      <c r="S14" s="89" t="s">
        <v>1807</v>
      </c>
      <c r="T14" s="89"/>
      <c r="U14" s="103" t="s">
        <v>354</v>
      </c>
      <c r="V14" s="105" t="s">
        <v>1829</v>
      </c>
      <c r="W14" s="102">
        <v>155135</v>
      </c>
      <c r="X14" s="102">
        <v>155135</v>
      </c>
      <c r="Y14" s="102">
        <v>155135</v>
      </c>
      <c r="Z14" s="107" t="s">
        <v>1830</v>
      </c>
      <c r="AA14" s="102">
        <v>8165</v>
      </c>
      <c r="AB14" s="102"/>
      <c r="AC14" s="102"/>
      <c r="AD14" s="107"/>
      <c r="AE14" s="102"/>
      <c r="AF14" s="102"/>
      <c r="AG14" s="102"/>
      <c r="AH14" s="107"/>
      <c r="AI14" s="102"/>
      <c r="AJ14" s="102"/>
      <c r="AK14" s="102"/>
      <c r="AL14" s="107"/>
      <c r="AM14" s="102"/>
      <c r="AN14" s="102"/>
      <c r="AO14" s="102"/>
      <c r="AP14" s="107"/>
      <c r="AQ14" s="102"/>
      <c r="AR14" s="102"/>
      <c r="AS14" s="102"/>
      <c r="AT14" s="107"/>
      <c r="AU14" s="102"/>
      <c r="AV14" s="102"/>
      <c r="AW14" s="102"/>
      <c r="AX14" s="107"/>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22"/>
      <c r="CD14" s="123">
        <f t="shared" ref="CD14:CF14" si="20">W14+AA14+AE14+AI14+AM14+AQ14+AU14+AY14+BC14+BG14+BK14+BO14+BS14+BW14+CA14</f>
        <v>163300</v>
      </c>
      <c r="CE14" s="102">
        <f t="shared" si="20"/>
        <v>155135</v>
      </c>
      <c r="CF14" s="102">
        <f t="shared" si="20"/>
        <v>155135</v>
      </c>
      <c r="CG14" s="102">
        <f t="shared" si="4"/>
        <v>0</v>
      </c>
      <c r="CH14" s="124">
        <f t="shared" si="5"/>
        <v>8165</v>
      </c>
      <c r="CI14" s="125">
        <f t="shared" si="6"/>
        <v>0.95</v>
      </c>
      <c r="CJ14" s="126" t="str">
        <f t="shared" si="7"/>
        <v>数据正确</v>
      </c>
    </row>
    <row r="15" s="60" customFormat="1" customHeight="1" spans="2:88">
      <c r="B15" s="70" t="str">
        <f t="shared" ref="B15:B48" si="21">IF(I15=0,"-","申请中")</f>
        <v>-</v>
      </c>
      <c r="C15" s="71" t="str">
        <f t="shared" ref="C15:C48" si="22">IF(CI15=100%,"已付清","-")</f>
        <v>-</v>
      </c>
      <c r="D15" s="72">
        <f t="shared" ref="D15:D48" si="23">CF15</f>
        <v>35245</v>
      </c>
      <c r="E15" s="72">
        <v>0</v>
      </c>
      <c r="F15" s="72">
        <v>0</v>
      </c>
      <c r="G15" s="72">
        <v>0</v>
      </c>
      <c r="H15" s="72">
        <v>0</v>
      </c>
      <c r="I15" s="72">
        <f t="shared" ref="I15:I48" si="24">CE15-CF15-CG15</f>
        <v>0</v>
      </c>
      <c r="J15" s="86" t="s">
        <v>98</v>
      </c>
      <c r="L15" s="88">
        <v>49</v>
      </c>
      <c r="M15" s="89" t="s">
        <v>1831</v>
      </c>
      <c r="N15" s="90" t="s">
        <v>33</v>
      </c>
      <c r="O15" s="90">
        <v>2017020055</v>
      </c>
      <c r="P15" s="91">
        <v>42815</v>
      </c>
      <c r="Q15" s="102">
        <v>37100</v>
      </c>
      <c r="R15" s="89" t="s">
        <v>1832</v>
      </c>
      <c r="S15" s="89" t="s">
        <v>1833</v>
      </c>
      <c r="T15" s="89"/>
      <c r="U15" s="103" t="s">
        <v>343</v>
      </c>
      <c r="V15" s="105" t="s">
        <v>1829</v>
      </c>
      <c r="W15" s="102">
        <v>35245</v>
      </c>
      <c r="X15" s="102">
        <v>35245</v>
      </c>
      <c r="Y15" s="102">
        <v>35245</v>
      </c>
      <c r="Z15" s="107" t="s">
        <v>1830</v>
      </c>
      <c r="AA15" s="102">
        <v>1855</v>
      </c>
      <c r="AB15" s="102"/>
      <c r="AC15" s="102"/>
      <c r="AD15" s="107"/>
      <c r="AE15" s="102"/>
      <c r="AF15" s="102"/>
      <c r="AG15" s="102"/>
      <c r="AH15" s="107"/>
      <c r="AI15" s="102"/>
      <c r="AJ15" s="102"/>
      <c r="AK15" s="102"/>
      <c r="AL15" s="107"/>
      <c r="AM15" s="102"/>
      <c r="AN15" s="102"/>
      <c r="AO15" s="102"/>
      <c r="AP15" s="107"/>
      <c r="AQ15" s="102"/>
      <c r="AR15" s="102"/>
      <c r="AS15" s="102"/>
      <c r="AT15" s="107"/>
      <c r="AU15" s="102"/>
      <c r="AV15" s="102"/>
      <c r="AW15" s="102"/>
      <c r="AX15" s="107"/>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22"/>
      <c r="CD15" s="123">
        <f t="shared" ref="CD15:CF15" si="25">W15+AA15+AE15+AI15+AM15+AQ15+AU15+AY15+BC15+BG15+BK15+BO15+BS15+BW15+CA15</f>
        <v>37100</v>
      </c>
      <c r="CE15" s="102">
        <f t="shared" si="25"/>
        <v>35245</v>
      </c>
      <c r="CF15" s="102">
        <f t="shared" si="25"/>
        <v>35245</v>
      </c>
      <c r="CG15" s="102">
        <f t="shared" si="4"/>
        <v>0</v>
      </c>
      <c r="CH15" s="124">
        <f t="shared" si="5"/>
        <v>1855</v>
      </c>
      <c r="CI15" s="125">
        <f t="shared" si="6"/>
        <v>0.95</v>
      </c>
      <c r="CJ15" s="126" t="str">
        <f t="shared" si="7"/>
        <v>数据正确</v>
      </c>
    </row>
    <row r="16" s="60" customFormat="1" customHeight="1" spans="2:88">
      <c r="B16" s="70" t="str">
        <f t="shared" si="21"/>
        <v>-</v>
      </c>
      <c r="C16" s="71" t="str">
        <f t="shared" si="22"/>
        <v>已付清</v>
      </c>
      <c r="D16" s="72">
        <f t="shared" si="23"/>
        <v>23520</v>
      </c>
      <c r="E16" s="72">
        <v>0</v>
      </c>
      <c r="F16" s="72">
        <v>0</v>
      </c>
      <c r="G16" s="72">
        <v>0</v>
      </c>
      <c r="H16" s="72">
        <v>0</v>
      </c>
      <c r="I16" s="72">
        <f t="shared" si="24"/>
        <v>0</v>
      </c>
      <c r="J16" s="86" t="s">
        <v>98</v>
      </c>
      <c r="L16" s="88">
        <v>50</v>
      </c>
      <c r="M16" s="89" t="s">
        <v>1834</v>
      </c>
      <c r="N16" s="90" t="s">
        <v>33</v>
      </c>
      <c r="O16" s="90">
        <v>2017030009</v>
      </c>
      <c r="P16" s="91">
        <v>42830</v>
      </c>
      <c r="Q16" s="102">
        <v>23520</v>
      </c>
      <c r="R16" s="89" t="s">
        <v>1835</v>
      </c>
      <c r="S16" s="89" t="s">
        <v>1240</v>
      </c>
      <c r="T16" s="89"/>
      <c r="U16" s="103" t="s">
        <v>329</v>
      </c>
      <c r="V16" s="105" t="s">
        <v>1836</v>
      </c>
      <c r="W16" s="102">
        <v>23520</v>
      </c>
      <c r="X16" s="102">
        <v>23520</v>
      </c>
      <c r="Y16" s="102">
        <v>23520</v>
      </c>
      <c r="Z16" s="107"/>
      <c r="AA16" s="102"/>
      <c r="AB16" s="102"/>
      <c r="AC16" s="102"/>
      <c r="AD16" s="107"/>
      <c r="AE16" s="102"/>
      <c r="AF16" s="102"/>
      <c r="AG16" s="102"/>
      <c r="AH16" s="107"/>
      <c r="AI16" s="102"/>
      <c r="AJ16" s="102"/>
      <c r="AK16" s="102"/>
      <c r="AL16" s="107"/>
      <c r="AM16" s="102"/>
      <c r="AN16" s="102"/>
      <c r="AO16" s="102"/>
      <c r="AP16" s="107"/>
      <c r="AQ16" s="102"/>
      <c r="AR16" s="102"/>
      <c r="AS16" s="102"/>
      <c r="AT16" s="107"/>
      <c r="AU16" s="102"/>
      <c r="AV16" s="102"/>
      <c r="AW16" s="102"/>
      <c r="AX16" s="107"/>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22"/>
      <c r="CD16" s="123">
        <f t="shared" ref="CD16:CF16" si="26">W16+AA16+AE16+AI16+AM16+AQ16+AU16+AY16+BC16+BG16+BK16+BO16+BS16+BW16+CA16</f>
        <v>23520</v>
      </c>
      <c r="CE16" s="102">
        <f t="shared" si="26"/>
        <v>23520</v>
      </c>
      <c r="CF16" s="102">
        <f t="shared" si="26"/>
        <v>23520</v>
      </c>
      <c r="CG16" s="102">
        <f t="shared" si="4"/>
        <v>0</v>
      </c>
      <c r="CH16" s="124">
        <f t="shared" si="5"/>
        <v>0</v>
      </c>
      <c r="CI16" s="125">
        <f t="shared" si="6"/>
        <v>1</v>
      </c>
      <c r="CJ16" s="126" t="str">
        <f t="shared" si="7"/>
        <v>数据正确</v>
      </c>
    </row>
    <row r="17" s="60" customFormat="1" customHeight="1" spans="2:88">
      <c r="B17" s="70" t="str">
        <f t="shared" si="21"/>
        <v>-</v>
      </c>
      <c r="C17" s="71" t="str">
        <f t="shared" si="22"/>
        <v>已付清</v>
      </c>
      <c r="D17" s="72">
        <f t="shared" si="23"/>
        <v>77690</v>
      </c>
      <c r="E17" s="72">
        <v>0</v>
      </c>
      <c r="F17" s="72">
        <v>0</v>
      </c>
      <c r="G17" s="72">
        <v>0</v>
      </c>
      <c r="H17" s="72">
        <v>0</v>
      </c>
      <c r="I17" s="72">
        <f t="shared" si="24"/>
        <v>0</v>
      </c>
      <c r="J17" s="86" t="s">
        <v>98</v>
      </c>
      <c r="L17" s="88">
        <v>51</v>
      </c>
      <c r="M17" s="89" t="s">
        <v>1837</v>
      </c>
      <c r="N17" s="90" t="s">
        <v>33</v>
      </c>
      <c r="O17" s="90">
        <v>2017040026</v>
      </c>
      <c r="P17" s="91">
        <v>42839</v>
      </c>
      <c r="Q17" s="102">
        <f>45990+11800+16940+2960</f>
        <v>77690</v>
      </c>
      <c r="R17" s="89" t="s">
        <v>1838</v>
      </c>
      <c r="S17" s="89" t="s">
        <v>1240</v>
      </c>
      <c r="T17" s="89"/>
      <c r="U17" s="103" t="s">
        <v>329</v>
      </c>
      <c r="V17" s="105" t="s">
        <v>1836</v>
      </c>
      <c r="W17" s="102">
        <v>77690</v>
      </c>
      <c r="X17" s="102">
        <v>77690</v>
      </c>
      <c r="Y17" s="102">
        <v>77690</v>
      </c>
      <c r="Z17" s="107"/>
      <c r="AA17" s="102"/>
      <c r="AB17" s="102"/>
      <c r="AC17" s="102"/>
      <c r="AD17" s="107"/>
      <c r="AE17" s="102"/>
      <c r="AF17" s="102"/>
      <c r="AG17" s="102"/>
      <c r="AH17" s="107"/>
      <c r="AI17" s="102"/>
      <c r="AJ17" s="102"/>
      <c r="AK17" s="102"/>
      <c r="AL17" s="107"/>
      <c r="AM17" s="102"/>
      <c r="AN17" s="102"/>
      <c r="AO17" s="102"/>
      <c r="AP17" s="107"/>
      <c r="AQ17" s="102"/>
      <c r="AR17" s="102"/>
      <c r="AS17" s="102"/>
      <c r="AT17" s="107"/>
      <c r="AU17" s="102"/>
      <c r="AV17" s="102"/>
      <c r="AW17" s="102"/>
      <c r="AX17" s="107"/>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22"/>
      <c r="CD17" s="123">
        <f t="shared" ref="CD17:CF17" si="27">W17+AA17+AE17+AI17+AM17+AQ17+AU17+AY17+BC17+BG17+BK17+BO17+BS17+BW17+CA17</f>
        <v>77690</v>
      </c>
      <c r="CE17" s="102">
        <f t="shared" si="27"/>
        <v>77690</v>
      </c>
      <c r="CF17" s="102">
        <f t="shared" si="27"/>
        <v>77690</v>
      </c>
      <c r="CG17" s="102">
        <f t="shared" si="4"/>
        <v>0</v>
      </c>
      <c r="CH17" s="124">
        <f t="shared" si="5"/>
        <v>0</v>
      </c>
      <c r="CI17" s="125">
        <f t="shared" si="6"/>
        <v>1</v>
      </c>
      <c r="CJ17" s="126" t="str">
        <f t="shared" si="7"/>
        <v>数据正确</v>
      </c>
    </row>
    <row r="18" s="60" customFormat="1" customHeight="1" spans="2:88">
      <c r="B18" s="70" t="str">
        <f t="shared" si="21"/>
        <v>-</v>
      </c>
      <c r="C18" s="71" t="str">
        <f t="shared" si="22"/>
        <v>已付清</v>
      </c>
      <c r="D18" s="72">
        <f t="shared" si="23"/>
        <v>87600</v>
      </c>
      <c r="E18" s="72">
        <v>0</v>
      </c>
      <c r="F18" s="72">
        <v>0</v>
      </c>
      <c r="G18" s="72">
        <v>0</v>
      </c>
      <c r="H18" s="72">
        <v>0</v>
      </c>
      <c r="I18" s="72">
        <f t="shared" si="24"/>
        <v>0</v>
      </c>
      <c r="J18" s="86" t="s">
        <v>98</v>
      </c>
      <c r="L18" s="88">
        <v>52</v>
      </c>
      <c r="M18" s="89" t="s">
        <v>1839</v>
      </c>
      <c r="N18" s="90" t="s">
        <v>33</v>
      </c>
      <c r="O18" s="90" t="s">
        <v>97</v>
      </c>
      <c r="P18" s="91">
        <v>42845</v>
      </c>
      <c r="Q18" s="102">
        <v>87600</v>
      </c>
      <c r="R18" s="89" t="s">
        <v>1840</v>
      </c>
      <c r="S18" s="89" t="s">
        <v>1841</v>
      </c>
      <c r="T18" s="89"/>
      <c r="U18" s="103" t="s">
        <v>329</v>
      </c>
      <c r="V18" s="105" t="s">
        <v>1842</v>
      </c>
      <c r="W18" s="102">
        <v>87600</v>
      </c>
      <c r="X18" s="102">
        <v>87600</v>
      </c>
      <c r="Y18" s="102">
        <v>87600</v>
      </c>
      <c r="Z18" s="107"/>
      <c r="AA18" s="102"/>
      <c r="AB18" s="102"/>
      <c r="AC18" s="102"/>
      <c r="AD18" s="107"/>
      <c r="AE18" s="102"/>
      <c r="AF18" s="102"/>
      <c r="AG18" s="102"/>
      <c r="AH18" s="107"/>
      <c r="AI18" s="102"/>
      <c r="AJ18" s="102"/>
      <c r="AK18" s="102"/>
      <c r="AL18" s="107"/>
      <c r="AM18" s="102"/>
      <c r="AN18" s="102"/>
      <c r="AO18" s="102"/>
      <c r="AP18" s="107"/>
      <c r="AQ18" s="102"/>
      <c r="AR18" s="102"/>
      <c r="AS18" s="102"/>
      <c r="AT18" s="107"/>
      <c r="AU18" s="102"/>
      <c r="AV18" s="102"/>
      <c r="AW18" s="102"/>
      <c r="AX18" s="107"/>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22"/>
      <c r="CD18" s="123">
        <f t="shared" ref="CD18:CF18" si="28">W18+AA18+AE18+AI18+AM18+AQ18+AU18+AY18+BC18+BG18+BK18+BO18+BS18+BW18+CA18</f>
        <v>87600</v>
      </c>
      <c r="CE18" s="102">
        <f t="shared" si="28"/>
        <v>87600</v>
      </c>
      <c r="CF18" s="102">
        <f t="shared" si="28"/>
        <v>87600</v>
      </c>
      <c r="CG18" s="102">
        <f t="shared" si="4"/>
        <v>0</v>
      </c>
      <c r="CH18" s="124">
        <f t="shared" si="5"/>
        <v>0</v>
      </c>
      <c r="CI18" s="125">
        <f t="shared" si="6"/>
        <v>1</v>
      </c>
      <c r="CJ18" s="126" t="str">
        <f t="shared" si="7"/>
        <v>数据正确</v>
      </c>
    </row>
    <row r="19" s="60" customFormat="1" customHeight="1" spans="2:88">
      <c r="B19" s="70" t="str">
        <f t="shared" si="21"/>
        <v>-</v>
      </c>
      <c r="C19" s="71" t="str">
        <f t="shared" si="22"/>
        <v>-</v>
      </c>
      <c r="D19" s="72">
        <f t="shared" si="23"/>
        <v>0</v>
      </c>
      <c r="E19" s="72">
        <v>0</v>
      </c>
      <c r="F19" s="72">
        <v>0</v>
      </c>
      <c r="G19" s="72">
        <v>0</v>
      </c>
      <c r="H19" s="72">
        <v>0</v>
      </c>
      <c r="I19" s="72">
        <f t="shared" si="24"/>
        <v>0</v>
      </c>
      <c r="J19" s="86" t="s">
        <v>98</v>
      </c>
      <c r="L19" s="88">
        <v>53</v>
      </c>
      <c r="M19" s="89" t="s">
        <v>1843</v>
      </c>
      <c r="N19" s="90" t="s">
        <v>33</v>
      </c>
      <c r="O19" s="90">
        <v>2017050003</v>
      </c>
      <c r="P19" s="91">
        <v>42872</v>
      </c>
      <c r="Q19" s="102">
        <v>91200</v>
      </c>
      <c r="R19" s="89" t="s">
        <v>1844</v>
      </c>
      <c r="S19" s="89" t="s">
        <v>1845</v>
      </c>
      <c r="T19" s="89"/>
      <c r="U19" s="103" t="s">
        <v>343</v>
      </c>
      <c r="V19" s="105" t="s">
        <v>1846</v>
      </c>
      <c r="W19" s="102">
        <v>91200</v>
      </c>
      <c r="X19" s="102"/>
      <c r="Y19" s="102"/>
      <c r="Z19" s="107"/>
      <c r="AA19" s="102"/>
      <c r="AB19" s="102"/>
      <c r="AC19" s="102"/>
      <c r="AD19" s="107"/>
      <c r="AE19" s="102"/>
      <c r="AF19" s="102"/>
      <c r="AG19" s="102"/>
      <c r="AH19" s="107"/>
      <c r="AI19" s="102"/>
      <c r="AJ19" s="102"/>
      <c r="AK19" s="102"/>
      <c r="AL19" s="107"/>
      <c r="AM19" s="102"/>
      <c r="AN19" s="102"/>
      <c r="AO19" s="102"/>
      <c r="AP19" s="107"/>
      <c r="AQ19" s="102"/>
      <c r="AR19" s="102"/>
      <c r="AS19" s="102"/>
      <c r="AT19" s="107"/>
      <c r="AU19" s="102"/>
      <c r="AV19" s="102"/>
      <c r="AW19" s="102"/>
      <c r="AX19" s="107"/>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22"/>
      <c r="CD19" s="123">
        <f t="shared" ref="CD19:CF19" si="29">W19+AA19+AE19+AI19+AM19+AQ19+AU19+AY19+BC19+BG19+BK19+BO19+BS19+BW19+CA19</f>
        <v>91200</v>
      </c>
      <c r="CE19" s="102">
        <f t="shared" si="29"/>
        <v>0</v>
      </c>
      <c r="CF19" s="102">
        <f t="shared" si="29"/>
        <v>0</v>
      </c>
      <c r="CG19" s="102">
        <f t="shared" si="4"/>
        <v>0</v>
      </c>
      <c r="CH19" s="124">
        <f t="shared" si="5"/>
        <v>91200</v>
      </c>
      <c r="CI19" s="125">
        <f t="shared" si="6"/>
        <v>0</v>
      </c>
      <c r="CJ19" s="126" t="str">
        <f t="shared" si="7"/>
        <v>数据正确</v>
      </c>
    </row>
    <row r="20" s="60" customFormat="1" customHeight="1" spans="2:88">
      <c r="B20" s="70" t="str">
        <f t="shared" si="21"/>
        <v>-</v>
      </c>
      <c r="C20" s="71" t="str">
        <f t="shared" si="22"/>
        <v>-</v>
      </c>
      <c r="D20" s="72">
        <f t="shared" si="23"/>
        <v>0</v>
      </c>
      <c r="E20" s="72">
        <v>0</v>
      </c>
      <c r="F20" s="72">
        <v>0</v>
      </c>
      <c r="G20" s="72">
        <v>0</v>
      </c>
      <c r="H20" s="72">
        <v>0</v>
      </c>
      <c r="I20" s="72">
        <f t="shared" si="24"/>
        <v>0</v>
      </c>
      <c r="J20" s="86" t="s">
        <v>98</v>
      </c>
      <c r="L20" s="88">
        <v>54</v>
      </c>
      <c r="M20" s="89" t="s">
        <v>1847</v>
      </c>
      <c r="N20" s="90" t="s">
        <v>33</v>
      </c>
      <c r="O20" s="90">
        <v>2017050026</v>
      </c>
      <c r="P20" s="91">
        <v>42872</v>
      </c>
      <c r="Q20" s="102">
        <v>20510</v>
      </c>
      <c r="R20" s="89" t="s">
        <v>1848</v>
      </c>
      <c r="S20" s="89" t="s">
        <v>1240</v>
      </c>
      <c r="T20" s="89"/>
      <c r="U20" s="103" t="s">
        <v>329</v>
      </c>
      <c r="V20" s="105" t="s">
        <v>1849</v>
      </c>
      <c r="W20" s="102">
        <v>20510</v>
      </c>
      <c r="X20" s="102"/>
      <c r="Y20" s="102"/>
      <c r="Z20" s="107"/>
      <c r="AA20" s="102"/>
      <c r="AB20" s="102"/>
      <c r="AC20" s="102"/>
      <c r="AD20" s="107"/>
      <c r="AE20" s="102"/>
      <c r="AF20" s="102"/>
      <c r="AG20" s="102"/>
      <c r="AH20" s="107"/>
      <c r="AI20" s="102"/>
      <c r="AJ20" s="102"/>
      <c r="AK20" s="102"/>
      <c r="AL20" s="107"/>
      <c r="AM20" s="102"/>
      <c r="AN20" s="102"/>
      <c r="AO20" s="102"/>
      <c r="AP20" s="107"/>
      <c r="AQ20" s="102"/>
      <c r="AR20" s="102"/>
      <c r="AS20" s="102"/>
      <c r="AT20" s="107"/>
      <c r="AU20" s="102"/>
      <c r="AV20" s="102"/>
      <c r="AW20" s="102"/>
      <c r="AX20" s="107"/>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22"/>
      <c r="CD20" s="123">
        <f t="shared" ref="CD20:CF20" si="30">W20+AA20+AE20+AI20+AM20+AQ20+AU20+AY20+BC20+BG20+BK20+BO20+BS20+BW20+CA20</f>
        <v>20510</v>
      </c>
      <c r="CE20" s="102">
        <f t="shared" si="30"/>
        <v>0</v>
      </c>
      <c r="CF20" s="102">
        <f t="shared" si="30"/>
        <v>0</v>
      </c>
      <c r="CG20" s="102">
        <f t="shared" si="4"/>
        <v>0</v>
      </c>
      <c r="CH20" s="124">
        <f t="shared" si="5"/>
        <v>20510</v>
      </c>
      <c r="CI20" s="125">
        <f t="shared" si="6"/>
        <v>0</v>
      </c>
      <c r="CJ20" s="126" t="str">
        <f t="shared" si="7"/>
        <v>数据正确</v>
      </c>
    </row>
    <row r="21" s="60" customFormat="1" customHeight="1" spans="2:88">
      <c r="B21" s="70" t="str">
        <f t="shared" si="21"/>
        <v>-</v>
      </c>
      <c r="C21" s="71" t="str">
        <f t="shared" si="22"/>
        <v>已付清</v>
      </c>
      <c r="D21" s="72">
        <f t="shared" si="23"/>
        <v>0.001</v>
      </c>
      <c r="E21" s="72">
        <v>0</v>
      </c>
      <c r="F21" s="72">
        <v>0</v>
      </c>
      <c r="G21" s="72">
        <v>0</v>
      </c>
      <c r="H21" s="72">
        <v>0</v>
      </c>
      <c r="I21" s="72">
        <f t="shared" si="24"/>
        <v>0</v>
      </c>
      <c r="J21" s="86" t="s">
        <v>98</v>
      </c>
      <c r="L21" s="88">
        <v>56</v>
      </c>
      <c r="M21" s="89" t="s">
        <v>1850</v>
      </c>
      <c r="N21" s="90" t="s">
        <v>33</v>
      </c>
      <c r="O21" s="90" t="s">
        <v>97</v>
      </c>
      <c r="P21" s="91">
        <v>42887</v>
      </c>
      <c r="Q21" s="102">
        <v>0.001</v>
      </c>
      <c r="R21" s="89" t="s">
        <v>1851</v>
      </c>
      <c r="S21" s="89" t="s">
        <v>1852</v>
      </c>
      <c r="T21" s="89" t="s">
        <v>1604</v>
      </c>
      <c r="U21" s="103" t="s">
        <v>343</v>
      </c>
      <c r="V21" s="105" t="s">
        <v>1853</v>
      </c>
      <c r="W21" s="102">
        <v>0.001</v>
      </c>
      <c r="X21" s="102">
        <v>0.001</v>
      </c>
      <c r="Y21" s="102">
        <v>0.001</v>
      </c>
      <c r="Z21" s="107"/>
      <c r="AA21" s="102"/>
      <c r="AB21" s="102"/>
      <c r="AC21" s="102"/>
      <c r="AD21" s="107"/>
      <c r="AE21" s="102"/>
      <c r="AF21" s="102"/>
      <c r="AG21" s="102"/>
      <c r="AH21" s="107"/>
      <c r="AI21" s="102"/>
      <c r="AJ21" s="102"/>
      <c r="AK21" s="102"/>
      <c r="AL21" s="107"/>
      <c r="AM21" s="102"/>
      <c r="AN21" s="102"/>
      <c r="AO21" s="102"/>
      <c r="AP21" s="107"/>
      <c r="AQ21" s="102"/>
      <c r="AR21" s="102"/>
      <c r="AS21" s="102"/>
      <c r="AT21" s="107"/>
      <c r="AU21" s="102"/>
      <c r="AV21" s="102"/>
      <c r="AW21" s="102"/>
      <c r="AX21" s="107"/>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22"/>
      <c r="CD21" s="123">
        <f t="shared" ref="CD21:CD56" si="31">W21+AA21+AE21+AI21+AM21+AQ21+AU21+AY21+BC21+BG21+BK21+BO21+BS21+BW21+CA21</f>
        <v>0.001</v>
      </c>
      <c r="CE21" s="102">
        <f t="shared" ref="CE21:CE56" si="32">X21+AB21+AF21+AJ21+AN21+AR21+AV21+AZ21+BD21+BH21+BL21+BP21+BT21+BX21+CB21</f>
        <v>0.001</v>
      </c>
      <c r="CF21" s="102">
        <f t="shared" ref="CF21:CF56" si="33">Y21+AC21+AG21+AK21+AO21+AS21+AW21+BA21+BE21+BI21+BM21+BQ21+BU21+BY21+CC21</f>
        <v>0.001</v>
      </c>
      <c r="CG21" s="102">
        <f t="shared" ref="CG21:CG56" si="34">E21+F21+G21+H21</f>
        <v>0</v>
      </c>
      <c r="CH21" s="124">
        <f t="shared" ref="CH21:CH56" si="35">Q21-CF21-CG21</f>
        <v>0</v>
      </c>
      <c r="CI21" s="125">
        <f t="shared" ref="CI21:CI56" si="36">IF(ISERROR((CF21+CG21)/Q21),"-",(CF21+CG21)/Q21)</f>
        <v>1</v>
      </c>
      <c r="CJ21" s="126" t="str">
        <f t="shared" ref="CJ21:CJ56" si="37">IF(Q21-CD21=0,"数据正确","数据错误")</f>
        <v>数据正确</v>
      </c>
    </row>
    <row r="22" s="60" customFormat="1" customHeight="1" spans="2:88">
      <c r="B22" s="70" t="str">
        <f t="shared" si="21"/>
        <v>-</v>
      </c>
      <c r="C22" s="71" t="str">
        <f t="shared" si="22"/>
        <v>已付清</v>
      </c>
      <c r="D22" s="72">
        <f t="shared" si="23"/>
        <v>0.001</v>
      </c>
      <c r="E22" s="72">
        <v>0</v>
      </c>
      <c r="F22" s="72">
        <v>0</v>
      </c>
      <c r="G22" s="72">
        <v>0</v>
      </c>
      <c r="H22" s="72">
        <v>0</v>
      </c>
      <c r="I22" s="72">
        <f t="shared" si="24"/>
        <v>0</v>
      </c>
      <c r="J22" s="86" t="s">
        <v>98</v>
      </c>
      <c r="L22" s="88">
        <v>58</v>
      </c>
      <c r="M22" s="89" t="s">
        <v>1854</v>
      </c>
      <c r="N22" s="90" t="s">
        <v>33</v>
      </c>
      <c r="O22" s="90" t="s">
        <v>97</v>
      </c>
      <c r="P22" s="91">
        <v>42887</v>
      </c>
      <c r="Q22" s="102">
        <v>0.001</v>
      </c>
      <c r="R22" s="89" t="s">
        <v>1855</v>
      </c>
      <c r="S22" s="89" t="s">
        <v>1856</v>
      </c>
      <c r="T22" s="89" t="s">
        <v>1604</v>
      </c>
      <c r="U22" s="103" t="s">
        <v>343</v>
      </c>
      <c r="V22" s="105" t="s">
        <v>1857</v>
      </c>
      <c r="W22" s="102">
        <v>0.001</v>
      </c>
      <c r="X22" s="102">
        <v>0.001</v>
      </c>
      <c r="Y22" s="102">
        <v>0.001</v>
      </c>
      <c r="Z22" s="107"/>
      <c r="AA22" s="102"/>
      <c r="AB22" s="102"/>
      <c r="AC22" s="102"/>
      <c r="AD22" s="107"/>
      <c r="AE22" s="102"/>
      <c r="AF22" s="102"/>
      <c r="AG22" s="102"/>
      <c r="AH22" s="107"/>
      <c r="AI22" s="102"/>
      <c r="AJ22" s="102"/>
      <c r="AK22" s="102"/>
      <c r="AL22" s="107"/>
      <c r="AM22" s="102"/>
      <c r="AN22" s="102"/>
      <c r="AO22" s="102"/>
      <c r="AP22" s="107"/>
      <c r="AQ22" s="102"/>
      <c r="AR22" s="102"/>
      <c r="AS22" s="102"/>
      <c r="AT22" s="107"/>
      <c r="AU22" s="102"/>
      <c r="AV22" s="102"/>
      <c r="AW22" s="102"/>
      <c r="AX22" s="107"/>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22"/>
      <c r="CD22" s="123">
        <f t="shared" si="31"/>
        <v>0.001</v>
      </c>
      <c r="CE22" s="102">
        <f t="shared" si="32"/>
        <v>0.001</v>
      </c>
      <c r="CF22" s="102">
        <f t="shared" si="33"/>
        <v>0.001</v>
      </c>
      <c r="CG22" s="102">
        <f t="shared" si="34"/>
        <v>0</v>
      </c>
      <c r="CH22" s="124">
        <f t="shared" si="35"/>
        <v>0</v>
      </c>
      <c r="CI22" s="125">
        <f t="shared" si="36"/>
        <v>1</v>
      </c>
      <c r="CJ22" s="126" t="str">
        <f t="shared" si="37"/>
        <v>数据正确</v>
      </c>
    </row>
    <row r="23" s="60" customFormat="1" customHeight="1" spans="2:88">
      <c r="B23" s="70" t="str">
        <f t="shared" si="21"/>
        <v>-</v>
      </c>
      <c r="C23" s="71" t="str">
        <f t="shared" si="22"/>
        <v>已付清</v>
      </c>
      <c r="D23" s="72">
        <f t="shared" si="23"/>
        <v>0.001</v>
      </c>
      <c r="E23" s="72">
        <v>0</v>
      </c>
      <c r="F23" s="72">
        <v>0</v>
      </c>
      <c r="G23" s="72">
        <v>0</v>
      </c>
      <c r="H23" s="72">
        <v>0</v>
      </c>
      <c r="I23" s="72">
        <f t="shared" si="24"/>
        <v>0</v>
      </c>
      <c r="J23" s="86" t="s">
        <v>98</v>
      </c>
      <c r="L23" s="88">
        <v>183</v>
      </c>
      <c r="M23" s="89" t="s">
        <v>1858</v>
      </c>
      <c r="N23" s="90" t="s">
        <v>33</v>
      </c>
      <c r="O23" s="90" t="s">
        <v>97</v>
      </c>
      <c r="P23" s="91">
        <v>42887</v>
      </c>
      <c r="Q23" s="102">
        <v>0.001</v>
      </c>
      <c r="R23" s="89" t="s">
        <v>1859</v>
      </c>
      <c r="S23" s="89" t="s">
        <v>1860</v>
      </c>
      <c r="T23" s="89"/>
      <c r="U23" s="103" t="s">
        <v>343</v>
      </c>
      <c r="V23" s="105" t="s">
        <v>1861</v>
      </c>
      <c r="W23" s="102">
        <v>0.001</v>
      </c>
      <c r="X23" s="102">
        <v>0.001</v>
      </c>
      <c r="Y23" s="102">
        <v>0.001</v>
      </c>
      <c r="Z23" s="107"/>
      <c r="AA23" s="102"/>
      <c r="AB23" s="102"/>
      <c r="AC23" s="102"/>
      <c r="AD23" s="107"/>
      <c r="AE23" s="102"/>
      <c r="AF23" s="102"/>
      <c r="AG23" s="102"/>
      <c r="AH23" s="107"/>
      <c r="AI23" s="102"/>
      <c r="AJ23" s="102"/>
      <c r="AK23" s="102"/>
      <c r="AL23" s="107"/>
      <c r="AM23" s="102"/>
      <c r="AN23" s="102"/>
      <c r="AO23" s="102"/>
      <c r="AP23" s="107"/>
      <c r="AQ23" s="102"/>
      <c r="AR23" s="102"/>
      <c r="AS23" s="102"/>
      <c r="AT23" s="107"/>
      <c r="AU23" s="102"/>
      <c r="AV23" s="102"/>
      <c r="AW23" s="102"/>
      <c r="AX23" s="107"/>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22"/>
      <c r="CD23" s="123">
        <f t="shared" si="31"/>
        <v>0.001</v>
      </c>
      <c r="CE23" s="102">
        <f t="shared" si="32"/>
        <v>0.001</v>
      </c>
      <c r="CF23" s="102">
        <f t="shared" si="33"/>
        <v>0.001</v>
      </c>
      <c r="CG23" s="102">
        <f t="shared" si="34"/>
        <v>0</v>
      </c>
      <c r="CH23" s="124">
        <f t="shared" si="35"/>
        <v>0</v>
      </c>
      <c r="CI23" s="125">
        <f t="shared" si="36"/>
        <v>1</v>
      </c>
      <c r="CJ23" s="126" t="str">
        <f t="shared" si="37"/>
        <v>数据正确</v>
      </c>
    </row>
    <row r="24" s="60" customFormat="1" customHeight="1" spans="2:88">
      <c r="B24" s="70" t="str">
        <f t="shared" si="21"/>
        <v>-</v>
      </c>
      <c r="C24" s="71" t="str">
        <f t="shared" si="22"/>
        <v>已付清</v>
      </c>
      <c r="D24" s="72">
        <f t="shared" si="23"/>
        <v>49800</v>
      </c>
      <c r="E24" s="72">
        <v>0</v>
      </c>
      <c r="F24" s="72">
        <v>0</v>
      </c>
      <c r="G24" s="72">
        <v>0</v>
      </c>
      <c r="H24" s="72">
        <v>0</v>
      </c>
      <c r="I24" s="72">
        <f t="shared" si="24"/>
        <v>0</v>
      </c>
      <c r="J24" s="86" t="s">
        <v>98</v>
      </c>
      <c r="L24" s="88">
        <v>55</v>
      </c>
      <c r="M24" s="89" t="s">
        <v>1862</v>
      </c>
      <c r="N24" s="90" t="s">
        <v>33</v>
      </c>
      <c r="O24" s="90" t="s">
        <v>97</v>
      </c>
      <c r="P24" s="91">
        <v>42895</v>
      </c>
      <c r="Q24" s="102">
        <v>49800</v>
      </c>
      <c r="R24" s="89" t="s">
        <v>1863</v>
      </c>
      <c r="S24" s="89" t="s">
        <v>1864</v>
      </c>
      <c r="T24" s="89" t="s">
        <v>1604</v>
      </c>
      <c r="U24" s="103" t="s">
        <v>354</v>
      </c>
      <c r="V24" s="105" t="s">
        <v>1865</v>
      </c>
      <c r="W24" s="102">
        <v>49800</v>
      </c>
      <c r="X24" s="102">
        <v>49800</v>
      </c>
      <c r="Y24" s="102">
        <v>49800</v>
      </c>
      <c r="Z24" s="107"/>
      <c r="AA24" s="102"/>
      <c r="AB24" s="102"/>
      <c r="AC24" s="102"/>
      <c r="AD24" s="107"/>
      <c r="AE24" s="102"/>
      <c r="AF24" s="102"/>
      <c r="AG24" s="102"/>
      <c r="AH24" s="107"/>
      <c r="AI24" s="102"/>
      <c r="AJ24" s="102"/>
      <c r="AK24" s="102"/>
      <c r="AL24" s="107"/>
      <c r="AM24" s="102"/>
      <c r="AN24" s="102"/>
      <c r="AO24" s="102"/>
      <c r="AP24" s="107"/>
      <c r="AQ24" s="102"/>
      <c r="AR24" s="102"/>
      <c r="AS24" s="102"/>
      <c r="AT24" s="107"/>
      <c r="AU24" s="102"/>
      <c r="AV24" s="102"/>
      <c r="AW24" s="102"/>
      <c r="AX24" s="107"/>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22"/>
      <c r="CD24" s="123">
        <f t="shared" si="31"/>
        <v>49800</v>
      </c>
      <c r="CE24" s="102">
        <f t="shared" si="32"/>
        <v>49800</v>
      </c>
      <c r="CF24" s="102">
        <f t="shared" si="33"/>
        <v>49800</v>
      </c>
      <c r="CG24" s="102">
        <f t="shared" si="34"/>
        <v>0</v>
      </c>
      <c r="CH24" s="124">
        <f t="shared" si="35"/>
        <v>0</v>
      </c>
      <c r="CI24" s="125">
        <f t="shared" si="36"/>
        <v>1</v>
      </c>
      <c r="CJ24" s="126" t="str">
        <f t="shared" si="37"/>
        <v>数据正确</v>
      </c>
    </row>
    <row r="25" s="60" customFormat="1" customHeight="1" spans="2:88">
      <c r="B25" s="70" t="str">
        <f t="shared" si="21"/>
        <v>-</v>
      </c>
      <c r="C25" s="71" t="str">
        <f t="shared" si="22"/>
        <v>已付清</v>
      </c>
      <c r="D25" s="72">
        <f t="shared" si="23"/>
        <v>0.001</v>
      </c>
      <c r="E25" s="72">
        <v>0</v>
      </c>
      <c r="F25" s="72">
        <v>0</v>
      </c>
      <c r="G25" s="72">
        <v>0</v>
      </c>
      <c r="H25" s="72">
        <v>0</v>
      </c>
      <c r="I25" s="72">
        <f t="shared" si="24"/>
        <v>0</v>
      </c>
      <c r="J25" s="86" t="s">
        <v>98</v>
      </c>
      <c r="L25" s="88">
        <v>57</v>
      </c>
      <c r="M25" s="89" t="s">
        <v>1866</v>
      </c>
      <c r="N25" s="90" t="s">
        <v>33</v>
      </c>
      <c r="O25" s="90" t="s">
        <v>97</v>
      </c>
      <c r="P25" s="91">
        <v>42895</v>
      </c>
      <c r="Q25" s="102">
        <v>0.001</v>
      </c>
      <c r="R25" s="89" t="s">
        <v>1867</v>
      </c>
      <c r="S25" s="89" t="s">
        <v>1868</v>
      </c>
      <c r="T25" s="89" t="s">
        <v>1604</v>
      </c>
      <c r="U25" s="103" t="s">
        <v>343</v>
      </c>
      <c r="V25" s="105" t="s">
        <v>1853</v>
      </c>
      <c r="W25" s="102">
        <v>0.001</v>
      </c>
      <c r="X25" s="102">
        <v>0.001</v>
      </c>
      <c r="Y25" s="102">
        <v>0.001</v>
      </c>
      <c r="Z25" s="107"/>
      <c r="AA25" s="102"/>
      <c r="AB25" s="102"/>
      <c r="AC25" s="102"/>
      <c r="AD25" s="107"/>
      <c r="AE25" s="102"/>
      <c r="AF25" s="102"/>
      <c r="AG25" s="102"/>
      <c r="AH25" s="107"/>
      <c r="AI25" s="102"/>
      <c r="AJ25" s="102"/>
      <c r="AK25" s="102"/>
      <c r="AL25" s="107"/>
      <c r="AM25" s="102"/>
      <c r="AN25" s="102"/>
      <c r="AO25" s="102"/>
      <c r="AP25" s="107"/>
      <c r="AQ25" s="102"/>
      <c r="AR25" s="102"/>
      <c r="AS25" s="102"/>
      <c r="AT25" s="107"/>
      <c r="AU25" s="102"/>
      <c r="AV25" s="102"/>
      <c r="AW25" s="102"/>
      <c r="AX25" s="107"/>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22"/>
      <c r="CD25" s="123">
        <f t="shared" si="31"/>
        <v>0.001</v>
      </c>
      <c r="CE25" s="102">
        <f t="shared" si="32"/>
        <v>0.001</v>
      </c>
      <c r="CF25" s="102">
        <f t="shared" si="33"/>
        <v>0.001</v>
      </c>
      <c r="CG25" s="102">
        <f t="shared" si="34"/>
        <v>0</v>
      </c>
      <c r="CH25" s="124">
        <f t="shared" si="35"/>
        <v>0</v>
      </c>
      <c r="CI25" s="125">
        <f t="shared" si="36"/>
        <v>1</v>
      </c>
      <c r="CJ25" s="126" t="str">
        <f t="shared" si="37"/>
        <v>数据正确</v>
      </c>
    </row>
    <row r="26" s="60" customFormat="1" customHeight="1" spans="2:88">
      <c r="B26" s="70" t="str">
        <f t="shared" si="21"/>
        <v>-</v>
      </c>
      <c r="C26" s="71" t="str">
        <f t="shared" si="22"/>
        <v>-</v>
      </c>
      <c r="D26" s="72">
        <f t="shared" si="23"/>
        <v>0</v>
      </c>
      <c r="E26" s="72">
        <v>0</v>
      </c>
      <c r="F26" s="72">
        <v>0</v>
      </c>
      <c r="G26" s="72">
        <v>0</v>
      </c>
      <c r="H26" s="72">
        <v>0</v>
      </c>
      <c r="I26" s="72">
        <f t="shared" si="24"/>
        <v>0</v>
      </c>
      <c r="J26" s="86" t="s">
        <v>98</v>
      </c>
      <c r="L26" s="88">
        <v>59</v>
      </c>
      <c r="M26" s="89" t="s">
        <v>1869</v>
      </c>
      <c r="N26" s="90" t="s">
        <v>33</v>
      </c>
      <c r="O26" s="90" t="s">
        <v>97</v>
      </c>
      <c r="P26" s="91">
        <v>42898</v>
      </c>
      <c r="Q26" s="102">
        <v>26370</v>
      </c>
      <c r="R26" s="89" t="s">
        <v>1870</v>
      </c>
      <c r="S26" s="89" t="s">
        <v>1240</v>
      </c>
      <c r="T26" s="89"/>
      <c r="U26" s="103" t="s">
        <v>354</v>
      </c>
      <c r="V26" s="105" t="s">
        <v>1871</v>
      </c>
      <c r="W26" s="102">
        <v>26370</v>
      </c>
      <c r="X26" s="102"/>
      <c r="Y26" s="102"/>
      <c r="Z26" s="107"/>
      <c r="AA26" s="102"/>
      <c r="AB26" s="102"/>
      <c r="AC26" s="102"/>
      <c r="AD26" s="107"/>
      <c r="AE26" s="102"/>
      <c r="AF26" s="102"/>
      <c r="AG26" s="102"/>
      <c r="AH26" s="107"/>
      <c r="AI26" s="102"/>
      <c r="AJ26" s="102"/>
      <c r="AK26" s="102"/>
      <c r="AL26" s="107"/>
      <c r="AM26" s="102"/>
      <c r="AN26" s="102"/>
      <c r="AO26" s="102"/>
      <c r="AP26" s="107"/>
      <c r="AQ26" s="102"/>
      <c r="AR26" s="102"/>
      <c r="AS26" s="102"/>
      <c r="AT26" s="107"/>
      <c r="AU26" s="102"/>
      <c r="AV26" s="102"/>
      <c r="AW26" s="102"/>
      <c r="AX26" s="107"/>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22"/>
      <c r="CD26" s="123">
        <f t="shared" si="31"/>
        <v>26370</v>
      </c>
      <c r="CE26" s="102">
        <f t="shared" si="32"/>
        <v>0</v>
      </c>
      <c r="CF26" s="102">
        <f t="shared" si="33"/>
        <v>0</v>
      </c>
      <c r="CG26" s="102">
        <f t="shared" si="34"/>
        <v>0</v>
      </c>
      <c r="CH26" s="124">
        <f t="shared" si="35"/>
        <v>26370</v>
      </c>
      <c r="CI26" s="125">
        <f t="shared" si="36"/>
        <v>0</v>
      </c>
      <c r="CJ26" s="126" t="str">
        <f t="shared" si="37"/>
        <v>数据正确</v>
      </c>
    </row>
    <row r="27" s="60" customFormat="1" customHeight="1" spans="2:88">
      <c r="B27" s="70" t="str">
        <f t="shared" si="21"/>
        <v>-</v>
      </c>
      <c r="C27" s="71" t="str">
        <f t="shared" si="22"/>
        <v>-</v>
      </c>
      <c r="D27" s="72">
        <f t="shared" si="23"/>
        <v>400000</v>
      </c>
      <c r="E27" s="72">
        <v>0</v>
      </c>
      <c r="F27" s="72">
        <v>0</v>
      </c>
      <c r="G27" s="72">
        <v>0</v>
      </c>
      <c r="H27" s="72">
        <v>0</v>
      </c>
      <c r="I27" s="72">
        <f t="shared" si="24"/>
        <v>0</v>
      </c>
      <c r="J27" s="86" t="s">
        <v>98</v>
      </c>
      <c r="L27" s="88">
        <v>74</v>
      </c>
      <c r="M27" s="89" t="s">
        <v>1872</v>
      </c>
      <c r="N27" s="90" t="s">
        <v>33</v>
      </c>
      <c r="O27" s="90">
        <v>2017050051</v>
      </c>
      <c r="P27" s="91">
        <v>42905</v>
      </c>
      <c r="Q27" s="102">
        <v>768068.21</v>
      </c>
      <c r="R27" s="89" t="s">
        <v>1873</v>
      </c>
      <c r="S27" s="89" t="s">
        <v>1874</v>
      </c>
      <c r="T27" s="89"/>
      <c r="U27" s="103" t="s">
        <v>343</v>
      </c>
      <c r="V27" s="105" t="s">
        <v>1875</v>
      </c>
      <c r="W27" s="102">
        <v>400000</v>
      </c>
      <c r="X27" s="102">
        <v>400000</v>
      </c>
      <c r="Y27" s="102">
        <v>400000</v>
      </c>
      <c r="Z27" s="107" t="s">
        <v>1876</v>
      </c>
      <c r="AA27" s="102">
        <v>368068.21</v>
      </c>
      <c r="AB27" s="102"/>
      <c r="AC27" s="102"/>
      <c r="AD27" s="107"/>
      <c r="AE27" s="102"/>
      <c r="AF27" s="102"/>
      <c r="AG27" s="102"/>
      <c r="AH27" s="107"/>
      <c r="AI27" s="102"/>
      <c r="AJ27" s="102"/>
      <c r="AK27" s="102"/>
      <c r="AL27" s="107"/>
      <c r="AM27" s="102"/>
      <c r="AN27" s="102"/>
      <c r="AO27" s="102"/>
      <c r="AP27" s="107"/>
      <c r="AQ27" s="102"/>
      <c r="AR27" s="102"/>
      <c r="AS27" s="102"/>
      <c r="AT27" s="107"/>
      <c r="AU27" s="102"/>
      <c r="AV27" s="102"/>
      <c r="AW27" s="102"/>
      <c r="AX27" s="107"/>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22"/>
      <c r="CD27" s="123">
        <f t="shared" si="31"/>
        <v>768068.21</v>
      </c>
      <c r="CE27" s="102">
        <f t="shared" si="32"/>
        <v>400000</v>
      </c>
      <c r="CF27" s="102">
        <f t="shared" si="33"/>
        <v>400000</v>
      </c>
      <c r="CG27" s="102">
        <f t="shared" si="34"/>
        <v>0</v>
      </c>
      <c r="CH27" s="124">
        <f t="shared" si="35"/>
        <v>368068.21</v>
      </c>
      <c r="CI27" s="125">
        <f t="shared" si="36"/>
        <v>0.520787079574612</v>
      </c>
      <c r="CJ27" s="126" t="str">
        <f t="shared" si="37"/>
        <v>数据正确</v>
      </c>
    </row>
    <row r="28" s="60" customFormat="1" customHeight="1" spans="1:88">
      <c r="A28" s="60" t="s">
        <v>36</v>
      </c>
      <c r="B28" s="70" t="str">
        <f t="shared" si="21"/>
        <v>-</v>
      </c>
      <c r="C28" s="71" t="str">
        <f t="shared" si="22"/>
        <v>-</v>
      </c>
      <c r="D28" s="72">
        <f t="shared" si="23"/>
        <v>187695</v>
      </c>
      <c r="E28" s="72">
        <v>0</v>
      </c>
      <c r="F28" s="72">
        <v>0</v>
      </c>
      <c r="G28" s="72">
        <v>5805</v>
      </c>
      <c r="H28" s="72">
        <v>0</v>
      </c>
      <c r="I28" s="72">
        <f t="shared" si="24"/>
        <v>0</v>
      </c>
      <c r="J28" s="86" t="s">
        <v>98</v>
      </c>
      <c r="L28" s="88">
        <v>60</v>
      </c>
      <c r="M28" s="89" t="s">
        <v>1877</v>
      </c>
      <c r="N28" s="90" t="s">
        <v>33</v>
      </c>
      <c r="O28" s="90">
        <v>2017050001</v>
      </c>
      <c r="P28" s="91">
        <v>42909</v>
      </c>
      <c r="Q28" s="102">
        <v>215000</v>
      </c>
      <c r="R28" s="89" t="s">
        <v>1878</v>
      </c>
      <c r="S28" s="89" t="s">
        <v>1879</v>
      </c>
      <c r="T28" s="89" t="s">
        <v>1604</v>
      </c>
      <c r="U28" s="103" t="s">
        <v>354</v>
      </c>
      <c r="V28" s="105" t="s">
        <v>1241</v>
      </c>
      <c r="W28" s="102">
        <v>193500</v>
      </c>
      <c r="X28" s="102">
        <v>193500</v>
      </c>
      <c r="Y28" s="102">
        <v>187695</v>
      </c>
      <c r="Z28" s="107" t="s">
        <v>1880</v>
      </c>
      <c r="AA28" s="102">
        <v>21500</v>
      </c>
      <c r="AB28" s="102"/>
      <c r="AC28" s="102"/>
      <c r="AD28" s="107"/>
      <c r="AE28" s="102"/>
      <c r="AF28" s="102"/>
      <c r="AG28" s="102"/>
      <c r="AH28" s="107"/>
      <c r="AI28" s="102"/>
      <c r="AJ28" s="102"/>
      <c r="AK28" s="102"/>
      <c r="AL28" s="107"/>
      <c r="AM28" s="102"/>
      <c r="AN28" s="102"/>
      <c r="AO28" s="102"/>
      <c r="AP28" s="107"/>
      <c r="AQ28" s="102"/>
      <c r="AR28" s="102"/>
      <c r="AS28" s="102"/>
      <c r="AT28" s="107"/>
      <c r="AU28" s="102"/>
      <c r="AV28" s="102"/>
      <c r="AW28" s="102"/>
      <c r="AX28" s="107"/>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22"/>
      <c r="CD28" s="123">
        <f t="shared" si="31"/>
        <v>215000</v>
      </c>
      <c r="CE28" s="102">
        <f t="shared" si="32"/>
        <v>193500</v>
      </c>
      <c r="CF28" s="102">
        <f t="shared" si="33"/>
        <v>187695</v>
      </c>
      <c r="CG28" s="102">
        <f t="shared" si="34"/>
        <v>5805</v>
      </c>
      <c r="CH28" s="124">
        <f t="shared" si="35"/>
        <v>21500</v>
      </c>
      <c r="CI28" s="125">
        <f t="shared" si="36"/>
        <v>0.9</v>
      </c>
      <c r="CJ28" s="126" t="str">
        <f t="shared" si="37"/>
        <v>数据正确</v>
      </c>
    </row>
    <row r="29" s="60" customFormat="1" customHeight="1" spans="2:88">
      <c r="B29" s="70" t="str">
        <f t="shared" si="21"/>
        <v>-</v>
      </c>
      <c r="C29" s="71" t="str">
        <f t="shared" si="22"/>
        <v>-</v>
      </c>
      <c r="D29" s="72">
        <f t="shared" si="23"/>
        <v>0</v>
      </c>
      <c r="E29" s="72">
        <v>0</v>
      </c>
      <c r="F29" s="72">
        <v>0</v>
      </c>
      <c r="G29" s="72">
        <v>0</v>
      </c>
      <c r="H29" s="72">
        <v>0</v>
      </c>
      <c r="I29" s="72">
        <f t="shared" si="24"/>
        <v>0</v>
      </c>
      <c r="J29" s="86" t="s">
        <v>98</v>
      </c>
      <c r="L29" s="88">
        <v>243</v>
      </c>
      <c r="M29" s="89" t="s">
        <v>1881</v>
      </c>
      <c r="N29" s="90" t="s">
        <v>33</v>
      </c>
      <c r="O29" s="90" t="s">
        <v>97</v>
      </c>
      <c r="P29" s="91">
        <v>42912</v>
      </c>
      <c r="Q29" s="102">
        <v>57000</v>
      </c>
      <c r="R29" s="89" t="s">
        <v>1882</v>
      </c>
      <c r="S29" s="89" t="s">
        <v>1240</v>
      </c>
      <c r="T29" s="89"/>
      <c r="U29" s="103" t="s">
        <v>636</v>
      </c>
      <c r="V29" s="105" t="s">
        <v>1325</v>
      </c>
      <c r="W29" s="102">
        <v>57000</v>
      </c>
      <c r="X29" s="102"/>
      <c r="Y29" s="102"/>
      <c r="Z29" s="107"/>
      <c r="AA29" s="102"/>
      <c r="AB29" s="102"/>
      <c r="AC29" s="102"/>
      <c r="AD29" s="107"/>
      <c r="AE29" s="102"/>
      <c r="AF29" s="102"/>
      <c r="AG29" s="102"/>
      <c r="AH29" s="107"/>
      <c r="AI29" s="102"/>
      <c r="AJ29" s="102"/>
      <c r="AK29" s="102"/>
      <c r="AL29" s="107"/>
      <c r="AM29" s="102"/>
      <c r="AN29" s="102"/>
      <c r="AO29" s="102"/>
      <c r="AP29" s="107"/>
      <c r="AQ29" s="102"/>
      <c r="AR29" s="102"/>
      <c r="AS29" s="102"/>
      <c r="AT29" s="107"/>
      <c r="AU29" s="102"/>
      <c r="AV29" s="102"/>
      <c r="AW29" s="102"/>
      <c r="AX29" s="107"/>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22"/>
      <c r="CD29" s="123">
        <f t="shared" si="31"/>
        <v>57000</v>
      </c>
      <c r="CE29" s="102">
        <f t="shared" si="32"/>
        <v>0</v>
      </c>
      <c r="CF29" s="102">
        <f t="shared" si="33"/>
        <v>0</v>
      </c>
      <c r="CG29" s="102">
        <f t="shared" si="34"/>
        <v>0</v>
      </c>
      <c r="CH29" s="124">
        <f t="shared" si="35"/>
        <v>57000</v>
      </c>
      <c r="CI29" s="125">
        <f t="shared" si="36"/>
        <v>0</v>
      </c>
      <c r="CJ29" s="126" t="str">
        <f t="shared" si="37"/>
        <v>数据正确</v>
      </c>
    </row>
    <row r="30" s="60" customFormat="1" customHeight="1" spans="2:88">
      <c r="B30" s="70" t="str">
        <f t="shared" si="21"/>
        <v>-</v>
      </c>
      <c r="C30" s="71" t="str">
        <f t="shared" si="22"/>
        <v>-</v>
      </c>
      <c r="D30" s="72">
        <f t="shared" si="23"/>
        <v>0</v>
      </c>
      <c r="E30" s="72">
        <v>0</v>
      </c>
      <c r="F30" s="72">
        <v>0</v>
      </c>
      <c r="G30" s="72">
        <v>0</v>
      </c>
      <c r="H30" s="72">
        <v>0</v>
      </c>
      <c r="I30" s="72">
        <f t="shared" si="24"/>
        <v>0</v>
      </c>
      <c r="J30" s="86" t="s">
        <v>98</v>
      </c>
      <c r="L30" s="88">
        <v>68</v>
      </c>
      <c r="M30" s="89" t="s">
        <v>1883</v>
      </c>
      <c r="N30" s="90" t="s">
        <v>33</v>
      </c>
      <c r="O30" s="90">
        <v>2017050001</v>
      </c>
      <c r="P30" s="91">
        <v>42920</v>
      </c>
      <c r="Q30" s="102">
        <v>74784</v>
      </c>
      <c r="R30" s="89" t="s">
        <v>1884</v>
      </c>
      <c r="S30" s="89" t="s">
        <v>1885</v>
      </c>
      <c r="T30" s="89"/>
      <c r="U30" s="103" t="s">
        <v>343</v>
      </c>
      <c r="V30" s="105" t="s">
        <v>1886</v>
      </c>
      <c r="W30" s="102">
        <v>11217.6</v>
      </c>
      <c r="X30" s="102"/>
      <c r="Y30" s="102"/>
      <c r="Z30" s="107" t="s">
        <v>1887</v>
      </c>
      <c r="AA30" s="102">
        <v>63566.4</v>
      </c>
      <c r="AB30" s="102"/>
      <c r="AC30" s="102"/>
      <c r="AD30" s="107"/>
      <c r="AE30" s="102"/>
      <c r="AF30" s="102"/>
      <c r="AG30" s="102"/>
      <c r="AH30" s="107"/>
      <c r="AI30" s="102"/>
      <c r="AJ30" s="102"/>
      <c r="AK30" s="102"/>
      <c r="AL30" s="107"/>
      <c r="AM30" s="102"/>
      <c r="AN30" s="102"/>
      <c r="AO30" s="102"/>
      <c r="AP30" s="107"/>
      <c r="AQ30" s="102"/>
      <c r="AR30" s="102"/>
      <c r="AS30" s="102"/>
      <c r="AT30" s="107"/>
      <c r="AU30" s="102"/>
      <c r="AV30" s="102"/>
      <c r="AW30" s="102"/>
      <c r="AX30" s="107"/>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22"/>
      <c r="CD30" s="123">
        <f t="shared" si="31"/>
        <v>74784</v>
      </c>
      <c r="CE30" s="102">
        <f t="shared" si="32"/>
        <v>0</v>
      </c>
      <c r="CF30" s="102">
        <f t="shared" si="33"/>
        <v>0</v>
      </c>
      <c r="CG30" s="102">
        <f t="shared" si="34"/>
        <v>0</v>
      </c>
      <c r="CH30" s="124">
        <f t="shared" si="35"/>
        <v>74784</v>
      </c>
      <c r="CI30" s="125">
        <f t="shared" si="36"/>
        <v>0</v>
      </c>
      <c r="CJ30" s="126" t="str">
        <f t="shared" si="37"/>
        <v>数据正确</v>
      </c>
    </row>
    <row r="31" s="60" customFormat="1" customHeight="1" spans="2:88">
      <c r="B31" s="70" t="str">
        <f t="shared" si="21"/>
        <v>-</v>
      </c>
      <c r="C31" s="71" t="str">
        <f t="shared" si="22"/>
        <v>-</v>
      </c>
      <c r="D31" s="72">
        <f t="shared" si="23"/>
        <v>0</v>
      </c>
      <c r="E31" s="72">
        <v>0</v>
      </c>
      <c r="F31" s="72">
        <v>0</v>
      </c>
      <c r="G31" s="72">
        <v>0</v>
      </c>
      <c r="H31" s="72">
        <v>0</v>
      </c>
      <c r="I31" s="72">
        <f t="shared" si="24"/>
        <v>0</v>
      </c>
      <c r="J31" s="86" t="s">
        <v>98</v>
      </c>
      <c r="L31" s="88">
        <v>72</v>
      </c>
      <c r="M31" s="89" t="s">
        <v>1888</v>
      </c>
      <c r="N31" s="90" t="s">
        <v>33</v>
      </c>
      <c r="O31" s="90">
        <v>2017050001</v>
      </c>
      <c r="P31" s="91">
        <v>42921</v>
      </c>
      <c r="Q31" s="102">
        <v>271360</v>
      </c>
      <c r="R31" s="89" t="s">
        <v>1889</v>
      </c>
      <c r="S31" s="89" t="s">
        <v>1890</v>
      </c>
      <c r="T31" s="89"/>
      <c r="U31" s="103" t="s">
        <v>354</v>
      </c>
      <c r="V31" s="105" t="s">
        <v>1891</v>
      </c>
      <c r="W31" s="102">
        <v>244224</v>
      </c>
      <c r="X31" s="102"/>
      <c r="Y31" s="102"/>
      <c r="Z31" s="107" t="s">
        <v>1892</v>
      </c>
      <c r="AA31" s="102">
        <v>27136</v>
      </c>
      <c r="AB31" s="102"/>
      <c r="AC31" s="102"/>
      <c r="AD31" s="107"/>
      <c r="AE31" s="102"/>
      <c r="AF31" s="102"/>
      <c r="AG31" s="102"/>
      <c r="AH31" s="107"/>
      <c r="AI31" s="102"/>
      <c r="AJ31" s="102"/>
      <c r="AK31" s="102"/>
      <c r="AL31" s="107"/>
      <c r="AM31" s="102"/>
      <c r="AN31" s="102"/>
      <c r="AO31" s="102"/>
      <c r="AP31" s="107"/>
      <c r="AQ31" s="102"/>
      <c r="AR31" s="102"/>
      <c r="AS31" s="102"/>
      <c r="AT31" s="107"/>
      <c r="AU31" s="102"/>
      <c r="AV31" s="102"/>
      <c r="AW31" s="102"/>
      <c r="AX31" s="107"/>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22"/>
      <c r="CD31" s="123">
        <f t="shared" si="31"/>
        <v>271360</v>
      </c>
      <c r="CE31" s="102">
        <f t="shared" si="32"/>
        <v>0</v>
      </c>
      <c r="CF31" s="102">
        <f t="shared" si="33"/>
        <v>0</v>
      </c>
      <c r="CG31" s="102">
        <f t="shared" si="34"/>
        <v>0</v>
      </c>
      <c r="CH31" s="124">
        <f t="shared" si="35"/>
        <v>271360</v>
      </c>
      <c r="CI31" s="125">
        <f t="shared" si="36"/>
        <v>0</v>
      </c>
      <c r="CJ31" s="126" t="str">
        <f t="shared" si="37"/>
        <v>数据正确</v>
      </c>
    </row>
    <row r="32" s="60" customFormat="1" customHeight="1" spans="2:88">
      <c r="B32" s="70" t="str">
        <f t="shared" si="21"/>
        <v>-</v>
      </c>
      <c r="C32" s="71" t="str">
        <f t="shared" si="22"/>
        <v>-</v>
      </c>
      <c r="D32" s="72">
        <f t="shared" si="23"/>
        <v>0</v>
      </c>
      <c r="E32" s="72">
        <v>0</v>
      </c>
      <c r="F32" s="72">
        <v>0</v>
      </c>
      <c r="G32" s="72">
        <v>0</v>
      </c>
      <c r="H32" s="72">
        <v>0</v>
      </c>
      <c r="I32" s="72">
        <f t="shared" si="24"/>
        <v>0</v>
      </c>
      <c r="J32" s="86" t="s">
        <v>98</v>
      </c>
      <c r="L32" s="88">
        <v>179</v>
      </c>
      <c r="M32" s="89" t="s">
        <v>1893</v>
      </c>
      <c r="N32" s="90" t="s">
        <v>33</v>
      </c>
      <c r="O32" s="90" t="s">
        <v>97</v>
      </c>
      <c r="P32" s="91">
        <v>42937</v>
      </c>
      <c r="Q32" s="102">
        <v>948068</v>
      </c>
      <c r="R32" s="89" t="s">
        <v>1894</v>
      </c>
      <c r="S32" s="89" t="s">
        <v>1895</v>
      </c>
      <c r="T32" s="89"/>
      <c r="U32" s="103" t="s">
        <v>650</v>
      </c>
      <c r="V32" s="105" t="s">
        <v>1241</v>
      </c>
      <c r="W32" s="102">
        <v>853261.2</v>
      </c>
      <c r="X32" s="102"/>
      <c r="Y32" s="102"/>
      <c r="Z32" s="107" t="s">
        <v>1892</v>
      </c>
      <c r="AA32" s="102">
        <v>94806.8</v>
      </c>
      <c r="AB32" s="102"/>
      <c r="AC32" s="102"/>
      <c r="AD32" s="107"/>
      <c r="AE32" s="102"/>
      <c r="AF32" s="102"/>
      <c r="AG32" s="102"/>
      <c r="AH32" s="107"/>
      <c r="AI32" s="102"/>
      <c r="AJ32" s="102"/>
      <c r="AK32" s="102"/>
      <c r="AL32" s="107"/>
      <c r="AM32" s="102"/>
      <c r="AN32" s="102"/>
      <c r="AO32" s="102"/>
      <c r="AP32" s="107"/>
      <c r="AQ32" s="102"/>
      <c r="AR32" s="102"/>
      <c r="AS32" s="102"/>
      <c r="AT32" s="107"/>
      <c r="AU32" s="102"/>
      <c r="AV32" s="102"/>
      <c r="AW32" s="102"/>
      <c r="AX32" s="107"/>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22"/>
      <c r="CD32" s="123">
        <f t="shared" si="31"/>
        <v>948068</v>
      </c>
      <c r="CE32" s="102">
        <f t="shared" si="32"/>
        <v>0</v>
      </c>
      <c r="CF32" s="102">
        <f t="shared" si="33"/>
        <v>0</v>
      </c>
      <c r="CG32" s="102">
        <f t="shared" si="34"/>
        <v>0</v>
      </c>
      <c r="CH32" s="124">
        <f t="shared" si="35"/>
        <v>948068</v>
      </c>
      <c r="CI32" s="125">
        <f t="shared" si="36"/>
        <v>0</v>
      </c>
      <c r="CJ32" s="126" t="str">
        <f t="shared" si="37"/>
        <v>数据正确</v>
      </c>
    </row>
    <row r="33" s="60" customFormat="1" customHeight="1" spans="1:88">
      <c r="A33" s="60" t="s">
        <v>36</v>
      </c>
      <c r="B33" s="70" t="str">
        <f t="shared" si="21"/>
        <v>-</v>
      </c>
      <c r="C33" s="71" t="str">
        <f t="shared" si="22"/>
        <v>-</v>
      </c>
      <c r="D33" s="72">
        <f t="shared" si="23"/>
        <v>669697</v>
      </c>
      <c r="E33" s="72">
        <v>0</v>
      </c>
      <c r="F33" s="72">
        <v>0</v>
      </c>
      <c r="G33" s="72">
        <v>0</v>
      </c>
      <c r="H33" s="72">
        <v>0</v>
      </c>
      <c r="I33" s="72">
        <f t="shared" si="24"/>
        <v>0</v>
      </c>
      <c r="J33" s="86" t="s">
        <v>98</v>
      </c>
      <c r="L33" s="88">
        <v>77</v>
      </c>
      <c r="M33" s="89" t="s">
        <v>1896</v>
      </c>
      <c r="N33" s="90" t="s">
        <v>33</v>
      </c>
      <c r="O33" s="90">
        <v>2017050001</v>
      </c>
      <c r="P33" s="91">
        <v>42940</v>
      </c>
      <c r="Q33" s="102">
        <f>704480+35665</f>
        <v>740145</v>
      </c>
      <c r="R33" s="89" t="s">
        <v>1897</v>
      </c>
      <c r="S33" s="89" t="s">
        <v>1879</v>
      </c>
      <c r="T33" s="89"/>
      <c r="U33" s="103" t="s">
        <v>343</v>
      </c>
      <c r="V33" s="105" t="s">
        <v>1891</v>
      </c>
      <c r="W33" s="102">
        <f>704480*0.9+35665</f>
        <v>669697</v>
      </c>
      <c r="X33" s="102">
        <v>669697</v>
      </c>
      <c r="Y33" s="102">
        <v>669697</v>
      </c>
      <c r="Z33" s="107" t="s">
        <v>1892</v>
      </c>
      <c r="AA33" s="102">
        <f>704480*0.1</f>
        <v>70448</v>
      </c>
      <c r="AB33" s="102"/>
      <c r="AC33" s="102"/>
      <c r="AD33" s="107"/>
      <c r="AE33" s="102"/>
      <c r="AF33" s="102"/>
      <c r="AG33" s="102"/>
      <c r="AH33" s="107"/>
      <c r="AI33" s="102"/>
      <c r="AJ33" s="102"/>
      <c r="AK33" s="102"/>
      <c r="AL33" s="107"/>
      <c r="AM33" s="102"/>
      <c r="AN33" s="102"/>
      <c r="AO33" s="102"/>
      <c r="AP33" s="107"/>
      <c r="AQ33" s="102"/>
      <c r="AR33" s="102"/>
      <c r="AS33" s="102"/>
      <c r="AT33" s="107"/>
      <c r="AU33" s="102"/>
      <c r="AV33" s="102"/>
      <c r="AW33" s="102"/>
      <c r="AX33" s="107"/>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22"/>
      <c r="CD33" s="123">
        <f t="shared" si="31"/>
        <v>740145</v>
      </c>
      <c r="CE33" s="102">
        <f t="shared" si="32"/>
        <v>669697</v>
      </c>
      <c r="CF33" s="102">
        <f t="shared" si="33"/>
        <v>669697</v>
      </c>
      <c r="CG33" s="102">
        <f t="shared" si="34"/>
        <v>0</v>
      </c>
      <c r="CH33" s="124">
        <f t="shared" si="35"/>
        <v>70448</v>
      </c>
      <c r="CI33" s="125">
        <f t="shared" si="36"/>
        <v>0.904818650399584</v>
      </c>
      <c r="CJ33" s="126" t="str">
        <f t="shared" si="37"/>
        <v>数据正确</v>
      </c>
    </row>
    <row r="34" s="60" customFormat="1" customHeight="1" spans="1:88">
      <c r="A34" s="60" t="s">
        <v>36</v>
      </c>
      <c r="B34" s="70" t="str">
        <f t="shared" si="21"/>
        <v>-</v>
      </c>
      <c r="C34" s="71" t="str">
        <f t="shared" si="22"/>
        <v>-</v>
      </c>
      <c r="D34" s="72">
        <f t="shared" si="23"/>
        <v>0</v>
      </c>
      <c r="E34" s="72">
        <v>0</v>
      </c>
      <c r="F34" s="72">
        <v>0</v>
      </c>
      <c r="G34" s="72">
        <v>0</v>
      </c>
      <c r="H34" s="72">
        <v>0</v>
      </c>
      <c r="I34" s="72">
        <f t="shared" si="24"/>
        <v>0</v>
      </c>
      <c r="J34" s="86" t="s">
        <v>98</v>
      </c>
      <c r="L34" s="88">
        <v>76</v>
      </c>
      <c r="M34" s="89" t="s">
        <v>1898</v>
      </c>
      <c r="N34" s="90" t="s">
        <v>33</v>
      </c>
      <c r="O34" s="90">
        <v>2017050001</v>
      </c>
      <c r="P34" s="91">
        <v>42944</v>
      </c>
      <c r="Q34" s="102">
        <v>34740</v>
      </c>
      <c r="R34" s="89" t="s">
        <v>1899</v>
      </c>
      <c r="S34" s="89" t="s">
        <v>1879</v>
      </c>
      <c r="T34" s="89"/>
      <c r="U34" s="103" t="s">
        <v>343</v>
      </c>
      <c r="V34" s="105" t="s">
        <v>1891</v>
      </c>
      <c r="W34" s="102">
        <v>31266</v>
      </c>
      <c r="X34" s="102"/>
      <c r="Y34" s="102"/>
      <c r="Z34" s="107" t="s">
        <v>1892</v>
      </c>
      <c r="AA34" s="102">
        <v>3474</v>
      </c>
      <c r="AB34" s="102"/>
      <c r="AC34" s="102"/>
      <c r="AD34" s="107"/>
      <c r="AE34" s="102"/>
      <c r="AF34" s="102"/>
      <c r="AG34" s="102"/>
      <c r="AH34" s="107"/>
      <c r="AI34" s="102"/>
      <c r="AJ34" s="102"/>
      <c r="AK34" s="102"/>
      <c r="AL34" s="107"/>
      <c r="AM34" s="102"/>
      <c r="AN34" s="102"/>
      <c r="AO34" s="102"/>
      <c r="AP34" s="107"/>
      <c r="AQ34" s="102"/>
      <c r="AR34" s="102"/>
      <c r="AS34" s="102"/>
      <c r="AT34" s="107"/>
      <c r="AU34" s="102"/>
      <c r="AV34" s="102"/>
      <c r="AW34" s="102"/>
      <c r="AX34" s="107"/>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22"/>
      <c r="CD34" s="123">
        <f t="shared" si="31"/>
        <v>34740</v>
      </c>
      <c r="CE34" s="102">
        <f t="shared" si="32"/>
        <v>0</v>
      </c>
      <c r="CF34" s="102">
        <f t="shared" si="33"/>
        <v>0</v>
      </c>
      <c r="CG34" s="102">
        <f t="shared" si="34"/>
        <v>0</v>
      </c>
      <c r="CH34" s="124">
        <f t="shared" si="35"/>
        <v>34740</v>
      </c>
      <c r="CI34" s="125">
        <f t="shared" si="36"/>
        <v>0</v>
      </c>
      <c r="CJ34" s="126" t="str">
        <f t="shared" si="37"/>
        <v>数据正确</v>
      </c>
    </row>
    <row r="35" s="60" customFormat="1" customHeight="1" spans="1:88">
      <c r="A35" s="60" t="s">
        <v>36</v>
      </c>
      <c r="B35" s="70" t="str">
        <f t="shared" si="21"/>
        <v>-</v>
      </c>
      <c r="C35" s="71" t="str">
        <f t="shared" si="22"/>
        <v>已付清</v>
      </c>
      <c r="D35" s="72">
        <f t="shared" si="23"/>
        <v>9520</v>
      </c>
      <c r="E35" s="72">
        <v>0</v>
      </c>
      <c r="F35" s="72">
        <v>0</v>
      </c>
      <c r="G35" s="72">
        <v>0</v>
      </c>
      <c r="H35" s="72">
        <v>0</v>
      </c>
      <c r="I35" s="72">
        <f t="shared" si="24"/>
        <v>0</v>
      </c>
      <c r="J35" s="86" t="s">
        <v>98</v>
      </c>
      <c r="L35" s="88">
        <v>181</v>
      </c>
      <c r="M35" s="89" t="s">
        <v>1900</v>
      </c>
      <c r="N35" s="90" t="s">
        <v>33</v>
      </c>
      <c r="O35" s="90" t="s">
        <v>97</v>
      </c>
      <c r="P35" s="91">
        <v>42951</v>
      </c>
      <c r="Q35" s="102">
        <v>9520</v>
      </c>
      <c r="R35" s="89" t="s">
        <v>1901</v>
      </c>
      <c r="S35" s="89" t="s">
        <v>1879</v>
      </c>
      <c r="T35" s="89"/>
      <c r="U35" s="103" t="s">
        <v>343</v>
      </c>
      <c r="V35" s="105" t="s">
        <v>1325</v>
      </c>
      <c r="W35" s="102">
        <v>9520</v>
      </c>
      <c r="X35" s="102">
        <v>9520</v>
      </c>
      <c r="Y35" s="102">
        <v>9520</v>
      </c>
      <c r="Z35" s="107"/>
      <c r="AA35" s="102"/>
      <c r="AB35" s="102"/>
      <c r="AC35" s="102"/>
      <c r="AD35" s="107"/>
      <c r="AE35" s="102"/>
      <c r="AF35" s="102"/>
      <c r="AG35" s="102"/>
      <c r="AH35" s="107"/>
      <c r="AI35" s="102"/>
      <c r="AJ35" s="102"/>
      <c r="AK35" s="102"/>
      <c r="AL35" s="107"/>
      <c r="AM35" s="102"/>
      <c r="AN35" s="102"/>
      <c r="AO35" s="102"/>
      <c r="AP35" s="107"/>
      <c r="AQ35" s="102"/>
      <c r="AR35" s="102"/>
      <c r="AS35" s="102"/>
      <c r="AT35" s="107"/>
      <c r="AU35" s="102"/>
      <c r="AV35" s="102"/>
      <c r="AW35" s="102"/>
      <c r="AX35" s="107"/>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22"/>
      <c r="CD35" s="123">
        <f t="shared" si="31"/>
        <v>9520</v>
      </c>
      <c r="CE35" s="102">
        <f t="shared" si="32"/>
        <v>9520</v>
      </c>
      <c r="CF35" s="102">
        <f t="shared" si="33"/>
        <v>9520</v>
      </c>
      <c r="CG35" s="102">
        <f t="shared" si="34"/>
        <v>0</v>
      </c>
      <c r="CH35" s="124">
        <f t="shared" si="35"/>
        <v>0</v>
      </c>
      <c r="CI35" s="125">
        <f t="shared" si="36"/>
        <v>1</v>
      </c>
      <c r="CJ35" s="126" t="str">
        <f t="shared" si="37"/>
        <v>数据正确</v>
      </c>
    </row>
    <row r="36" s="60" customFormat="1" customHeight="1" spans="2:88">
      <c r="B36" s="70" t="str">
        <f t="shared" si="21"/>
        <v>-</v>
      </c>
      <c r="C36" s="71" t="str">
        <f t="shared" si="22"/>
        <v>-</v>
      </c>
      <c r="D36" s="72">
        <f t="shared" si="23"/>
        <v>0</v>
      </c>
      <c r="E36" s="72">
        <v>0</v>
      </c>
      <c r="F36" s="72">
        <v>0</v>
      </c>
      <c r="G36" s="72">
        <v>0</v>
      </c>
      <c r="H36" s="72">
        <v>0</v>
      </c>
      <c r="I36" s="72">
        <f t="shared" si="24"/>
        <v>0</v>
      </c>
      <c r="J36" s="86" t="s">
        <v>98</v>
      </c>
      <c r="L36" s="88">
        <v>182</v>
      </c>
      <c r="M36" s="89" t="s">
        <v>1902</v>
      </c>
      <c r="N36" s="90" t="s">
        <v>33</v>
      </c>
      <c r="O36" s="90" t="s">
        <v>97</v>
      </c>
      <c r="P36" s="91">
        <v>42951</v>
      </c>
      <c r="Q36" s="102">
        <v>23450</v>
      </c>
      <c r="R36" s="89" t="s">
        <v>1903</v>
      </c>
      <c r="S36" s="89" t="s">
        <v>1819</v>
      </c>
      <c r="T36" s="89"/>
      <c r="U36" s="103" t="s">
        <v>343</v>
      </c>
      <c r="V36" s="105" t="s">
        <v>1241</v>
      </c>
      <c r="W36" s="102">
        <v>23450</v>
      </c>
      <c r="X36" s="102"/>
      <c r="Y36" s="102"/>
      <c r="Z36" s="107"/>
      <c r="AA36" s="102"/>
      <c r="AB36" s="102"/>
      <c r="AC36" s="102"/>
      <c r="AD36" s="107"/>
      <c r="AE36" s="102"/>
      <c r="AF36" s="102"/>
      <c r="AG36" s="102"/>
      <c r="AH36" s="107"/>
      <c r="AI36" s="102"/>
      <c r="AJ36" s="102"/>
      <c r="AK36" s="102"/>
      <c r="AL36" s="107"/>
      <c r="AM36" s="102"/>
      <c r="AN36" s="102"/>
      <c r="AO36" s="102"/>
      <c r="AP36" s="107"/>
      <c r="AQ36" s="102"/>
      <c r="AR36" s="102"/>
      <c r="AS36" s="102"/>
      <c r="AT36" s="107"/>
      <c r="AU36" s="102"/>
      <c r="AV36" s="102"/>
      <c r="AW36" s="102"/>
      <c r="AX36" s="107"/>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22"/>
      <c r="CD36" s="123">
        <f t="shared" si="31"/>
        <v>23450</v>
      </c>
      <c r="CE36" s="102">
        <f t="shared" si="32"/>
        <v>0</v>
      </c>
      <c r="CF36" s="102">
        <f t="shared" si="33"/>
        <v>0</v>
      </c>
      <c r="CG36" s="102">
        <f t="shared" si="34"/>
        <v>0</v>
      </c>
      <c r="CH36" s="124">
        <f t="shared" si="35"/>
        <v>23450</v>
      </c>
      <c r="CI36" s="125">
        <f t="shared" si="36"/>
        <v>0</v>
      </c>
      <c r="CJ36" s="126" t="str">
        <f t="shared" si="37"/>
        <v>数据正确</v>
      </c>
    </row>
    <row r="37" s="60" customFormat="1" customHeight="1" spans="2:88">
      <c r="B37" s="70" t="str">
        <f t="shared" si="21"/>
        <v>-</v>
      </c>
      <c r="C37" s="71" t="str">
        <f t="shared" si="22"/>
        <v>-</v>
      </c>
      <c r="D37" s="72">
        <f t="shared" si="23"/>
        <v>0</v>
      </c>
      <c r="E37" s="72">
        <v>0</v>
      </c>
      <c r="F37" s="72">
        <v>0</v>
      </c>
      <c r="G37" s="72">
        <v>0</v>
      </c>
      <c r="H37" s="72">
        <v>0</v>
      </c>
      <c r="I37" s="72">
        <f t="shared" si="24"/>
        <v>0</v>
      </c>
      <c r="J37" s="86" t="s">
        <v>98</v>
      </c>
      <c r="L37" s="88">
        <v>195</v>
      </c>
      <c r="M37" s="89" t="s">
        <v>1904</v>
      </c>
      <c r="N37" s="90" t="s">
        <v>33</v>
      </c>
      <c r="O37" s="90" t="s">
        <v>97</v>
      </c>
      <c r="P37" s="91">
        <v>42958</v>
      </c>
      <c r="Q37" s="102">
        <v>23450</v>
      </c>
      <c r="R37" s="89" t="s">
        <v>1903</v>
      </c>
      <c r="S37" s="89" t="s">
        <v>1819</v>
      </c>
      <c r="T37" s="89"/>
      <c r="U37" s="103" t="s">
        <v>343</v>
      </c>
      <c r="V37" s="105" t="s">
        <v>1325</v>
      </c>
      <c r="W37" s="102">
        <v>23450</v>
      </c>
      <c r="X37" s="102"/>
      <c r="Y37" s="102"/>
      <c r="Z37" s="107"/>
      <c r="AA37" s="102"/>
      <c r="AB37" s="102"/>
      <c r="AC37" s="102"/>
      <c r="AD37" s="107"/>
      <c r="AE37" s="102"/>
      <c r="AF37" s="102"/>
      <c r="AG37" s="102"/>
      <c r="AH37" s="107"/>
      <c r="AI37" s="102"/>
      <c r="AJ37" s="102"/>
      <c r="AK37" s="102"/>
      <c r="AL37" s="107"/>
      <c r="AM37" s="102"/>
      <c r="AN37" s="102"/>
      <c r="AO37" s="102"/>
      <c r="AP37" s="107"/>
      <c r="AQ37" s="102"/>
      <c r="AR37" s="102"/>
      <c r="AS37" s="102"/>
      <c r="AT37" s="107"/>
      <c r="AU37" s="102"/>
      <c r="AV37" s="102"/>
      <c r="AW37" s="102"/>
      <c r="AX37" s="107"/>
      <c r="AY37" s="102"/>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22"/>
      <c r="CD37" s="123">
        <f t="shared" si="31"/>
        <v>23450</v>
      </c>
      <c r="CE37" s="102">
        <f t="shared" si="32"/>
        <v>0</v>
      </c>
      <c r="CF37" s="102">
        <f t="shared" si="33"/>
        <v>0</v>
      </c>
      <c r="CG37" s="102">
        <f t="shared" si="34"/>
        <v>0</v>
      </c>
      <c r="CH37" s="124">
        <f t="shared" si="35"/>
        <v>23450</v>
      </c>
      <c r="CI37" s="125">
        <f t="shared" si="36"/>
        <v>0</v>
      </c>
      <c r="CJ37" s="126" t="str">
        <f t="shared" si="37"/>
        <v>数据正确</v>
      </c>
    </row>
    <row r="38" s="60" customFormat="1" customHeight="1" spans="2:88">
      <c r="B38" s="70" t="str">
        <f t="shared" si="21"/>
        <v>-</v>
      </c>
      <c r="C38" s="71" t="str">
        <f t="shared" si="22"/>
        <v>已付清</v>
      </c>
      <c r="D38" s="72">
        <f t="shared" si="23"/>
        <v>92770.8</v>
      </c>
      <c r="E38" s="72">
        <v>0</v>
      </c>
      <c r="F38" s="72">
        <v>0</v>
      </c>
      <c r="G38" s="72">
        <v>2869.2</v>
      </c>
      <c r="H38" s="72">
        <v>0</v>
      </c>
      <c r="I38" s="72">
        <f t="shared" si="24"/>
        <v>0</v>
      </c>
      <c r="J38" s="86" t="s">
        <v>98</v>
      </c>
      <c r="L38" s="88">
        <v>196</v>
      </c>
      <c r="M38" s="89" t="s">
        <v>1905</v>
      </c>
      <c r="N38" s="90" t="s">
        <v>33</v>
      </c>
      <c r="O38" s="90" t="s">
        <v>97</v>
      </c>
      <c r="P38" s="91">
        <v>42965</v>
      </c>
      <c r="Q38" s="102">
        <v>95640</v>
      </c>
      <c r="R38" s="89" t="s">
        <v>1906</v>
      </c>
      <c r="S38" s="89" t="s">
        <v>1021</v>
      </c>
      <c r="T38" s="89"/>
      <c r="U38" s="103" t="s">
        <v>636</v>
      </c>
      <c r="V38" s="105" t="s">
        <v>1325</v>
      </c>
      <c r="W38" s="102">
        <v>95640</v>
      </c>
      <c r="X38" s="102">
        <v>95640</v>
      </c>
      <c r="Y38" s="102">
        <v>92770.8</v>
      </c>
      <c r="Z38" s="107"/>
      <c r="AA38" s="102"/>
      <c r="AB38" s="102"/>
      <c r="AC38" s="102"/>
      <c r="AD38" s="107"/>
      <c r="AE38" s="102"/>
      <c r="AF38" s="102"/>
      <c r="AG38" s="102"/>
      <c r="AH38" s="107"/>
      <c r="AI38" s="102"/>
      <c r="AJ38" s="102"/>
      <c r="AK38" s="102"/>
      <c r="AL38" s="107"/>
      <c r="AM38" s="102"/>
      <c r="AN38" s="102"/>
      <c r="AO38" s="102"/>
      <c r="AP38" s="107"/>
      <c r="AQ38" s="102"/>
      <c r="AR38" s="102"/>
      <c r="AS38" s="102"/>
      <c r="AT38" s="107"/>
      <c r="AU38" s="102"/>
      <c r="AV38" s="102"/>
      <c r="AW38" s="102"/>
      <c r="AX38" s="107"/>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22"/>
      <c r="CD38" s="123">
        <f t="shared" si="31"/>
        <v>95640</v>
      </c>
      <c r="CE38" s="102">
        <f t="shared" si="32"/>
        <v>95640</v>
      </c>
      <c r="CF38" s="102">
        <f t="shared" si="33"/>
        <v>92770.8</v>
      </c>
      <c r="CG38" s="102">
        <f t="shared" si="34"/>
        <v>2869.2</v>
      </c>
      <c r="CH38" s="124">
        <f t="shared" si="35"/>
        <v>0</v>
      </c>
      <c r="CI38" s="125">
        <f t="shared" si="36"/>
        <v>1</v>
      </c>
      <c r="CJ38" s="126" t="str">
        <f t="shared" si="37"/>
        <v>数据正确</v>
      </c>
    </row>
    <row r="39" s="60" customFormat="1" customHeight="1" spans="1:88">
      <c r="A39" s="60" t="s">
        <v>36</v>
      </c>
      <c r="B39" s="70" t="str">
        <f t="shared" si="21"/>
        <v>-</v>
      </c>
      <c r="C39" s="71" t="str">
        <f t="shared" si="22"/>
        <v>-</v>
      </c>
      <c r="D39" s="72">
        <f t="shared" si="23"/>
        <v>0</v>
      </c>
      <c r="E39" s="72">
        <v>0</v>
      </c>
      <c r="F39" s="72">
        <v>0</v>
      </c>
      <c r="G39" s="72">
        <v>0</v>
      </c>
      <c r="H39" s="72">
        <v>0</v>
      </c>
      <c r="I39" s="72">
        <f t="shared" si="24"/>
        <v>0</v>
      </c>
      <c r="J39" s="86" t="s">
        <v>98</v>
      </c>
      <c r="L39" s="88">
        <v>241</v>
      </c>
      <c r="M39" s="89" t="s">
        <v>1907</v>
      </c>
      <c r="N39" s="90" t="s">
        <v>33</v>
      </c>
      <c r="O39" s="90" t="s">
        <v>97</v>
      </c>
      <c r="P39" s="91">
        <v>42993</v>
      </c>
      <c r="Q39" s="102">
        <v>34740</v>
      </c>
      <c r="R39" s="89" t="s">
        <v>1908</v>
      </c>
      <c r="S39" s="89" t="s">
        <v>1879</v>
      </c>
      <c r="T39" s="89"/>
      <c r="U39" s="103" t="s">
        <v>343</v>
      </c>
      <c r="V39" s="105" t="s">
        <v>1325</v>
      </c>
      <c r="W39" s="102">
        <v>34740</v>
      </c>
      <c r="X39" s="102"/>
      <c r="Y39" s="102"/>
      <c r="Z39" s="107"/>
      <c r="AA39" s="102"/>
      <c r="AB39" s="102"/>
      <c r="AC39" s="102"/>
      <c r="AD39" s="107"/>
      <c r="AE39" s="102"/>
      <c r="AF39" s="102"/>
      <c r="AG39" s="102"/>
      <c r="AH39" s="107"/>
      <c r="AI39" s="102"/>
      <c r="AJ39" s="102"/>
      <c r="AK39" s="102"/>
      <c r="AL39" s="107"/>
      <c r="AM39" s="102"/>
      <c r="AN39" s="102"/>
      <c r="AO39" s="102"/>
      <c r="AP39" s="107"/>
      <c r="AQ39" s="102"/>
      <c r="AR39" s="102"/>
      <c r="AS39" s="102"/>
      <c r="AT39" s="107"/>
      <c r="AU39" s="102"/>
      <c r="AV39" s="102"/>
      <c r="AW39" s="102"/>
      <c r="AX39" s="107"/>
      <c r="AY39" s="102"/>
      <c r="AZ39" s="102"/>
      <c r="BA39" s="102"/>
      <c r="BB39" s="102"/>
      <c r="BC39" s="102"/>
      <c r="BD39" s="102"/>
      <c r="BE39" s="102"/>
      <c r="BF39" s="102"/>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22"/>
      <c r="CD39" s="123">
        <f t="shared" si="31"/>
        <v>34740</v>
      </c>
      <c r="CE39" s="102">
        <f t="shared" si="32"/>
        <v>0</v>
      </c>
      <c r="CF39" s="102">
        <f t="shared" si="33"/>
        <v>0</v>
      </c>
      <c r="CG39" s="102">
        <f t="shared" si="34"/>
        <v>0</v>
      </c>
      <c r="CH39" s="124">
        <f t="shared" si="35"/>
        <v>34740</v>
      </c>
      <c r="CI39" s="125">
        <f t="shared" si="36"/>
        <v>0</v>
      </c>
      <c r="CJ39" s="126" t="str">
        <f t="shared" si="37"/>
        <v>数据正确</v>
      </c>
    </row>
    <row r="40" s="60" customFormat="1" customHeight="1" spans="1:88">
      <c r="A40" s="60" t="s">
        <v>36</v>
      </c>
      <c r="B40" s="70" t="str">
        <f t="shared" si="21"/>
        <v>-</v>
      </c>
      <c r="C40" s="71" t="str">
        <f t="shared" si="22"/>
        <v>-</v>
      </c>
      <c r="D40" s="72">
        <f t="shared" si="23"/>
        <v>172508</v>
      </c>
      <c r="E40" s="72">
        <v>0</v>
      </c>
      <c r="F40" s="72">
        <v>0</v>
      </c>
      <c r="G40" s="72">
        <v>0</v>
      </c>
      <c r="H40" s="72">
        <v>0</v>
      </c>
      <c r="I40" s="72">
        <f t="shared" si="24"/>
        <v>0</v>
      </c>
      <c r="J40" s="86" t="s">
        <v>98</v>
      </c>
      <c r="L40" s="88">
        <v>242</v>
      </c>
      <c r="M40" s="89" t="s">
        <v>1909</v>
      </c>
      <c r="N40" s="90" t="s">
        <v>33</v>
      </c>
      <c r="O40" s="90" t="s">
        <v>97</v>
      </c>
      <c r="P40" s="91">
        <v>42993</v>
      </c>
      <c r="Q40" s="102">
        <f>176120+14000</f>
        <v>190120</v>
      </c>
      <c r="R40" s="89" t="s">
        <v>1910</v>
      </c>
      <c r="S40" s="89" t="s">
        <v>1879</v>
      </c>
      <c r="T40" s="89"/>
      <c r="U40" s="103" t="s">
        <v>343</v>
      </c>
      <c r="V40" s="105" t="s">
        <v>1241</v>
      </c>
      <c r="W40" s="102">
        <f>176120*0.9+14000</f>
        <v>172508</v>
      </c>
      <c r="X40" s="102">
        <v>172508</v>
      </c>
      <c r="Y40" s="102">
        <v>172508</v>
      </c>
      <c r="Z40" s="107" t="s">
        <v>1892</v>
      </c>
      <c r="AA40" s="102">
        <f>176120*0.1</f>
        <v>17612</v>
      </c>
      <c r="AB40" s="102"/>
      <c r="AC40" s="102"/>
      <c r="AD40" s="107"/>
      <c r="AE40" s="102"/>
      <c r="AF40" s="102"/>
      <c r="AG40" s="102"/>
      <c r="AH40" s="107"/>
      <c r="AI40" s="102"/>
      <c r="AJ40" s="102"/>
      <c r="AK40" s="102"/>
      <c r="AL40" s="107"/>
      <c r="AM40" s="102"/>
      <c r="AN40" s="102"/>
      <c r="AO40" s="102"/>
      <c r="AP40" s="107"/>
      <c r="AQ40" s="102"/>
      <c r="AR40" s="102"/>
      <c r="AS40" s="102"/>
      <c r="AT40" s="107"/>
      <c r="AU40" s="102"/>
      <c r="AV40" s="102"/>
      <c r="AW40" s="102"/>
      <c r="AX40" s="107"/>
      <c r="AY40" s="102"/>
      <c r="AZ40" s="102"/>
      <c r="BA40" s="102"/>
      <c r="BB40" s="102"/>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22"/>
      <c r="CD40" s="123">
        <f t="shared" si="31"/>
        <v>190120</v>
      </c>
      <c r="CE40" s="102">
        <f t="shared" si="32"/>
        <v>172508</v>
      </c>
      <c r="CF40" s="102">
        <f t="shared" si="33"/>
        <v>172508</v>
      </c>
      <c r="CG40" s="102">
        <f t="shared" si="34"/>
        <v>0</v>
      </c>
      <c r="CH40" s="124">
        <f t="shared" si="35"/>
        <v>17612</v>
      </c>
      <c r="CI40" s="125">
        <f t="shared" si="36"/>
        <v>0.907363770250368</v>
      </c>
      <c r="CJ40" s="126" t="str">
        <f t="shared" si="37"/>
        <v>数据正确</v>
      </c>
    </row>
    <row r="41" s="60" customFormat="1" customHeight="1" spans="2:88">
      <c r="B41" s="70" t="str">
        <f t="shared" si="21"/>
        <v>-</v>
      </c>
      <c r="C41" s="71" t="str">
        <f t="shared" si="22"/>
        <v>-</v>
      </c>
      <c r="D41" s="72">
        <f t="shared" si="23"/>
        <v>0</v>
      </c>
      <c r="E41" s="72">
        <v>0</v>
      </c>
      <c r="F41" s="72">
        <v>0</v>
      </c>
      <c r="G41" s="72">
        <v>0</v>
      </c>
      <c r="H41" s="72">
        <v>0</v>
      </c>
      <c r="I41" s="72">
        <f t="shared" si="24"/>
        <v>0</v>
      </c>
      <c r="J41" s="86" t="s">
        <v>98</v>
      </c>
      <c r="L41" s="88">
        <v>262</v>
      </c>
      <c r="M41" s="89" t="s">
        <v>1909</v>
      </c>
      <c r="N41" s="90" t="s">
        <v>33</v>
      </c>
      <c r="O41" s="90" t="s">
        <v>97</v>
      </c>
      <c r="P41" s="91">
        <v>42993</v>
      </c>
      <c r="Q41" s="102">
        <v>97520</v>
      </c>
      <c r="R41" s="89" t="s">
        <v>1911</v>
      </c>
      <c r="S41" s="89" t="s">
        <v>1813</v>
      </c>
      <c r="T41" s="89"/>
      <c r="U41" s="103" t="s">
        <v>650</v>
      </c>
      <c r="V41" s="105" t="s">
        <v>1912</v>
      </c>
      <c r="W41" s="102">
        <v>87768</v>
      </c>
      <c r="X41" s="102"/>
      <c r="Y41" s="102"/>
      <c r="Z41" s="107" t="s">
        <v>1892</v>
      </c>
      <c r="AA41" s="102">
        <v>9752</v>
      </c>
      <c r="AB41" s="102"/>
      <c r="AC41" s="102"/>
      <c r="AD41" s="107"/>
      <c r="AE41" s="102"/>
      <c r="AF41" s="102"/>
      <c r="AG41" s="102"/>
      <c r="AH41" s="107"/>
      <c r="AI41" s="102"/>
      <c r="AJ41" s="102"/>
      <c r="AK41" s="102"/>
      <c r="AL41" s="107"/>
      <c r="AM41" s="102"/>
      <c r="AN41" s="102"/>
      <c r="AO41" s="102"/>
      <c r="AP41" s="107"/>
      <c r="AQ41" s="102"/>
      <c r="AR41" s="102"/>
      <c r="AS41" s="102"/>
      <c r="AT41" s="107"/>
      <c r="AU41" s="102"/>
      <c r="AV41" s="102"/>
      <c r="AW41" s="102"/>
      <c r="AX41" s="107"/>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22"/>
      <c r="CD41" s="123">
        <f t="shared" si="31"/>
        <v>97520</v>
      </c>
      <c r="CE41" s="102">
        <f t="shared" si="32"/>
        <v>0</v>
      </c>
      <c r="CF41" s="102">
        <f t="shared" si="33"/>
        <v>0</v>
      </c>
      <c r="CG41" s="102">
        <f t="shared" si="34"/>
        <v>0</v>
      </c>
      <c r="CH41" s="124">
        <f t="shared" si="35"/>
        <v>97520</v>
      </c>
      <c r="CI41" s="125">
        <f t="shared" si="36"/>
        <v>0</v>
      </c>
      <c r="CJ41" s="126" t="str">
        <f t="shared" si="37"/>
        <v>数据正确</v>
      </c>
    </row>
    <row r="42" s="60" customFormat="1" customHeight="1" spans="2:88">
      <c r="B42" s="70" t="str">
        <f t="shared" si="21"/>
        <v>-</v>
      </c>
      <c r="C42" s="71" t="str">
        <f t="shared" si="22"/>
        <v>已付清</v>
      </c>
      <c r="D42" s="72">
        <f t="shared" si="23"/>
        <v>104000</v>
      </c>
      <c r="E42" s="72">
        <v>0</v>
      </c>
      <c r="F42" s="72">
        <v>0</v>
      </c>
      <c r="G42" s="72">
        <v>0</v>
      </c>
      <c r="H42" s="72">
        <v>0</v>
      </c>
      <c r="I42" s="72">
        <f t="shared" si="24"/>
        <v>0</v>
      </c>
      <c r="J42" s="86" t="s">
        <v>98</v>
      </c>
      <c r="L42" s="88">
        <v>263</v>
      </c>
      <c r="M42" s="89" t="s">
        <v>1913</v>
      </c>
      <c r="N42" s="90" t="s">
        <v>33</v>
      </c>
      <c r="O42" s="90">
        <v>2017090007</v>
      </c>
      <c r="P42" s="91">
        <v>42998</v>
      </c>
      <c r="Q42" s="102">
        <v>104000</v>
      </c>
      <c r="R42" s="89" t="s">
        <v>1914</v>
      </c>
      <c r="S42" s="89" t="s">
        <v>1021</v>
      </c>
      <c r="T42" s="89"/>
      <c r="U42" s="103" t="s">
        <v>343</v>
      </c>
      <c r="V42" s="105" t="s">
        <v>1915</v>
      </c>
      <c r="W42" s="102">
        <v>104000</v>
      </c>
      <c r="X42" s="102">
        <v>104000</v>
      </c>
      <c r="Y42" s="102">
        <v>104000</v>
      </c>
      <c r="Z42" s="107"/>
      <c r="AA42" s="102"/>
      <c r="AB42" s="102"/>
      <c r="AC42" s="102"/>
      <c r="AD42" s="107"/>
      <c r="AE42" s="102"/>
      <c r="AF42" s="102"/>
      <c r="AG42" s="102"/>
      <c r="AH42" s="107"/>
      <c r="AI42" s="102"/>
      <c r="AJ42" s="102"/>
      <c r="AK42" s="102"/>
      <c r="AL42" s="107"/>
      <c r="AM42" s="102"/>
      <c r="AN42" s="102"/>
      <c r="AO42" s="102"/>
      <c r="AP42" s="107"/>
      <c r="AQ42" s="102"/>
      <c r="AR42" s="102"/>
      <c r="AS42" s="102"/>
      <c r="AT42" s="107"/>
      <c r="AU42" s="102"/>
      <c r="AV42" s="102"/>
      <c r="AW42" s="102"/>
      <c r="AX42" s="107"/>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22"/>
      <c r="CD42" s="123">
        <f t="shared" si="31"/>
        <v>104000</v>
      </c>
      <c r="CE42" s="102">
        <f t="shared" si="32"/>
        <v>104000</v>
      </c>
      <c r="CF42" s="102">
        <f t="shared" si="33"/>
        <v>104000</v>
      </c>
      <c r="CG42" s="102">
        <f t="shared" si="34"/>
        <v>0</v>
      </c>
      <c r="CH42" s="124">
        <f t="shared" si="35"/>
        <v>0</v>
      </c>
      <c r="CI42" s="125">
        <f t="shared" si="36"/>
        <v>1</v>
      </c>
      <c r="CJ42" s="126" t="str">
        <f t="shared" si="37"/>
        <v>数据正确</v>
      </c>
    </row>
    <row r="43" s="60" customFormat="1" customHeight="1" spans="2:88">
      <c r="B43" s="70" t="str">
        <f t="shared" si="21"/>
        <v>-</v>
      </c>
      <c r="C43" s="71" t="str">
        <f t="shared" si="22"/>
        <v>-</v>
      </c>
      <c r="D43" s="72">
        <f t="shared" si="23"/>
        <v>0</v>
      </c>
      <c r="E43" s="72">
        <v>0</v>
      </c>
      <c r="F43" s="72">
        <v>0</v>
      </c>
      <c r="G43" s="72">
        <v>0</v>
      </c>
      <c r="H43" s="72">
        <v>0</v>
      </c>
      <c r="I43" s="72">
        <f t="shared" si="24"/>
        <v>0</v>
      </c>
      <c r="J43" s="86" t="s">
        <v>98</v>
      </c>
      <c r="L43" s="88">
        <v>264</v>
      </c>
      <c r="M43" s="89" t="s">
        <v>1916</v>
      </c>
      <c r="N43" s="90" t="s">
        <v>33</v>
      </c>
      <c r="O43" s="90" t="s">
        <v>97</v>
      </c>
      <c r="P43" s="91">
        <v>42954</v>
      </c>
      <c r="Q43" s="102">
        <v>99830</v>
      </c>
      <c r="R43" s="89" t="s">
        <v>1917</v>
      </c>
      <c r="S43" s="89" t="s">
        <v>1807</v>
      </c>
      <c r="T43" s="89"/>
      <c r="U43" s="103" t="s">
        <v>650</v>
      </c>
      <c r="V43" s="105" t="s">
        <v>1808</v>
      </c>
      <c r="W43" s="102">
        <v>94838.5</v>
      </c>
      <c r="X43" s="102"/>
      <c r="Y43" s="102"/>
      <c r="Z43" s="107" t="s">
        <v>1918</v>
      </c>
      <c r="AA43" s="102">
        <v>4991.5</v>
      </c>
      <c r="AB43" s="102"/>
      <c r="AC43" s="102"/>
      <c r="AD43" s="107"/>
      <c r="AE43" s="102"/>
      <c r="AF43" s="102"/>
      <c r="AG43" s="102"/>
      <c r="AH43" s="107"/>
      <c r="AI43" s="102"/>
      <c r="AJ43" s="102"/>
      <c r="AK43" s="102"/>
      <c r="AL43" s="107"/>
      <c r="AM43" s="102"/>
      <c r="AN43" s="102"/>
      <c r="AO43" s="102"/>
      <c r="AP43" s="107"/>
      <c r="AQ43" s="102"/>
      <c r="AR43" s="102"/>
      <c r="AS43" s="102"/>
      <c r="AT43" s="107"/>
      <c r="AU43" s="102"/>
      <c r="AV43" s="102"/>
      <c r="AW43" s="102"/>
      <c r="AX43" s="107"/>
      <c r="AY43" s="102"/>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22"/>
      <c r="CD43" s="123">
        <f t="shared" si="31"/>
        <v>99830</v>
      </c>
      <c r="CE43" s="102">
        <f t="shared" si="32"/>
        <v>0</v>
      </c>
      <c r="CF43" s="102">
        <f t="shared" si="33"/>
        <v>0</v>
      </c>
      <c r="CG43" s="102">
        <f t="shared" si="34"/>
        <v>0</v>
      </c>
      <c r="CH43" s="124">
        <f t="shared" si="35"/>
        <v>99830</v>
      </c>
      <c r="CI43" s="125">
        <f t="shared" si="36"/>
        <v>0</v>
      </c>
      <c r="CJ43" s="126" t="str">
        <f t="shared" si="37"/>
        <v>数据正确</v>
      </c>
    </row>
    <row r="44" s="60" customFormat="1" customHeight="1" spans="2:88">
      <c r="B44" s="70" t="str">
        <f t="shared" si="21"/>
        <v>-</v>
      </c>
      <c r="C44" s="71" t="str">
        <f t="shared" si="22"/>
        <v>-</v>
      </c>
      <c r="D44" s="72">
        <f t="shared" si="23"/>
        <v>0</v>
      </c>
      <c r="E44" s="72">
        <v>0</v>
      </c>
      <c r="F44" s="72">
        <v>0</v>
      </c>
      <c r="G44" s="72">
        <v>0</v>
      </c>
      <c r="H44" s="72">
        <v>0</v>
      </c>
      <c r="I44" s="72">
        <f t="shared" si="24"/>
        <v>0</v>
      </c>
      <c r="J44" s="86" t="s">
        <v>98</v>
      </c>
      <c r="L44" s="88">
        <v>265</v>
      </c>
      <c r="M44" s="89" t="s">
        <v>1919</v>
      </c>
      <c r="N44" s="90" t="s">
        <v>33</v>
      </c>
      <c r="O44" s="90" t="s">
        <v>97</v>
      </c>
      <c r="P44" s="91">
        <v>42961</v>
      </c>
      <c r="Q44" s="102">
        <v>50715</v>
      </c>
      <c r="R44" s="89" t="s">
        <v>1920</v>
      </c>
      <c r="S44" s="89" t="s">
        <v>1807</v>
      </c>
      <c r="T44" s="89"/>
      <c r="U44" s="103" t="s">
        <v>650</v>
      </c>
      <c r="V44" s="105" t="s">
        <v>1915</v>
      </c>
      <c r="W44" s="102">
        <v>50715</v>
      </c>
      <c r="X44" s="102"/>
      <c r="Y44" s="102"/>
      <c r="Z44" s="107"/>
      <c r="AA44" s="102"/>
      <c r="AB44" s="102"/>
      <c r="AC44" s="102"/>
      <c r="AD44" s="107"/>
      <c r="AE44" s="102"/>
      <c r="AF44" s="102"/>
      <c r="AG44" s="102"/>
      <c r="AH44" s="107"/>
      <c r="AI44" s="102"/>
      <c r="AJ44" s="102"/>
      <c r="AK44" s="102"/>
      <c r="AL44" s="107"/>
      <c r="AM44" s="102"/>
      <c r="AN44" s="102"/>
      <c r="AO44" s="102"/>
      <c r="AP44" s="107"/>
      <c r="AQ44" s="102"/>
      <c r="AR44" s="102"/>
      <c r="AS44" s="102"/>
      <c r="AT44" s="107"/>
      <c r="AU44" s="102"/>
      <c r="AV44" s="102"/>
      <c r="AW44" s="102"/>
      <c r="AX44" s="107"/>
      <c r="AY44" s="102"/>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22"/>
      <c r="CD44" s="123">
        <f t="shared" si="31"/>
        <v>50715</v>
      </c>
      <c r="CE44" s="102">
        <f t="shared" si="32"/>
        <v>0</v>
      </c>
      <c r="CF44" s="102">
        <f t="shared" si="33"/>
        <v>0</v>
      </c>
      <c r="CG44" s="102">
        <f t="shared" si="34"/>
        <v>0</v>
      </c>
      <c r="CH44" s="124">
        <f t="shared" si="35"/>
        <v>50715</v>
      </c>
      <c r="CI44" s="125">
        <f t="shared" si="36"/>
        <v>0</v>
      </c>
      <c r="CJ44" s="126" t="str">
        <f t="shared" si="37"/>
        <v>数据正确</v>
      </c>
    </row>
    <row r="45" s="60" customFormat="1" customHeight="1" spans="2:88">
      <c r="B45" s="70" t="str">
        <f t="shared" si="21"/>
        <v>-</v>
      </c>
      <c r="C45" s="71" t="str">
        <f t="shared" si="22"/>
        <v>-</v>
      </c>
      <c r="D45" s="72">
        <f t="shared" si="23"/>
        <v>0</v>
      </c>
      <c r="E45" s="72">
        <v>0</v>
      </c>
      <c r="F45" s="72">
        <v>0</v>
      </c>
      <c r="G45" s="72">
        <v>0</v>
      </c>
      <c r="H45" s="72">
        <v>0</v>
      </c>
      <c r="I45" s="72">
        <f t="shared" si="24"/>
        <v>0</v>
      </c>
      <c r="J45" s="86" t="s">
        <v>98</v>
      </c>
      <c r="L45" s="88">
        <v>266</v>
      </c>
      <c r="M45" s="89" t="s">
        <v>1921</v>
      </c>
      <c r="N45" s="90" t="s">
        <v>33</v>
      </c>
      <c r="O45" s="90">
        <v>2017090015</v>
      </c>
      <c r="P45" s="91">
        <v>43006</v>
      </c>
      <c r="Q45" s="102">
        <v>192345</v>
      </c>
      <c r="R45" s="89" t="s">
        <v>1922</v>
      </c>
      <c r="S45" s="89" t="s">
        <v>1895</v>
      </c>
      <c r="T45" s="89"/>
      <c r="U45" s="103" t="s">
        <v>650</v>
      </c>
      <c r="V45" s="105" t="s">
        <v>1912</v>
      </c>
      <c r="W45" s="102">
        <v>173110.5</v>
      </c>
      <c r="X45" s="102"/>
      <c r="Y45" s="102"/>
      <c r="Z45" s="107" t="s">
        <v>1892</v>
      </c>
      <c r="AA45" s="102">
        <v>19234.5</v>
      </c>
      <c r="AB45" s="102"/>
      <c r="AC45" s="102"/>
      <c r="AD45" s="107"/>
      <c r="AE45" s="102"/>
      <c r="AF45" s="102"/>
      <c r="AG45" s="102"/>
      <c r="AH45" s="107"/>
      <c r="AI45" s="102"/>
      <c r="AJ45" s="102"/>
      <c r="AK45" s="102"/>
      <c r="AL45" s="107"/>
      <c r="AM45" s="102"/>
      <c r="AN45" s="102"/>
      <c r="AO45" s="102"/>
      <c r="AP45" s="107"/>
      <c r="AQ45" s="102"/>
      <c r="AR45" s="102"/>
      <c r="AS45" s="102"/>
      <c r="AT45" s="107"/>
      <c r="AU45" s="102"/>
      <c r="AV45" s="102"/>
      <c r="AW45" s="102"/>
      <c r="AX45" s="107"/>
      <c r="AY45" s="102"/>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22"/>
      <c r="CD45" s="123">
        <f t="shared" si="31"/>
        <v>192345</v>
      </c>
      <c r="CE45" s="102">
        <f t="shared" si="32"/>
        <v>0</v>
      </c>
      <c r="CF45" s="102">
        <f t="shared" si="33"/>
        <v>0</v>
      </c>
      <c r="CG45" s="102">
        <f t="shared" si="34"/>
        <v>0</v>
      </c>
      <c r="CH45" s="124">
        <f t="shared" si="35"/>
        <v>192345</v>
      </c>
      <c r="CI45" s="125">
        <f t="shared" si="36"/>
        <v>0</v>
      </c>
      <c r="CJ45" s="126" t="str">
        <f t="shared" si="37"/>
        <v>数据正确</v>
      </c>
    </row>
    <row r="46" s="60" customFormat="1" customHeight="1" spans="1:88">
      <c r="A46" s="60" t="s">
        <v>36</v>
      </c>
      <c r="B46" s="70" t="str">
        <f t="shared" si="21"/>
        <v>-</v>
      </c>
      <c r="C46" s="71" t="str">
        <f t="shared" si="22"/>
        <v>已付清</v>
      </c>
      <c r="D46" s="72">
        <f t="shared" si="23"/>
        <v>450000</v>
      </c>
      <c r="E46" s="72">
        <v>0</v>
      </c>
      <c r="F46" s="72">
        <v>0</v>
      </c>
      <c r="G46" s="72">
        <v>0</v>
      </c>
      <c r="H46" s="72">
        <v>0</v>
      </c>
      <c r="I46" s="72">
        <f t="shared" si="24"/>
        <v>0</v>
      </c>
      <c r="J46" s="86" t="s">
        <v>98</v>
      </c>
      <c r="L46" s="88">
        <v>267</v>
      </c>
      <c r="M46" s="89" t="s">
        <v>1923</v>
      </c>
      <c r="N46" s="90" t="s">
        <v>33</v>
      </c>
      <c r="O46" s="90" t="s">
        <v>97</v>
      </c>
      <c r="P46" s="91">
        <v>42992</v>
      </c>
      <c r="Q46" s="102">
        <v>450000</v>
      </c>
      <c r="R46" s="89" t="s">
        <v>1924</v>
      </c>
      <c r="S46" s="89" t="s">
        <v>1925</v>
      </c>
      <c r="T46" s="89"/>
      <c r="U46" s="103" t="s">
        <v>343</v>
      </c>
      <c r="V46" s="105" t="s">
        <v>1926</v>
      </c>
      <c r="W46" s="102">
        <v>450000</v>
      </c>
      <c r="X46" s="102">
        <v>450000</v>
      </c>
      <c r="Y46" s="102">
        <v>450000</v>
      </c>
      <c r="Z46" s="107"/>
      <c r="AA46" s="102"/>
      <c r="AB46" s="102"/>
      <c r="AC46" s="102"/>
      <c r="AD46" s="107"/>
      <c r="AE46" s="102"/>
      <c r="AF46" s="102"/>
      <c r="AG46" s="102"/>
      <c r="AH46" s="107"/>
      <c r="AI46" s="102"/>
      <c r="AJ46" s="102"/>
      <c r="AK46" s="102"/>
      <c r="AL46" s="107"/>
      <c r="AM46" s="102"/>
      <c r="AN46" s="102"/>
      <c r="AO46" s="102"/>
      <c r="AP46" s="107"/>
      <c r="AQ46" s="102"/>
      <c r="AR46" s="102"/>
      <c r="AS46" s="102"/>
      <c r="AT46" s="107"/>
      <c r="AU46" s="102"/>
      <c r="AV46" s="102"/>
      <c r="AW46" s="102"/>
      <c r="AX46" s="107"/>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22"/>
      <c r="CD46" s="123">
        <f t="shared" si="31"/>
        <v>450000</v>
      </c>
      <c r="CE46" s="102">
        <f t="shared" si="32"/>
        <v>450000</v>
      </c>
      <c r="CF46" s="102">
        <f t="shared" si="33"/>
        <v>450000</v>
      </c>
      <c r="CG46" s="102">
        <f t="shared" si="34"/>
        <v>0</v>
      </c>
      <c r="CH46" s="124">
        <f t="shared" si="35"/>
        <v>0</v>
      </c>
      <c r="CI46" s="125">
        <f t="shared" si="36"/>
        <v>1</v>
      </c>
      <c r="CJ46" s="126" t="str">
        <f t="shared" si="37"/>
        <v>数据正确</v>
      </c>
    </row>
    <row r="47" s="60" customFormat="1" customHeight="1" spans="2:88">
      <c r="B47" s="70" t="str">
        <f t="shared" si="21"/>
        <v>-</v>
      </c>
      <c r="C47" s="71" t="str">
        <f t="shared" si="22"/>
        <v>已付清</v>
      </c>
      <c r="D47" s="72">
        <f t="shared" si="23"/>
        <v>31646</v>
      </c>
      <c r="E47" s="72">
        <v>0</v>
      </c>
      <c r="F47" s="72">
        <v>0</v>
      </c>
      <c r="G47" s="72">
        <v>0</v>
      </c>
      <c r="H47" s="72">
        <v>0</v>
      </c>
      <c r="I47" s="72">
        <f t="shared" si="24"/>
        <v>0</v>
      </c>
      <c r="J47" s="86" t="s">
        <v>98</v>
      </c>
      <c r="L47" s="88">
        <v>284</v>
      </c>
      <c r="M47" s="89" t="s">
        <v>97</v>
      </c>
      <c r="N47" s="90" t="s">
        <v>33</v>
      </c>
      <c r="O47" s="90" t="s">
        <v>97</v>
      </c>
      <c r="P47" s="91">
        <v>42979</v>
      </c>
      <c r="Q47" s="102">
        <v>31646</v>
      </c>
      <c r="R47" s="89" t="s">
        <v>1927</v>
      </c>
      <c r="S47" s="89" t="s">
        <v>1928</v>
      </c>
      <c r="T47" s="89"/>
      <c r="U47" s="103" t="s">
        <v>343</v>
      </c>
      <c r="V47" s="105" t="s">
        <v>97</v>
      </c>
      <c r="W47" s="102">
        <v>31646</v>
      </c>
      <c r="X47" s="102">
        <v>31646</v>
      </c>
      <c r="Y47" s="102">
        <v>31646</v>
      </c>
      <c r="Z47" s="107"/>
      <c r="AA47" s="102"/>
      <c r="AB47" s="102"/>
      <c r="AC47" s="102"/>
      <c r="AD47" s="107"/>
      <c r="AE47" s="102"/>
      <c r="AF47" s="102"/>
      <c r="AG47" s="102"/>
      <c r="AH47" s="107"/>
      <c r="AI47" s="102"/>
      <c r="AJ47" s="102"/>
      <c r="AK47" s="102"/>
      <c r="AL47" s="107"/>
      <c r="AM47" s="102"/>
      <c r="AN47" s="102"/>
      <c r="AO47" s="102"/>
      <c r="AP47" s="107"/>
      <c r="AQ47" s="102"/>
      <c r="AR47" s="102"/>
      <c r="AS47" s="102"/>
      <c r="AT47" s="107"/>
      <c r="AU47" s="102"/>
      <c r="AV47" s="102"/>
      <c r="AW47" s="102"/>
      <c r="AX47" s="107"/>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22"/>
      <c r="CD47" s="123">
        <f t="shared" si="31"/>
        <v>31646</v>
      </c>
      <c r="CE47" s="102">
        <f t="shared" si="32"/>
        <v>31646</v>
      </c>
      <c r="CF47" s="102">
        <f t="shared" si="33"/>
        <v>31646</v>
      </c>
      <c r="CG47" s="102">
        <f t="shared" si="34"/>
        <v>0</v>
      </c>
      <c r="CH47" s="124">
        <f t="shared" si="35"/>
        <v>0</v>
      </c>
      <c r="CI47" s="125">
        <f t="shared" si="36"/>
        <v>1</v>
      </c>
      <c r="CJ47" s="126" t="str">
        <f t="shared" si="37"/>
        <v>数据正确</v>
      </c>
    </row>
    <row r="48" s="60" customFormat="1" customHeight="1" spans="2:88">
      <c r="B48" s="70" t="str">
        <f t="shared" si="21"/>
        <v>-</v>
      </c>
      <c r="C48" s="71" t="str">
        <f t="shared" si="22"/>
        <v>-</v>
      </c>
      <c r="D48" s="72">
        <f t="shared" si="23"/>
        <v>0</v>
      </c>
      <c r="E48" s="72">
        <v>0</v>
      </c>
      <c r="F48" s="72">
        <v>0</v>
      </c>
      <c r="G48" s="72">
        <v>0</v>
      </c>
      <c r="H48" s="72">
        <v>0</v>
      </c>
      <c r="I48" s="72">
        <f t="shared" si="24"/>
        <v>0</v>
      </c>
      <c r="J48" s="86" t="s">
        <v>98</v>
      </c>
      <c r="L48" s="88">
        <v>307</v>
      </c>
      <c r="M48" s="89" t="s">
        <v>97</v>
      </c>
      <c r="N48" s="90" t="s">
        <v>33</v>
      </c>
      <c r="O48" s="90" t="s">
        <v>97</v>
      </c>
      <c r="P48" s="91">
        <v>43020</v>
      </c>
      <c r="Q48" s="102">
        <v>21492</v>
      </c>
      <c r="R48" s="89" t="s">
        <v>1929</v>
      </c>
      <c r="S48" s="89" t="s">
        <v>1819</v>
      </c>
      <c r="T48" s="89"/>
      <c r="U48" s="103" t="s">
        <v>343</v>
      </c>
      <c r="V48" s="105" t="s">
        <v>1325</v>
      </c>
      <c r="W48" s="102">
        <v>21492</v>
      </c>
      <c r="X48" s="102"/>
      <c r="Y48" s="102"/>
      <c r="Z48" s="107"/>
      <c r="AA48" s="102"/>
      <c r="AB48" s="102"/>
      <c r="AC48" s="102"/>
      <c r="AD48" s="107"/>
      <c r="AE48" s="102"/>
      <c r="AF48" s="102"/>
      <c r="AG48" s="102"/>
      <c r="AH48" s="107"/>
      <c r="AI48" s="102"/>
      <c r="AJ48" s="102"/>
      <c r="AK48" s="102"/>
      <c r="AL48" s="107"/>
      <c r="AM48" s="102"/>
      <c r="AN48" s="102"/>
      <c r="AO48" s="102"/>
      <c r="AP48" s="107"/>
      <c r="AQ48" s="102"/>
      <c r="AR48" s="102"/>
      <c r="AS48" s="102"/>
      <c r="AT48" s="107"/>
      <c r="AU48" s="102"/>
      <c r="AV48" s="102"/>
      <c r="AW48" s="102"/>
      <c r="AX48" s="107"/>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22"/>
      <c r="CD48" s="123">
        <f t="shared" si="31"/>
        <v>21492</v>
      </c>
      <c r="CE48" s="102">
        <f t="shared" si="32"/>
        <v>0</v>
      </c>
      <c r="CF48" s="102">
        <f t="shared" si="33"/>
        <v>0</v>
      </c>
      <c r="CG48" s="102">
        <f t="shared" si="34"/>
        <v>0</v>
      </c>
      <c r="CH48" s="124">
        <f t="shared" si="35"/>
        <v>21492</v>
      </c>
      <c r="CI48" s="125">
        <f t="shared" si="36"/>
        <v>0</v>
      </c>
      <c r="CJ48" s="126" t="str">
        <f t="shared" si="37"/>
        <v>数据正确</v>
      </c>
    </row>
    <row r="49" s="60" customFormat="1" customHeight="1" spans="2:88">
      <c r="B49" s="70"/>
      <c r="C49" s="71"/>
      <c r="D49" s="72"/>
      <c r="E49" s="72"/>
      <c r="F49" s="72"/>
      <c r="G49" s="72"/>
      <c r="H49" s="72"/>
      <c r="I49" s="72"/>
      <c r="J49" s="86"/>
      <c r="L49" s="88">
        <v>324</v>
      </c>
      <c r="M49" s="89" t="s">
        <v>97</v>
      </c>
      <c r="N49" s="90" t="s">
        <v>33</v>
      </c>
      <c r="O49" s="90" t="s">
        <v>97</v>
      </c>
      <c r="P49" s="91">
        <v>43040</v>
      </c>
      <c r="Q49" s="102">
        <v>45900</v>
      </c>
      <c r="R49" s="89" t="s">
        <v>1930</v>
      </c>
      <c r="S49" s="89" t="s">
        <v>1864</v>
      </c>
      <c r="T49" s="89"/>
      <c r="U49" s="103" t="s">
        <v>636</v>
      </c>
      <c r="V49" s="105" t="s">
        <v>1325</v>
      </c>
      <c r="W49" s="102">
        <f>Q49</f>
        <v>45900</v>
      </c>
      <c r="X49" s="102"/>
      <c r="Y49" s="102"/>
      <c r="Z49" s="107"/>
      <c r="AA49" s="102"/>
      <c r="AB49" s="102"/>
      <c r="AC49" s="102"/>
      <c r="AD49" s="107"/>
      <c r="AE49" s="102"/>
      <c r="AF49" s="102"/>
      <c r="AG49" s="102"/>
      <c r="AH49" s="107"/>
      <c r="AI49" s="102"/>
      <c r="AJ49" s="102"/>
      <c r="AK49" s="102"/>
      <c r="AL49" s="107"/>
      <c r="AM49" s="102"/>
      <c r="AN49" s="102"/>
      <c r="AO49" s="102"/>
      <c r="AP49" s="107"/>
      <c r="AQ49" s="102"/>
      <c r="AR49" s="102"/>
      <c r="AS49" s="102"/>
      <c r="AT49" s="107"/>
      <c r="AU49" s="102"/>
      <c r="AV49" s="102"/>
      <c r="AW49" s="102"/>
      <c r="AX49" s="107"/>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22"/>
      <c r="CD49" s="123">
        <f t="shared" si="31"/>
        <v>45900</v>
      </c>
      <c r="CE49" s="102">
        <f t="shared" si="32"/>
        <v>0</v>
      </c>
      <c r="CF49" s="102">
        <f t="shared" si="33"/>
        <v>0</v>
      </c>
      <c r="CG49" s="102">
        <f t="shared" si="34"/>
        <v>0</v>
      </c>
      <c r="CH49" s="124">
        <f t="shared" si="35"/>
        <v>45900</v>
      </c>
      <c r="CI49" s="125">
        <f t="shared" si="36"/>
        <v>0</v>
      </c>
      <c r="CJ49" s="126" t="str">
        <f t="shared" si="37"/>
        <v>数据正确</v>
      </c>
    </row>
    <row r="50" s="60" customFormat="1" customHeight="1" spans="2:88">
      <c r="B50" s="70"/>
      <c r="C50" s="71"/>
      <c r="D50" s="72"/>
      <c r="E50" s="72"/>
      <c r="F50" s="72"/>
      <c r="G50" s="72"/>
      <c r="H50" s="72"/>
      <c r="I50" s="72"/>
      <c r="J50" s="86"/>
      <c r="L50" s="88"/>
      <c r="M50" s="89"/>
      <c r="N50" s="90"/>
      <c r="O50" s="90"/>
      <c r="P50" s="91"/>
      <c r="Q50" s="102"/>
      <c r="R50" s="89"/>
      <c r="S50" s="89"/>
      <c r="T50" s="89"/>
      <c r="U50" s="103"/>
      <c r="V50" s="105"/>
      <c r="W50" s="102"/>
      <c r="X50" s="102"/>
      <c r="Y50" s="102"/>
      <c r="Z50" s="107"/>
      <c r="AA50" s="102"/>
      <c r="AB50" s="102"/>
      <c r="AC50" s="102"/>
      <c r="AD50" s="107"/>
      <c r="AE50" s="102"/>
      <c r="AF50" s="102"/>
      <c r="AG50" s="102"/>
      <c r="AH50" s="107"/>
      <c r="AI50" s="102"/>
      <c r="AJ50" s="102"/>
      <c r="AK50" s="102"/>
      <c r="AL50" s="107"/>
      <c r="AM50" s="102"/>
      <c r="AN50" s="102"/>
      <c r="AO50" s="102"/>
      <c r="AP50" s="107"/>
      <c r="AQ50" s="102"/>
      <c r="AR50" s="102"/>
      <c r="AS50" s="102"/>
      <c r="AT50" s="107"/>
      <c r="AU50" s="102"/>
      <c r="AV50" s="102"/>
      <c r="AW50" s="102"/>
      <c r="AX50" s="107"/>
      <c r="AY50" s="102"/>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22"/>
      <c r="CD50" s="123">
        <f t="shared" si="31"/>
        <v>0</v>
      </c>
      <c r="CE50" s="102">
        <f t="shared" si="32"/>
        <v>0</v>
      </c>
      <c r="CF50" s="102">
        <f t="shared" si="33"/>
        <v>0</v>
      </c>
      <c r="CG50" s="102">
        <f t="shared" si="34"/>
        <v>0</v>
      </c>
      <c r="CH50" s="124">
        <f t="shared" si="35"/>
        <v>0</v>
      </c>
      <c r="CI50" s="125" t="str">
        <f t="shared" si="36"/>
        <v>-</v>
      </c>
      <c r="CJ50" s="126" t="str">
        <f t="shared" si="37"/>
        <v>数据正确</v>
      </c>
    </row>
    <row r="51" s="60" customFormat="1" customHeight="1" spans="2:88">
      <c r="B51" s="70"/>
      <c r="C51" s="71"/>
      <c r="D51" s="72"/>
      <c r="E51" s="72"/>
      <c r="F51" s="72"/>
      <c r="G51" s="72"/>
      <c r="H51" s="72"/>
      <c r="I51" s="72"/>
      <c r="J51" s="86"/>
      <c r="L51" s="88"/>
      <c r="M51" s="89"/>
      <c r="N51" s="90"/>
      <c r="O51" s="90"/>
      <c r="P51" s="91"/>
      <c r="Q51" s="102"/>
      <c r="R51" s="89"/>
      <c r="S51" s="89"/>
      <c r="T51" s="89"/>
      <c r="U51" s="103"/>
      <c r="V51" s="105"/>
      <c r="W51" s="102"/>
      <c r="X51" s="102"/>
      <c r="Y51" s="102"/>
      <c r="Z51" s="107"/>
      <c r="AA51" s="102"/>
      <c r="AB51" s="102"/>
      <c r="AC51" s="102"/>
      <c r="AD51" s="107"/>
      <c r="AE51" s="102"/>
      <c r="AF51" s="102"/>
      <c r="AG51" s="102"/>
      <c r="AH51" s="107"/>
      <c r="AI51" s="102"/>
      <c r="AJ51" s="102"/>
      <c r="AK51" s="102"/>
      <c r="AL51" s="107"/>
      <c r="AM51" s="102"/>
      <c r="AN51" s="102"/>
      <c r="AO51" s="102"/>
      <c r="AP51" s="107"/>
      <c r="AQ51" s="102"/>
      <c r="AR51" s="102"/>
      <c r="AS51" s="102"/>
      <c r="AT51" s="107"/>
      <c r="AU51" s="102"/>
      <c r="AV51" s="102"/>
      <c r="AW51" s="102"/>
      <c r="AX51" s="107"/>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22"/>
      <c r="CD51" s="123">
        <f t="shared" si="31"/>
        <v>0</v>
      </c>
      <c r="CE51" s="102">
        <f t="shared" si="32"/>
        <v>0</v>
      </c>
      <c r="CF51" s="102">
        <f t="shared" si="33"/>
        <v>0</v>
      </c>
      <c r="CG51" s="102">
        <f t="shared" si="34"/>
        <v>0</v>
      </c>
      <c r="CH51" s="124">
        <f t="shared" si="35"/>
        <v>0</v>
      </c>
      <c r="CI51" s="125" t="str">
        <f t="shared" si="36"/>
        <v>-</v>
      </c>
      <c r="CJ51" s="126" t="str">
        <f t="shared" si="37"/>
        <v>数据正确</v>
      </c>
    </row>
    <row r="52" s="60" customFormat="1" customHeight="1" spans="2:88">
      <c r="B52" s="70"/>
      <c r="C52" s="71"/>
      <c r="D52" s="72"/>
      <c r="E52" s="72"/>
      <c r="F52" s="72"/>
      <c r="G52" s="72"/>
      <c r="H52" s="72"/>
      <c r="I52" s="72"/>
      <c r="J52" s="86"/>
      <c r="L52" s="88"/>
      <c r="M52" s="89"/>
      <c r="N52" s="90"/>
      <c r="O52" s="90"/>
      <c r="P52" s="91"/>
      <c r="Q52" s="102"/>
      <c r="R52" s="89"/>
      <c r="S52" s="89"/>
      <c r="T52" s="89"/>
      <c r="U52" s="103"/>
      <c r="V52" s="105"/>
      <c r="W52" s="102"/>
      <c r="X52" s="102"/>
      <c r="Y52" s="102"/>
      <c r="Z52" s="107"/>
      <c r="AA52" s="102"/>
      <c r="AB52" s="102"/>
      <c r="AC52" s="102"/>
      <c r="AD52" s="107"/>
      <c r="AE52" s="102"/>
      <c r="AF52" s="102"/>
      <c r="AG52" s="102"/>
      <c r="AH52" s="107"/>
      <c r="AI52" s="102"/>
      <c r="AJ52" s="102"/>
      <c r="AK52" s="102"/>
      <c r="AL52" s="107"/>
      <c r="AM52" s="102"/>
      <c r="AN52" s="102"/>
      <c r="AO52" s="102"/>
      <c r="AP52" s="107"/>
      <c r="AQ52" s="102"/>
      <c r="AR52" s="102"/>
      <c r="AS52" s="102"/>
      <c r="AT52" s="107"/>
      <c r="AU52" s="102"/>
      <c r="AV52" s="102"/>
      <c r="AW52" s="102"/>
      <c r="AX52" s="107"/>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22"/>
      <c r="CD52" s="123">
        <f t="shared" si="31"/>
        <v>0</v>
      </c>
      <c r="CE52" s="102">
        <f t="shared" si="32"/>
        <v>0</v>
      </c>
      <c r="CF52" s="102">
        <f t="shared" si="33"/>
        <v>0</v>
      </c>
      <c r="CG52" s="102">
        <f t="shared" si="34"/>
        <v>0</v>
      </c>
      <c r="CH52" s="124">
        <f t="shared" si="35"/>
        <v>0</v>
      </c>
      <c r="CI52" s="125" t="str">
        <f t="shared" si="36"/>
        <v>-</v>
      </c>
      <c r="CJ52" s="126" t="str">
        <f t="shared" si="37"/>
        <v>数据正确</v>
      </c>
    </row>
    <row r="53" s="60" customFormat="1" customHeight="1" spans="2:88">
      <c r="B53" s="70"/>
      <c r="C53" s="71"/>
      <c r="D53" s="72"/>
      <c r="E53" s="72"/>
      <c r="F53" s="72"/>
      <c r="G53" s="72"/>
      <c r="H53" s="72"/>
      <c r="I53" s="72"/>
      <c r="J53" s="86"/>
      <c r="L53" s="88"/>
      <c r="M53" s="89"/>
      <c r="N53" s="90"/>
      <c r="O53" s="90"/>
      <c r="P53" s="91"/>
      <c r="Q53" s="102"/>
      <c r="R53" s="89"/>
      <c r="S53" s="89"/>
      <c r="T53" s="89"/>
      <c r="U53" s="103"/>
      <c r="V53" s="105"/>
      <c r="W53" s="102"/>
      <c r="X53" s="102"/>
      <c r="Y53" s="102"/>
      <c r="Z53" s="107"/>
      <c r="AA53" s="102"/>
      <c r="AB53" s="102"/>
      <c r="AC53" s="102"/>
      <c r="AD53" s="107"/>
      <c r="AE53" s="102"/>
      <c r="AF53" s="102"/>
      <c r="AG53" s="102"/>
      <c r="AH53" s="107"/>
      <c r="AI53" s="102"/>
      <c r="AJ53" s="102"/>
      <c r="AK53" s="102"/>
      <c r="AL53" s="107"/>
      <c r="AM53" s="102"/>
      <c r="AN53" s="102"/>
      <c r="AO53" s="102"/>
      <c r="AP53" s="107"/>
      <c r="AQ53" s="102"/>
      <c r="AR53" s="102"/>
      <c r="AS53" s="102"/>
      <c r="AT53" s="107"/>
      <c r="AU53" s="102"/>
      <c r="AV53" s="102"/>
      <c r="AW53" s="102"/>
      <c r="AX53" s="107"/>
      <c r="AY53" s="102"/>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22"/>
      <c r="CD53" s="123">
        <f t="shared" si="31"/>
        <v>0</v>
      </c>
      <c r="CE53" s="102">
        <f t="shared" si="32"/>
        <v>0</v>
      </c>
      <c r="CF53" s="102">
        <f t="shared" si="33"/>
        <v>0</v>
      </c>
      <c r="CG53" s="102">
        <f t="shared" si="34"/>
        <v>0</v>
      </c>
      <c r="CH53" s="124">
        <f t="shared" si="35"/>
        <v>0</v>
      </c>
      <c r="CI53" s="125" t="str">
        <f t="shared" si="36"/>
        <v>-</v>
      </c>
      <c r="CJ53" s="126" t="str">
        <f t="shared" si="37"/>
        <v>数据正确</v>
      </c>
    </row>
    <row r="54" s="60" customFormat="1" customHeight="1" spans="2:88">
      <c r="B54" s="70"/>
      <c r="C54" s="71"/>
      <c r="D54" s="72"/>
      <c r="E54" s="72"/>
      <c r="F54" s="72"/>
      <c r="G54" s="72"/>
      <c r="H54" s="72"/>
      <c r="I54" s="72"/>
      <c r="J54" s="86"/>
      <c r="L54" s="88"/>
      <c r="M54" s="89"/>
      <c r="N54" s="90"/>
      <c r="O54" s="90"/>
      <c r="P54" s="91"/>
      <c r="Q54" s="102"/>
      <c r="R54" s="89"/>
      <c r="S54" s="89"/>
      <c r="T54" s="89"/>
      <c r="U54" s="103"/>
      <c r="V54" s="105"/>
      <c r="W54" s="102"/>
      <c r="X54" s="102"/>
      <c r="Y54" s="102"/>
      <c r="Z54" s="107"/>
      <c r="AA54" s="102"/>
      <c r="AB54" s="102"/>
      <c r="AC54" s="102"/>
      <c r="AD54" s="107"/>
      <c r="AE54" s="102"/>
      <c r="AF54" s="102"/>
      <c r="AG54" s="102"/>
      <c r="AH54" s="107"/>
      <c r="AI54" s="102"/>
      <c r="AJ54" s="102"/>
      <c r="AK54" s="102"/>
      <c r="AL54" s="107"/>
      <c r="AM54" s="102"/>
      <c r="AN54" s="102"/>
      <c r="AO54" s="102"/>
      <c r="AP54" s="107"/>
      <c r="AQ54" s="102"/>
      <c r="AR54" s="102"/>
      <c r="AS54" s="102"/>
      <c r="AT54" s="107"/>
      <c r="AU54" s="102"/>
      <c r="AV54" s="102"/>
      <c r="AW54" s="102"/>
      <c r="AX54" s="107"/>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22"/>
      <c r="CD54" s="123">
        <f t="shared" si="31"/>
        <v>0</v>
      </c>
      <c r="CE54" s="102">
        <f t="shared" si="32"/>
        <v>0</v>
      </c>
      <c r="CF54" s="102">
        <f t="shared" si="33"/>
        <v>0</v>
      </c>
      <c r="CG54" s="102">
        <f t="shared" si="34"/>
        <v>0</v>
      </c>
      <c r="CH54" s="124">
        <f t="shared" si="35"/>
        <v>0</v>
      </c>
      <c r="CI54" s="125" t="str">
        <f t="shared" si="36"/>
        <v>-</v>
      </c>
      <c r="CJ54" s="126" t="str">
        <f t="shared" si="37"/>
        <v>数据正确</v>
      </c>
    </row>
    <row r="55" s="60" customFormat="1" customHeight="1" spans="2:88">
      <c r="B55" s="70"/>
      <c r="C55" s="71"/>
      <c r="D55" s="72"/>
      <c r="E55" s="72"/>
      <c r="F55" s="72"/>
      <c r="G55" s="72"/>
      <c r="H55" s="72"/>
      <c r="I55" s="72"/>
      <c r="J55" s="86"/>
      <c r="L55" s="88"/>
      <c r="M55" s="89"/>
      <c r="N55" s="90"/>
      <c r="O55" s="90"/>
      <c r="P55" s="91"/>
      <c r="Q55" s="102"/>
      <c r="R55" s="89"/>
      <c r="S55" s="89"/>
      <c r="T55" s="89"/>
      <c r="U55" s="103"/>
      <c r="V55" s="105"/>
      <c r="W55" s="102"/>
      <c r="X55" s="102"/>
      <c r="Y55" s="102"/>
      <c r="Z55" s="107"/>
      <c r="AA55" s="102"/>
      <c r="AB55" s="102"/>
      <c r="AC55" s="102"/>
      <c r="AD55" s="107"/>
      <c r="AE55" s="102"/>
      <c r="AF55" s="102"/>
      <c r="AG55" s="102"/>
      <c r="AH55" s="107"/>
      <c r="AI55" s="102"/>
      <c r="AJ55" s="102"/>
      <c r="AK55" s="102"/>
      <c r="AL55" s="107"/>
      <c r="AM55" s="102"/>
      <c r="AN55" s="102"/>
      <c r="AO55" s="102"/>
      <c r="AP55" s="107"/>
      <c r="AQ55" s="102"/>
      <c r="AR55" s="102"/>
      <c r="AS55" s="102"/>
      <c r="AT55" s="107"/>
      <c r="AU55" s="102"/>
      <c r="AV55" s="102"/>
      <c r="AW55" s="102"/>
      <c r="AX55" s="107"/>
      <c r="AY55" s="102"/>
      <c r="AZ55" s="102"/>
      <c r="BA55" s="102"/>
      <c r="BB55" s="102"/>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22"/>
      <c r="CD55" s="123">
        <f t="shared" si="31"/>
        <v>0</v>
      </c>
      <c r="CE55" s="102">
        <f t="shared" si="32"/>
        <v>0</v>
      </c>
      <c r="CF55" s="102">
        <f t="shared" si="33"/>
        <v>0</v>
      </c>
      <c r="CG55" s="102">
        <f t="shared" si="34"/>
        <v>0</v>
      </c>
      <c r="CH55" s="124">
        <f t="shared" si="35"/>
        <v>0</v>
      </c>
      <c r="CI55" s="125" t="str">
        <f t="shared" si="36"/>
        <v>-</v>
      </c>
      <c r="CJ55" s="126" t="str">
        <f t="shared" si="37"/>
        <v>数据正确</v>
      </c>
    </row>
    <row r="56" s="60" customFormat="1" customHeight="1" spans="2:88">
      <c r="B56" s="70"/>
      <c r="C56" s="71"/>
      <c r="D56" s="72"/>
      <c r="E56" s="72"/>
      <c r="F56" s="72"/>
      <c r="G56" s="72"/>
      <c r="H56" s="72"/>
      <c r="I56" s="72"/>
      <c r="J56" s="86"/>
      <c r="L56" s="88"/>
      <c r="M56" s="89"/>
      <c r="N56" s="90"/>
      <c r="O56" s="90"/>
      <c r="P56" s="91"/>
      <c r="Q56" s="102"/>
      <c r="R56" s="89"/>
      <c r="S56" s="89"/>
      <c r="T56" s="89"/>
      <c r="U56" s="103"/>
      <c r="V56" s="105"/>
      <c r="W56" s="102"/>
      <c r="X56" s="102"/>
      <c r="Y56" s="102"/>
      <c r="Z56" s="107"/>
      <c r="AA56" s="102"/>
      <c r="AB56" s="102"/>
      <c r="AC56" s="102"/>
      <c r="AD56" s="107"/>
      <c r="AE56" s="102"/>
      <c r="AF56" s="102"/>
      <c r="AG56" s="102"/>
      <c r="AH56" s="107"/>
      <c r="AI56" s="102"/>
      <c r="AJ56" s="102"/>
      <c r="AK56" s="102"/>
      <c r="AL56" s="107"/>
      <c r="AM56" s="102"/>
      <c r="AN56" s="102"/>
      <c r="AO56" s="102"/>
      <c r="AP56" s="107"/>
      <c r="AQ56" s="102"/>
      <c r="AR56" s="102"/>
      <c r="AS56" s="102"/>
      <c r="AT56" s="107"/>
      <c r="AU56" s="102"/>
      <c r="AV56" s="102"/>
      <c r="AW56" s="102"/>
      <c r="AX56" s="107"/>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22"/>
      <c r="CD56" s="123">
        <f t="shared" si="31"/>
        <v>0</v>
      </c>
      <c r="CE56" s="102">
        <f t="shared" si="32"/>
        <v>0</v>
      </c>
      <c r="CF56" s="102">
        <f t="shared" si="33"/>
        <v>0</v>
      </c>
      <c r="CG56" s="102">
        <f t="shared" si="34"/>
        <v>0</v>
      </c>
      <c r="CH56" s="124">
        <f t="shared" si="35"/>
        <v>0</v>
      </c>
      <c r="CI56" s="125" t="str">
        <f t="shared" si="36"/>
        <v>-</v>
      </c>
      <c r="CJ56" s="126" t="str">
        <f t="shared" si="37"/>
        <v>数据正确</v>
      </c>
    </row>
    <row r="57" s="60" customFormat="1" customHeight="1" spans="2:2">
      <c r="B57" s="127"/>
    </row>
    <row r="58" s="60" customFormat="1" customHeight="1" spans="2:2">
      <c r="B58" s="127"/>
    </row>
    <row r="59" s="60" customFormat="1" customHeight="1" spans="2:2">
      <c r="B59" s="127"/>
    </row>
  </sheetData>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75" right="0.75" top="1" bottom="1" header="0.511805555555556" footer="0.511805555555556"/>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J20"/>
  <sheetViews>
    <sheetView workbookViewId="0">
      <pane ySplit="5" topLeftCell="A6" activePane="bottomLeft" state="frozen"/>
      <selection/>
      <selection pane="bottomLeft" activeCell="E20" sqref="E20"/>
    </sheetView>
  </sheetViews>
  <sheetFormatPr defaultColWidth="9" defaultRowHeight="18" customHeight="1"/>
  <cols>
    <col min="1" max="1" width="5.125" customWidth="1"/>
    <col min="2" max="2" width="5" style="61" customWidth="1"/>
    <col min="3" max="3" width="5.25" customWidth="1"/>
    <col min="4" max="4" width="14.75" customWidth="1"/>
    <col min="5" max="5" width="10.375" customWidth="1"/>
    <col min="6" max="6" width="8.875" customWidth="1"/>
    <col min="7" max="7" width="9" customWidth="1"/>
    <col min="8" max="8" width="7.875" customWidth="1"/>
    <col min="9" max="9" width="9.25" customWidth="1"/>
    <col min="10" max="10" width="5.875" customWidth="1"/>
    <col min="11" max="11" width="0.75" style="60" customWidth="1"/>
    <col min="12" max="12" width="5.25" customWidth="1"/>
    <col min="13" max="13" width="11.25" customWidth="1"/>
    <col min="14" max="14" width="11.125"/>
    <col min="16" max="16" width="11.25" customWidth="1"/>
    <col min="17" max="17" width="16" customWidth="1"/>
    <col min="18" max="18" width="22.5" customWidth="1"/>
    <col min="19" max="19" width="26.875" customWidth="1"/>
    <col min="20" max="21" width="11.125"/>
    <col min="22" max="22" width="17.625" customWidth="1"/>
    <col min="23" max="25" width="16" customWidth="1"/>
    <col min="26" max="26" width="7.125" customWidth="1"/>
    <col min="27" max="27" width="12.125" customWidth="1"/>
    <col min="28" max="29" width="9.625" customWidth="1"/>
    <col min="30" max="30" width="8.875" customWidth="1"/>
    <col min="31" max="31" width="10.125" customWidth="1"/>
    <col min="32" max="33" width="9.625" customWidth="1"/>
    <col min="34" max="34" width="7.125" customWidth="1"/>
    <col min="35" max="35" width="8" customWidth="1"/>
    <col min="36" max="37" width="9.625" customWidth="1"/>
    <col min="38" max="38" width="7.125" customWidth="1"/>
    <col min="39" max="39" width="8" customWidth="1"/>
    <col min="40" max="41" width="9.625" customWidth="1"/>
    <col min="42" max="42" width="7.125" customWidth="1"/>
    <col min="43" max="43" width="8" customWidth="1"/>
    <col min="44" max="45" width="9.625" customWidth="1"/>
    <col min="46" max="46" width="7.125" customWidth="1"/>
    <col min="47" max="47" width="8" customWidth="1"/>
    <col min="48" max="49" width="9.625" customWidth="1"/>
    <col min="50" max="50" width="7.125" customWidth="1"/>
    <col min="51" max="51" width="8" customWidth="1"/>
    <col min="52" max="53" width="9.625" customWidth="1"/>
    <col min="54" max="54" width="7.125" customWidth="1"/>
    <col min="55" max="55" width="8" customWidth="1"/>
    <col min="56" max="57" width="9.625" customWidth="1"/>
    <col min="58" max="58" width="7.125" customWidth="1"/>
    <col min="59" max="59" width="8" customWidth="1"/>
    <col min="60" max="61" width="9.625" customWidth="1"/>
    <col min="62" max="62" width="7.125" customWidth="1"/>
    <col min="63" max="63" width="8" customWidth="1"/>
    <col min="64" max="65" width="9.625" customWidth="1"/>
    <col min="66" max="66" width="7.125" customWidth="1"/>
    <col min="67" max="67" width="8" customWidth="1"/>
    <col min="68" max="69" width="9.625" customWidth="1"/>
    <col min="70" max="70" width="7.125" customWidth="1"/>
    <col min="71" max="71" width="8" customWidth="1"/>
    <col min="72" max="73" width="9.625" customWidth="1"/>
    <col min="74" max="74" width="7.125" customWidth="1"/>
    <col min="75" max="75" width="8" customWidth="1"/>
    <col min="76" max="77" width="9.625" customWidth="1"/>
    <col min="78" max="78" width="7.125" customWidth="1"/>
    <col min="79" max="79" width="8" customWidth="1"/>
    <col min="80" max="81" width="9.625" customWidth="1"/>
    <col min="82" max="84" width="16" customWidth="1"/>
    <col min="85" max="85" width="11.25" customWidth="1"/>
    <col min="86" max="86" width="9.625" customWidth="1"/>
    <col min="87" max="87" width="9.25"/>
  </cols>
  <sheetData>
    <row r="1" customFormat="1" ht="8" customHeight="1" spans="2:11">
      <c r="B1" s="61"/>
      <c r="K1" s="60"/>
    </row>
    <row r="2" s="57" customFormat="1" customHeight="1" spans="2:88">
      <c r="B2" s="62" t="s">
        <v>1931</v>
      </c>
      <c r="C2" s="63"/>
      <c r="D2" s="63"/>
      <c r="E2" s="63"/>
      <c r="F2" s="63"/>
      <c r="G2" s="63"/>
      <c r="H2" s="63"/>
      <c r="I2" s="63"/>
      <c r="J2" s="73"/>
      <c r="K2" s="74"/>
      <c r="L2" s="75" t="s">
        <v>1932</v>
      </c>
      <c r="M2" s="76"/>
      <c r="N2" s="76"/>
      <c r="O2" s="76"/>
      <c r="P2" s="76"/>
      <c r="Q2" s="76"/>
      <c r="R2" s="76"/>
      <c r="S2" s="76"/>
      <c r="T2" s="76"/>
      <c r="U2" s="92"/>
      <c r="V2" s="93" t="s">
        <v>1933</v>
      </c>
      <c r="W2" s="94"/>
      <c r="X2" s="94"/>
      <c r="Y2" s="94"/>
      <c r="Z2" s="94" t="s">
        <v>1933</v>
      </c>
      <c r="AA2" s="94"/>
      <c r="AB2" s="94"/>
      <c r="AC2" s="94"/>
      <c r="AD2" s="94" t="s">
        <v>1933</v>
      </c>
      <c r="AE2" s="94"/>
      <c r="AF2" s="94"/>
      <c r="AG2" s="94"/>
      <c r="AH2" s="94" t="s">
        <v>1933</v>
      </c>
      <c r="AI2" s="94"/>
      <c r="AJ2" s="94"/>
      <c r="AK2" s="94"/>
      <c r="AL2" s="94" t="s">
        <v>1933</v>
      </c>
      <c r="AM2" s="94"/>
      <c r="AN2" s="94"/>
      <c r="AO2" s="94"/>
      <c r="AP2" s="94" t="s">
        <v>1933</v>
      </c>
      <c r="AQ2" s="94"/>
      <c r="AR2" s="94"/>
      <c r="AS2" s="94"/>
      <c r="AT2" s="94" t="s">
        <v>1933</v>
      </c>
      <c r="AU2" s="94"/>
      <c r="AV2" s="94"/>
      <c r="AW2" s="94"/>
      <c r="AX2" s="94" t="s">
        <v>1933</v>
      </c>
      <c r="AY2" s="94"/>
      <c r="AZ2" s="94"/>
      <c r="BA2" s="94"/>
      <c r="BB2" s="94" t="s">
        <v>1933</v>
      </c>
      <c r="BC2" s="94"/>
      <c r="BD2" s="94"/>
      <c r="BE2" s="94"/>
      <c r="BF2" s="94" t="s">
        <v>1933</v>
      </c>
      <c r="BG2" s="94"/>
      <c r="BH2" s="94"/>
      <c r="BI2" s="94"/>
      <c r="BJ2" s="94" t="s">
        <v>1933</v>
      </c>
      <c r="BK2" s="94"/>
      <c r="BL2" s="94"/>
      <c r="BM2" s="94"/>
      <c r="BN2" s="94" t="s">
        <v>1933</v>
      </c>
      <c r="BO2" s="94"/>
      <c r="BP2" s="94"/>
      <c r="BQ2" s="94"/>
      <c r="BR2" s="94" t="s">
        <v>1933</v>
      </c>
      <c r="BS2" s="94"/>
      <c r="BT2" s="94"/>
      <c r="BU2" s="94"/>
      <c r="BV2" s="94" t="s">
        <v>1933</v>
      </c>
      <c r="BW2" s="94"/>
      <c r="BX2" s="94"/>
      <c r="BY2" s="94"/>
      <c r="BZ2" s="94" t="s">
        <v>1933</v>
      </c>
      <c r="CA2" s="94"/>
      <c r="CB2" s="94"/>
      <c r="CC2" s="108"/>
      <c r="CD2" s="109" t="s">
        <v>56</v>
      </c>
      <c r="CE2" s="110"/>
      <c r="CF2" s="110"/>
      <c r="CG2" s="110"/>
      <c r="CH2" s="110"/>
      <c r="CI2" s="110"/>
      <c r="CJ2" s="111"/>
    </row>
    <row r="3" s="58" customFormat="1" ht="20" customHeight="1" spans="2:88">
      <c r="B3" s="64" t="s">
        <v>57</v>
      </c>
      <c r="C3" s="65" t="s">
        <v>58</v>
      </c>
      <c r="D3" s="66" t="s">
        <v>17</v>
      </c>
      <c r="E3" s="66" t="s">
        <v>59</v>
      </c>
      <c r="F3" s="66" t="s">
        <v>60</v>
      </c>
      <c r="G3" s="66" t="s">
        <v>61</v>
      </c>
      <c r="H3" s="66" t="s">
        <v>62</v>
      </c>
      <c r="I3" s="66" t="s">
        <v>63</v>
      </c>
      <c r="J3" s="77" t="s">
        <v>64</v>
      </c>
      <c r="K3" s="78"/>
      <c r="L3" s="79" t="s">
        <v>65</v>
      </c>
      <c r="M3" s="80" t="s">
        <v>65</v>
      </c>
      <c r="N3" s="80" t="s">
        <v>14</v>
      </c>
      <c r="O3" s="80" t="s">
        <v>66</v>
      </c>
      <c r="P3" s="81" t="s">
        <v>67</v>
      </c>
      <c r="Q3" s="85" t="s">
        <v>44</v>
      </c>
      <c r="R3" s="80" t="s">
        <v>68</v>
      </c>
      <c r="S3" s="80" t="s">
        <v>69</v>
      </c>
      <c r="T3" s="80" t="s">
        <v>70</v>
      </c>
      <c r="U3" s="95" t="s">
        <v>71</v>
      </c>
      <c r="V3" s="96" t="s">
        <v>72</v>
      </c>
      <c r="W3" s="97"/>
      <c r="X3" s="97"/>
      <c r="Y3" s="97"/>
      <c r="Z3" s="97" t="s">
        <v>73</v>
      </c>
      <c r="AA3" s="97"/>
      <c r="AB3" s="97"/>
      <c r="AC3" s="97"/>
      <c r="AD3" s="97" t="s">
        <v>74</v>
      </c>
      <c r="AE3" s="97"/>
      <c r="AF3" s="97"/>
      <c r="AG3" s="97"/>
      <c r="AH3" s="97" t="s">
        <v>75</v>
      </c>
      <c r="AI3" s="97"/>
      <c r="AJ3" s="97"/>
      <c r="AK3" s="97"/>
      <c r="AL3" s="97" t="s">
        <v>76</v>
      </c>
      <c r="AM3" s="97"/>
      <c r="AN3" s="97"/>
      <c r="AO3" s="97"/>
      <c r="AP3" s="97" t="s">
        <v>77</v>
      </c>
      <c r="AQ3" s="97"/>
      <c r="AR3" s="97"/>
      <c r="AS3" s="97"/>
      <c r="AT3" s="97" t="s">
        <v>78</v>
      </c>
      <c r="AU3" s="97"/>
      <c r="AV3" s="97"/>
      <c r="AW3" s="97"/>
      <c r="AX3" s="97" t="s">
        <v>79</v>
      </c>
      <c r="AY3" s="97"/>
      <c r="AZ3" s="97"/>
      <c r="BA3" s="97"/>
      <c r="BB3" s="97" t="s">
        <v>80</v>
      </c>
      <c r="BC3" s="97"/>
      <c r="BD3" s="97"/>
      <c r="BE3" s="97"/>
      <c r="BF3" s="97" t="s">
        <v>81</v>
      </c>
      <c r="BG3" s="97"/>
      <c r="BH3" s="97"/>
      <c r="BI3" s="97"/>
      <c r="BJ3" s="97" t="s">
        <v>82</v>
      </c>
      <c r="BK3" s="97"/>
      <c r="BL3" s="97"/>
      <c r="BM3" s="97"/>
      <c r="BN3" s="97" t="s">
        <v>83</v>
      </c>
      <c r="BO3" s="97"/>
      <c r="BP3" s="97"/>
      <c r="BQ3" s="97"/>
      <c r="BR3" s="97" t="s">
        <v>84</v>
      </c>
      <c r="BS3" s="97"/>
      <c r="BT3" s="97"/>
      <c r="BU3" s="97"/>
      <c r="BV3" s="97" t="s">
        <v>85</v>
      </c>
      <c r="BW3" s="97"/>
      <c r="BX3" s="97"/>
      <c r="BY3" s="97"/>
      <c r="BZ3" s="97" t="s">
        <v>86</v>
      </c>
      <c r="CA3" s="97"/>
      <c r="CB3" s="97"/>
      <c r="CC3" s="112"/>
      <c r="CD3" s="113" t="s">
        <v>87</v>
      </c>
      <c r="CE3" s="114" t="s">
        <v>88</v>
      </c>
      <c r="CF3" s="85" t="s">
        <v>17</v>
      </c>
      <c r="CG3" s="85" t="s">
        <v>90</v>
      </c>
      <c r="CH3" s="85" t="s">
        <v>91</v>
      </c>
      <c r="CI3" s="114" t="s">
        <v>24</v>
      </c>
      <c r="CJ3" s="115" t="s">
        <v>92</v>
      </c>
    </row>
    <row r="4" s="58" customFormat="1" ht="20" customHeight="1" spans="2:88">
      <c r="B4" s="64"/>
      <c r="C4" s="65"/>
      <c r="D4" s="66"/>
      <c r="E4" s="66"/>
      <c r="F4" s="66"/>
      <c r="G4" s="66"/>
      <c r="H4" s="66"/>
      <c r="I4" s="66"/>
      <c r="J4" s="77"/>
      <c r="K4" s="78"/>
      <c r="L4" s="79"/>
      <c r="M4" s="80"/>
      <c r="N4" s="80"/>
      <c r="O4" s="80"/>
      <c r="P4" s="81"/>
      <c r="Q4" s="85"/>
      <c r="R4" s="80"/>
      <c r="S4" s="80"/>
      <c r="T4" s="80"/>
      <c r="U4" s="95"/>
      <c r="V4" s="98" t="s">
        <v>93</v>
      </c>
      <c r="W4" s="99" t="s">
        <v>94</v>
      </c>
      <c r="X4" s="99" t="s">
        <v>95</v>
      </c>
      <c r="Y4" s="99" t="s">
        <v>96</v>
      </c>
      <c r="Z4" s="106" t="s">
        <v>93</v>
      </c>
      <c r="AA4" s="99" t="s">
        <v>94</v>
      </c>
      <c r="AB4" s="99" t="s">
        <v>95</v>
      </c>
      <c r="AC4" s="99" t="s">
        <v>96</v>
      </c>
      <c r="AD4" s="106" t="s">
        <v>93</v>
      </c>
      <c r="AE4" s="99" t="s">
        <v>94</v>
      </c>
      <c r="AF4" s="99" t="s">
        <v>95</v>
      </c>
      <c r="AG4" s="99" t="s">
        <v>96</v>
      </c>
      <c r="AH4" s="106" t="s">
        <v>93</v>
      </c>
      <c r="AI4" s="99" t="s">
        <v>94</v>
      </c>
      <c r="AJ4" s="99" t="s">
        <v>95</v>
      </c>
      <c r="AK4" s="99" t="s">
        <v>96</v>
      </c>
      <c r="AL4" s="106" t="s">
        <v>93</v>
      </c>
      <c r="AM4" s="99" t="s">
        <v>94</v>
      </c>
      <c r="AN4" s="99" t="s">
        <v>95</v>
      </c>
      <c r="AO4" s="99" t="s">
        <v>96</v>
      </c>
      <c r="AP4" s="106" t="s">
        <v>93</v>
      </c>
      <c r="AQ4" s="99" t="s">
        <v>94</v>
      </c>
      <c r="AR4" s="99" t="s">
        <v>95</v>
      </c>
      <c r="AS4" s="99" t="s">
        <v>96</v>
      </c>
      <c r="AT4" s="106" t="s">
        <v>93</v>
      </c>
      <c r="AU4" s="99" t="s">
        <v>94</v>
      </c>
      <c r="AV4" s="99" t="s">
        <v>95</v>
      </c>
      <c r="AW4" s="99" t="s">
        <v>96</v>
      </c>
      <c r="AX4" s="106" t="s">
        <v>93</v>
      </c>
      <c r="AY4" s="99" t="s">
        <v>94</v>
      </c>
      <c r="AZ4" s="99" t="s">
        <v>95</v>
      </c>
      <c r="BA4" s="99" t="s">
        <v>96</v>
      </c>
      <c r="BB4" s="106" t="s">
        <v>93</v>
      </c>
      <c r="BC4" s="99" t="s">
        <v>94</v>
      </c>
      <c r="BD4" s="99" t="s">
        <v>95</v>
      </c>
      <c r="BE4" s="99" t="s">
        <v>96</v>
      </c>
      <c r="BF4" s="106" t="s">
        <v>93</v>
      </c>
      <c r="BG4" s="99" t="s">
        <v>94</v>
      </c>
      <c r="BH4" s="99" t="s">
        <v>95</v>
      </c>
      <c r="BI4" s="99" t="s">
        <v>96</v>
      </c>
      <c r="BJ4" s="106" t="s">
        <v>93</v>
      </c>
      <c r="BK4" s="99" t="s">
        <v>94</v>
      </c>
      <c r="BL4" s="99" t="s">
        <v>95</v>
      </c>
      <c r="BM4" s="99" t="s">
        <v>96</v>
      </c>
      <c r="BN4" s="106" t="s">
        <v>93</v>
      </c>
      <c r="BO4" s="99" t="s">
        <v>94</v>
      </c>
      <c r="BP4" s="99" t="s">
        <v>95</v>
      </c>
      <c r="BQ4" s="99" t="s">
        <v>96</v>
      </c>
      <c r="BR4" s="106" t="s">
        <v>93</v>
      </c>
      <c r="BS4" s="99" t="s">
        <v>94</v>
      </c>
      <c r="BT4" s="99" t="s">
        <v>95</v>
      </c>
      <c r="BU4" s="99" t="s">
        <v>96</v>
      </c>
      <c r="BV4" s="106" t="s">
        <v>93</v>
      </c>
      <c r="BW4" s="99" t="s">
        <v>94</v>
      </c>
      <c r="BX4" s="99" t="s">
        <v>95</v>
      </c>
      <c r="BY4" s="99" t="s">
        <v>96</v>
      </c>
      <c r="BZ4" s="106" t="s">
        <v>93</v>
      </c>
      <c r="CA4" s="99" t="s">
        <v>94</v>
      </c>
      <c r="CB4" s="99" t="s">
        <v>95</v>
      </c>
      <c r="CC4" s="116" t="s">
        <v>96</v>
      </c>
      <c r="CD4" s="113"/>
      <c r="CE4" s="114"/>
      <c r="CF4" s="85"/>
      <c r="CG4" s="85"/>
      <c r="CH4" s="85"/>
      <c r="CI4" s="114"/>
      <c r="CJ4" s="115"/>
    </row>
    <row r="5" s="59" customFormat="1" customHeight="1" spans="2:88">
      <c r="B5" s="67" t="s">
        <v>97</v>
      </c>
      <c r="C5" s="68" t="s">
        <v>35</v>
      </c>
      <c r="D5" s="69">
        <f t="shared" ref="D5:I5" si="0">IF(ISERROR(SUM(D6:D300)),"-",SUM(D6:D300))</f>
        <v>257528893.807</v>
      </c>
      <c r="E5" s="69">
        <f t="shared" si="0"/>
        <v>0</v>
      </c>
      <c r="F5" s="69">
        <f t="shared" si="0"/>
        <v>0</v>
      </c>
      <c r="G5" s="69">
        <f t="shared" si="0"/>
        <v>0</v>
      </c>
      <c r="H5" s="69">
        <f t="shared" si="0"/>
        <v>0</v>
      </c>
      <c r="I5" s="69">
        <f t="shared" si="0"/>
        <v>0</v>
      </c>
      <c r="J5" s="82" t="s">
        <v>97</v>
      </c>
      <c r="K5" s="83"/>
      <c r="L5" s="84" t="s">
        <v>35</v>
      </c>
      <c r="M5" s="85"/>
      <c r="N5" s="85">
        <v>0</v>
      </c>
      <c r="O5" s="85">
        <v>0</v>
      </c>
      <c r="P5" s="85">
        <v>0</v>
      </c>
      <c r="Q5" s="85">
        <f t="shared" ref="Q5:CB5" si="1">IF(ISERROR(SUM(Q6:Q300)),"-",SUM(Q6:Q300))</f>
        <v>257528893.807</v>
      </c>
      <c r="R5" s="85">
        <f t="shared" si="1"/>
        <v>0</v>
      </c>
      <c r="S5" s="85">
        <f t="shared" si="1"/>
        <v>0</v>
      </c>
      <c r="T5" s="85">
        <f t="shared" si="1"/>
        <v>0</v>
      </c>
      <c r="U5" s="100">
        <f t="shared" si="1"/>
        <v>0</v>
      </c>
      <c r="V5" s="101">
        <f t="shared" si="1"/>
        <v>0</v>
      </c>
      <c r="W5" s="85">
        <f t="shared" si="1"/>
        <v>257528893.807</v>
      </c>
      <c r="X5" s="85">
        <f t="shared" si="1"/>
        <v>257528893.807</v>
      </c>
      <c r="Y5" s="85">
        <f t="shared" si="1"/>
        <v>257528893.807</v>
      </c>
      <c r="Z5" s="85">
        <f t="shared" si="1"/>
        <v>0</v>
      </c>
      <c r="AA5" s="85">
        <f t="shared" si="1"/>
        <v>0</v>
      </c>
      <c r="AB5" s="85">
        <f t="shared" si="1"/>
        <v>0</v>
      </c>
      <c r="AC5" s="85">
        <f t="shared" si="1"/>
        <v>0</v>
      </c>
      <c r="AD5" s="85">
        <f t="shared" si="1"/>
        <v>0</v>
      </c>
      <c r="AE5" s="85">
        <f t="shared" si="1"/>
        <v>0</v>
      </c>
      <c r="AF5" s="85">
        <f t="shared" si="1"/>
        <v>0</v>
      </c>
      <c r="AG5" s="85">
        <f t="shared" si="1"/>
        <v>0</v>
      </c>
      <c r="AH5" s="85">
        <f t="shared" si="1"/>
        <v>0</v>
      </c>
      <c r="AI5" s="85">
        <f t="shared" si="1"/>
        <v>0</v>
      </c>
      <c r="AJ5" s="85">
        <f t="shared" si="1"/>
        <v>0</v>
      </c>
      <c r="AK5" s="85">
        <f t="shared" si="1"/>
        <v>0</v>
      </c>
      <c r="AL5" s="85">
        <f t="shared" si="1"/>
        <v>0</v>
      </c>
      <c r="AM5" s="85">
        <f t="shared" si="1"/>
        <v>0</v>
      </c>
      <c r="AN5" s="85">
        <f t="shared" si="1"/>
        <v>0</v>
      </c>
      <c r="AO5" s="85">
        <f t="shared" si="1"/>
        <v>0</v>
      </c>
      <c r="AP5" s="85">
        <f t="shared" si="1"/>
        <v>0</v>
      </c>
      <c r="AQ5" s="85">
        <f t="shared" si="1"/>
        <v>0</v>
      </c>
      <c r="AR5" s="85">
        <f t="shared" si="1"/>
        <v>0</v>
      </c>
      <c r="AS5" s="85">
        <f t="shared" si="1"/>
        <v>0</v>
      </c>
      <c r="AT5" s="85">
        <f t="shared" si="1"/>
        <v>0</v>
      </c>
      <c r="AU5" s="85">
        <f t="shared" si="1"/>
        <v>0</v>
      </c>
      <c r="AV5" s="85">
        <f t="shared" si="1"/>
        <v>0</v>
      </c>
      <c r="AW5" s="85">
        <f t="shared" si="1"/>
        <v>0</v>
      </c>
      <c r="AX5" s="85">
        <f t="shared" si="1"/>
        <v>0</v>
      </c>
      <c r="AY5" s="85">
        <f t="shared" si="1"/>
        <v>0</v>
      </c>
      <c r="AZ5" s="85">
        <f t="shared" si="1"/>
        <v>0</v>
      </c>
      <c r="BA5" s="85">
        <f t="shared" si="1"/>
        <v>0</v>
      </c>
      <c r="BB5" s="85">
        <f t="shared" si="1"/>
        <v>0</v>
      </c>
      <c r="BC5" s="85">
        <f t="shared" si="1"/>
        <v>0</v>
      </c>
      <c r="BD5" s="85">
        <f t="shared" si="1"/>
        <v>0</v>
      </c>
      <c r="BE5" s="85">
        <f t="shared" si="1"/>
        <v>0</v>
      </c>
      <c r="BF5" s="85">
        <f t="shared" si="1"/>
        <v>0</v>
      </c>
      <c r="BG5" s="85">
        <f t="shared" si="1"/>
        <v>0</v>
      </c>
      <c r="BH5" s="85">
        <f t="shared" si="1"/>
        <v>0</v>
      </c>
      <c r="BI5" s="85">
        <f t="shared" si="1"/>
        <v>0</v>
      </c>
      <c r="BJ5" s="85">
        <f t="shared" si="1"/>
        <v>0</v>
      </c>
      <c r="BK5" s="85">
        <f t="shared" si="1"/>
        <v>0</v>
      </c>
      <c r="BL5" s="85">
        <f t="shared" si="1"/>
        <v>0</v>
      </c>
      <c r="BM5" s="85">
        <f t="shared" si="1"/>
        <v>0</v>
      </c>
      <c r="BN5" s="85">
        <f t="shared" si="1"/>
        <v>0</v>
      </c>
      <c r="BO5" s="85">
        <f t="shared" si="1"/>
        <v>0</v>
      </c>
      <c r="BP5" s="85">
        <f t="shared" si="1"/>
        <v>0</v>
      </c>
      <c r="BQ5" s="85">
        <f t="shared" si="1"/>
        <v>0</v>
      </c>
      <c r="BR5" s="85">
        <f t="shared" si="1"/>
        <v>0</v>
      </c>
      <c r="BS5" s="85">
        <f t="shared" si="1"/>
        <v>0</v>
      </c>
      <c r="BT5" s="85">
        <f t="shared" si="1"/>
        <v>0</v>
      </c>
      <c r="BU5" s="85">
        <f t="shared" si="1"/>
        <v>0</v>
      </c>
      <c r="BV5" s="85">
        <f t="shared" si="1"/>
        <v>0</v>
      </c>
      <c r="BW5" s="85">
        <f t="shared" si="1"/>
        <v>0</v>
      </c>
      <c r="BX5" s="85">
        <f t="shared" si="1"/>
        <v>0</v>
      </c>
      <c r="BY5" s="85">
        <f t="shared" si="1"/>
        <v>0</v>
      </c>
      <c r="BZ5" s="85">
        <f t="shared" si="1"/>
        <v>0</v>
      </c>
      <c r="CA5" s="85">
        <f t="shared" si="1"/>
        <v>0</v>
      </c>
      <c r="CB5" s="85">
        <f t="shared" si="1"/>
        <v>0</v>
      </c>
      <c r="CC5" s="85">
        <f>IF(ISERROR(SUM(CC6:CC300)),"-",SUM(CC6:CC300))</f>
        <v>0</v>
      </c>
      <c r="CD5" s="117">
        <f t="shared" ref="CD5:CF5" si="2">W5+AA5+AE5+AI5+AM5+AQ5+AU5+AY5+BC5+BG5+BK5+BO5+BS5+BW5+CA5</f>
        <v>257528893.807</v>
      </c>
      <c r="CE5" s="118">
        <f t="shared" si="2"/>
        <v>257528893.807</v>
      </c>
      <c r="CF5" s="118">
        <f t="shared" si="2"/>
        <v>257528893.807</v>
      </c>
      <c r="CG5" s="118">
        <f t="shared" ref="CG5:CG20" si="3">E5+F5+G5+H5</f>
        <v>0</v>
      </c>
      <c r="CH5" s="119">
        <f t="shared" ref="CH5:CH20" si="4">Q5-CF5-CG5</f>
        <v>0</v>
      </c>
      <c r="CI5" s="120">
        <f t="shared" ref="CI5:CI20" si="5">IF(ISERROR((CF5+CG5)/Q5),"-",(CF5+CG5)/Q5)</f>
        <v>1</v>
      </c>
      <c r="CJ5" s="121" t="str">
        <f t="shared" ref="CJ5:CJ20" si="6">IF(Q5-CD5=0,"数据正确","数据错误")</f>
        <v>数据正确</v>
      </c>
    </row>
    <row r="6" s="60" customFormat="1" customHeight="1" spans="1:88">
      <c r="A6" s="60" t="s">
        <v>36</v>
      </c>
      <c r="B6" s="70" t="str">
        <f t="shared" ref="B6:B20" si="7">IF(I6=0,"-","申请中")</f>
        <v>-</v>
      </c>
      <c r="C6" s="71" t="str">
        <f t="shared" ref="C6:C20" si="8">IF(CI6=100%,"已付清","-")</f>
        <v>已付清</v>
      </c>
      <c r="D6" s="72">
        <f t="shared" ref="D6:D20" si="9">CF6</f>
        <v>11200000</v>
      </c>
      <c r="E6" s="72">
        <v>0</v>
      </c>
      <c r="F6" s="72">
        <v>0</v>
      </c>
      <c r="G6" s="72">
        <v>0</v>
      </c>
      <c r="H6" s="72">
        <v>0</v>
      </c>
      <c r="I6" s="72">
        <f t="shared" ref="I6:I20" si="10">CE6-CF6-CG6</f>
        <v>0</v>
      </c>
      <c r="J6" s="86" t="s">
        <v>98</v>
      </c>
      <c r="K6" s="87"/>
      <c r="L6" s="88">
        <v>185</v>
      </c>
      <c r="M6" s="89" t="s">
        <v>1934</v>
      </c>
      <c r="N6" s="90" t="s">
        <v>34</v>
      </c>
      <c r="O6" s="90" t="s">
        <v>97</v>
      </c>
      <c r="P6" s="91">
        <v>41226</v>
      </c>
      <c r="Q6" s="102">
        <v>11200000</v>
      </c>
      <c r="R6" s="89" t="s">
        <v>1935</v>
      </c>
      <c r="S6" s="89" t="s">
        <v>1936</v>
      </c>
      <c r="T6" s="89" t="s">
        <v>97</v>
      </c>
      <c r="U6" s="103" t="s">
        <v>343</v>
      </c>
      <c r="V6" s="104" t="s">
        <v>1937</v>
      </c>
      <c r="W6" s="102">
        <v>11200000</v>
      </c>
      <c r="X6" s="102">
        <v>11200000</v>
      </c>
      <c r="Y6" s="102">
        <v>11200000</v>
      </c>
      <c r="Z6" s="107"/>
      <c r="AA6" s="102"/>
      <c r="AB6" s="102"/>
      <c r="AC6" s="102"/>
      <c r="AD6" s="107"/>
      <c r="AE6" s="102"/>
      <c r="AF6" s="102"/>
      <c r="AG6" s="102"/>
      <c r="AH6" s="107"/>
      <c r="AI6" s="102"/>
      <c r="AJ6" s="102"/>
      <c r="AK6" s="102"/>
      <c r="AL6" s="107"/>
      <c r="AM6" s="102"/>
      <c r="AN6" s="102"/>
      <c r="AO6" s="102"/>
      <c r="AP6" s="107"/>
      <c r="AQ6" s="102"/>
      <c r="AR6" s="102"/>
      <c r="AS6" s="102"/>
      <c r="AT6" s="107"/>
      <c r="AU6" s="102"/>
      <c r="AV6" s="102"/>
      <c r="AW6" s="102"/>
      <c r="AX6" s="107"/>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22"/>
      <c r="CD6" s="123">
        <f t="shared" ref="CD6:CF6" si="11">W6+AA6+AE6+AI6+AM6+AQ6+AU6+AY6+BC6+BG6+BK6+BO6+BS6+BW6+CA6</f>
        <v>11200000</v>
      </c>
      <c r="CE6" s="102">
        <f t="shared" si="11"/>
        <v>11200000</v>
      </c>
      <c r="CF6" s="102">
        <f t="shared" si="11"/>
        <v>11200000</v>
      </c>
      <c r="CG6" s="102">
        <f t="shared" si="3"/>
        <v>0</v>
      </c>
      <c r="CH6" s="124">
        <f t="shared" si="4"/>
        <v>0</v>
      </c>
      <c r="CI6" s="125">
        <f t="shared" si="5"/>
        <v>1</v>
      </c>
      <c r="CJ6" s="126" t="str">
        <f t="shared" si="6"/>
        <v>数据正确</v>
      </c>
    </row>
    <row r="7" s="60" customFormat="1" customHeight="1" spans="1:88">
      <c r="A7" s="60" t="s">
        <v>36</v>
      </c>
      <c r="B7" s="70" t="str">
        <f t="shared" si="7"/>
        <v>-</v>
      </c>
      <c r="C7" s="71" t="str">
        <f t="shared" si="8"/>
        <v>已付清</v>
      </c>
      <c r="D7" s="72">
        <f t="shared" si="9"/>
        <v>15280368.58</v>
      </c>
      <c r="E7" s="72">
        <v>0</v>
      </c>
      <c r="F7" s="72">
        <v>0</v>
      </c>
      <c r="G7" s="72">
        <v>0</v>
      </c>
      <c r="H7" s="72">
        <v>0</v>
      </c>
      <c r="I7" s="72">
        <f t="shared" si="10"/>
        <v>0</v>
      </c>
      <c r="J7" s="86" t="s">
        <v>98</v>
      </c>
      <c r="K7" s="87"/>
      <c r="L7" s="88">
        <v>296</v>
      </c>
      <c r="M7" s="89" t="s">
        <v>97</v>
      </c>
      <c r="N7" s="90" t="s">
        <v>34</v>
      </c>
      <c r="O7" s="90" t="s">
        <v>97</v>
      </c>
      <c r="P7" s="91">
        <v>42735</v>
      </c>
      <c r="Q7" s="102">
        <v>15280368.58</v>
      </c>
      <c r="R7" s="89" t="s">
        <v>1938</v>
      </c>
      <c r="S7" s="89" t="s">
        <v>1939</v>
      </c>
      <c r="T7" s="89" t="s">
        <v>97</v>
      </c>
      <c r="U7" s="103" t="s">
        <v>343</v>
      </c>
      <c r="V7" s="104" t="s">
        <v>1937</v>
      </c>
      <c r="W7" s="102">
        <v>15280368.58</v>
      </c>
      <c r="X7" s="102">
        <v>15280368.58</v>
      </c>
      <c r="Y7" s="102">
        <v>15280368.58</v>
      </c>
      <c r="Z7" s="107"/>
      <c r="AA7" s="102"/>
      <c r="AB7" s="102"/>
      <c r="AC7" s="102"/>
      <c r="AD7" s="107"/>
      <c r="AE7" s="102"/>
      <c r="AF7" s="102"/>
      <c r="AG7" s="102"/>
      <c r="AH7" s="107"/>
      <c r="AI7" s="102"/>
      <c r="AJ7" s="102"/>
      <c r="AK7" s="102"/>
      <c r="AL7" s="107"/>
      <c r="AM7" s="102"/>
      <c r="AN7" s="102"/>
      <c r="AO7" s="102"/>
      <c r="AP7" s="107"/>
      <c r="AQ7" s="102"/>
      <c r="AR7" s="102"/>
      <c r="AS7" s="102"/>
      <c r="AT7" s="107"/>
      <c r="AU7" s="102"/>
      <c r="AV7" s="102"/>
      <c r="AW7" s="102"/>
      <c r="AX7" s="107"/>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22"/>
      <c r="CD7" s="123">
        <f t="shared" ref="CD7:CF7" si="12">W7+AA7+AE7+AI7+AM7+AQ7+AU7+AY7+BC7+BG7+BK7+BO7+BS7+BW7+CA7</f>
        <v>15280368.58</v>
      </c>
      <c r="CE7" s="102">
        <f t="shared" si="12"/>
        <v>15280368.58</v>
      </c>
      <c r="CF7" s="102">
        <f t="shared" si="12"/>
        <v>15280368.58</v>
      </c>
      <c r="CG7" s="102">
        <f t="shared" si="3"/>
        <v>0</v>
      </c>
      <c r="CH7" s="124">
        <f t="shared" si="4"/>
        <v>0</v>
      </c>
      <c r="CI7" s="125">
        <f t="shared" si="5"/>
        <v>1</v>
      </c>
      <c r="CJ7" s="126" t="str">
        <f t="shared" si="6"/>
        <v>数据正确</v>
      </c>
    </row>
    <row r="8" s="60" customFormat="1" customHeight="1" spans="1:88">
      <c r="A8" s="60" t="s">
        <v>36</v>
      </c>
      <c r="B8" s="70" t="str">
        <f t="shared" si="7"/>
        <v>-</v>
      </c>
      <c r="C8" s="71" t="str">
        <f t="shared" si="8"/>
        <v>已付清</v>
      </c>
      <c r="D8" s="72">
        <f t="shared" si="9"/>
        <v>12199000</v>
      </c>
      <c r="E8" s="72">
        <v>0</v>
      </c>
      <c r="F8" s="72">
        <v>0</v>
      </c>
      <c r="G8" s="72">
        <v>0</v>
      </c>
      <c r="H8" s="72">
        <v>0</v>
      </c>
      <c r="I8" s="72">
        <f t="shared" si="10"/>
        <v>0</v>
      </c>
      <c r="J8" s="86" t="s">
        <v>98</v>
      </c>
      <c r="K8" s="87"/>
      <c r="L8" s="88">
        <v>119</v>
      </c>
      <c r="M8" s="89" t="s">
        <v>1940</v>
      </c>
      <c r="N8" s="90" t="s">
        <v>34</v>
      </c>
      <c r="O8" s="90" t="s">
        <v>97</v>
      </c>
      <c r="P8" s="91">
        <v>42051</v>
      </c>
      <c r="Q8" s="102">
        <v>12199000</v>
      </c>
      <c r="R8" s="89" t="s">
        <v>1941</v>
      </c>
      <c r="S8" s="89" t="s">
        <v>1942</v>
      </c>
      <c r="T8" s="89" t="s">
        <v>97</v>
      </c>
      <c r="U8" s="103" t="s">
        <v>343</v>
      </c>
      <c r="V8" s="104" t="s">
        <v>1943</v>
      </c>
      <c r="W8" s="102">
        <v>12199000</v>
      </c>
      <c r="X8" s="102">
        <v>12199000</v>
      </c>
      <c r="Y8" s="102">
        <f>12199000</f>
        <v>12199000</v>
      </c>
      <c r="Z8" s="107"/>
      <c r="AA8" s="102"/>
      <c r="AB8" s="102"/>
      <c r="AC8" s="102"/>
      <c r="AD8" s="107"/>
      <c r="AE8" s="102"/>
      <c r="AF8" s="102"/>
      <c r="AG8" s="102"/>
      <c r="AH8" s="107"/>
      <c r="AI8" s="102"/>
      <c r="AJ8" s="102"/>
      <c r="AK8" s="102"/>
      <c r="AL8" s="107"/>
      <c r="AM8" s="102"/>
      <c r="AN8" s="102"/>
      <c r="AO8" s="102"/>
      <c r="AP8" s="107"/>
      <c r="AQ8" s="102"/>
      <c r="AR8" s="102"/>
      <c r="AS8" s="102"/>
      <c r="AT8" s="107"/>
      <c r="AU8" s="102"/>
      <c r="AV8" s="102"/>
      <c r="AW8" s="102"/>
      <c r="AX8" s="107"/>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22"/>
      <c r="CD8" s="123">
        <f t="shared" ref="CD8:CF8" si="13">W8+AA8+AE8+AI8+AM8+AQ8+AU8+AY8+BC8+BG8+BK8+BO8+BS8+BW8+CA8</f>
        <v>12199000</v>
      </c>
      <c r="CE8" s="102">
        <f t="shared" si="13"/>
        <v>12199000</v>
      </c>
      <c r="CF8" s="102">
        <f t="shared" si="13"/>
        <v>12199000</v>
      </c>
      <c r="CG8" s="102">
        <f t="shared" si="3"/>
        <v>0</v>
      </c>
      <c r="CH8" s="124">
        <f t="shared" si="4"/>
        <v>0</v>
      </c>
      <c r="CI8" s="125">
        <f t="shared" si="5"/>
        <v>1</v>
      </c>
      <c r="CJ8" s="126" t="str">
        <f t="shared" si="6"/>
        <v>数据正确</v>
      </c>
    </row>
    <row r="9" s="60" customFormat="1" customHeight="1" spans="1:88">
      <c r="A9" s="60" t="s">
        <v>36</v>
      </c>
      <c r="B9" s="70" t="str">
        <f t="shared" si="7"/>
        <v>-</v>
      </c>
      <c r="C9" s="71" t="str">
        <f t="shared" si="8"/>
        <v>已付清</v>
      </c>
      <c r="D9" s="72">
        <f t="shared" si="9"/>
        <v>18557800</v>
      </c>
      <c r="E9" s="72">
        <v>0</v>
      </c>
      <c r="F9" s="72">
        <v>0</v>
      </c>
      <c r="G9" s="72">
        <v>0</v>
      </c>
      <c r="H9" s="72">
        <v>0</v>
      </c>
      <c r="I9" s="72">
        <f t="shared" si="10"/>
        <v>0</v>
      </c>
      <c r="J9" s="86" t="s">
        <v>98</v>
      </c>
      <c r="K9" s="87"/>
      <c r="L9" s="88">
        <v>120</v>
      </c>
      <c r="M9" s="89" t="s">
        <v>1944</v>
      </c>
      <c r="N9" s="90" t="s">
        <v>34</v>
      </c>
      <c r="O9" s="90" t="s">
        <v>97</v>
      </c>
      <c r="P9" s="91">
        <v>42051</v>
      </c>
      <c r="Q9" s="102">
        <v>18557800</v>
      </c>
      <c r="R9" s="89" t="s">
        <v>1941</v>
      </c>
      <c r="S9" s="89" t="s">
        <v>1942</v>
      </c>
      <c r="T9" s="89" t="s">
        <v>97</v>
      </c>
      <c r="U9" s="103" t="s">
        <v>343</v>
      </c>
      <c r="V9" s="104" t="s">
        <v>1945</v>
      </c>
      <c r="W9" s="102">
        <v>18557800</v>
      </c>
      <c r="X9" s="102">
        <v>18557800</v>
      </c>
      <c r="Y9" s="102">
        <f>18557800</f>
        <v>18557800</v>
      </c>
      <c r="Z9" s="107"/>
      <c r="AA9" s="102"/>
      <c r="AB9" s="102"/>
      <c r="AC9" s="102"/>
      <c r="AD9" s="107"/>
      <c r="AE9" s="102"/>
      <c r="AF9" s="102"/>
      <c r="AG9" s="102"/>
      <c r="AH9" s="107"/>
      <c r="AI9" s="102"/>
      <c r="AJ9" s="102"/>
      <c r="AK9" s="102"/>
      <c r="AL9" s="107"/>
      <c r="AM9" s="102"/>
      <c r="AN9" s="102"/>
      <c r="AO9" s="102"/>
      <c r="AP9" s="107"/>
      <c r="AQ9" s="102"/>
      <c r="AR9" s="102"/>
      <c r="AS9" s="102"/>
      <c r="AT9" s="107"/>
      <c r="AU9" s="102"/>
      <c r="AV9" s="102"/>
      <c r="AW9" s="102"/>
      <c r="AX9" s="107"/>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22"/>
      <c r="CD9" s="123">
        <f t="shared" ref="CD9:CF9" si="14">W9+AA9+AE9+AI9+AM9+AQ9+AU9+AY9+BC9+BG9+BK9+BO9+BS9+BW9+CA9</f>
        <v>18557800</v>
      </c>
      <c r="CE9" s="102">
        <f t="shared" si="14"/>
        <v>18557800</v>
      </c>
      <c r="CF9" s="102">
        <f t="shared" si="14"/>
        <v>18557800</v>
      </c>
      <c r="CG9" s="102">
        <f t="shared" si="3"/>
        <v>0</v>
      </c>
      <c r="CH9" s="124">
        <f t="shared" si="4"/>
        <v>0</v>
      </c>
      <c r="CI9" s="125">
        <f t="shared" si="5"/>
        <v>1</v>
      </c>
      <c r="CJ9" s="126" t="str">
        <f t="shared" si="6"/>
        <v>数据正确</v>
      </c>
    </row>
    <row r="10" s="60" customFormat="1" customHeight="1" spans="1:88">
      <c r="A10" s="60" t="s">
        <v>36</v>
      </c>
      <c r="B10" s="70" t="str">
        <f t="shared" si="7"/>
        <v>-</v>
      </c>
      <c r="C10" s="71" t="str">
        <f t="shared" si="8"/>
        <v>已付清</v>
      </c>
      <c r="D10" s="72">
        <f t="shared" si="9"/>
        <v>62470000</v>
      </c>
      <c r="E10" s="72">
        <v>0</v>
      </c>
      <c r="F10" s="72">
        <v>0</v>
      </c>
      <c r="G10" s="72">
        <v>0</v>
      </c>
      <c r="H10" s="72">
        <v>0</v>
      </c>
      <c r="I10" s="72">
        <f t="shared" si="10"/>
        <v>0</v>
      </c>
      <c r="J10" s="86" t="s">
        <v>98</v>
      </c>
      <c r="K10" s="87"/>
      <c r="L10" s="88">
        <v>118</v>
      </c>
      <c r="M10" s="89" t="s">
        <v>1946</v>
      </c>
      <c r="N10" s="90" t="s">
        <v>34</v>
      </c>
      <c r="O10" s="90" t="s">
        <v>97</v>
      </c>
      <c r="P10" s="91">
        <v>42178</v>
      </c>
      <c r="Q10" s="102">
        <v>62470000</v>
      </c>
      <c r="R10" s="89" t="s">
        <v>1947</v>
      </c>
      <c r="S10" s="89" t="s">
        <v>1948</v>
      </c>
      <c r="T10" s="89" t="s">
        <v>97</v>
      </c>
      <c r="U10" s="103" t="s">
        <v>343</v>
      </c>
      <c r="V10" s="104" t="s">
        <v>1949</v>
      </c>
      <c r="W10" s="102">
        <v>62470000</v>
      </c>
      <c r="X10" s="102">
        <v>62470000</v>
      </c>
      <c r="Y10" s="102">
        <f>12490000+13510000+11000000+15000000+10470000</f>
        <v>62470000</v>
      </c>
      <c r="Z10" s="107"/>
      <c r="AA10" s="102"/>
      <c r="AB10" s="102"/>
      <c r="AC10" s="102"/>
      <c r="AD10" s="107"/>
      <c r="AE10" s="102"/>
      <c r="AF10" s="102"/>
      <c r="AG10" s="102"/>
      <c r="AH10" s="107"/>
      <c r="AI10" s="102"/>
      <c r="AJ10" s="102"/>
      <c r="AK10" s="102"/>
      <c r="AL10" s="107"/>
      <c r="AM10" s="102"/>
      <c r="AN10" s="102"/>
      <c r="AO10" s="102"/>
      <c r="AP10" s="107"/>
      <c r="AQ10" s="102"/>
      <c r="AR10" s="102"/>
      <c r="AS10" s="102"/>
      <c r="AT10" s="107"/>
      <c r="AU10" s="102"/>
      <c r="AV10" s="102"/>
      <c r="AW10" s="102"/>
      <c r="AX10" s="107"/>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22"/>
      <c r="CD10" s="123">
        <f t="shared" ref="CD10:CF10" si="15">W10+AA10+AE10+AI10+AM10+AQ10+AU10+AY10+BC10+BG10+BK10+BO10+BS10+BW10+CA10</f>
        <v>62470000</v>
      </c>
      <c r="CE10" s="102">
        <f t="shared" si="15"/>
        <v>62470000</v>
      </c>
      <c r="CF10" s="102">
        <f t="shared" si="15"/>
        <v>62470000</v>
      </c>
      <c r="CG10" s="102">
        <f t="shared" si="3"/>
        <v>0</v>
      </c>
      <c r="CH10" s="124">
        <f t="shared" si="4"/>
        <v>0</v>
      </c>
      <c r="CI10" s="125">
        <f t="shared" si="5"/>
        <v>1</v>
      </c>
      <c r="CJ10" s="126" t="str">
        <f t="shared" si="6"/>
        <v>数据正确</v>
      </c>
    </row>
    <row r="11" s="60" customFormat="1" customHeight="1" spans="2:88">
      <c r="B11" s="70" t="str">
        <f t="shared" si="7"/>
        <v>-</v>
      </c>
      <c r="C11" s="71" t="str">
        <f t="shared" si="8"/>
        <v>已付清</v>
      </c>
      <c r="D11" s="72">
        <f t="shared" si="9"/>
        <v>39206000</v>
      </c>
      <c r="E11" s="72">
        <v>0</v>
      </c>
      <c r="F11" s="72">
        <v>0</v>
      </c>
      <c r="G11" s="72">
        <v>0</v>
      </c>
      <c r="H11" s="72">
        <v>0</v>
      </c>
      <c r="I11" s="72">
        <f t="shared" si="10"/>
        <v>0</v>
      </c>
      <c r="J11" s="86" t="s">
        <v>98</v>
      </c>
      <c r="K11" s="87"/>
      <c r="L11" s="88">
        <v>124</v>
      </c>
      <c r="M11" s="89" t="s">
        <v>1950</v>
      </c>
      <c r="N11" s="90" t="s">
        <v>34</v>
      </c>
      <c r="O11" s="90" t="s">
        <v>97</v>
      </c>
      <c r="P11" s="91">
        <v>42451</v>
      </c>
      <c r="Q11" s="102">
        <v>39206000</v>
      </c>
      <c r="R11" s="89" t="s">
        <v>1951</v>
      </c>
      <c r="S11" s="89" t="s">
        <v>1948</v>
      </c>
      <c r="T11" s="89" t="s">
        <v>97</v>
      </c>
      <c r="U11" s="103" t="s">
        <v>343</v>
      </c>
      <c r="V11" s="104" t="s">
        <v>1949</v>
      </c>
      <c r="W11" s="102">
        <v>39206000</v>
      </c>
      <c r="X11" s="102">
        <v>39206000</v>
      </c>
      <c r="Y11" s="102">
        <f>7850000+31356000</f>
        <v>39206000</v>
      </c>
      <c r="Z11" s="107"/>
      <c r="AA11" s="102"/>
      <c r="AB11" s="102"/>
      <c r="AC11" s="102"/>
      <c r="AD11" s="107"/>
      <c r="AE11" s="102"/>
      <c r="AF11" s="102"/>
      <c r="AG11" s="102"/>
      <c r="AH11" s="107"/>
      <c r="AI11" s="102"/>
      <c r="AJ11" s="102"/>
      <c r="AK11" s="102"/>
      <c r="AL11" s="107"/>
      <c r="AM11" s="102"/>
      <c r="AN11" s="102"/>
      <c r="AO11" s="102"/>
      <c r="AP11" s="107"/>
      <c r="AQ11" s="102"/>
      <c r="AR11" s="102"/>
      <c r="AS11" s="102"/>
      <c r="AT11" s="107"/>
      <c r="AU11" s="102"/>
      <c r="AV11" s="102"/>
      <c r="AW11" s="102"/>
      <c r="AX11" s="107"/>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22"/>
      <c r="CD11" s="123">
        <f t="shared" ref="CD11:CF11" si="16">W11+AA11+AE11+AI11+AM11+AQ11+AU11+AY11+BC11+BG11+BK11+BO11+BS11+BW11+CA11</f>
        <v>39206000</v>
      </c>
      <c r="CE11" s="102">
        <f t="shared" si="16"/>
        <v>39206000</v>
      </c>
      <c r="CF11" s="102">
        <f t="shared" si="16"/>
        <v>39206000</v>
      </c>
      <c r="CG11" s="102">
        <f t="shared" si="3"/>
        <v>0</v>
      </c>
      <c r="CH11" s="124">
        <f t="shared" si="4"/>
        <v>0</v>
      </c>
      <c r="CI11" s="125">
        <f t="shared" si="5"/>
        <v>1</v>
      </c>
      <c r="CJ11" s="126" t="str">
        <f t="shared" si="6"/>
        <v>数据正确</v>
      </c>
    </row>
    <row r="12" s="60" customFormat="1" customHeight="1" spans="1:88">
      <c r="A12" s="60" t="s">
        <v>36</v>
      </c>
      <c r="B12" s="70" t="str">
        <f t="shared" si="7"/>
        <v>-</v>
      </c>
      <c r="C12" s="71" t="str">
        <f t="shared" si="8"/>
        <v>已付清</v>
      </c>
      <c r="D12" s="72">
        <f t="shared" si="9"/>
        <v>0.001</v>
      </c>
      <c r="E12" s="72">
        <v>0</v>
      </c>
      <c r="F12" s="72">
        <v>0</v>
      </c>
      <c r="G12" s="72">
        <v>0</v>
      </c>
      <c r="H12" s="72">
        <v>0</v>
      </c>
      <c r="I12" s="72">
        <f t="shared" si="10"/>
        <v>0</v>
      </c>
      <c r="J12" s="86" t="s">
        <v>98</v>
      </c>
      <c r="K12" s="87"/>
      <c r="L12" s="88">
        <v>186</v>
      </c>
      <c r="M12" s="89" t="s">
        <v>1952</v>
      </c>
      <c r="N12" s="90" t="s">
        <v>34</v>
      </c>
      <c r="O12" s="90" t="s">
        <v>97</v>
      </c>
      <c r="P12" s="91">
        <v>42460</v>
      </c>
      <c r="Q12" s="102">
        <v>0.001</v>
      </c>
      <c r="R12" s="89" t="s">
        <v>1953</v>
      </c>
      <c r="S12" s="89" t="s">
        <v>1954</v>
      </c>
      <c r="T12" s="89" t="s">
        <v>97</v>
      </c>
      <c r="U12" s="103" t="s">
        <v>343</v>
      </c>
      <c r="V12" s="104" t="s">
        <v>1955</v>
      </c>
      <c r="W12" s="102">
        <v>0.001</v>
      </c>
      <c r="X12" s="102">
        <v>0.001</v>
      </c>
      <c r="Y12" s="102">
        <f>X12</f>
        <v>0.001</v>
      </c>
      <c r="Z12" s="107"/>
      <c r="AA12" s="102"/>
      <c r="AB12" s="102"/>
      <c r="AC12" s="102"/>
      <c r="AD12" s="107"/>
      <c r="AE12" s="102"/>
      <c r="AF12" s="102"/>
      <c r="AG12" s="102"/>
      <c r="AH12" s="107"/>
      <c r="AI12" s="102"/>
      <c r="AJ12" s="102"/>
      <c r="AK12" s="102"/>
      <c r="AL12" s="107"/>
      <c r="AM12" s="102"/>
      <c r="AN12" s="102"/>
      <c r="AO12" s="102"/>
      <c r="AP12" s="107"/>
      <c r="AQ12" s="102"/>
      <c r="AR12" s="102"/>
      <c r="AS12" s="102"/>
      <c r="AT12" s="107"/>
      <c r="AU12" s="102"/>
      <c r="AV12" s="102"/>
      <c r="AW12" s="102"/>
      <c r="AX12" s="107"/>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22"/>
      <c r="CD12" s="123">
        <f t="shared" ref="CD12:CF12" si="17">W12+AA12+AE12+AI12+AM12+AQ12+AU12+AY12+BC12+BG12+BK12+BO12+BS12+BW12+CA12</f>
        <v>0.001</v>
      </c>
      <c r="CE12" s="102">
        <f t="shared" si="17"/>
        <v>0.001</v>
      </c>
      <c r="CF12" s="102">
        <f t="shared" si="17"/>
        <v>0.001</v>
      </c>
      <c r="CG12" s="102">
        <f t="shared" si="3"/>
        <v>0</v>
      </c>
      <c r="CH12" s="124">
        <f t="shared" si="4"/>
        <v>0</v>
      </c>
      <c r="CI12" s="125">
        <f t="shared" si="5"/>
        <v>1</v>
      </c>
      <c r="CJ12" s="126" t="str">
        <f t="shared" si="6"/>
        <v>数据正确</v>
      </c>
    </row>
    <row r="13" s="60" customFormat="1" customHeight="1" spans="1:88">
      <c r="A13" s="60" t="s">
        <v>36</v>
      </c>
      <c r="B13" s="70" t="str">
        <f t="shared" si="7"/>
        <v>-</v>
      </c>
      <c r="C13" s="71" t="str">
        <f t="shared" si="8"/>
        <v>已付清</v>
      </c>
      <c r="D13" s="72">
        <f t="shared" si="9"/>
        <v>62439385.77</v>
      </c>
      <c r="E13" s="72">
        <v>0</v>
      </c>
      <c r="F13" s="72">
        <v>0</v>
      </c>
      <c r="G13" s="72">
        <v>0</v>
      </c>
      <c r="H13" s="72">
        <v>0</v>
      </c>
      <c r="I13" s="72">
        <f t="shared" si="10"/>
        <v>0</v>
      </c>
      <c r="J13" s="86" t="s">
        <v>98</v>
      </c>
      <c r="K13" s="87"/>
      <c r="L13" s="88">
        <v>121</v>
      </c>
      <c r="M13" s="89" t="s">
        <v>126</v>
      </c>
      <c r="N13" s="90" t="s">
        <v>34</v>
      </c>
      <c r="O13" s="90" t="s">
        <v>97</v>
      </c>
      <c r="P13" s="91">
        <v>42520</v>
      </c>
      <c r="Q13" s="102">
        <v>62439385.77</v>
      </c>
      <c r="R13" s="89" t="s">
        <v>1956</v>
      </c>
      <c r="S13" s="89" t="s">
        <v>1957</v>
      </c>
      <c r="T13" s="89" t="s">
        <v>97</v>
      </c>
      <c r="U13" s="103" t="s">
        <v>343</v>
      </c>
      <c r="V13" s="104" t="s">
        <v>1945</v>
      </c>
      <c r="W13" s="102">
        <v>62439385.77</v>
      </c>
      <c r="X13" s="102">
        <v>62439385.77</v>
      </c>
      <c r="Y13" s="102">
        <f>29810.6+59406195.17+3003380</f>
        <v>62439385.77</v>
      </c>
      <c r="Z13" s="107"/>
      <c r="AA13" s="102"/>
      <c r="AB13" s="102"/>
      <c r="AC13" s="102"/>
      <c r="AD13" s="107"/>
      <c r="AE13" s="102"/>
      <c r="AF13" s="102"/>
      <c r="AG13" s="102"/>
      <c r="AH13" s="107"/>
      <c r="AI13" s="102"/>
      <c r="AJ13" s="102"/>
      <c r="AK13" s="102"/>
      <c r="AL13" s="107"/>
      <c r="AM13" s="102"/>
      <c r="AN13" s="102"/>
      <c r="AO13" s="102"/>
      <c r="AP13" s="107"/>
      <c r="AQ13" s="102"/>
      <c r="AR13" s="102"/>
      <c r="AS13" s="102"/>
      <c r="AT13" s="107"/>
      <c r="AU13" s="102"/>
      <c r="AV13" s="102"/>
      <c r="AW13" s="102"/>
      <c r="AX13" s="107"/>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22"/>
      <c r="CD13" s="123">
        <f t="shared" ref="CD13:CF13" si="18">W13+AA13+AE13+AI13+AM13+AQ13+AU13+AY13+BC13+BG13+BK13+BO13+BS13+BW13+CA13</f>
        <v>62439385.77</v>
      </c>
      <c r="CE13" s="102">
        <f t="shared" si="18"/>
        <v>62439385.77</v>
      </c>
      <c r="CF13" s="102">
        <f t="shared" si="18"/>
        <v>62439385.77</v>
      </c>
      <c r="CG13" s="102">
        <f t="shared" si="3"/>
        <v>0</v>
      </c>
      <c r="CH13" s="124">
        <f t="shared" si="4"/>
        <v>0</v>
      </c>
      <c r="CI13" s="125">
        <f t="shared" si="5"/>
        <v>1</v>
      </c>
      <c r="CJ13" s="126" t="str">
        <f t="shared" si="6"/>
        <v>数据正确</v>
      </c>
    </row>
    <row r="14" s="60" customFormat="1" customHeight="1" spans="1:88">
      <c r="A14" s="60" t="s">
        <v>36</v>
      </c>
      <c r="B14" s="70" t="str">
        <f t="shared" si="7"/>
        <v>-</v>
      </c>
      <c r="C14" s="71" t="str">
        <f t="shared" si="8"/>
        <v>已付清</v>
      </c>
      <c r="D14" s="72">
        <f t="shared" si="9"/>
        <v>0.001</v>
      </c>
      <c r="E14" s="72">
        <v>0</v>
      </c>
      <c r="F14" s="72">
        <v>0</v>
      </c>
      <c r="G14" s="72">
        <v>0</v>
      </c>
      <c r="H14" s="72">
        <v>0</v>
      </c>
      <c r="I14" s="72">
        <f t="shared" si="10"/>
        <v>0</v>
      </c>
      <c r="J14" s="86" t="s">
        <v>98</v>
      </c>
      <c r="K14" s="87"/>
      <c r="L14" s="88">
        <v>187</v>
      </c>
      <c r="M14" s="89" t="s">
        <v>126</v>
      </c>
      <c r="N14" s="90" t="s">
        <v>34</v>
      </c>
      <c r="O14" s="90" t="s">
        <v>97</v>
      </c>
      <c r="P14" s="91">
        <v>42520</v>
      </c>
      <c r="Q14" s="102">
        <v>0.001</v>
      </c>
      <c r="R14" s="89" t="s">
        <v>1958</v>
      </c>
      <c r="S14" s="89" t="s">
        <v>1957</v>
      </c>
      <c r="T14" s="89" t="s">
        <v>97</v>
      </c>
      <c r="U14" s="103" t="s">
        <v>343</v>
      </c>
      <c r="V14" s="105" t="s">
        <v>1945</v>
      </c>
      <c r="W14" s="102">
        <v>0.001</v>
      </c>
      <c r="X14" s="102">
        <v>0.001</v>
      </c>
      <c r="Y14" s="102">
        <f>X14</f>
        <v>0.001</v>
      </c>
      <c r="Z14" s="107"/>
      <c r="AA14" s="102"/>
      <c r="AB14" s="102"/>
      <c r="AC14" s="102"/>
      <c r="AD14" s="107"/>
      <c r="AE14" s="102"/>
      <c r="AF14" s="102"/>
      <c r="AG14" s="102"/>
      <c r="AH14" s="107"/>
      <c r="AI14" s="102"/>
      <c r="AJ14" s="102"/>
      <c r="AK14" s="102"/>
      <c r="AL14" s="107"/>
      <c r="AM14" s="102"/>
      <c r="AN14" s="102"/>
      <c r="AO14" s="102"/>
      <c r="AP14" s="107"/>
      <c r="AQ14" s="102"/>
      <c r="AR14" s="102"/>
      <c r="AS14" s="102"/>
      <c r="AT14" s="107"/>
      <c r="AU14" s="102"/>
      <c r="AV14" s="102"/>
      <c r="AW14" s="102"/>
      <c r="AX14" s="107"/>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22"/>
      <c r="CD14" s="123">
        <f t="shared" ref="CD14:CF14" si="19">W14+AA14+AE14+AI14+AM14+AQ14+AU14+AY14+BC14+BG14+BK14+BO14+BS14+BW14+CA14</f>
        <v>0.001</v>
      </c>
      <c r="CE14" s="102">
        <f t="shared" si="19"/>
        <v>0.001</v>
      </c>
      <c r="CF14" s="102">
        <f t="shared" si="19"/>
        <v>0.001</v>
      </c>
      <c r="CG14" s="102">
        <f t="shared" si="3"/>
        <v>0</v>
      </c>
      <c r="CH14" s="124">
        <f t="shared" si="4"/>
        <v>0</v>
      </c>
      <c r="CI14" s="125">
        <f t="shared" si="5"/>
        <v>1</v>
      </c>
      <c r="CJ14" s="126" t="str">
        <f t="shared" si="6"/>
        <v>数据正确</v>
      </c>
    </row>
    <row r="15" s="60" customFormat="1" customHeight="1" spans="1:88">
      <c r="A15" s="60" t="s">
        <v>36</v>
      </c>
      <c r="B15" s="70" t="str">
        <f t="shared" si="7"/>
        <v>-</v>
      </c>
      <c r="C15" s="71" t="str">
        <f t="shared" si="8"/>
        <v>已付清</v>
      </c>
      <c r="D15" s="72">
        <f t="shared" si="9"/>
        <v>36176339.4549999</v>
      </c>
      <c r="E15" s="72">
        <v>0</v>
      </c>
      <c r="F15" s="72">
        <v>0</v>
      </c>
      <c r="G15" s="72">
        <v>0</v>
      </c>
      <c r="H15" s="72">
        <v>0</v>
      </c>
      <c r="I15" s="72">
        <f t="shared" si="10"/>
        <v>0</v>
      </c>
      <c r="J15" s="86" t="s">
        <v>98</v>
      </c>
      <c r="L15" s="88">
        <v>224</v>
      </c>
      <c r="M15" s="89" t="s">
        <v>97</v>
      </c>
      <c r="N15" s="90" t="s">
        <v>34</v>
      </c>
      <c r="O15" s="90" t="s">
        <v>97</v>
      </c>
      <c r="P15" s="91">
        <v>43008</v>
      </c>
      <c r="Q15" s="102">
        <v>36176339.4549999</v>
      </c>
      <c r="R15" s="89" t="s">
        <v>1959</v>
      </c>
      <c r="S15" s="89" t="s">
        <v>1960</v>
      </c>
      <c r="T15" s="89" t="s">
        <v>97</v>
      </c>
      <c r="U15" s="103" t="s">
        <v>343</v>
      </c>
      <c r="V15" s="105" t="s">
        <v>97</v>
      </c>
      <c r="W15" s="102">
        <v>36176339.4549999</v>
      </c>
      <c r="X15" s="102">
        <v>36176339.4549999</v>
      </c>
      <c r="Y15" s="102">
        <f>X15</f>
        <v>36176339.4549999</v>
      </c>
      <c r="Z15" s="107"/>
      <c r="AA15" s="102"/>
      <c r="AB15" s="102"/>
      <c r="AC15" s="102"/>
      <c r="AD15" s="107"/>
      <c r="AE15" s="102"/>
      <c r="AF15" s="102"/>
      <c r="AG15" s="102"/>
      <c r="AH15" s="107"/>
      <c r="AI15" s="102"/>
      <c r="AJ15" s="102"/>
      <c r="AK15" s="102"/>
      <c r="AL15" s="107"/>
      <c r="AM15" s="102"/>
      <c r="AN15" s="102"/>
      <c r="AO15" s="102"/>
      <c r="AP15" s="107"/>
      <c r="AQ15" s="102"/>
      <c r="AR15" s="102"/>
      <c r="AS15" s="102"/>
      <c r="AT15" s="107"/>
      <c r="AU15" s="102"/>
      <c r="AV15" s="102"/>
      <c r="AW15" s="102"/>
      <c r="AX15" s="107"/>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22"/>
      <c r="CD15" s="123">
        <f t="shared" ref="CD15:CF15" si="20">W15+AA15+AE15+AI15+AM15+AQ15+AU15+AY15+BC15+BG15+BK15+BO15+BS15+BW15+CA15</f>
        <v>36176339.4549999</v>
      </c>
      <c r="CE15" s="102">
        <f t="shared" si="20"/>
        <v>36176339.4549999</v>
      </c>
      <c r="CF15" s="102">
        <f t="shared" si="20"/>
        <v>36176339.4549999</v>
      </c>
      <c r="CG15" s="102">
        <f t="shared" si="3"/>
        <v>0</v>
      </c>
      <c r="CH15" s="124">
        <f t="shared" si="4"/>
        <v>0</v>
      </c>
      <c r="CI15" s="125">
        <f t="shared" si="5"/>
        <v>1</v>
      </c>
      <c r="CJ15" s="126" t="str">
        <f t="shared" si="6"/>
        <v>数据正确</v>
      </c>
    </row>
    <row r="16" s="60" customFormat="1" customHeight="1" spans="2:88">
      <c r="B16" s="70"/>
      <c r="C16" s="71"/>
      <c r="D16" s="72"/>
      <c r="E16" s="72"/>
      <c r="F16" s="72"/>
      <c r="G16" s="72"/>
      <c r="H16" s="72"/>
      <c r="I16" s="72"/>
      <c r="J16" s="86"/>
      <c r="L16" s="88"/>
      <c r="M16" s="89"/>
      <c r="N16" s="90"/>
      <c r="O16" s="90"/>
      <c r="P16" s="91"/>
      <c r="Q16" s="102"/>
      <c r="R16" s="89"/>
      <c r="S16" s="89"/>
      <c r="T16" s="89"/>
      <c r="U16" s="103"/>
      <c r="V16" s="105"/>
      <c r="W16" s="102"/>
      <c r="X16" s="102"/>
      <c r="Y16" s="102"/>
      <c r="Z16" s="107"/>
      <c r="AA16" s="102"/>
      <c r="AB16" s="102"/>
      <c r="AC16" s="102"/>
      <c r="AD16" s="107"/>
      <c r="AE16" s="102"/>
      <c r="AF16" s="102"/>
      <c r="AG16" s="102"/>
      <c r="AH16" s="107"/>
      <c r="AI16" s="102"/>
      <c r="AJ16" s="102"/>
      <c r="AK16" s="102"/>
      <c r="AL16" s="107"/>
      <c r="AM16" s="102"/>
      <c r="AN16" s="102"/>
      <c r="AO16" s="102"/>
      <c r="AP16" s="107"/>
      <c r="AQ16" s="102"/>
      <c r="AR16" s="102"/>
      <c r="AS16" s="102"/>
      <c r="AT16" s="107"/>
      <c r="AU16" s="102"/>
      <c r="AV16" s="102"/>
      <c r="AW16" s="102"/>
      <c r="AX16" s="107"/>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22"/>
      <c r="CD16" s="123">
        <f t="shared" ref="CD16:CF16" si="21">W16+AA16+AE16+AI16+AM16+AQ16+AU16+AY16+BC16+BG16+BK16+BO16+BS16+BW16+CA16</f>
        <v>0</v>
      </c>
      <c r="CE16" s="102">
        <f t="shared" si="21"/>
        <v>0</v>
      </c>
      <c r="CF16" s="102">
        <f t="shared" si="21"/>
        <v>0</v>
      </c>
      <c r="CG16" s="102">
        <f t="shared" si="3"/>
        <v>0</v>
      </c>
      <c r="CH16" s="124">
        <f t="shared" si="4"/>
        <v>0</v>
      </c>
      <c r="CI16" s="125" t="str">
        <f t="shared" si="5"/>
        <v>-</v>
      </c>
      <c r="CJ16" s="126" t="str">
        <f t="shared" si="6"/>
        <v>数据正确</v>
      </c>
    </row>
    <row r="17" s="60" customFormat="1" customHeight="1" spans="2:88">
      <c r="B17" s="70"/>
      <c r="C17" s="71"/>
      <c r="D17" s="72"/>
      <c r="E17" s="72"/>
      <c r="F17" s="72"/>
      <c r="G17" s="72"/>
      <c r="H17" s="72"/>
      <c r="I17" s="72"/>
      <c r="J17" s="86"/>
      <c r="L17" s="88"/>
      <c r="M17" s="89"/>
      <c r="N17" s="90"/>
      <c r="O17" s="90"/>
      <c r="P17" s="91"/>
      <c r="Q17" s="102"/>
      <c r="R17" s="89"/>
      <c r="S17" s="89"/>
      <c r="T17" s="89"/>
      <c r="U17" s="103"/>
      <c r="V17" s="105"/>
      <c r="W17" s="102"/>
      <c r="X17" s="102"/>
      <c r="Y17" s="102"/>
      <c r="Z17" s="107"/>
      <c r="AA17" s="102"/>
      <c r="AB17" s="102"/>
      <c r="AC17" s="102"/>
      <c r="AD17" s="107"/>
      <c r="AE17" s="102"/>
      <c r="AF17" s="102"/>
      <c r="AG17" s="102"/>
      <c r="AH17" s="107"/>
      <c r="AI17" s="102"/>
      <c r="AJ17" s="102"/>
      <c r="AK17" s="102"/>
      <c r="AL17" s="107"/>
      <c r="AM17" s="102"/>
      <c r="AN17" s="102"/>
      <c r="AO17" s="102"/>
      <c r="AP17" s="107"/>
      <c r="AQ17" s="102"/>
      <c r="AR17" s="102"/>
      <c r="AS17" s="102"/>
      <c r="AT17" s="107"/>
      <c r="AU17" s="102"/>
      <c r="AV17" s="102"/>
      <c r="AW17" s="102"/>
      <c r="AX17" s="107"/>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22"/>
      <c r="CD17" s="123">
        <f t="shared" ref="CD17:CF17" si="22">W17+AA17+AE17+AI17+AM17+AQ17+AU17+AY17+BC17+BG17+BK17+BO17+BS17+BW17+CA17</f>
        <v>0</v>
      </c>
      <c r="CE17" s="102">
        <f t="shared" si="22"/>
        <v>0</v>
      </c>
      <c r="CF17" s="102">
        <f t="shared" si="22"/>
        <v>0</v>
      </c>
      <c r="CG17" s="102">
        <f t="shared" si="3"/>
        <v>0</v>
      </c>
      <c r="CH17" s="124">
        <f t="shared" si="4"/>
        <v>0</v>
      </c>
      <c r="CI17" s="125" t="str">
        <f t="shared" si="5"/>
        <v>-</v>
      </c>
      <c r="CJ17" s="126" t="str">
        <f t="shared" si="6"/>
        <v>数据正确</v>
      </c>
    </row>
    <row r="18" s="60" customFormat="1" customHeight="1" spans="2:88">
      <c r="B18" s="70"/>
      <c r="C18" s="71"/>
      <c r="D18" s="72"/>
      <c r="E18" s="72"/>
      <c r="F18" s="72"/>
      <c r="G18" s="72"/>
      <c r="H18" s="72"/>
      <c r="I18" s="72"/>
      <c r="J18" s="86"/>
      <c r="L18" s="88"/>
      <c r="M18" s="89"/>
      <c r="N18" s="90"/>
      <c r="O18" s="90"/>
      <c r="P18" s="91"/>
      <c r="Q18" s="102"/>
      <c r="R18" s="89"/>
      <c r="S18" s="89"/>
      <c r="T18" s="89"/>
      <c r="U18" s="103"/>
      <c r="V18" s="105"/>
      <c r="W18" s="102"/>
      <c r="X18" s="102"/>
      <c r="Y18" s="102"/>
      <c r="Z18" s="107"/>
      <c r="AA18" s="102"/>
      <c r="AB18" s="102"/>
      <c r="AC18" s="102"/>
      <c r="AD18" s="107"/>
      <c r="AE18" s="102"/>
      <c r="AF18" s="102"/>
      <c r="AG18" s="102"/>
      <c r="AH18" s="107"/>
      <c r="AI18" s="102"/>
      <c r="AJ18" s="102"/>
      <c r="AK18" s="102"/>
      <c r="AL18" s="107"/>
      <c r="AM18" s="102"/>
      <c r="AN18" s="102"/>
      <c r="AO18" s="102"/>
      <c r="AP18" s="107"/>
      <c r="AQ18" s="102"/>
      <c r="AR18" s="102"/>
      <c r="AS18" s="102"/>
      <c r="AT18" s="107"/>
      <c r="AU18" s="102"/>
      <c r="AV18" s="102"/>
      <c r="AW18" s="102"/>
      <c r="AX18" s="107"/>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22"/>
      <c r="CD18" s="123">
        <f t="shared" ref="CD18:CF18" si="23">W18+AA18+AE18+AI18+AM18+AQ18+AU18+AY18+BC18+BG18+BK18+BO18+BS18+BW18+CA18</f>
        <v>0</v>
      </c>
      <c r="CE18" s="102">
        <f t="shared" si="23"/>
        <v>0</v>
      </c>
      <c r="CF18" s="102">
        <f t="shared" si="23"/>
        <v>0</v>
      </c>
      <c r="CG18" s="102">
        <f t="shared" si="3"/>
        <v>0</v>
      </c>
      <c r="CH18" s="124">
        <f t="shared" si="4"/>
        <v>0</v>
      </c>
      <c r="CI18" s="125" t="str">
        <f t="shared" si="5"/>
        <v>-</v>
      </c>
      <c r="CJ18" s="126" t="str">
        <f t="shared" si="6"/>
        <v>数据正确</v>
      </c>
    </row>
    <row r="19" customFormat="1" customHeight="1" spans="2:88">
      <c r="B19" s="70"/>
      <c r="C19" s="71"/>
      <c r="D19" s="72"/>
      <c r="E19" s="72"/>
      <c r="F19" s="72"/>
      <c r="G19" s="72"/>
      <c r="H19" s="72"/>
      <c r="I19" s="72"/>
      <c r="J19" s="86"/>
      <c r="K19" s="60"/>
      <c r="L19" s="88"/>
      <c r="M19" s="89"/>
      <c r="N19" s="90"/>
      <c r="O19" s="90"/>
      <c r="P19" s="91"/>
      <c r="Q19" s="102"/>
      <c r="R19" s="89"/>
      <c r="S19" s="89"/>
      <c r="T19" s="89"/>
      <c r="U19" s="103"/>
      <c r="V19" s="105"/>
      <c r="W19" s="102"/>
      <c r="X19" s="102"/>
      <c r="Y19" s="102"/>
      <c r="Z19" s="107"/>
      <c r="AA19" s="102"/>
      <c r="AB19" s="102"/>
      <c r="AC19" s="102"/>
      <c r="AD19" s="107"/>
      <c r="AE19" s="102"/>
      <c r="AF19" s="102"/>
      <c r="AG19" s="102"/>
      <c r="AH19" s="107"/>
      <c r="AI19" s="102"/>
      <c r="AJ19" s="102"/>
      <c r="AK19" s="102"/>
      <c r="AL19" s="107"/>
      <c r="AM19" s="102"/>
      <c r="AN19" s="102"/>
      <c r="AO19" s="102"/>
      <c r="AP19" s="107"/>
      <c r="AQ19" s="102"/>
      <c r="AR19" s="102"/>
      <c r="AS19" s="102"/>
      <c r="AT19" s="107"/>
      <c r="AU19" s="102"/>
      <c r="AV19" s="102"/>
      <c r="AW19" s="102"/>
      <c r="AX19" s="107"/>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22"/>
      <c r="CD19" s="123">
        <f t="shared" ref="CD19:CF19" si="24">W19+AA19+AE19+AI19+AM19+AQ19+AU19+AY19+BC19+BG19+BK19+BO19+BS19+BW19+CA19</f>
        <v>0</v>
      </c>
      <c r="CE19" s="102">
        <f t="shared" si="24"/>
        <v>0</v>
      </c>
      <c r="CF19" s="102">
        <f t="shared" si="24"/>
        <v>0</v>
      </c>
      <c r="CG19" s="102">
        <f t="shared" si="3"/>
        <v>0</v>
      </c>
      <c r="CH19" s="124">
        <f t="shared" si="4"/>
        <v>0</v>
      </c>
      <c r="CI19" s="125" t="str">
        <f t="shared" si="5"/>
        <v>-</v>
      </c>
      <c r="CJ19" s="126" t="str">
        <f t="shared" si="6"/>
        <v>数据正确</v>
      </c>
    </row>
    <row r="20" customFormat="1" customHeight="1" spans="2:88">
      <c r="B20" s="70"/>
      <c r="C20" s="71"/>
      <c r="D20" s="72"/>
      <c r="E20" s="72"/>
      <c r="F20" s="72"/>
      <c r="G20" s="72"/>
      <c r="H20" s="72"/>
      <c r="I20" s="72"/>
      <c r="J20" s="86"/>
      <c r="K20" s="60"/>
      <c r="L20" s="88"/>
      <c r="M20" s="89"/>
      <c r="N20" s="90"/>
      <c r="O20" s="90"/>
      <c r="P20" s="91"/>
      <c r="Q20" s="102"/>
      <c r="R20" s="89"/>
      <c r="S20" s="89"/>
      <c r="T20" s="89"/>
      <c r="U20" s="103"/>
      <c r="V20" s="105"/>
      <c r="W20" s="102"/>
      <c r="X20" s="102"/>
      <c r="Y20" s="102"/>
      <c r="Z20" s="107"/>
      <c r="AA20" s="102"/>
      <c r="AB20" s="102"/>
      <c r="AC20" s="102"/>
      <c r="AD20" s="107"/>
      <c r="AE20" s="102"/>
      <c r="AF20" s="102"/>
      <c r="AG20" s="102"/>
      <c r="AH20" s="107"/>
      <c r="AI20" s="102"/>
      <c r="AJ20" s="102"/>
      <c r="AK20" s="102"/>
      <c r="AL20" s="107"/>
      <c r="AM20" s="102"/>
      <c r="AN20" s="102"/>
      <c r="AO20" s="102"/>
      <c r="AP20" s="107"/>
      <c r="AQ20" s="102"/>
      <c r="AR20" s="102"/>
      <c r="AS20" s="102"/>
      <c r="AT20" s="107"/>
      <c r="AU20" s="102"/>
      <c r="AV20" s="102"/>
      <c r="AW20" s="102"/>
      <c r="AX20" s="107"/>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22"/>
      <c r="CD20" s="123">
        <f t="shared" ref="CD20:CF20" si="25">W20+AA20+AE20+AI20+AM20+AQ20+AU20+AY20+BC20+BG20+BK20+BO20+BS20+BW20+CA20</f>
        <v>0</v>
      </c>
      <c r="CE20" s="102">
        <f t="shared" si="25"/>
        <v>0</v>
      </c>
      <c r="CF20" s="102">
        <f t="shared" si="25"/>
        <v>0</v>
      </c>
      <c r="CG20" s="102">
        <f t="shared" si="3"/>
        <v>0</v>
      </c>
      <c r="CH20" s="124">
        <f t="shared" si="4"/>
        <v>0</v>
      </c>
      <c r="CI20" s="125" t="str">
        <f t="shared" si="5"/>
        <v>-</v>
      </c>
      <c r="CJ20" s="126" t="str">
        <f t="shared" si="6"/>
        <v>数据正确</v>
      </c>
    </row>
  </sheetData>
  <mergeCells count="60">
    <mergeCell ref="B2:J2"/>
    <mergeCell ref="L2:U2"/>
    <mergeCell ref="V2:Y2"/>
    <mergeCell ref="Z2:AC2"/>
    <mergeCell ref="AD2:AG2"/>
    <mergeCell ref="AH2:AK2"/>
    <mergeCell ref="AL2:AO2"/>
    <mergeCell ref="AP2:AS2"/>
    <mergeCell ref="AT2:AW2"/>
    <mergeCell ref="AX2:BA2"/>
    <mergeCell ref="BB2:BE2"/>
    <mergeCell ref="BF2:BI2"/>
    <mergeCell ref="BJ2:BM2"/>
    <mergeCell ref="BN2:BQ2"/>
    <mergeCell ref="BR2:BU2"/>
    <mergeCell ref="BV2:BY2"/>
    <mergeCell ref="BZ2:CC2"/>
    <mergeCell ref="CD2:CJ2"/>
    <mergeCell ref="V3:Y3"/>
    <mergeCell ref="Z3:AC3"/>
    <mergeCell ref="AD3:AG3"/>
    <mergeCell ref="AH3:AK3"/>
    <mergeCell ref="AL3:AO3"/>
    <mergeCell ref="AP3:AS3"/>
    <mergeCell ref="AT3:AW3"/>
    <mergeCell ref="AX3:BA3"/>
    <mergeCell ref="BB3:BE3"/>
    <mergeCell ref="BF3:BI3"/>
    <mergeCell ref="BJ3:BM3"/>
    <mergeCell ref="BN3:BQ3"/>
    <mergeCell ref="BR3:BU3"/>
    <mergeCell ref="BV3:BY3"/>
    <mergeCell ref="BZ3:CC3"/>
    <mergeCell ref="L5:M5"/>
    <mergeCell ref="B3:B4"/>
    <mergeCell ref="C3:C4"/>
    <mergeCell ref="D3:D4"/>
    <mergeCell ref="E3:E4"/>
    <mergeCell ref="F3:F4"/>
    <mergeCell ref="G3:G4"/>
    <mergeCell ref="H3:H4"/>
    <mergeCell ref="I3:I4"/>
    <mergeCell ref="J3:J4"/>
    <mergeCell ref="L3:L4"/>
    <mergeCell ref="M3:M4"/>
    <mergeCell ref="N3:N4"/>
    <mergeCell ref="O3:O4"/>
    <mergeCell ref="P3:P4"/>
    <mergeCell ref="Q3:Q4"/>
    <mergeCell ref="R3:R4"/>
    <mergeCell ref="S3:S4"/>
    <mergeCell ref="T3:T4"/>
    <mergeCell ref="U3:U4"/>
    <mergeCell ref="CD3:CD4"/>
    <mergeCell ref="CE3:CE4"/>
    <mergeCell ref="CF3:CF4"/>
    <mergeCell ref="CG3:CG4"/>
    <mergeCell ref="CH3:CH4"/>
    <mergeCell ref="CI3:CI4"/>
    <mergeCell ref="CJ3:CJ4"/>
  </mergeCells>
  <pageMargins left="0.699305555555556" right="0.699305555555556" top="0.75" bottom="0.75" header="0.3" footer="0.3"/>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19"/>
  <sheetViews>
    <sheetView workbookViewId="0">
      <selection activeCell="E13" sqref="E13"/>
    </sheetView>
  </sheetViews>
  <sheetFormatPr defaultColWidth="9" defaultRowHeight="23" customHeight="1"/>
  <cols>
    <col min="1" max="1" width="3.75" customWidth="1"/>
    <col min="2" max="2" width="30.625" customWidth="1"/>
    <col min="3" max="3" width="14" customWidth="1"/>
    <col min="4" max="4" width="12.625" customWidth="1"/>
    <col min="5" max="5" width="14.5" customWidth="1"/>
    <col min="6" max="6" width="47.375" customWidth="1"/>
    <col min="7" max="7" width="11.875" customWidth="1"/>
    <col min="8" max="8" width="14.25" customWidth="1"/>
    <col min="9" max="9" width="14.875" customWidth="1"/>
  </cols>
  <sheetData>
    <row r="1" customHeight="1" spans="2:9">
      <c r="B1" s="41" t="s">
        <v>1961</v>
      </c>
      <c r="C1" s="42"/>
      <c r="D1" s="41"/>
      <c r="E1" s="41"/>
      <c r="F1" s="41"/>
      <c r="G1" s="41"/>
      <c r="H1" s="41"/>
      <c r="I1" s="56"/>
    </row>
    <row r="2" customHeight="1" spans="2:9">
      <c r="B2" s="4" t="s">
        <v>69</v>
      </c>
      <c r="C2" s="6" t="s">
        <v>1962</v>
      </c>
      <c r="D2" s="5" t="s">
        <v>1963</v>
      </c>
      <c r="E2" s="4" t="s">
        <v>1964</v>
      </c>
      <c r="F2" s="4" t="s">
        <v>1965</v>
      </c>
      <c r="G2" s="4" t="s">
        <v>1966</v>
      </c>
      <c r="H2" s="4" t="s">
        <v>1967</v>
      </c>
      <c r="I2" s="4" t="s">
        <v>1968</v>
      </c>
    </row>
    <row r="3" customHeight="1" spans="2:9">
      <c r="B3" s="43" t="s">
        <v>1713</v>
      </c>
      <c r="C3" s="44">
        <v>14628</v>
      </c>
      <c r="D3" s="45">
        <v>42942</v>
      </c>
      <c r="E3" s="46">
        <v>2000</v>
      </c>
      <c r="F3" s="43" t="s">
        <v>1969</v>
      </c>
      <c r="G3" s="46" t="s">
        <v>1970</v>
      </c>
      <c r="H3" s="46" t="s">
        <v>97</v>
      </c>
      <c r="I3" s="46" t="s">
        <v>1971</v>
      </c>
    </row>
    <row r="4" customHeight="1" spans="2:9">
      <c r="B4" s="43" t="s">
        <v>1972</v>
      </c>
      <c r="C4" s="44" t="s">
        <v>97</v>
      </c>
      <c r="D4" s="45">
        <v>42874</v>
      </c>
      <c r="E4" s="46">
        <v>500</v>
      </c>
      <c r="F4" s="43" t="s">
        <v>1973</v>
      </c>
      <c r="G4" s="46" t="s">
        <v>1970</v>
      </c>
      <c r="H4" s="46" t="s">
        <v>97</v>
      </c>
      <c r="I4" s="46" t="s">
        <v>1974</v>
      </c>
    </row>
    <row r="5" customHeight="1" spans="2:9">
      <c r="B5" s="47" t="s">
        <v>1706</v>
      </c>
      <c r="C5" s="48"/>
      <c r="D5" s="45">
        <v>42910</v>
      </c>
      <c r="E5" s="46">
        <v>2000</v>
      </c>
      <c r="F5" s="43" t="s">
        <v>1975</v>
      </c>
      <c r="G5" s="46"/>
      <c r="H5" s="46"/>
      <c r="I5" s="46"/>
    </row>
    <row r="6" customHeight="1" spans="2:9">
      <c r="B6" s="49"/>
      <c r="C6" s="50"/>
      <c r="D6" s="45">
        <v>42937</v>
      </c>
      <c r="E6" s="46">
        <v>2000</v>
      </c>
      <c r="F6" s="43" t="s">
        <v>1976</v>
      </c>
      <c r="G6" s="46"/>
      <c r="H6" s="46"/>
      <c r="I6" s="46"/>
    </row>
    <row r="7" customHeight="1" spans="2:9">
      <c r="B7" s="43" t="s">
        <v>1599</v>
      </c>
      <c r="C7" s="44" t="s">
        <v>97</v>
      </c>
      <c r="D7" s="45">
        <v>42874</v>
      </c>
      <c r="E7" s="46">
        <v>5000</v>
      </c>
      <c r="F7" s="43" t="s">
        <v>1973</v>
      </c>
      <c r="G7" s="46" t="s">
        <v>1970</v>
      </c>
      <c r="H7" s="46" t="s">
        <v>97</v>
      </c>
      <c r="I7" s="46" t="s">
        <v>1977</v>
      </c>
    </row>
    <row r="8" customHeight="1" spans="2:9">
      <c r="B8" s="43" t="s">
        <v>1000</v>
      </c>
      <c r="C8" s="44"/>
      <c r="D8" s="45">
        <v>42874</v>
      </c>
      <c r="E8" s="46">
        <v>10000</v>
      </c>
      <c r="F8" s="43" t="s">
        <v>1973</v>
      </c>
      <c r="G8" s="46" t="s">
        <v>1970</v>
      </c>
      <c r="H8" s="46" t="s">
        <v>97</v>
      </c>
      <c r="I8" s="46" t="s">
        <v>1971</v>
      </c>
    </row>
    <row r="9" s="40" customFormat="1" customHeight="1" spans="2:9">
      <c r="B9" s="51" t="s">
        <v>106</v>
      </c>
      <c r="C9" s="52">
        <v>788000</v>
      </c>
      <c r="D9" s="53">
        <v>42961</v>
      </c>
      <c r="E9" s="54">
        <v>2000</v>
      </c>
      <c r="F9" s="51" t="s">
        <v>1978</v>
      </c>
      <c r="G9" s="54" t="s">
        <v>1979</v>
      </c>
      <c r="H9" s="54"/>
      <c r="I9" s="54"/>
    </row>
    <row r="10" s="40" customFormat="1" customHeight="1" spans="2:9">
      <c r="B10" s="51" t="s">
        <v>137</v>
      </c>
      <c r="C10" s="52">
        <v>400000</v>
      </c>
      <c r="D10" s="53"/>
      <c r="E10" s="54"/>
      <c r="F10" s="51"/>
      <c r="G10" s="54"/>
      <c r="H10" s="54"/>
      <c r="I10" s="54"/>
    </row>
    <row r="11" customHeight="1" spans="2:9">
      <c r="B11" s="43" t="s">
        <v>1066</v>
      </c>
      <c r="C11" s="44">
        <v>50000</v>
      </c>
      <c r="D11" s="45">
        <v>42947</v>
      </c>
      <c r="E11" s="46">
        <f>500</f>
        <v>500</v>
      </c>
      <c r="F11" s="43" t="s">
        <v>97</v>
      </c>
      <c r="G11" s="46" t="s">
        <v>1970</v>
      </c>
      <c r="H11" s="46" t="s">
        <v>97</v>
      </c>
      <c r="I11" s="46" t="s">
        <v>1971</v>
      </c>
    </row>
    <row r="12" customHeight="1" spans="2:9">
      <c r="B12" s="43" t="s">
        <v>1036</v>
      </c>
      <c r="C12" s="44">
        <v>180000</v>
      </c>
      <c r="D12" s="45">
        <v>42825</v>
      </c>
      <c r="E12" s="46">
        <v>100</v>
      </c>
      <c r="F12" s="43" t="s">
        <v>1980</v>
      </c>
      <c r="G12" s="46" t="s">
        <v>1970</v>
      </c>
      <c r="H12" s="46">
        <v>100</v>
      </c>
      <c r="I12" s="46" t="s">
        <v>97</v>
      </c>
    </row>
    <row r="13" customHeight="1" spans="2:9">
      <c r="B13" s="43" t="s">
        <v>982</v>
      </c>
      <c r="C13" s="44">
        <v>8000</v>
      </c>
      <c r="D13" s="45"/>
      <c r="E13" s="46"/>
      <c r="F13" s="55"/>
      <c r="G13" s="46"/>
      <c r="H13" s="46"/>
      <c r="I13" s="46"/>
    </row>
    <row r="14" customHeight="1" spans="2:9">
      <c r="B14" s="43" t="s">
        <v>982</v>
      </c>
      <c r="C14" s="44">
        <v>30000</v>
      </c>
      <c r="D14" s="45"/>
      <c r="E14" s="46"/>
      <c r="F14" s="55"/>
      <c r="G14" s="46"/>
      <c r="H14" s="46"/>
      <c r="I14" s="46"/>
    </row>
    <row r="15" customHeight="1" spans="2:9">
      <c r="B15" s="43" t="s">
        <v>1036</v>
      </c>
      <c r="C15" s="44">
        <v>180000</v>
      </c>
      <c r="D15" s="45"/>
      <c r="E15" s="46"/>
      <c r="F15" s="43"/>
      <c r="G15" s="46"/>
      <c r="H15" s="46"/>
      <c r="I15" s="46"/>
    </row>
    <row r="16" customHeight="1" spans="2:9">
      <c r="B16" s="43" t="s">
        <v>1078</v>
      </c>
      <c r="C16" s="44">
        <v>170000</v>
      </c>
      <c r="D16" s="45" t="s">
        <v>1981</v>
      </c>
      <c r="E16" s="46"/>
      <c r="F16" s="43"/>
      <c r="G16" s="46"/>
      <c r="H16" s="46"/>
      <c r="I16" s="46"/>
    </row>
    <row r="17" customHeight="1" spans="2:9">
      <c r="B17" s="43" t="s">
        <v>1036</v>
      </c>
      <c r="C17" s="44">
        <v>170000</v>
      </c>
      <c r="D17" s="45"/>
      <c r="E17" s="46"/>
      <c r="F17" s="43"/>
      <c r="G17" s="46"/>
      <c r="H17" s="46"/>
      <c r="I17" s="46"/>
    </row>
    <row r="18" customHeight="1" spans="2:9">
      <c r="B18" s="43" t="s">
        <v>1159</v>
      </c>
      <c r="C18" s="44">
        <v>210000</v>
      </c>
      <c r="D18" s="45"/>
      <c r="E18" s="46"/>
      <c r="F18" s="43"/>
      <c r="G18" s="46"/>
      <c r="H18" s="46"/>
      <c r="I18" s="46"/>
    </row>
    <row r="19" customHeight="1" spans="2:9">
      <c r="B19" s="43" t="s">
        <v>137</v>
      </c>
      <c r="C19" s="44">
        <v>180000</v>
      </c>
      <c r="D19" s="45"/>
      <c r="E19" s="46"/>
      <c r="F19" s="43"/>
      <c r="G19" s="46"/>
      <c r="H19" s="46"/>
      <c r="I19" s="46"/>
    </row>
  </sheetData>
  <mergeCells count="3">
    <mergeCell ref="B1:H1"/>
    <mergeCell ref="B5:B6"/>
    <mergeCell ref="C5:C6"/>
  </mergeCells>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9"/>
  <sheetViews>
    <sheetView workbookViewId="0">
      <selection activeCell="C32" sqref="C32"/>
    </sheetView>
  </sheetViews>
  <sheetFormatPr defaultColWidth="9" defaultRowHeight="13.5"/>
  <cols>
    <col min="1" max="2" width="5.5" style="10" customWidth="1"/>
    <col min="3" max="3" width="16" style="10" customWidth="1"/>
    <col min="4" max="4" width="13.75" style="10" customWidth="1"/>
    <col min="5" max="5" width="12.875" style="10" customWidth="1"/>
    <col min="6" max="7" width="9.625" style="10" customWidth="1"/>
    <col min="8" max="8" width="11.375" style="10" customWidth="1"/>
    <col min="9" max="10" width="9.625" style="10" customWidth="1"/>
    <col min="11" max="11" width="10.25" style="10" customWidth="1"/>
    <col min="12" max="12" width="11.375" style="10" customWidth="1"/>
    <col min="13" max="15" width="10.5" style="10" customWidth="1"/>
    <col min="16" max="19" width="11.375" style="10" customWidth="1"/>
    <col min="20" max="22" width="12.875" style="10" customWidth="1"/>
    <col min="23" max="16384" width="9" style="10"/>
  </cols>
  <sheetData>
    <row r="1" s="10" customFormat="1" spans="1:22">
      <c r="A1" s="29" t="s">
        <v>1982</v>
      </c>
      <c r="B1" s="33"/>
      <c r="C1" s="33"/>
      <c r="D1" s="33"/>
      <c r="E1" s="33"/>
      <c r="F1" s="33"/>
      <c r="G1" s="33"/>
      <c r="H1" s="33"/>
      <c r="I1" s="33"/>
      <c r="J1" s="33"/>
      <c r="K1" s="33"/>
      <c r="L1" s="33"/>
      <c r="M1" s="33"/>
      <c r="N1" s="33"/>
      <c r="O1" s="33"/>
      <c r="P1" s="33"/>
      <c r="Q1" s="33"/>
      <c r="R1" s="33"/>
      <c r="S1" s="33"/>
      <c r="T1" s="33"/>
      <c r="U1" s="33"/>
      <c r="V1" s="33"/>
    </row>
    <row r="2" s="11" customFormat="1" spans="1:22">
      <c r="A2" s="14" t="s">
        <v>1983</v>
      </c>
      <c r="B2" s="14" t="s">
        <v>1984</v>
      </c>
      <c r="C2" s="14" t="s">
        <v>1985</v>
      </c>
      <c r="D2" s="14" t="s">
        <v>1986</v>
      </c>
      <c r="E2" s="14" t="s">
        <v>1987</v>
      </c>
      <c r="F2" s="14" t="s">
        <v>1988</v>
      </c>
      <c r="G2" s="14" t="s">
        <v>1989</v>
      </c>
      <c r="H2" s="14" t="s">
        <v>1990</v>
      </c>
      <c r="I2" s="14" t="s">
        <v>1991</v>
      </c>
      <c r="J2" s="14" t="s">
        <v>1992</v>
      </c>
      <c r="K2" s="14" t="s">
        <v>1993</v>
      </c>
      <c r="L2" s="14" t="s">
        <v>1994</v>
      </c>
      <c r="M2" s="27" t="s">
        <v>1995</v>
      </c>
      <c r="N2" s="28"/>
      <c r="O2" s="14" t="s">
        <v>1996</v>
      </c>
      <c r="P2" s="14" t="s">
        <v>1997</v>
      </c>
      <c r="Q2" s="14" t="s">
        <v>1998</v>
      </c>
      <c r="R2" s="14" t="s">
        <v>1999</v>
      </c>
      <c r="S2" s="14" t="s">
        <v>2000</v>
      </c>
      <c r="T2" s="14" t="s">
        <v>35</v>
      </c>
      <c r="U2" s="32" t="s">
        <v>17</v>
      </c>
      <c r="V2" s="32" t="s">
        <v>2001</v>
      </c>
    </row>
    <row r="3" s="10" customFormat="1" spans="1:22">
      <c r="A3" s="14">
        <v>2015</v>
      </c>
      <c r="B3" s="34" t="s">
        <v>2002</v>
      </c>
      <c r="C3" s="30">
        <v>623929.42</v>
      </c>
      <c r="D3" s="30">
        <v>277415.62</v>
      </c>
      <c r="E3" s="30">
        <v>28028.92</v>
      </c>
      <c r="F3" s="30"/>
      <c r="G3" s="30"/>
      <c r="H3" s="30"/>
      <c r="I3" s="30"/>
      <c r="J3" s="30"/>
      <c r="K3" s="30"/>
      <c r="L3" s="30"/>
      <c r="M3" s="30"/>
      <c r="N3" s="30"/>
      <c r="O3" s="30"/>
      <c r="P3" s="30"/>
      <c r="Q3" s="30"/>
      <c r="R3" s="30"/>
      <c r="S3" s="30"/>
      <c r="T3" s="30">
        <f t="shared" ref="T3:T26" si="0">SUM(C3:P3)</f>
        <v>929373.96</v>
      </c>
      <c r="U3" s="30">
        <v>926753.7</v>
      </c>
      <c r="V3" s="30">
        <f t="shared" ref="V3:V27" si="1">T3-U3</f>
        <v>2620.26000000013</v>
      </c>
    </row>
    <row r="4" s="10" customFormat="1" spans="1:22">
      <c r="A4" s="14"/>
      <c r="B4" s="14">
        <v>6</v>
      </c>
      <c r="C4" s="30">
        <v>806108.07</v>
      </c>
      <c r="D4" s="30">
        <v>121122.77</v>
      </c>
      <c r="E4" s="30">
        <v>6258.48</v>
      </c>
      <c r="F4" s="30"/>
      <c r="G4" s="30"/>
      <c r="H4" s="30"/>
      <c r="I4" s="30"/>
      <c r="J4" s="30"/>
      <c r="K4" s="30"/>
      <c r="L4" s="30"/>
      <c r="M4" s="30"/>
      <c r="N4" s="30"/>
      <c r="O4" s="30"/>
      <c r="P4" s="30"/>
      <c r="Q4" s="30"/>
      <c r="R4" s="30"/>
      <c r="S4" s="30"/>
      <c r="T4" s="30">
        <f t="shared" si="0"/>
        <v>933489.32</v>
      </c>
      <c r="U4" s="30">
        <v>925889.41</v>
      </c>
      <c r="V4" s="30">
        <f t="shared" si="1"/>
        <v>7599.90999999992</v>
      </c>
    </row>
    <row r="5" s="10" customFormat="1" spans="1:22">
      <c r="A5" s="14"/>
      <c r="B5" s="14">
        <v>7</v>
      </c>
      <c r="C5" s="30">
        <v>1285359.06</v>
      </c>
      <c r="D5" s="30">
        <v>51986.88</v>
      </c>
      <c r="E5" s="30">
        <v>36646.72</v>
      </c>
      <c r="F5" s="30"/>
      <c r="G5" s="30"/>
      <c r="H5" s="30"/>
      <c r="I5" s="30"/>
      <c r="J5" s="30"/>
      <c r="K5" s="30"/>
      <c r="L5" s="30"/>
      <c r="M5" s="30"/>
      <c r="N5" s="30"/>
      <c r="O5" s="30"/>
      <c r="P5" s="30"/>
      <c r="Q5" s="30"/>
      <c r="R5" s="30"/>
      <c r="S5" s="30"/>
      <c r="T5" s="30">
        <f t="shared" si="0"/>
        <v>1373992.66</v>
      </c>
      <c r="U5" s="30">
        <v>1365672.22</v>
      </c>
      <c r="V5" s="30">
        <f t="shared" si="1"/>
        <v>8320.43999999994</v>
      </c>
    </row>
    <row r="6" s="10" customFormat="1" spans="1:22">
      <c r="A6" s="14"/>
      <c r="B6" s="14">
        <v>8</v>
      </c>
      <c r="C6" s="30">
        <v>1109324.21</v>
      </c>
      <c r="D6" s="30">
        <v>3730.88</v>
      </c>
      <c r="E6" s="30">
        <v>31241.67</v>
      </c>
      <c r="F6" s="30"/>
      <c r="G6" s="30"/>
      <c r="H6" s="30"/>
      <c r="I6" s="30"/>
      <c r="J6" s="30"/>
      <c r="K6" s="30"/>
      <c r="L6" s="30"/>
      <c r="M6" s="30"/>
      <c r="N6" s="30"/>
      <c r="O6" s="30"/>
      <c r="P6" s="30">
        <v>31090</v>
      </c>
      <c r="Q6" s="30"/>
      <c r="R6" s="30"/>
      <c r="S6" s="30"/>
      <c r="T6" s="30">
        <f t="shared" si="0"/>
        <v>1175386.76</v>
      </c>
      <c r="U6" s="30">
        <v>1140095.24</v>
      </c>
      <c r="V6" s="30">
        <f t="shared" si="1"/>
        <v>35291.5199999998</v>
      </c>
    </row>
    <row r="7" s="10" customFormat="1" spans="1:22">
      <c r="A7" s="14"/>
      <c r="B7" s="14">
        <v>9</v>
      </c>
      <c r="C7" s="30">
        <v>755538.55</v>
      </c>
      <c r="D7" s="30">
        <v>736.16</v>
      </c>
      <c r="E7" s="30">
        <v>161034.14</v>
      </c>
      <c r="F7" s="30"/>
      <c r="G7" s="30"/>
      <c r="H7" s="30"/>
      <c r="I7" s="30"/>
      <c r="J7" s="30"/>
      <c r="K7" s="30"/>
      <c r="L7" s="30"/>
      <c r="M7" s="30"/>
      <c r="N7" s="30"/>
      <c r="O7" s="30"/>
      <c r="P7" s="30">
        <v>23474</v>
      </c>
      <c r="Q7" s="30"/>
      <c r="R7" s="30"/>
      <c r="S7" s="30"/>
      <c r="T7" s="30">
        <f t="shared" si="0"/>
        <v>940782.85</v>
      </c>
      <c r="U7" s="30">
        <v>912217.15</v>
      </c>
      <c r="V7" s="30">
        <f t="shared" si="1"/>
        <v>28565.7000000001</v>
      </c>
    </row>
    <row r="8" s="10" customFormat="1" spans="1:22">
      <c r="A8" s="14"/>
      <c r="B8" s="14">
        <v>10</v>
      </c>
      <c r="C8" s="30">
        <v>675359.94</v>
      </c>
      <c r="D8" s="30">
        <v>1450.4</v>
      </c>
      <c r="E8" s="30">
        <v>474603.22</v>
      </c>
      <c r="F8" s="30"/>
      <c r="G8" s="30"/>
      <c r="H8" s="30"/>
      <c r="I8" s="30"/>
      <c r="J8" s="30"/>
      <c r="K8" s="30"/>
      <c r="L8" s="30"/>
      <c r="M8" s="30"/>
      <c r="N8" s="30"/>
      <c r="O8" s="30"/>
      <c r="P8" s="30">
        <v>2455</v>
      </c>
      <c r="Q8" s="30"/>
      <c r="R8" s="30"/>
      <c r="S8" s="30"/>
      <c r="T8" s="30">
        <f t="shared" si="0"/>
        <v>1153868.56</v>
      </c>
      <c r="U8" s="30">
        <v>1150314.81</v>
      </c>
      <c r="V8" s="30">
        <f t="shared" si="1"/>
        <v>3553.75</v>
      </c>
    </row>
    <row r="9" s="10" customFormat="1" spans="1:22">
      <c r="A9" s="14"/>
      <c r="B9" s="14">
        <v>11</v>
      </c>
      <c r="C9" s="30">
        <v>17173.19</v>
      </c>
      <c r="D9" s="30">
        <v>1343.12</v>
      </c>
      <c r="E9" s="30">
        <v>538829.05</v>
      </c>
      <c r="F9" s="30"/>
      <c r="G9" s="30"/>
      <c r="H9" s="30"/>
      <c r="I9" s="30"/>
      <c r="J9" s="30"/>
      <c r="K9" s="30"/>
      <c r="L9" s="30"/>
      <c r="M9" s="30"/>
      <c r="N9" s="30"/>
      <c r="O9" s="30"/>
      <c r="P9" s="30">
        <v>10164</v>
      </c>
      <c r="Q9" s="30"/>
      <c r="R9" s="30"/>
      <c r="S9" s="30"/>
      <c r="T9" s="30">
        <f t="shared" si="0"/>
        <v>567509.36</v>
      </c>
      <c r="U9" s="30">
        <v>555978.73</v>
      </c>
      <c r="V9" s="30">
        <f t="shared" si="1"/>
        <v>11530.6300000001</v>
      </c>
    </row>
    <row r="10" s="10" customFormat="1" spans="1:22">
      <c r="A10" s="14"/>
      <c r="B10" s="14">
        <v>12</v>
      </c>
      <c r="C10" s="30">
        <v>2134</v>
      </c>
      <c r="D10" s="30">
        <v>123.2</v>
      </c>
      <c r="E10" s="30">
        <v>308566.5</v>
      </c>
      <c r="F10" s="30"/>
      <c r="G10" s="30"/>
      <c r="H10" s="30"/>
      <c r="I10" s="30"/>
      <c r="J10" s="30"/>
      <c r="K10" s="30"/>
      <c r="L10" s="30"/>
      <c r="M10" s="30"/>
      <c r="N10" s="30"/>
      <c r="O10" s="30"/>
      <c r="P10" s="30">
        <v>7102</v>
      </c>
      <c r="Q10" s="30"/>
      <c r="R10" s="30"/>
      <c r="S10" s="30"/>
      <c r="T10" s="30">
        <f t="shared" si="0"/>
        <v>317925.7</v>
      </c>
      <c r="U10" s="30">
        <v>309418.68</v>
      </c>
      <c r="V10" s="30">
        <f t="shared" si="1"/>
        <v>8507.02000000002</v>
      </c>
    </row>
    <row r="11" s="10" customFormat="1" spans="1:22">
      <c r="A11" s="14">
        <v>2016</v>
      </c>
      <c r="B11" s="14" t="s">
        <v>2003</v>
      </c>
      <c r="C11" s="30">
        <v>2145</v>
      </c>
      <c r="D11" s="30">
        <v>1188</v>
      </c>
      <c r="E11" s="30">
        <v>16725.5</v>
      </c>
      <c r="F11" s="30"/>
      <c r="G11" s="30"/>
      <c r="H11" s="30"/>
      <c r="I11" s="30"/>
      <c r="J11" s="30"/>
      <c r="K11" s="30"/>
      <c r="L11" s="30"/>
      <c r="M11" s="30"/>
      <c r="N11" s="30"/>
      <c r="O11" s="30"/>
      <c r="P11" s="30">
        <v>5019</v>
      </c>
      <c r="Q11" s="30"/>
      <c r="R11" s="30"/>
      <c r="S11" s="30"/>
      <c r="T11" s="30">
        <f t="shared" si="0"/>
        <v>25077.5</v>
      </c>
      <c r="U11" s="30">
        <f>13686.45+6356.93</f>
        <v>20043.38</v>
      </c>
      <c r="V11" s="30">
        <f t="shared" si="1"/>
        <v>5034.12</v>
      </c>
    </row>
    <row r="12" s="10" customFormat="1" spans="1:22">
      <c r="A12" s="14"/>
      <c r="B12" s="14">
        <v>3</v>
      </c>
      <c r="C12" s="30">
        <v>25.5</v>
      </c>
      <c r="D12" s="30">
        <v>224.4</v>
      </c>
      <c r="E12" s="30">
        <v>9621.15</v>
      </c>
      <c r="F12" s="30">
        <v>530.4</v>
      </c>
      <c r="G12" s="30"/>
      <c r="H12" s="30"/>
      <c r="I12" s="30"/>
      <c r="J12" s="30"/>
      <c r="K12" s="30"/>
      <c r="L12" s="30"/>
      <c r="M12" s="30"/>
      <c r="N12" s="30"/>
      <c r="O12" s="30"/>
      <c r="P12" s="30"/>
      <c r="Q12" s="30"/>
      <c r="R12" s="30"/>
      <c r="S12" s="30"/>
      <c r="T12" s="30">
        <f t="shared" si="0"/>
        <v>10401.45</v>
      </c>
      <c r="U12" s="30">
        <v>10229.03</v>
      </c>
      <c r="V12" s="30">
        <f t="shared" si="1"/>
        <v>172.419999999998</v>
      </c>
    </row>
    <row r="13" s="10" customFormat="1" spans="1:22">
      <c r="A13" s="14"/>
      <c r="B13" s="14">
        <v>4</v>
      </c>
      <c r="C13" s="30">
        <v>5740.8</v>
      </c>
      <c r="D13" s="30">
        <v>218.4</v>
      </c>
      <c r="E13" s="30">
        <v>2190.9</v>
      </c>
      <c r="F13" s="30">
        <v>390</v>
      </c>
      <c r="G13" s="30"/>
      <c r="H13" s="30"/>
      <c r="I13" s="30"/>
      <c r="J13" s="30"/>
      <c r="K13" s="30"/>
      <c r="L13" s="30"/>
      <c r="M13" s="30"/>
      <c r="N13" s="30"/>
      <c r="O13" s="30"/>
      <c r="P13" s="30"/>
      <c r="Q13" s="30"/>
      <c r="R13" s="30"/>
      <c r="S13" s="30"/>
      <c r="T13" s="30">
        <f t="shared" si="0"/>
        <v>8540.1</v>
      </c>
      <c r="U13" s="30">
        <f>3639.49+4773.73</f>
        <v>8413.22</v>
      </c>
      <c r="V13" s="30">
        <f t="shared" si="1"/>
        <v>126.880000000001</v>
      </c>
    </row>
    <row r="14" s="10" customFormat="1" spans="1:22">
      <c r="A14" s="14"/>
      <c r="B14" s="14">
        <v>5</v>
      </c>
      <c r="C14" s="30"/>
      <c r="D14" s="30">
        <v>702.4</v>
      </c>
      <c r="E14" s="30">
        <v>1295.05</v>
      </c>
      <c r="F14" s="30">
        <v>2072.08</v>
      </c>
      <c r="G14" s="30"/>
      <c r="H14" s="30"/>
      <c r="I14" s="30"/>
      <c r="J14" s="30"/>
      <c r="K14" s="30"/>
      <c r="L14" s="30"/>
      <c r="M14" s="30"/>
      <c r="N14" s="30"/>
      <c r="O14" s="30"/>
      <c r="P14" s="30"/>
      <c r="Q14" s="30"/>
      <c r="R14" s="30"/>
      <c r="S14" s="30"/>
      <c r="T14" s="30">
        <f t="shared" si="0"/>
        <v>4069.53</v>
      </c>
      <c r="U14" s="30">
        <v>4065.15</v>
      </c>
      <c r="V14" s="30">
        <f t="shared" si="1"/>
        <v>4.37999999999965</v>
      </c>
    </row>
    <row r="15" s="10" customFormat="1" spans="1:22">
      <c r="A15" s="14"/>
      <c r="B15" s="14">
        <v>6</v>
      </c>
      <c r="C15" s="30"/>
      <c r="D15" s="30">
        <v>230.88</v>
      </c>
      <c r="E15" s="30"/>
      <c r="F15" s="30"/>
      <c r="G15" s="30">
        <v>4093.68</v>
      </c>
      <c r="H15" s="30"/>
      <c r="I15" s="30"/>
      <c r="J15" s="30"/>
      <c r="K15" s="30"/>
      <c r="L15" s="30"/>
      <c r="M15" s="30"/>
      <c r="N15" s="30"/>
      <c r="O15" s="30"/>
      <c r="P15" s="30"/>
      <c r="Q15" s="30"/>
      <c r="R15" s="30"/>
      <c r="S15" s="30"/>
      <c r="T15" s="30">
        <f t="shared" si="0"/>
        <v>4324.56</v>
      </c>
      <c r="U15" s="30">
        <v>4323.92</v>
      </c>
      <c r="V15" s="30">
        <f t="shared" si="1"/>
        <v>0.639999999999418</v>
      </c>
    </row>
    <row r="16" s="10" customFormat="1" spans="1:22">
      <c r="A16" s="14"/>
      <c r="B16" s="14">
        <v>7</v>
      </c>
      <c r="C16" s="30"/>
      <c r="D16" s="30">
        <v>531.36</v>
      </c>
      <c r="E16" s="30"/>
      <c r="F16" s="30"/>
      <c r="G16" s="30">
        <v>3875.04</v>
      </c>
      <c r="H16" s="30"/>
      <c r="I16" s="30"/>
      <c r="J16" s="30"/>
      <c r="K16" s="30"/>
      <c r="L16" s="30"/>
      <c r="M16" s="30"/>
      <c r="N16" s="30"/>
      <c r="O16" s="30"/>
      <c r="P16" s="30"/>
      <c r="Q16" s="30"/>
      <c r="R16" s="30"/>
      <c r="S16" s="30"/>
      <c r="T16" s="30">
        <f t="shared" si="0"/>
        <v>4406.4</v>
      </c>
      <c r="U16" s="30">
        <v>4405.36</v>
      </c>
      <c r="V16" s="30">
        <f t="shared" si="1"/>
        <v>1.03999999999996</v>
      </c>
    </row>
    <row r="17" s="10" customFormat="1" spans="1:22">
      <c r="A17" s="14"/>
      <c r="B17" s="14">
        <v>8</v>
      </c>
      <c r="C17" s="30"/>
      <c r="D17" s="30">
        <v>367.36</v>
      </c>
      <c r="E17" s="30"/>
      <c r="F17" s="30"/>
      <c r="G17" s="30">
        <v>2414.08</v>
      </c>
      <c r="H17" s="30"/>
      <c r="I17" s="30"/>
      <c r="J17" s="30"/>
      <c r="K17" s="30"/>
      <c r="L17" s="30"/>
      <c r="M17" s="30"/>
      <c r="N17" s="30"/>
      <c r="O17" s="30"/>
      <c r="P17" s="30"/>
      <c r="Q17" s="30"/>
      <c r="R17" s="30"/>
      <c r="S17" s="30"/>
      <c r="T17" s="30">
        <f t="shared" si="0"/>
        <v>2781.44</v>
      </c>
      <c r="U17" s="30">
        <v>3594.11</v>
      </c>
      <c r="V17" s="30">
        <f t="shared" si="1"/>
        <v>-812.67</v>
      </c>
    </row>
    <row r="18" s="10" customFormat="1" spans="1:22">
      <c r="A18" s="14"/>
      <c r="B18" s="18" t="s">
        <v>2004</v>
      </c>
      <c r="C18" s="30"/>
      <c r="D18" s="30">
        <v>17480</v>
      </c>
      <c r="E18" s="30"/>
      <c r="F18" s="35"/>
      <c r="G18" s="30">
        <v>4816</v>
      </c>
      <c r="H18" s="30"/>
      <c r="I18" s="30"/>
      <c r="J18" s="30"/>
      <c r="K18" s="30"/>
      <c r="L18" s="30"/>
      <c r="M18" s="30"/>
      <c r="N18" s="30"/>
      <c r="O18" s="30"/>
      <c r="P18" s="30"/>
      <c r="Q18" s="30"/>
      <c r="R18" s="30"/>
      <c r="S18" s="30"/>
      <c r="T18" s="30">
        <f t="shared" si="0"/>
        <v>22296</v>
      </c>
      <c r="U18" s="30">
        <v>5234.53</v>
      </c>
      <c r="V18" s="30">
        <f t="shared" si="1"/>
        <v>17061.47</v>
      </c>
    </row>
    <row r="19" s="10" customFormat="1" spans="1:22">
      <c r="A19" s="14"/>
      <c r="B19" s="18" t="s">
        <v>2005</v>
      </c>
      <c r="C19" s="30"/>
      <c r="D19" s="30">
        <v>7968</v>
      </c>
      <c r="E19" s="30"/>
      <c r="F19" s="30"/>
      <c r="G19" s="30">
        <v>224</v>
      </c>
      <c r="H19" s="30"/>
      <c r="I19" s="30"/>
      <c r="J19" s="30"/>
      <c r="K19" s="30"/>
      <c r="L19" s="30"/>
      <c r="M19" s="30"/>
      <c r="N19" s="30"/>
      <c r="O19" s="30"/>
      <c r="P19" s="30"/>
      <c r="Q19" s="30"/>
      <c r="R19" s="30"/>
      <c r="S19" s="30"/>
      <c r="T19" s="30">
        <f t="shared" si="0"/>
        <v>8192</v>
      </c>
      <c r="U19" s="30">
        <v>10385.46</v>
      </c>
      <c r="V19" s="30">
        <f t="shared" si="1"/>
        <v>-2193.46</v>
      </c>
    </row>
    <row r="20" s="10" customFormat="1" spans="1:22">
      <c r="A20" s="36">
        <v>2017</v>
      </c>
      <c r="B20" s="18" t="s">
        <v>117</v>
      </c>
      <c r="C20" s="30"/>
      <c r="D20" s="30">
        <v>840</v>
      </c>
      <c r="E20" s="30"/>
      <c r="F20" s="30"/>
      <c r="G20" s="30"/>
      <c r="H20" s="30">
        <v>713</v>
      </c>
      <c r="I20" s="30"/>
      <c r="J20" s="30"/>
      <c r="K20" s="30"/>
      <c r="L20" s="30"/>
      <c r="M20" s="30"/>
      <c r="N20" s="30"/>
      <c r="O20" s="30"/>
      <c r="P20" s="30"/>
      <c r="Q20" s="30"/>
      <c r="R20" s="30"/>
      <c r="S20" s="30"/>
      <c r="T20" s="30">
        <f t="shared" si="0"/>
        <v>1553</v>
      </c>
      <c r="U20" s="30">
        <v>3209.28</v>
      </c>
      <c r="V20" s="30">
        <f t="shared" si="1"/>
        <v>-1656.28</v>
      </c>
    </row>
    <row r="21" s="10" customFormat="1" spans="1:22">
      <c r="A21" s="37"/>
      <c r="B21" s="18" t="s">
        <v>2006</v>
      </c>
      <c r="C21" s="30"/>
      <c r="D21" s="30">
        <v>2192</v>
      </c>
      <c r="E21" s="30"/>
      <c r="F21" s="30"/>
      <c r="G21" s="30"/>
      <c r="H21" s="30">
        <v>5888</v>
      </c>
      <c r="I21" s="30"/>
      <c r="J21" s="30"/>
      <c r="K21" s="30">
        <v>1956</v>
      </c>
      <c r="L21" s="30">
        <v>4550</v>
      </c>
      <c r="M21" s="30"/>
      <c r="N21" s="30"/>
      <c r="O21" s="30"/>
      <c r="P21" s="30"/>
      <c r="Q21" s="30"/>
      <c r="R21" s="30"/>
      <c r="S21" s="30"/>
      <c r="T21" s="30">
        <f t="shared" si="0"/>
        <v>14586</v>
      </c>
      <c r="U21" s="30">
        <v>17667.43</v>
      </c>
      <c r="V21" s="30">
        <f t="shared" si="1"/>
        <v>-3081.43</v>
      </c>
    </row>
    <row r="22" s="10" customFormat="1" spans="1:22">
      <c r="A22" s="37"/>
      <c r="B22" s="18" t="s">
        <v>2007</v>
      </c>
      <c r="C22" s="30"/>
      <c r="D22" s="30"/>
      <c r="E22" s="30"/>
      <c r="F22" s="30">
        <v>56</v>
      </c>
      <c r="G22" s="30"/>
      <c r="H22" s="30">
        <v>12914</v>
      </c>
      <c r="I22" s="30"/>
      <c r="J22" s="30"/>
      <c r="K22" s="30">
        <v>4200</v>
      </c>
      <c r="L22" s="30">
        <v>8702</v>
      </c>
      <c r="M22" s="30"/>
      <c r="N22" s="30"/>
      <c r="O22" s="30"/>
      <c r="P22" s="30"/>
      <c r="Q22" s="30"/>
      <c r="R22" s="30"/>
      <c r="S22" s="30"/>
      <c r="T22" s="30">
        <f t="shared" si="0"/>
        <v>25872</v>
      </c>
      <c r="U22" s="30">
        <v>20670.89</v>
      </c>
      <c r="V22" s="30">
        <f t="shared" si="1"/>
        <v>5201.11</v>
      </c>
    </row>
    <row r="23" s="10" customFormat="1" spans="1:22">
      <c r="A23" s="37"/>
      <c r="B23" s="18" t="s">
        <v>2008</v>
      </c>
      <c r="C23" s="30"/>
      <c r="D23" s="30"/>
      <c r="E23" s="30"/>
      <c r="F23" s="30">
        <v>56</v>
      </c>
      <c r="G23" s="30"/>
      <c r="H23" s="30">
        <v>12864</v>
      </c>
      <c r="I23" s="30"/>
      <c r="J23" s="30"/>
      <c r="K23" s="30">
        <v>17348</v>
      </c>
      <c r="L23" s="30">
        <v>21760</v>
      </c>
      <c r="M23" s="30">
        <v>1850</v>
      </c>
      <c r="N23" s="30"/>
      <c r="O23" s="30">
        <v>2914</v>
      </c>
      <c r="P23" s="30"/>
      <c r="Q23" s="30"/>
      <c r="R23" s="30"/>
      <c r="S23" s="30"/>
      <c r="T23" s="30">
        <f t="shared" si="0"/>
        <v>56792</v>
      </c>
      <c r="U23" s="30">
        <v>72654.34</v>
      </c>
      <c r="V23" s="30">
        <f t="shared" si="1"/>
        <v>-15862.34</v>
      </c>
    </row>
    <row r="24" s="10" customFormat="1" spans="1:22">
      <c r="A24" s="37"/>
      <c r="B24" s="18" t="s">
        <v>2009</v>
      </c>
      <c r="C24" s="30"/>
      <c r="D24" s="30"/>
      <c r="E24" s="30"/>
      <c r="F24" s="30">
        <v>1600</v>
      </c>
      <c r="G24" s="30"/>
      <c r="H24" s="30">
        <v>18970</v>
      </c>
      <c r="I24" s="30">
        <v>4020</v>
      </c>
      <c r="J24" s="30"/>
      <c r="K24" s="30">
        <v>21056</v>
      </c>
      <c r="L24" s="30">
        <v>9964</v>
      </c>
      <c r="M24" s="30">
        <v>4568</v>
      </c>
      <c r="N24" s="30"/>
      <c r="O24" s="30">
        <v>10038</v>
      </c>
      <c r="P24" s="30"/>
      <c r="Q24" s="30"/>
      <c r="R24" s="30"/>
      <c r="S24" s="30"/>
      <c r="T24" s="30">
        <f t="shared" si="0"/>
        <v>70216</v>
      </c>
      <c r="U24" s="30">
        <v>97708.95</v>
      </c>
      <c r="V24" s="30">
        <f t="shared" si="1"/>
        <v>-27492.95</v>
      </c>
    </row>
    <row r="25" s="10" customFormat="1" spans="1:22">
      <c r="A25" s="37"/>
      <c r="B25" s="38">
        <v>7</v>
      </c>
      <c r="C25" s="15"/>
      <c r="D25" s="15"/>
      <c r="E25" s="15"/>
      <c r="F25" s="15">
        <v>5820</v>
      </c>
      <c r="G25" s="15"/>
      <c r="H25" s="15">
        <f>15623+18374</f>
        <v>33997</v>
      </c>
      <c r="I25" s="15">
        <v>7064</v>
      </c>
      <c r="J25" s="15">
        <v>1120</v>
      </c>
      <c r="K25" s="15">
        <v>21452</v>
      </c>
      <c r="L25" s="15">
        <v>7512</v>
      </c>
      <c r="M25" s="15">
        <v>14864</v>
      </c>
      <c r="N25" s="15"/>
      <c r="O25" s="15">
        <v>31845</v>
      </c>
      <c r="P25" s="15"/>
      <c r="Q25" s="15"/>
      <c r="R25" s="15"/>
      <c r="S25" s="15"/>
      <c r="T25" s="30">
        <f t="shared" si="0"/>
        <v>123674</v>
      </c>
      <c r="U25" s="15">
        <v>153097.03</v>
      </c>
      <c r="V25" s="30">
        <f t="shared" si="1"/>
        <v>-29423.03</v>
      </c>
    </row>
    <row r="26" s="10" customFormat="1" spans="1:22">
      <c r="A26" s="37"/>
      <c r="B26" s="38">
        <v>8</v>
      </c>
      <c r="C26" s="15"/>
      <c r="D26" s="15"/>
      <c r="E26" s="15"/>
      <c r="F26" s="15">
        <v>7056</v>
      </c>
      <c r="G26" s="15"/>
      <c r="H26" s="15">
        <f>15579+26133</f>
        <v>41712</v>
      </c>
      <c r="I26" s="15">
        <v>7756</v>
      </c>
      <c r="J26" s="15">
        <v>8376</v>
      </c>
      <c r="K26" s="15">
        <v>15540</v>
      </c>
      <c r="L26" s="15">
        <v>3904</v>
      </c>
      <c r="M26" s="15">
        <v>18304</v>
      </c>
      <c r="N26" s="15">
        <v>2864</v>
      </c>
      <c r="O26" s="15">
        <v>59161</v>
      </c>
      <c r="P26" s="15"/>
      <c r="Q26" s="15"/>
      <c r="R26" s="15"/>
      <c r="S26" s="15"/>
      <c r="T26" s="30">
        <f t="shared" si="0"/>
        <v>164673</v>
      </c>
      <c r="U26" s="15">
        <v>187331.75</v>
      </c>
      <c r="V26" s="30">
        <f t="shared" si="1"/>
        <v>-22658.75</v>
      </c>
    </row>
    <row r="27" s="10" customFormat="1" spans="1:22">
      <c r="A27" s="37"/>
      <c r="B27" s="38">
        <v>9</v>
      </c>
      <c r="C27" s="15"/>
      <c r="D27" s="15"/>
      <c r="E27" s="15"/>
      <c r="F27" s="15">
        <v>11208</v>
      </c>
      <c r="G27" s="15"/>
      <c r="H27" s="15">
        <v>60341</v>
      </c>
      <c r="I27" s="15">
        <v>8792</v>
      </c>
      <c r="J27" s="15">
        <v>17572</v>
      </c>
      <c r="K27" s="15">
        <v>6304</v>
      </c>
      <c r="L27" s="15">
        <v>24128</v>
      </c>
      <c r="M27" s="15">
        <v>19708</v>
      </c>
      <c r="N27" s="15">
        <v>6158</v>
      </c>
      <c r="O27" s="15">
        <v>65506</v>
      </c>
      <c r="P27" s="15"/>
      <c r="Q27" s="15">
        <v>455</v>
      </c>
      <c r="R27" s="15">
        <v>4000</v>
      </c>
      <c r="S27" s="15"/>
      <c r="T27" s="30">
        <f t="shared" ref="T27:T29" si="2">SUM(C27:S27)</f>
        <v>224172</v>
      </c>
      <c r="U27" s="15">
        <v>229234.39</v>
      </c>
      <c r="V27" s="30">
        <f t="shared" si="1"/>
        <v>-5062.39000000001</v>
      </c>
    </row>
    <row r="28" s="10" customFormat="1" spans="1:22">
      <c r="A28" s="39"/>
      <c r="B28" s="38">
        <v>10</v>
      </c>
      <c r="C28" s="15"/>
      <c r="D28" s="15"/>
      <c r="E28" s="15"/>
      <c r="F28" s="15">
        <v>12584</v>
      </c>
      <c r="G28" s="15"/>
      <c r="H28" s="15">
        <v>58834</v>
      </c>
      <c r="I28" s="15">
        <v>4168</v>
      </c>
      <c r="J28" s="15">
        <v>11432</v>
      </c>
      <c r="K28" s="15">
        <v>1564</v>
      </c>
      <c r="L28" s="15">
        <v>36040</v>
      </c>
      <c r="M28" s="15">
        <v>13079</v>
      </c>
      <c r="N28" s="15">
        <v>23863</v>
      </c>
      <c r="O28" s="15">
        <v>45524</v>
      </c>
      <c r="P28" s="15"/>
      <c r="Q28" s="15">
        <v>2925</v>
      </c>
      <c r="R28" s="15">
        <v>4184</v>
      </c>
      <c r="S28" s="15">
        <v>1984</v>
      </c>
      <c r="T28" s="30">
        <f t="shared" si="2"/>
        <v>216181</v>
      </c>
      <c r="U28" s="15"/>
      <c r="V28" s="30"/>
    </row>
    <row r="29" s="10" customFormat="1" spans="1:22">
      <c r="A29" s="14" t="s">
        <v>35</v>
      </c>
      <c r="B29" s="18"/>
      <c r="C29" s="30">
        <f t="shared" ref="C29:S29" si="3">SUM(C3:C28)</f>
        <v>5282837.74</v>
      </c>
      <c r="D29" s="30">
        <f t="shared" si="3"/>
        <v>489851.83</v>
      </c>
      <c r="E29" s="30">
        <f t="shared" si="3"/>
        <v>1615041.3</v>
      </c>
      <c r="F29" s="30">
        <f t="shared" si="3"/>
        <v>41372.48</v>
      </c>
      <c r="G29" s="30">
        <f t="shared" si="3"/>
        <v>15422.8</v>
      </c>
      <c r="H29" s="30">
        <f t="shared" si="3"/>
        <v>246233</v>
      </c>
      <c r="I29" s="30">
        <f t="shared" si="3"/>
        <v>31800</v>
      </c>
      <c r="J29" s="30">
        <f t="shared" si="3"/>
        <v>38500</v>
      </c>
      <c r="K29" s="30">
        <f t="shared" si="3"/>
        <v>89420</v>
      </c>
      <c r="L29" s="30">
        <f t="shared" si="3"/>
        <v>116560</v>
      </c>
      <c r="M29" s="30">
        <f t="shared" si="3"/>
        <v>72373</v>
      </c>
      <c r="N29" s="30">
        <f t="shared" si="3"/>
        <v>32885</v>
      </c>
      <c r="O29" s="30">
        <f t="shared" si="3"/>
        <v>214988</v>
      </c>
      <c r="P29" s="30">
        <f t="shared" si="3"/>
        <v>79304</v>
      </c>
      <c r="Q29" s="30">
        <f t="shared" si="3"/>
        <v>3380</v>
      </c>
      <c r="R29" s="30">
        <f t="shared" si="3"/>
        <v>8184</v>
      </c>
      <c r="S29" s="30">
        <f t="shared" si="3"/>
        <v>1984</v>
      </c>
      <c r="T29" s="30">
        <f t="shared" si="2"/>
        <v>8380137.15</v>
      </c>
      <c r="U29" s="30">
        <f>SUM(U3:U28)</f>
        <v>8138608.16</v>
      </c>
      <c r="V29" s="30">
        <f>T29-U29</f>
        <v>241528.989999998</v>
      </c>
    </row>
  </sheetData>
  <mergeCells count="5">
    <mergeCell ref="A1:V1"/>
    <mergeCell ref="M2:N2"/>
    <mergeCell ref="A3:A10"/>
    <mergeCell ref="A11:A19"/>
    <mergeCell ref="A20:A28"/>
  </mergeCell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1"/>
  <sheetViews>
    <sheetView workbookViewId="0">
      <selection activeCell="I13" sqref="I13"/>
    </sheetView>
  </sheetViews>
  <sheetFormatPr defaultColWidth="9" defaultRowHeight="13.5"/>
  <cols>
    <col min="1" max="2" width="5.5" style="10" customWidth="1"/>
    <col min="3" max="16" width="12.125" style="10" customWidth="1"/>
    <col min="17" max="19" width="11.375" style="10" customWidth="1"/>
    <col min="20" max="20" width="12.125" style="10" customWidth="1"/>
    <col min="21" max="16384" width="9" style="10"/>
  </cols>
  <sheetData>
    <row r="1" s="10" customFormat="1" spans="1:20">
      <c r="A1" s="12" t="s">
        <v>1982</v>
      </c>
      <c r="B1" s="13"/>
      <c r="C1" s="13"/>
      <c r="D1" s="13"/>
      <c r="E1" s="13"/>
      <c r="F1" s="13"/>
      <c r="G1" s="13"/>
      <c r="H1" s="13"/>
      <c r="I1" s="13"/>
      <c r="J1" s="13"/>
      <c r="K1" s="13"/>
      <c r="L1" s="13"/>
      <c r="M1" s="13"/>
      <c r="N1" s="13"/>
      <c r="O1" s="13"/>
      <c r="P1" s="13"/>
      <c r="Q1" s="29"/>
      <c r="R1" s="29"/>
      <c r="S1" s="29"/>
      <c r="T1" s="29"/>
    </row>
    <row r="2" s="11" customFormat="1" spans="1:20">
      <c r="A2" s="14" t="s">
        <v>1983</v>
      </c>
      <c r="B2" s="14" t="s">
        <v>1984</v>
      </c>
      <c r="C2" s="14" t="s">
        <v>1985</v>
      </c>
      <c r="D2" s="14" t="s">
        <v>1986</v>
      </c>
      <c r="E2" s="14" t="s">
        <v>1987</v>
      </c>
      <c r="F2" s="14" t="s">
        <v>1988</v>
      </c>
      <c r="G2" s="14" t="s">
        <v>1989</v>
      </c>
      <c r="H2" s="14" t="s">
        <v>1990</v>
      </c>
      <c r="I2" s="14" t="s">
        <v>1991</v>
      </c>
      <c r="J2" s="14" t="s">
        <v>1992</v>
      </c>
      <c r="K2" s="14" t="s">
        <v>1993</v>
      </c>
      <c r="L2" s="14" t="s">
        <v>1994</v>
      </c>
      <c r="M2" s="27" t="s">
        <v>1995</v>
      </c>
      <c r="N2" s="28"/>
      <c r="O2" s="14" t="s">
        <v>1996</v>
      </c>
      <c r="P2" s="14" t="s">
        <v>1997</v>
      </c>
      <c r="Q2" s="14" t="s">
        <v>1998</v>
      </c>
      <c r="R2" s="14" t="s">
        <v>1999</v>
      </c>
      <c r="S2" s="14" t="s">
        <v>2000</v>
      </c>
      <c r="T2" s="14" t="s">
        <v>35</v>
      </c>
    </row>
    <row r="3" s="10" customFormat="1" spans="1:20">
      <c r="A3" s="14">
        <v>2015</v>
      </c>
      <c r="B3" s="14">
        <v>3</v>
      </c>
      <c r="C3" s="15">
        <v>2076</v>
      </c>
      <c r="D3" s="15">
        <v>1760</v>
      </c>
      <c r="E3" s="15"/>
      <c r="F3" s="15"/>
      <c r="G3" s="15"/>
      <c r="H3" s="15"/>
      <c r="I3" s="15"/>
      <c r="J3" s="15"/>
      <c r="K3" s="15"/>
      <c r="L3" s="15"/>
      <c r="M3" s="15"/>
      <c r="N3" s="15"/>
      <c r="O3" s="15"/>
      <c r="P3" s="15"/>
      <c r="Q3" s="30"/>
      <c r="R3" s="30"/>
      <c r="S3" s="30"/>
      <c r="T3" s="15">
        <f t="shared" ref="T3:T23" si="0">C3+D3+E3+F3+P3+G3+H3</f>
        <v>3836</v>
      </c>
    </row>
    <row r="4" s="10" customFormat="1" spans="1:20">
      <c r="A4" s="14"/>
      <c r="B4" s="14">
        <v>4</v>
      </c>
      <c r="C4" s="15">
        <v>4692</v>
      </c>
      <c r="D4" s="15">
        <v>1200</v>
      </c>
      <c r="E4" s="15">
        <v>596</v>
      </c>
      <c r="F4" s="15"/>
      <c r="G4" s="15"/>
      <c r="H4" s="15"/>
      <c r="I4" s="15"/>
      <c r="J4" s="15"/>
      <c r="K4" s="15"/>
      <c r="L4" s="15"/>
      <c r="M4" s="15"/>
      <c r="N4" s="15"/>
      <c r="O4" s="15"/>
      <c r="P4" s="15"/>
      <c r="Q4" s="30"/>
      <c r="R4" s="30"/>
      <c r="S4" s="30"/>
      <c r="T4" s="15">
        <f t="shared" si="0"/>
        <v>6488</v>
      </c>
    </row>
    <row r="5" s="10" customFormat="1" spans="1:20">
      <c r="A5" s="14"/>
      <c r="B5" s="14">
        <v>5</v>
      </c>
      <c r="C5" s="15">
        <v>2188</v>
      </c>
      <c r="D5" s="15">
        <v>584</v>
      </c>
      <c r="E5" s="15">
        <v>568</v>
      </c>
      <c r="F5" s="15"/>
      <c r="G5" s="15"/>
      <c r="H5" s="15"/>
      <c r="I5" s="15"/>
      <c r="J5" s="15"/>
      <c r="K5" s="15"/>
      <c r="L5" s="15"/>
      <c r="M5" s="15"/>
      <c r="N5" s="15"/>
      <c r="O5" s="15"/>
      <c r="P5" s="15"/>
      <c r="Q5" s="30"/>
      <c r="R5" s="30"/>
      <c r="S5" s="30"/>
      <c r="T5" s="15">
        <f t="shared" si="0"/>
        <v>3340</v>
      </c>
    </row>
    <row r="6" s="10" customFormat="1" spans="1:20">
      <c r="A6" s="14"/>
      <c r="B6" s="14">
        <v>6</v>
      </c>
      <c r="C6" s="15">
        <v>2272</v>
      </c>
      <c r="D6" s="15">
        <v>844</v>
      </c>
      <c r="E6" s="15">
        <v>596</v>
      </c>
      <c r="F6" s="15"/>
      <c r="G6" s="15"/>
      <c r="H6" s="15"/>
      <c r="I6" s="15"/>
      <c r="J6" s="15"/>
      <c r="K6" s="15"/>
      <c r="L6" s="15"/>
      <c r="M6" s="15"/>
      <c r="N6" s="15"/>
      <c r="O6" s="15"/>
      <c r="P6" s="15"/>
      <c r="Q6" s="30"/>
      <c r="R6" s="30"/>
      <c r="S6" s="30"/>
      <c r="T6" s="15">
        <f t="shared" si="0"/>
        <v>3712</v>
      </c>
    </row>
    <row r="7" s="10" customFormat="1" spans="1:20">
      <c r="A7" s="14"/>
      <c r="B7" s="14">
        <v>7</v>
      </c>
      <c r="C7" s="15">
        <v>1936</v>
      </c>
      <c r="D7" s="15">
        <v>1240</v>
      </c>
      <c r="E7" s="15">
        <v>1684</v>
      </c>
      <c r="F7" s="15"/>
      <c r="G7" s="15"/>
      <c r="H7" s="15"/>
      <c r="I7" s="15"/>
      <c r="J7" s="15"/>
      <c r="K7" s="15"/>
      <c r="L7" s="15"/>
      <c r="M7" s="15"/>
      <c r="N7" s="15"/>
      <c r="O7" s="15"/>
      <c r="P7" s="15">
        <v>144.4</v>
      </c>
      <c r="Q7" s="30"/>
      <c r="R7" s="30"/>
      <c r="S7" s="30"/>
      <c r="T7" s="15">
        <f t="shared" si="0"/>
        <v>5004.4</v>
      </c>
    </row>
    <row r="8" s="10" customFormat="1" spans="1:20">
      <c r="A8" s="14"/>
      <c r="B8" s="14">
        <v>8</v>
      </c>
      <c r="C8" s="15">
        <v>796</v>
      </c>
      <c r="D8" s="15">
        <v>120</v>
      </c>
      <c r="E8" s="15">
        <v>1520</v>
      </c>
      <c r="F8" s="15"/>
      <c r="G8" s="15"/>
      <c r="H8" s="15"/>
      <c r="I8" s="15"/>
      <c r="J8" s="15"/>
      <c r="K8" s="15"/>
      <c r="L8" s="15"/>
      <c r="M8" s="15"/>
      <c r="N8" s="15"/>
      <c r="O8" s="15"/>
      <c r="P8" s="15">
        <v>272</v>
      </c>
      <c r="Q8" s="30"/>
      <c r="R8" s="30"/>
      <c r="S8" s="30"/>
      <c r="T8" s="15">
        <f t="shared" si="0"/>
        <v>2708</v>
      </c>
    </row>
    <row r="9" s="10" customFormat="1" spans="1:20">
      <c r="A9" s="14"/>
      <c r="B9" s="14">
        <v>9</v>
      </c>
      <c r="C9" s="15">
        <v>508</v>
      </c>
      <c r="D9" s="15">
        <v>96</v>
      </c>
      <c r="E9" s="15">
        <v>608</v>
      </c>
      <c r="F9" s="15"/>
      <c r="G9" s="15"/>
      <c r="H9" s="15"/>
      <c r="I9" s="15"/>
      <c r="J9" s="15"/>
      <c r="K9" s="15"/>
      <c r="L9" s="15"/>
      <c r="M9" s="15"/>
      <c r="N9" s="15"/>
      <c r="O9" s="15"/>
      <c r="P9" s="15">
        <v>1208</v>
      </c>
      <c r="Q9" s="30"/>
      <c r="R9" s="30"/>
      <c r="S9" s="30"/>
      <c r="T9" s="15">
        <f t="shared" si="0"/>
        <v>2420</v>
      </c>
    </row>
    <row r="10" s="10" customFormat="1" spans="1:20">
      <c r="A10" s="14"/>
      <c r="B10" s="14">
        <v>10</v>
      </c>
      <c r="C10" s="15">
        <v>240</v>
      </c>
      <c r="D10" s="15">
        <v>72</v>
      </c>
      <c r="E10" s="15">
        <v>424</v>
      </c>
      <c r="F10" s="15"/>
      <c r="G10" s="15"/>
      <c r="H10" s="15"/>
      <c r="I10" s="15"/>
      <c r="J10" s="15"/>
      <c r="K10" s="15"/>
      <c r="L10" s="15"/>
      <c r="M10" s="15"/>
      <c r="N10" s="15"/>
      <c r="O10" s="15"/>
      <c r="P10" s="15">
        <v>536</v>
      </c>
      <c r="Q10" s="30"/>
      <c r="R10" s="30"/>
      <c r="S10" s="30"/>
      <c r="T10" s="15">
        <f t="shared" si="0"/>
        <v>1272</v>
      </c>
    </row>
    <row r="11" s="10" customFormat="1" spans="1:20">
      <c r="A11" s="14"/>
      <c r="B11" s="14">
        <v>11</v>
      </c>
      <c r="C11" s="15">
        <v>236</v>
      </c>
      <c r="D11" s="15">
        <v>64</v>
      </c>
      <c r="E11" s="15">
        <v>408</v>
      </c>
      <c r="F11" s="15"/>
      <c r="G11" s="15"/>
      <c r="H11" s="15"/>
      <c r="I11" s="15"/>
      <c r="J11" s="15"/>
      <c r="K11" s="15"/>
      <c r="L11" s="15"/>
      <c r="M11" s="15"/>
      <c r="N11" s="15"/>
      <c r="O11" s="15"/>
      <c r="P11" s="15">
        <v>595.6</v>
      </c>
      <c r="Q11" s="30"/>
      <c r="R11" s="30"/>
      <c r="S11" s="30"/>
      <c r="T11" s="15">
        <f t="shared" si="0"/>
        <v>1303.6</v>
      </c>
    </row>
    <row r="12" s="10" customFormat="1" spans="1:20">
      <c r="A12" s="14"/>
      <c r="B12" s="14">
        <v>12</v>
      </c>
      <c r="C12" s="15">
        <v>24</v>
      </c>
      <c r="D12" s="15">
        <v>304</v>
      </c>
      <c r="E12" s="15">
        <v>456</v>
      </c>
      <c r="F12" s="15"/>
      <c r="G12" s="15"/>
      <c r="H12" s="15"/>
      <c r="I12" s="15"/>
      <c r="J12" s="15"/>
      <c r="K12" s="15"/>
      <c r="L12" s="15"/>
      <c r="M12" s="15"/>
      <c r="N12" s="15"/>
      <c r="O12" s="15"/>
      <c r="P12" s="15">
        <v>2048</v>
      </c>
      <c r="Q12" s="30"/>
      <c r="R12" s="30"/>
      <c r="S12" s="30"/>
      <c r="T12" s="15">
        <f t="shared" si="0"/>
        <v>2832</v>
      </c>
    </row>
    <row r="13" s="10" customFormat="1" spans="1:20">
      <c r="A13" s="16">
        <v>2016</v>
      </c>
      <c r="B13" s="14" t="s">
        <v>2003</v>
      </c>
      <c r="C13" s="15">
        <v>12</v>
      </c>
      <c r="D13" s="15">
        <v>40</v>
      </c>
      <c r="E13" s="15">
        <v>152</v>
      </c>
      <c r="F13" s="15"/>
      <c r="G13" s="15"/>
      <c r="H13" s="15"/>
      <c r="I13" s="15"/>
      <c r="J13" s="15"/>
      <c r="K13" s="15"/>
      <c r="L13" s="15"/>
      <c r="M13" s="15"/>
      <c r="N13" s="15"/>
      <c r="O13" s="15"/>
      <c r="P13" s="15">
        <v>244</v>
      </c>
      <c r="Q13" s="30"/>
      <c r="R13" s="30"/>
      <c r="S13" s="30"/>
      <c r="T13" s="15">
        <f t="shared" si="0"/>
        <v>448</v>
      </c>
    </row>
    <row r="14" s="10" customFormat="1" spans="1:20">
      <c r="A14" s="17"/>
      <c r="B14" s="14">
        <v>3</v>
      </c>
      <c r="C14" s="15"/>
      <c r="D14" s="15">
        <v>4</v>
      </c>
      <c r="E14" s="15">
        <v>132</v>
      </c>
      <c r="F14" s="15"/>
      <c r="G14" s="15"/>
      <c r="H14" s="15"/>
      <c r="I14" s="15"/>
      <c r="J14" s="15"/>
      <c r="K14" s="15"/>
      <c r="L14" s="15"/>
      <c r="M14" s="15"/>
      <c r="N14" s="15"/>
      <c r="O14" s="15"/>
      <c r="P14" s="15"/>
      <c r="Q14" s="30"/>
      <c r="R14" s="30"/>
      <c r="S14" s="30"/>
      <c r="T14" s="15">
        <f t="shared" si="0"/>
        <v>136</v>
      </c>
    </row>
    <row r="15" s="10" customFormat="1" spans="1:20">
      <c r="A15" s="17"/>
      <c r="B15" s="14">
        <v>4</v>
      </c>
      <c r="C15" s="15"/>
      <c r="D15" s="15">
        <v>12</v>
      </c>
      <c r="E15" s="15">
        <v>132</v>
      </c>
      <c r="F15" s="15">
        <v>400</v>
      </c>
      <c r="G15" s="15"/>
      <c r="H15" s="15"/>
      <c r="I15" s="15"/>
      <c r="J15" s="15"/>
      <c r="K15" s="15"/>
      <c r="L15" s="15"/>
      <c r="M15" s="15"/>
      <c r="N15" s="15"/>
      <c r="O15" s="15"/>
      <c r="P15" s="15"/>
      <c r="Q15" s="30"/>
      <c r="R15" s="30"/>
      <c r="S15" s="30"/>
      <c r="T15" s="15">
        <f t="shared" si="0"/>
        <v>544</v>
      </c>
    </row>
    <row r="16" s="10" customFormat="1" spans="1:20">
      <c r="A16" s="17"/>
      <c r="B16" s="14">
        <v>5</v>
      </c>
      <c r="C16" s="15"/>
      <c r="D16" s="15">
        <v>68</v>
      </c>
      <c r="E16" s="15">
        <v>48</v>
      </c>
      <c r="F16" s="15">
        <v>800</v>
      </c>
      <c r="G16" s="15"/>
      <c r="H16" s="15"/>
      <c r="I16" s="15"/>
      <c r="J16" s="15"/>
      <c r="K16" s="15"/>
      <c r="L16" s="15"/>
      <c r="M16" s="15"/>
      <c r="N16" s="15"/>
      <c r="O16" s="15"/>
      <c r="P16" s="15"/>
      <c r="Q16" s="30"/>
      <c r="R16" s="30"/>
      <c r="S16" s="30"/>
      <c r="T16" s="15">
        <f t="shared" si="0"/>
        <v>916</v>
      </c>
    </row>
    <row r="17" s="10" customFormat="1" spans="1:20">
      <c r="A17" s="17"/>
      <c r="B17" s="14">
        <v>6</v>
      </c>
      <c r="C17" s="15"/>
      <c r="D17" s="15">
        <v>72</v>
      </c>
      <c r="E17" s="15"/>
      <c r="F17" s="15"/>
      <c r="G17" s="15">
        <v>800</v>
      </c>
      <c r="H17" s="15"/>
      <c r="I17" s="15"/>
      <c r="J17" s="15"/>
      <c r="K17" s="15"/>
      <c r="L17" s="15"/>
      <c r="M17" s="15"/>
      <c r="N17" s="15"/>
      <c r="O17" s="15"/>
      <c r="P17" s="15"/>
      <c r="Q17" s="30"/>
      <c r="R17" s="30"/>
      <c r="S17" s="30"/>
      <c r="T17" s="15">
        <f t="shared" si="0"/>
        <v>872</v>
      </c>
    </row>
    <row r="18" s="10" customFormat="1" spans="1:20">
      <c r="A18" s="17"/>
      <c r="B18" s="14">
        <v>7</v>
      </c>
      <c r="C18" s="15"/>
      <c r="D18" s="15">
        <v>88</v>
      </c>
      <c r="E18" s="15"/>
      <c r="F18" s="15"/>
      <c r="G18" s="15">
        <v>1448</v>
      </c>
      <c r="H18" s="15"/>
      <c r="I18" s="15"/>
      <c r="J18" s="15"/>
      <c r="K18" s="15"/>
      <c r="L18" s="15"/>
      <c r="M18" s="15"/>
      <c r="N18" s="15"/>
      <c r="O18" s="15"/>
      <c r="P18" s="15"/>
      <c r="Q18" s="30"/>
      <c r="R18" s="30"/>
      <c r="S18" s="30"/>
      <c r="T18" s="15">
        <f t="shared" si="0"/>
        <v>1536</v>
      </c>
    </row>
    <row r="19" s="10" customFormat="1" spans="1:20">
      <c r="A19" s="17"/>
      <c r="B19" s="14">
        <v>8</v>
      </c>
      <c r="C19" s="15"/>
      <c r="D19" s="15">
        <v>76</v>
      </c>
      <c r="E19" s="15"/>
      <c r="F19" s="15"/>
      <c r="G19" s="15">
        <v>1436</v>
      </c>
      <c r="H19" s="15"/>
      <c r="I19" s="15"/>
      <c r="J19" s="15"/>
      <c r="K19" s="15"/>
      <c r="L19" s="15"/>
      <c r="M19" s="15"/>
      <c r="N19" s="15"/>
      <c r="O19" s="15"/>
      <c r="P19" s="15"/>
      <c r="Q19" s="30"/>
      <c r="R19" s="30"/>
      <c r="S19" s="30"/>
      <c r="T19" s="15">
        <f t="shared" si="0"/>
        <v>1512</v>
      </c>
    </row>
    <row r="20" s="10" customFormat="1" spans="1:20">
      <c r="A20" s="17"/>
      <c r="B20" s="18" t="s">
        <v>2004</v>
      </c>
      <c r="C20" s="15"/>
      <c r="D20" s="15">
        <v>636</v>
      </c>
      <c r="E20" s="15"/>
      <c r="F20" s="19"/>
      <c r="G20" s="15">
        <v>2004</v>
      </c>
      <c r="H20" s="15"/>
      <c r="I20" s="15"/>
      <c r="J20" s="15"/>
      <c r="K20" s="15"/>
      <c r="L20" s="15"/>
      <c r="M20" s="15"/>
      <c r="N20" s="15"/>
      <c r="O20" s="15"/>
      <c r="P20" s="15"/>
      <c r="Q20" s="30"/>
      <c r="R20" s="30"/>
      <c r="S20" s="30"/>
      <c r="T20" s="15">
        <f t="shared" si="0"/>
        <v>2640</v>
      </c>
    </row>
    <row r="21" s="10" customFormat="1" spans="1:20">
      <c r="A21" s="20"/>
      <c r="B21" s="14">
        <v>12</v>
      </c>
      <c r="C21" s="15"/>
      <c r="D21" s="15">
        <v>268</v>
      </c>
      <c r="E21" s="15"/>
      <c r="F21" s="15"/>
      <c r="G21" s="15">
        <v>288</v>
      </c>
      <c r="H21" s="15"/>
      <c r="I21" s="15"/>
      <c r="J21" s="15"/>
      <c r="K21" s="15"/>
      <c r="L21" s="15"/>
      <c r="M21" s="15"/>
      <c r="N21" s="15"/>
      <c r="O21" s="15"/>
      <c r="P21" s="15"/>
      <c r="Q21" s="30"/>
      <c r="R21" s="30"/>
      <c r="S21" s="30"/>
      <c r="T21" s="15">
        <f t="shared" si="0"/>
        <v>556</v>
      </c>
    </row>
    <row r="22" s="10" customFormat="1" spans="1:20">
      <c r="A22" s="21">
        <v>2017</v>
      </c>
      <c r="B22" s="18" t="s">
        <v>117</v>
      </c>
      <c r="C22" s="15"/>
      <c r="D22" s="15">
        <v>20</v>
      </c>
      <c r="E22" s="15"/>
      <c r="F22" s="15"/>
      <c r="G22" s="15"/>
      <c r="H22" s="15">
        <v>168</v>
      </c>
      <c r="I22" s="15"/>
      <c r="J22" s="15"/>
      <c r="K22" s="15"/>
      <c r="L22" s="15"/>
      <c r="M22" s="15"/>
      <c r="N22" s="15"/>
      <c r="O22" s="15"/>
      <c r="P22" s="15"/>
      <c r="Q22" s="30"/>
      <c r="R22" s="30"/>
      <c r="S22" s="30"/>
      <c r="T22" s="15">
        <f t="shared" si="0"/>
        <v>188</v>
      </c>
    </row>
    <row r="23" s="10" customFormat="1" spans="1:20">
      <c r="A23" s="22"/>
      <c r="B23" s="23">
        <v>3</v>
      </c>
      <c r="C23" s="15"/>
      <c r="D23" s="15">
        <v>128</v>
      </c>
      <c r="E23" s="15"/>
      <c r="F23" s="15"/>
      <c r="G23" s="15"/>
      <c r="H23" s="15">
        <v>365.5</v>
      </c>
      <c r="I23" s="15"/>
      <c r="J23" s="15"/>
      <c r="K23" s="15"/>
      <c r="L23" s="15">
        <v>60</v>
      </c>
      <c r="M23" s="15"/>
      <c r="N23" s="15"/>
      <c r="O23" s="15"/>
      <c r="P23" s="15"/>
      <c r="Q23" s="30"/>
      <c r="R23" s="30"/>
      <c r="S23" s="30"/>
      <c r="T23" s="15">
        <f t="shared" si="0"/>
        <v>493.5</v>
      </c>
    </row>
    <row r="24" s="10" customFormat="1" spans="1:21">
      <c r="A24" s="22"/>
      <c r="B24" s="23">
        <v>4</v>
      </c>
      <c r="C24" s="15"/>
      <c r="D24" s="15"/>
      <c r="E24" s="15"/>
      <c r="F24" s="15">
        <v>48</v>
      </c>
      <c r="G24" s="15"/>
      <c r="H24" s="15">
        <v>340.6</v>
      </c>
      <c r="I24" s="15"/>
      <c r="J24" s="15"/>
      <c r="K24" s="15"/>
      <c r="L24" s="15"/>
      <c r="M24" s="15"/>
      <c r="N24" s="15"/>
      <c r="O24" s="15"/>
      <c r="P24" s="15"/>
      <c r="Q24" s="30"/>
      <c r="R24" s="30"/>
      <c r="S24" s="30"/>
      <c r="T24" s="15">
        <f t="shared" ref="T24:T28" si="1">SUM(C24:P24)</f>
        <v>388.6</v>
      </c>
      <c r="U24" s="31"/>
    </row>
    <row r="25" s="10" customFormat="1" spans="1:20">
      <c r="A25" s="22"/>
      <c r="B25" s="18">
        <v>5</v>
      </c>
      <c r="C25" s="15"/>
      <c r="D25" s="15"/>
      <c r="E25" s="15"/>
      <c r="F25" s="15">
        <v>29</v>
      </c>
      <c r="G25" s="15"/>
      <c r="H25" s="15">
        <v>3768</v>
      </c>
      <c r="I25" s="15"/>
      <c r="J25" s="15"/>
      <c r="K25" s="15">
        <v>144</v>
      </c>
      <c r="L25" s="15">
        <v>2590</v>
      </c>
      <c r="M25" s="15">
        <v>292</v>
      </c>
      <c r="N25" s="15"/>
      <c r="O25" s="15">
        <v>456</v>
      </c>
      <c r="P25" s="15"/>
      <c r="Q25" s="15"/>
      <c r="R25" s="15"/>
      <c r="S25" s="15"/>
      <c r="T25" s="15">
        <f t="shared" si="1"/>
        <v>7279</v>
      </c>
    </row>
    <row r="26" s="10" customFormat="1" spans="1:20">
      <c r="A26" s="22"/>
      <c r="B26" s="18" t="s">
        <v>2009</v>
      </c>
      <c r="C26" s="15"/>
      <c r="D26" s="15"/>
      <c r="E26" s="15"/>
      <c r="F26" s="15">
        <v>344</v>
      </c>
      <c r="G26" s="15"/>
      <c r="H26" s="15">
        <v>6680</v>
      </c>
      <c r="I26" s="15">
        <v>1016</v>
      </c>
      <c r="J26" s="15"/>
      <c r="K26" s="15"/>
      <c r="L26" s="15">
        <v>598</v>
      </c>
      <c r="M26" s="15">
        <v>1796</v>
      </c>
      <c r="N26" s="15"/>
      <c r="O26" s="15">
        <v>666</v>
      </c>
      <c r="P26" s="15"/>
      <c r="Q26" s="15"/>
      <c r="R26" s="15"/>
      <c r="S26" s="15"/>
      <c r="T26" s="15">
        <f t="shared" si="1"/>
        <v>11100</v>
      </c>
    </row>
    <row r="27" s="10" customFormat="1" spans="1:20">
      <c r="A27" s="22"/>
      <c r="B27" s="18" t="s">
        <v>2010</v>
      </c>
      <c r="C27" s="15"/>
      <c r="D27" s="15"/>
      <c r="E27" s="15"/>
      <c r="F27" s="15">
        <v>1324</v>
      </c>
      <c r="G27" s="15"/>
      <c r="H27" s="15">
        <f>3908+4504</f>
        <v>8412</v>
      </c>
      <c r="I27" s="15">
        <v>3848</v>
      </c>
      <c r="J27" s="15">
        <v>76</v>
      </c>
      <c r="K27" s="15"/>
      <c r="L27" s="15">
        <v>332</v>
      </c>
      <c r="M27" s="15">
        <v>2696</v>
      </c>
      <c r="N27" s="15"/>
      <c r="O27" s="15">
        <v>11408</v>
      </c>
      <c r="P27" s="15"/>
      <c r="Q27" s="15"/>
      <c r="R27" s="15"/>
      <c r="S27" s="15"/>
      <c r="T27" s="15">
        <f t="shared" si="1"/>
        <v>28096</v>
      </c>
    </row>
    <row r="28" s="10" customFormat="1" spans="1:20">
      <c r="A28" s="22"/>
      <c r="B28" s="18" t="s">
        <v>2011</v>
      </c>
      <c r="C28" s="15"/>
      <c r="D28" s="15"/>
      <c r="E28" s="15"/>
      <c r="F28" s="15">
        <v>1504</v>
      </c>
      <c r="G28" s="15"/>
      <c r="H28" s="15">
        <f>4172+4854</f>
        <v>9026</v>
      </c>
      <c r="I28" s="15">
        <v>1808</v>
      </c>
      <c r="J28" s="15">
        <v>248</v>
      </c>
      <c r="K28" s="15"/>
      <c r="L28" s="15">
        <v>328</v>
      </c>
      <c r="M28" s="15">
        <v>4010</v>
      </c>
      <c r="N28" s="15">
        <v>20</v>
      </c>
      <c r="O28" s="15">
        <v>8950</v>
      </c>
      <c r="P28" s="15"/>
      <c r="Q28" s="15"/>
      <c r="R28" s="15"/>
      <c r="S28" s="15"/>
      <c r="T28" s="15">
        <f t="shared" si="1"/>
        <v>25894</v>
      </c>
    </row>
    <row r="29" s="10" customFormat="1" spans="1:20">
      <c r="A29" s="22"/>
      <c r="B29" s="18" t="s">
        <v>2012</v>
      </c>
      <c r="C29" s="15"/>
      <c r="D29" s="15"/>
      <c r="E29" s="15"/>
      <c r="F29" s="15">
        <v>2356</v>
      </c>
      <c r="G29" s="15"/>
      <c r="H29" s="15">
        <v>15302</v>
      </c>
      <c r="I29" s="15">
        <v>6200</v>
      </c>
      <c r="J29" s="15">
        <v>5978</v>
      </c>
      <c r="K29" s="15"/>
      <c r="L29" s="15">
        <v>4796</v>
      </c>
      <c r="M29" s="15">
        <v>3984</v>
      </c>
      <c r="N29" s="15">
        <v>664</v>
      </c>
      <c r="O29" s="15">
        <v>8276</v>
      </c>
      <c r="P29" s="15"/>
      <c r="Q29" s="30"/>
      <c r="R29" s="30">
        <v>2242</v>
      </c>
      <c r="S29" s="30"/>
      <c r="T29" s="15">
        <f>SUM(C29:S29)</f>
        <v>49798</v>
      </c>
    </row>
    <row r="30" s="10" customFormat="1" spans="1:20">
      <c r="A30" s="24"/>
      <c r="B30" s="18" t="s">
        <v>2013</v>
      </c>
      <c r="C30" s="15"/>
      <c r="D30" s="15"/>
      <c r="E30" s="15"/>
      <c r="F30" s="15">
        <v>3132</v>
      </c>
      <c r="G30" s="15"/>
      <c r="H30" s="15">
        <v>10230</v>
      </c>
      <c r="I30" s="15">
        <v>2414</v>
      </c>
      <c r="J30" s="15">
        <v>3794</v>
      </c>
      <c r="K30" s="15"/>
      <c r="L30" s="15">
        <v>7828</v>
      </c>
      <c r="M30" s="15">
        <v>7372</v>
      </c>
      <c r="N30" s="15">
        <v>724</v>
      </c>
      <c r="O30" s="15">
        <v>8852</v>
      </c>
      <c r="P30" s="15"/>
      <c r="Q30" s="32">
        <v>744</v>
      </c>
      <c r="R30" s="32">
        <v>610</v>
      </c>
      <c r="S30" s="32">
        <v>296</v>
      </c>
      <c r="T30" s="15">
        <f>SUM(C30:S30)</f>
        <v>45996</v>
      </c>
    </row>
    <row r="31" s="10" customFormat="1" spans="1:20">
      <c r="A31" s="25" t="s">
        <v>35</v>
      </c>
      <c r="B31" s="26"/>
      <c r="C31" s="15">
        <f t="shared" ref="C31:T31" si="2">SUM(C3:C30)</f>
        <v>14980</v>
      </c>
      <c r="D31" s="15">
        <f t="shared" si="2"/>
        <v>7696</v>
      </c>
      <c r="E31" s="15">
        <f t="shared" si="2"/>
        <v>7324</v>
      </c>
      <c r="F31" s="15">
        <f t="shared" si="2"/>
        <v>9937</v>
      </c>
      <c r="G31" s="15">
        <f t="shared" si="2"/>
        <v>5976</v>
      </c>
      <c r="H31" s="15">
        <f t="shared" si="2"/>
        <v>54292.1</v>
      </c>
      <c r="I31" s="15">
        <f t="shared" si="2"/>
        <v>15286</v>
      </c>
      <c r="J31" s="15">
        <f t="shared" si="2"/>
        <v>10096</v>
      </c>
      <c r="K31" s="15">
        <f t="shared" si="2"/>
        <v>144</v>
      </c>
      <c r="L31" s="15">
        <f t="shared" si="2"/>
        <v>16532</v>
      </c>
      <c r="M31" s="15">
        <f t="shared" si="2"/>
        <v>20150</v>
      </c>
      <c r="N31" s="15">
        <f t="shared" si="2"/>
        <v>1408</v>
      </c>
      <c r="O31" s="15">
        <f t="shared" si="2"/>
        <v>38608</v>
      </c>
      <c r="P31" s="15">
        <f t="shared" si="2"/>
        <v>5048</v>
      </c>
      <c r="Q31" s="15">
        <f t="shared" si="2"/>
        <v>744</v>
      </c>
      <c r="R31" s="15">
        <f t="shared" si="2"/>
        <v>2852</v>
      </c>
      <c r="S31" s="15">
        <f t="shared" si="2"/>
        <v>296</v>
      </c>
      <c r="T31" s="15">
        <f t="shared" si="2"/>
        <v>211309.1</v>
      </c>
    </row>
  </sheetData>
  <mergeCells count="5">
    <mergeCell ref="A1:T1"/>
    <mergeCell ref="M2:N2"/>
    <mergeCell ref="A3:A12"/>
    <mergeCell ref="A13:A21"/>
    <mergeCell ref="A22:A30"/>
  </mergeCell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8"/>
  <sheetViews>
    <sheetView workbookViewId="0">
      <selection activeCell="E11" sqref="E11"/>
    </sheetView>
  </sheetViews>
  <sheetFormatPr defaultColWidth="9" defaultRowHeight="26" customHeight="1" outlineLevelRow="7" outlineLevelCol="5"/>
  <cols>
    <col min="2" max="2" width="10" customWidth="1"/>
    <col min="3" max="3" width="12.875" customWidth="1"/>
  </cols>
  <sheetData>
    <row r="2" customHeight="1" spans="2:6">
      <c r="B2" s="7" t="s">
        <v>68</v>
      </c>
      <c r="C2" s="7" t="s">
        <v>2014</v>
      </c>
      <c r="D2" s="7" t="s">
        <v>2014</v>
      </c>
      <c r="E2" s="7" t="s">
        <v>2014</v>
      </c>
      <c r="F2" s="7" t="s">
        <v>2014</v>
      </c>
    </row>
    <row r="3" customHeight="1" spans="2:6">
      <c r="B3" s="7" t="s">
        <v>2015</v>
      </c>
      <c r="C3" s="7" t="s">
        <v>2016</v>
      </c>
      <c r="D3" s="7" t="s">
        <v>2017</v>
      </c>
      <c r="E3" s="7" t="s">
        <v>2018</v>
      </c>
      <c r="F3" s="7"/>
    </row>
    <row r="4" customHeight="1" spans="2:6">
      <c r="B4" s="7" t="s">
        <v>2019</v>
      </c>
      <c r="C4" s="7" t="s">
        <v>2020</v>
      </c>
      <c r="D4" s="7" t="s">
        <v>2021</v>
      </c>
      <c r="E4" s="7"/>
      <c r="F4" s="7"/>
    </row>
    <row r="5" customHeight="1" spans="2:6">
      <c r="B5" s="7" t="s">
        <v>2022</v>
      </c>
      <c r="C5" s="7" t="s">
        <v>2023</v>
      </c>
      <c r="D5" s="7" t="s">
        <v>2024</v>
      </c>
      <c r="E5" s="7" t="s">
        <v>2025</v>
      </c>
      <c r="F5" s="7" t="s">
        <v>2026</v>
      </c>
    </row>
    <row r="6" customHeight="1" spans="2:6">
      <c r="B6" s="7" t="s">
        <v>2027</v>
      </c>
      <c r="C6" s="7" t="s">
        <v>2028</v>
      </c>
      <c r="D6" s="7" t="s">
        <v>2029</v>
      </c>
      <c r="E6" s="7"/>
      <c r="F6" s="7"/>
    </row>
    <row r="7" customHeight="1" spans="2:6">
      <c r="B7" s="7" t="s">
        <v>2030</v>
      </c>
      <c r="C7" s="7" t="s">
        <v>2031</v>
      </c>
      <c r="D7" s="7"/>
      <c r="E7" s="7"/>
      <c r="F7" s="7"/>
    </row>
    <row r="8" customHeight="1" spans="2:6">
      <c r="B8" s="7" t="s">
        <v>2032</v>
      </c>
      <c r="C8" s="7" t="s">
        <v>2016</v>
      </c>
      <c r="D8" s="7"/>
      <c r="E8" s="7"/>
      <c r="F8" s="7"/>
    </row>
  </sheetData>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10"/>
  <sheetViews>
    <sheetView workbookViewId="0">
      <selection activeCell="F8" sqref="F8"/>
    </sheetView>
  </sheetViews>
  <sheetFormatPr defaultColWidth="9" defaultRowHeight="26" customHeight="1"/>
  <cols>
    <col min="2" max="2" width="28.75" customWidth="1"/>
    <col min="3" max="3" width="14.5" customWidth="1"/>
    <col min="4" max="6" width="12.625" customWidth="1"/>
    <col min="7" max="7" width="19.375" customWidth="1"/>
    <col min="8" max="8" width="15.625" customWidth="1"/>
    <col min="9" max="9" width="22.375" customWidth="1"/>
  </cols>
  <sheetData>
    <row r="1" customHeight="1" spans="2:9">
      <c r="B1" s="1"/>
      <c r="C1" s="2"/>
      <c r="D1" s="3"/>
      <c r="E1" s="3"/>
      <c r="F1" s="3"/>
      <c r="G1" s="1"/>
      <c r="H1" s="2"/>
      <c r="I1" s="1"/>
    </row>
    <row r="2" ht="45" customHeight="1" spans="2:9">
      <c r="B2" s="4" t="s">
        <v>69</v>
      </c>
      <c r="C2" s="5" t="s">
        <v>2033</v>
      </c>
      <c r="D2" s="6" t="s">
        <v>2034</v>
      </c>
      <c r="E2" s="6" t="s">
        <v>2035</v>
      </c>
      <c r="F2" s="6" t="s">
        <v>2036</v>
      </c>
      <c r="G2" s="4" t="s">
        <v>2037</v>
      </c>
      <c r="H2" s="5" t="s">
        <v>2033</v>
      </c>
      <c r="I2" s="4" t="s">
        <v>2038</v>
      </c>
    </row>
    <row r="3" customHeight="1" spans="2:9">
      <c r="B3" s="7" t="s">
        <v>1078</v>
      </c>
      <c r="C3" s="8">
        <v>43040</v>
      </c>
      <c r="D3" s="9">
        <v>3572000</v>
      </c>
      <c r="E3" s="9">
        <v>1572000</v>
      </c>
      <c r="F3" s="9">
        <v>2000000</v>
      </c>
      <c r="G3" s="7" t="s">
        <v>2039</v>
      </c>
      <c r="H3" s="8">
        <v>43034</v>
      </c>
      <c r="I3" s="7" t="s">
        <v>2040</v>
      </c>
    </row>
    <row r="4" customHeight="1" spans="2:9">
      <c r="B4" s="7"/>
      <c r="C4" s="8"/>
      <c r="D4" s="9"/>
      <c r="E4" s="9"/>
      <c r="F4" s="9"/>
      <c r="G4" s="7"/>
      <c r="H4" s="8"/>
      <c r="I4" s="7"/>
    </row>
    <row r="5" customHeight="1" spans="2:9">
      <c r="B5" s="7"/>
      <c r="C5" s="8"/>
      <c r="D5" s="9"/>
      <c r="E5" s="9"/>
      <c r="F5" s="9"/>
      <c r="G5" s="7"/>
      <c r="H5" s="8"/>
      <c r="I5" s="7"/>
    </row>
    <row r="6" customHeight="1" spans="2:9">
      <c r="B6" s="7"/>
      <c r="C6" s="8"/>
      <c r="D6" s="9"/>
      <c r="E6" s="9"/>
      <c r="F6" s="9"/>
      <c r="G6" s="7"/>
      <c r="H6" s="8"/>
      <c r="I6" s="7"/>
    </row>
    <row r="7" customHeight="1" spans="2:9">
      <c r="B7" s="7"/>
      <c r="C7" s="8"/>
      <c r="D7" s="9"/>
      <c r="E7" s="9"/>
      <c r="F7" s="9"/>
      <c r="G7" s="7"/>
      <c r="H7" s="8"/>
      <c r="I7" s="7"/>
    </row>
    <row r="8" customHeight="1" spans="2:9">
      <c r="B8" s="7"/>
      <c r="C8" s="8"/>
      <c r="D8" s="9"/>
      <c r="E8" s="9"/>
      <c r="F8" s="9"/>
      <c r="G8" s="7"/>
      <c r="H8" s="8"/>
      <c r="I8" s="7"/>
    </row>
    <row r="9" customHeight="1" spans="2:9">
      <c r="B9" s="7"/>
      <c r="C9" s="8"/>
      <c r="D9" s="9"/>
      <c r="E9" s="9"/>
      <c r="F9" s="9"/>
      <c r="G9" s="7"/>
      <c r="H9" s="8"/>
      <c r="I9" s="7"/>
    </row>
    <row r="10" customHeight="1" spans="2:9">
      <c r="B10" s="7"/>
      <c r="C10" s="8"/>
      <c r="D10" s="9"/>
      <c r="E10" s="9"/>
      <c r="F10" s="9"/>
      <c r="G10" s="7"/>
      <c r="H10" s="8"/>
      <c r="I10" s="7"/>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封面</vt:lpstr>
      <vt:lpstr>汇总表</vt:lpstr>
      <vt:lpstr>合同执行情况明细汇总</vt:lpstr>
      <vt:lpstr>EPC合同</vt:lpstr>
      <vt:lpstr>设备合同</vt:lpstr>
      <vt:lpstr>工程合同</vt:lpstr>
      <vt:lpstr>材料合同</vt:lpstr>
      <vt:lpstr>服务合同</vt:lpstr>
      <vt:lpstr>行政合同</vt:lpstr>
      <vt:lpstr>其他合同</vt:lpstr>
      <vt:lpstr>HSE保证金</vt:lpstr>
      <vt:lpstr>电费</vt:lpstr>
      <vt:lpstr>水费</vt:lpstr>
      <vt:lpstr>采购员</vt:lpstr>
      <vt:lpstr>分包承包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永荣科技</dc:creator>
  <cp:lastModifiedBy>谢岩泉</cp:lastModifiedBy>
  <dcterms:created xsi:type="dcterms:W3CDTF">2017-11-13T02:48:00Z</dcterms:created>
  <dcterms:modified xsi:type="dcterms:W3CDTF">2017-12-07T06:35:58Z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2052-10.1.0.6930</vt:lpwstr>
  </property>
</Properties>
</file>